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comments7.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integratedentrysystems180.sharepoint.com/sites/IntegratedEntrySolutions/Shared Documents/IES Folders/1_SALES_PROJECTS_QUOTES/0_1A_MASTER QUOTE DOCS/"/>
    </mc:Choice>
  </mc:AlternateContent>
  <xr:revisionPtr revIDLastSave="117" documentId="8_{3485C87E-93C4-4F92-8A56-FD26D868702C}" xr6:coauthVersionLast="47" xr6:coauthVersionMax="47" xr10:uidLastSave="{9DB2ADCA-2376-4597-B81F-CA45D72B29D2}"/>
  <bookViews>
    <workbookView xWindow="-17664" yWindow="16284" windowWidth="17280" windowHeight="8880" tabRatio="950" xr2:uid="{4579DDA2-B7AF-4B61-AE87-85E800FADD6E}"/>
  </bookViews>
  <sheets>
    <sheet name="Sheet1" sheetId="1" r:id="rId1"/>
    <sheet name="ORDER PRO REF" sheetId="25" r:id="rId2"/>
    <sheet name="Sheet3" sheetId="26" r:id="rId3"/>
    <sheet name="DESCRIPTORS" sheetId="23" r:id="rId4"/>
    <sheet name="CUSTOMER" sheetId="22" r:id="rId5"/>
    <sheet name="HMD $ LUP" sheetId="7" r:id="rId6"/>
    <sheet name="HMF $ LUP" sheetId="21" r:id="rId7"/>
    <sheet name="NDC PRICE $" sheetId="5" r:id="rId8"/>
    <sheet name="PIONEER $" sheetId="8" r:id="rId9"/>
    <sheet name="HMD GROUP" sheetId="24" r:id="rId10"/>
    <sheet name="HMD LUP" sheetId="19" r:id="rId11"/>
    <sheet name="HMD OPT" sheetId="17" r:id="rId12"/>
    <sheet name="HMF LUP" sheetId="20" r:id="rId13"/>
    <sheet name="HMF OPT" sheetId="18" r:id="rId14"/>
    <sheet name="ACC LUP" sheetId="12" r:id="rId15"/>
    <sheet name="accessories" sheetId="10" r:id="rId16"/>
    <sheet name="HD LUP" sheetId="11" r:id="rId17"/>
    <sheet name="HD OPT" sheetId="16" r:id="rId18"/>
    <sheet name="HDW TABLE" sheetId="13" r:id="rId19"/>
    <sheet name="Sheet2" sheetId="15" r:id="rId20"/>
    <sheet name="elev" sheetId="14" r:id="rId21"/>
  </sheets>
  <definedNames>
    <definedName name="_xlnm._FilterDatabase" localSheetId="5" hidden="1">'HMD $ LUP'!$A$37:$GM$501</definedName>
    <definedName name="_xlnm._FilterDatabase" localSheetId="9" hidden="1">'HMD GROUP'!$F$42:$S$505</definedName>
    <definedName name="_xlnm._FilterDatabase" localSheetId="0" hidden="1">Sheet1!$A$248:$AT$723</definedName>
    <definedName name="CLOSER_COST">#REF!</definedName>
    <definedName name="CLOSER_REINF">#REF!</definedName>
    <definedName name="CLOSER_REINF_COST">#REF!</definedName>
    <definedName name="CLOSERS">#REF!</definedName>
    <definedName name="CORE_COST">#REF!</definedName>
    <definedName name="CORE_TYPE">#REF!</definedName>
    <definedName name="CUSTOMER_LIST">#REF!</definedName>
    <definedName name="DEAD_BOLT">#REF!</definedName>
    <definedName name="DEAD_BOLT_COST">#REF!</definedName>
    <definedName name="DEAD_BOLT_PREP">#REF!</definedName>
    <definedName name="DEAD_BOLTCYL_COST">#REF!</definedName>
    <definedName name="DEADBOLTHDWE">#REF!</definedName>
    <definedName name="DOOR_GA.">#REF!</definedName>
    <definedName name="DOOR_GA_COST">#REF!</definedName>
    <definedName name="DOOR_HARDWARE_PREP">#REF!</definedName>
    <definedName name="DOOR_HDWE_INACT">#REF!</definedName>
    <definedName name="DOOR_HDWE_INACT_COST">#REF!</definedName>
    <definedName name="DOOR_LABEL">#REF!</definedName>
    <definedName name="DOOR_LABEL_COST">#REF!</definedName>
    <definedName name="DOOR_PREP_COST">#REF!</definedName>
    <definedName name="DOOR_SIZE">#REF!</definedName>
    <definedName name="DOOR_SIZE_COST">#REF!</definedName>
    <definedName name="DOOR_SWEEP">#REF!</definedName>
    <definedName name="DOOR_SWEEP_COST">#REF!</definedName>
    <definedName name="DOOR_TYPE">#REF!</definedName>
    <definedName name="DRIP_CAP">#REF!</definedName>
    <definedName name="DRIP_CAP_COST">#REF!</definedName>
    <definedName name="EXIT_DEVICE_TRIM">#REF!</definedName>
    <definedName name="EXIT_DEVICE_TRIM_COST">#REF!</definedName>
    <definedName name="FACE">#REF!</definedName>
    <definedName name="FACE_COST">#REF!</definedName>
    <definedName name="FRAME_LABEL">#REF!</definedName>
    <definedName name="FRAME_LABEL_COST">#REF!</definedName>
    <definedName name="GLASS_W_TAPE">#REF!</definedName>
    <definedName name="GLASS_W_TAPE_COST">#REF!</definedName>
    <definedName name="HAND">#REF!</definedName>
    <definedName name="HARDWARE_ASTRAGALS">#REF!</definedName>
    <definedName name="HARDWARE_ASTRAGALS_COST">#REF!</definedName>
    <definedName name="Hdwe_Multiplier">#REF!</definedName>
    <definedName name="Hinge_Prep">#REF!</definedName>
    <definedName name="HINGE_PREP_COST">#REF!</definedName>
    <definedName name="HINGES">#REF!</definedName>
    <definedName name="HINGES_COST">#REF!</definedName>
    <definedName name="Hol_Metal_Multiplier">#REF!</definedName>
    <definedName name="INACTIVE_DOOR_HDWE">#REF!</definedName>
    <definedName name="INACTIVE_HDWE_COST">#REF!</definedName>
    <definedName name="KICK_PLATE">#REF!</definedName>
    <definedName name="KICK_PLATE_COST">#REF!</definedName>
    <definedName name="LATCH_GUARD">#REF!</definedName>
    <definedName name="LATCH_GUARD_COST">#REF!</definedName>
    <definedName name="LITE_KIT">#REF!</definedName>
    <definedName name="LITE_KIT_COST">#REF!</definedName>
    <definedName name="LOCKS">#REF!</definedName>
    <definedName name="LOCKS_COST">#REF!</definedName>
    <definedName name="LOUVER">#REF!</definedName>
    <definedName name="LOUVER_COST">#REF!</definedName>
    <definedName name="LOUVER_CUTOUT">#REF!</definedName>
    <definedName name="LOUVER_CUTOUT_COST">#REF!</definedName>
    <definedName name="Material_type">#REF!</definedName>
    <definedName name="MATERIAL_TYPE_COST">#REF!</definedName>
    <definedName name="nominal_size">#REF!</definedName>
    <definedName name="NOMINAL_SIZE_COST">#REF!</definedName>
    <definedName name="PANIC_COST">#REF!</definedName>
    <definedName name="PANICS">#REF!</definedName>
    <definedName name="_xlnm.Print_Area" localSheetId="0">Sheet1!$C$1:$Y$719</definedName>
    <definedName name="_xlnm.Print_Titles" localSheetId="0">Sheet1!$1:$14</definedName>
    <definedName name="Profile_cost">#REF!</definedName>
    <definedName name="PUSH_PULL">#REF!</definedName>
    <definedName name="PUSH_PULL_COST">#REF!</definedName>
    <definedName name="RESTROOM_ACCESS">#REF!</definedName>
    <definedName name="RESTROOM_ACCESS_COST">#REF!</definedName>
    <definedName name="Restroom_Access_Multiplier">#REF!</definedName>
    <definedName name="Strike_Prep">#REF!</definedName>
    <definedName name="STRIKE_PREP_COST">#REF!</definedName>
    <definedName name="THRESHOLD">#REF!</definedName>
    <definedName name="THRESHOLD_COST">#REF!</definedName>
    <definedName name="valid_profiles">#REF!</definedName>
    <definedName name="W_STRIP_COST">#REF!</definedName>
    <definedName name="WALL_STOP">#REF!</definedName>
    <definedName name="WALL_STOP_COST">#REF!</definedName>
    <definedName name="WEATHER_STRIP">#REF!</definedName>
    <definedName name="WOOD_DOOR_CO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68" i="1" l="1"/>
  <c r="W67" i="1"/>
  <c r="W66" i="1"/>
  <c r="AC102" i="1"/>
  <c r="AD102" i="1" s="1"/>
  <c r="W102" i="1" s="1"/>
  <c r="AC101" i="1"/>
  <c r="AD101" i="1" s="1"/>
  <c r="W101" i="1" s="1"/>
  <c r="W95" i="1"/>
  <c r="W99" i="1"/>
  <c r="X99" i="1" s="1"/>
  <c r="AC99" i="1"/>
  <c r="AC98" i="1"/>
  <c r="AD98" i="1" s="1"/>
  <c r="W98" i="1" s="1"/>
  <c r="E18" i="8"/>
  <c r="AC93" i="1"/>
  <c r="AC94" i="1"/>
  <c r="W93" i="1" l="1"/>
  <c r="X93" i="1" s="1"/>
  <c r="E43" i="8"/>
  <c r="AE98" i="1"/>
  <c r="AC96" i="1"/>
  <c r="W96" i="1"/>
  <c r="AG96" i="1" s="1"/>
  <c r="AE101" i="1"/>
  <c r="AG101" i="1" l="1"/>
  <c r="AG98" i="1"/>
  <c r="X98" i="1"/>
  <c r="Y98" i="1" s="1"/>
  <c r="AF98" i="1"/>
  <c r="X96" i="1"/>
  <c r="AH96" i="1" s="1"/>
  <c r="X101" i="1"/>
  <c r="Y101" i="1" s="1"/>
  <c r="AF101" i="1"/>
  <c r="AH101" i="1" l="1"/>
  <c r="AH98" i="1"/>
  <c r="AD45" i="1" l="1"/>
  <c r="AE45" i="1" s="1"/>
  <c r="W45" i="1" s="1"/>
  <c r="AD44" i="1"/>
  <c r="AE44" i="1" s="1"/>
  <c r="W44" i="1" s="1"/>
  <c r="AB49" i="1"/>
  <c r="AC49" i="1" s="1"/>
  <c r="AD49" i="1" s="1"/>
  <c r="AB48" i="1"/>
  <c r="AC48" i="1" s="1"/>
  <c r="AD48" i="1" s="1"/>
  <c r="N48" i="1"/>
  <c r="AB47" i="1"/>
  <c r="AC47" i="1" s="1"/>
  <c r="AD47" i="1" s="1"/>
  <c r="E50" i="8"/>
  <c r="AC29" i="1"/>
  <c r="AD29" i="1" s="1"/>
  <c r="AE29" i="1" s="1"/>
  <c r="W29" i="1" s="1"/>
  <c r="AD33" i="1"/>
  <c r="AE33" i="1" s="1"/>
  <c r="AD32" i="1"/>
  <c r="AE32" i="1" s="1"/>
  <c r="AF32" i="1" s="1"/>
  <c r="AD31" i="1"/>
  <c r="AE31" i="1" s="1"/>
  <c r="W31" i="1" s="1"/>
  <c r="X31" i="1" s="1"/>
  <c r="AG31" i="1" s="1"/>
  <c r="AH31" i="1" s="1"/>
  <c r="D128" i="8"/>
  <c r="D126" i="8"/>
  <c r="D111" i="8"/>
  <c r="E88" i="8"/>
  <c r="AD41" i="1"/>
  <c r="AE41" i="1" s="1"/>
  <c r="AD40" i="1"/>
  <c r="AE40" i="1" s="1"/>
  <c r="AD39" i="1"/>
  <c r="AE39" i="1" s="1"/>
  <c r="AC51" i="1"/>
  <c r="AE51" i="1" s="1"/>
  <c r="W51" i="1" s="1"/>
  <c r="X51" i="1" s="1"/>
  <c r="AC52" i="1"/>
  <c r="AE52" i="1" s="1"/>
  <c r="W52" i="1" s="1"/>
  <c r="X52" i="1" s="1"/>
  <c r="AG52" i="1" s="1"/>
  <c r="AH52" i="1" s="1"/>
  <c r="N595" i="1"/>
  <c r="N594" i="1"/>
  <c r="AD594" i="1" s="1"/>
  <c r="N593" i="1"/>
  <c r="AD593" i="1" s="1"/>
  <c r="AD480" i="1"/>
  <c r="W480" i="1" s="1"/>
  <c r="AD481" i="1"/>
  <c r="W481" i="1" s="1"/>
  <c r="AC79" i="1"/>
  <c r="AD79" i="1" s="1"/>
  <c r="AB78" i="1"/>
  <c r="AC78" i="1" s="1"/>
  <c r="AD78" i="1" s="1"/>
  <c r="W78" i="1" s="1"/>
  <c r="N78" i="1"/>
  <c r="W39" i="1" l="1"/>
  <c r="X39" i="1" s="1"/>
  <c r="AG39" i="1" s="1"/>
  <c r="AH39" i="1" s="1"/>
  <c r="W41" i="1"/>
  <c r="X41" i="1" s="1"/>
  <c r="AG41" i="1" s="1"/>
  <c r="AH41" i="1" s="1"/>
  <c r="W40" i="1"/>
  <c r="X40" i="1" s="1"/>
  <c r="AG40" i="1" s="1"/>
  <c r="AH40" i="1" s="1"/>
  <c r="X44" i="1"/>
  <c r="AG44" i="1" s="1"/>
  <c r="AH44" i="1" s="1"/>
  <c r="AF44" i="1"/>
  <c r="AF45" i="1"/>
  <c r="X45" i="1"/>
  <c r="AG45" i="1" s="1"/>
  <c r="AH45" i="1" s="1"/>
  <c r="AE49" i="1"/>
  <c r="W49" i="1"/>
  <c r="W47" i="1"/>
  <c r="AE47" i="1"/>
  <c r="W48" i="1"/>
  <c r="AE48" i="1"/>
  <c r="AG29" i="1"/>
  <c r="AH29" i="1" s="1"/>
  <c r="X29" i="1"/>
  <c r="AF33" i="1"/>
  <c r="W33" i="1"/>
  <c r="X33" i="1" s="1"/>
  <c r="AG33" i="1" s="1"/>
  <c r="AH33" i="1" s="1"/>
  <c r="W32" i="1"/>
  <c r="X32" i="1" s="1"/>
  <c r="AG32" i="1" s="1"/>
  <c r="AH32" i="1" s="1"/>
  <c r="AF39" i="1"/>
  <c r="AF41" i="1"/>
  <c r="AF40" i="1"/>
  <c r="AG51" i="1"/>
  <c r="AH51" i="1" s="1"/>
  <c r="Y51" i="1"/>
  <c r="AE79" i="1"/>
  <c r="W79" i="1"/>
  <c r="AE78" i="1"/>
  <c r="X47" i="1" l="1"/>
  <c r="AG47" i="1"/>
  <c r="AH47" i="1" s="1"/>
  <c r="X48" i="1"/>
  <c r="AG48" i="1"/>
  <c r="AH48" i="1" s="1"/>
  <c r="AG49" i="1"/>
  <c r="AH49" i="1" s="1"/>
  <c r="X49" i="1"/>
  <c r="Y31" i="1"/>
  <c r="Y39" i="1"/>
  <c r="AG79" i="1"/>
  <c r="AH79" i="1" s="1"/>
  <c r="X79" i="1"/>
  <c r="AG78" i="1"/>
  <c r="AH78" i="1" s="1"/>
  <c r="X78" i="1"/>
  <c r="Y47" i="1" l="1"/>
  <c r="AD261" i="1"/>
  <c r="AE261" i="1" s="1"/>
  <c r="W261" i="1" s="1"/>
  <c r="X261" i="1" s="1"/>
  <c r="AE260" i="1"/>
  <c r="W260" i="1"/>
  <c r="X260" i="1" s="1"/>
  <c r="AD259" i="1"/>
  <c r="AE259" i="1" s="1"/>
  <c r="AF259" i="1" s="1"/>
  <c r="AD258" i="1"/>
  <c r="AE258" i="1" s="1"/>
  <c r="W258" i="1" s="1"/>
  <c r="X258" i="1" s="1"/>
  <c r="AD427" i="1"/>
  <c r="W427" i="1" s="1"/>
  <c r="X427" i="1" s="1"/>
  <c r="AD426" i="1"/>
  <c r="W426" i="1" s="1"/>
  <c r="AD425" i="1"/>
  <c r="W425" i="1" s="1"/>
  <c r="AE425" i="1" s="1"/>
  <c r="AD424" i="1"/>
  <c r="W424" i="1" s="1"/>
  <c r="AD423" i="1"/>
  <c r="W423" i="1" s="1"/>
  <c r="X423" i="1" s="1"/>
  <c r="AH423" i="1" s="1"/>
  <c r="AI423" i="1" s="1"/>
  <c r="AD348" i="1"/>
  <c r="W348" i="1" s="1"/>
  <c r="AD347" i="1"/>
  <c r="W347" i="1" s="1"/>
  <c r="X347" i="1" s="1"/>
  <c r="X346" i="1"/>
  <c r="AE345" i="1"/>
  <c r="W345" i="1"/>
  <c r="X345" i="1" s="1"/>
  <c r="AE344" i="1"/>
  <c r="W344" i="1"/>
  <c r="AE343" i="1"/>
  <c r="W343" i="1"/>
  <c r="X343" i="1" s="1"/>
  <c r="AD342" i="1"/>
  <c r="AE342" i="1" s="1"/>
  <c r="W342" i="1" s="1"/>
  <c r="AD341" i="1"/>
  <c r="AE341" i="1" s="1"/>
  <c r="W341" i="1" s="1"/>
  <c r="X341" i="1" s="1"/>
  <c r="W340" i="1"/>
  <c r="X340" i="1" s="1"/>
  <c r="AD339" i="1"/>
  <c r="W339" i="1" s="1"/>
  <c r="AB75" i="1"/>
  <c r="AC75" i="1" s="1"/>
  <c r="AD75" i="1" s="1"/>
  <c r="AB72" i="1"/>
  <c r="AC72" i="1" s="1"/>
  <c r="AD72" i="1" s="1"/>
  <c r="AB71" i="1"/>
  <c r="AC71" i="1" s="1"/>
  <c r="AD71" i="1" s="1"/>
  <c r="AB70" i="1"/>
  <c r="AC70" i="1" s="1"/>
  <c r="AD70" i="1" s="1"/>
  <c r="AB74" i="1"/>
  <c r="AC74" i="1" s="1"/>
  <c r="AD74" i="1" s="1"/>
  <c r="AE74" i="1" s="1"/>
  <c r="W220" i="1"/>
  <c r="W224" i="1"/>
  <c r="N604" i="1"/>
  <c r="AD604" i="1" s="1"/>
  <c r="N603" i="1"/>
  <c r="N602" i="1"/>
  <c r="N601" i="1"/>
  <c r="W732" i="1"/>
  <c r="AC12" i="1"/>
  <c r="AE134" i="1"/>
  <c r="AD134" i="1"/>
  <c r="W134" i="1" s="1"/>
  <c r="AD133" i="1"/>
  <c r="AE133" i="1" s="1"/>
  <c r="W133" i="1" s="1"/>
  <c r="AG133" i="1" s="1"/>
  <c r="AH133" i="1" s="1"/>
  <c r="AE131" i="1"/>
  <c r="AD131" i="1"/>
  <c r="W131" i="1" s="1"/>
  <c r="AD130" i="1"/>
  <c r="AE130" i="1" s="1"/>
  <c r="W130" i="1" s="1"/>
  <c r="AC66" i="1"/>
  <c r="AC67" i="1"/>
  <c r="W259" i="1" l="1"/>
  <c r="AI260" i="1"/>
  <c r="AJ260" i="1" s="1"/>
  <c r="AE424" i="1"/>
  <c r="X424" i="1"/>
  <c r="AI424" i="1" s="1"/>
  <c r="AE426" i="1"/>
  <c r="X426" i="1"/>
  <c r="AI426" i="1" s="1"/>
  <c r="X425" i="1"/>
  <c r="AI425" i="1" s="1"/>
  <c r="AH344" i="1"/>
  <c r="X348" i="1"/>
  <c r="AH345" i="1"/>
  <c r="AI345" i="1" s="1"/>
  <c r="AH342" i="1"/>
  <c r="X342" i="1"/>
  <c r="AE347" i="1"/>
  <c r="AH347" i="1" s="1"/>
  <c r="AI347" i="1" s="1"/>
  <c r="AF347" i="1"/>
  <c r="AG347" i="1" s="1"/>
  <c r="X339" i="1"/>
  <c r="AE339" i="1"/>
  <c r="AH339" i="1" s="1"/>
  <c r="AH343" i="1"/>
  <c r="AI343" i="1" s="1"/>
  <c r="X344" i="1"/>
  <c r="W74" i="1"/>
  <c r="AE75" i="1"/>
  <c r="W75" i="1"/>
  <c r="AG134" i="1"/>
  <c r="AH134" i="1" s="1"/>
  <c r="X133" i="1"/>
  <c r="U133" i="1"/>
  <c r="X134" i="1"/>
  <c r="AG130" i="1"/>
  <c r="AH130" i="1" s="1"/>
  <c r="X130" i="1"/>
  <c r="U130" i="1"/>
  <c r="AG131" i="1"/>
  <c r="AH131" i="1" s="1"/>
  <c r="X131" i="1"/>
  <c r="T66" i="1"/>
  <c r="U66" i="1" s="1"/>
  <c r="V66" i="1" s="1"/>
  <c r="AC63" i="1"/>
  <c r="AD63" i="1" s="1"/>
  <c r="W63" i="1" s="1"/>
  <c r="AC64" i="1"/>
  <c r="AD64" i="1" s="1"/>
  <c r="W64" i="1" s="1"/>
  <c r="AC80" i="1"/>
  <c r="AD80" i="1" s="1"/>
  <c r="AE80" i="1" s="1"/>
  <c r="AC77" i="1"/>
  <c r="AD77" i="1" s="1"/>
  <c r="AC68" i="1"/>
  <c r="AD68" i="1" s="1"/>
  <c r="AD67" i="1"/>
  <c r="AD66" i="1"/>
  <c r="AA86" i="1"/>
  <c r="AB86" i="1" s="1"/>
  <c r="AA85" i="1"/>
  <c r="AB85" i="1" s="1"/>
  <c r="K762" i="1"/>
  <c r="K760" i="1"/>
  <c r="W668" i="1"/>
  <c r="AD533" i="1"/>
  <c r="AD534" i="1"/>
  <c r="AD535" i="1"/>
  <c r="W535" i="1" s="1"/>
  <c r="AD536" i="1"/>
  <c r="W536" i="1" s="1"/>
  <c r="X536" i="1" s="1"/>
  <c r="AI536" i="1" s="1"/>
  <c r="AC414" i="1"/>
  <c r="AD414" i="1" s="1"/>
  <c r="AC413" i="1"/>
  <c r="AD413" i="1" s="1"/>
  <c r="F413" i="1"/>
  <c r="F414" i="1" s="1"/>
  <c r="AC412" i="1"/>
  <c r="AD412" i="1" s="1"/>
  <c r="AC411" i="1"/>
  <c r="AD411" i="1" s="1"/>
  <c r="AD410" i="1"/>
  <c r="AE410" i="1" s="1"/>
  <c r="AC409" i="1"/>
  <c r="AD409" i="1" s="1"/>
  <c r="AE409" i="1" s="1"/>
  <c r="AC408" i="1"/>
  <c r="AD408" i="1" s="1"/>
  <c r="W408" i="1" s="1"/>
  <c r="F408" i="1"/>
  <c r="F409" i="1" s="1"/>
  <c r="AC407" i="1"/>
  <c r="AD407" i="1" s="1"/>
  <c r="AC406" i="1"/>
  <c r="AD406" i="1" s="1"/>
  <c r="AD405" i="1"/>
  <c r="W405" i="1" s="1"/>
  <c r="AC404" i="1"/>
  <c r="AD404" i="1" s="1"/>
  <c r="AC399" i="1"/>
  <c r="AD399" i="1" s="1"/>
  <c r="AC403" i="1"/>
  <c r="AD403" i="1" s="1"/>
  <c r="F403" i="1"/>
  <c r="F404" i="1" s="1"/>
  <c r="AC402" i="1"/>
  <c r="AD402" i="1" s="1"/>
  <c r="AC401" i="1"/>
  <c r="AD401" i="1" s="1"/>
  <c r="AD400" i="1"/>
  <c r="AE400" i="1" s="1"/>
  <c r="AA87" i="1"/>
  <c r="AB87" i="1" s="1"/>
  <c r="AG259" i="1" l="1"/>
  <c r="AH259" i="1" s="1"/>
  <c r="X259" i="1"/>
  <c r="AF426" i="1"/>
  <c r="AF425" i="1"/>
  <c r="AI344" i="1"/>
  <c r="AF424" i="1"/>
  <c r="AE348" i="1"/>
  <c r="AH348" i="1" s="1"/>
  <c r="AI348" i="1" s="1"/>
  <c r="AF348" i="1"/>
  <c r="AG348" i="1" s="1"/>
  <c r="AI339" i="1"/>
  <c r="AI342" i="1"/>
  <c r="AE405" i="1"/>
  <c r="Y133" i="1"/>
  <c r="Y130" i="1"/>
  <c r="AE63" i="1"/>
  <c r="K763" i="1"/>
  <c r="AE407" i="1"/>
  <c r="W407" i="1"/>
  <c r="W409" i="1"/>
  <c r="AH409" i="1" s="1"/>
  <c r="X408" i="1"/>
  <c r="AE411" i="1"/>
  <c r="W411" i="1"/>
  <c r="AE412" i="1"/>
  <c r="W412" i="1"/>
  <c r="W413" i="1"/>
  <c r="AE413" i="1"/>
  <c r="W406" i="1"/>
  <c r="AE406" i="1"/>
  <c r="AE414" i="1"/>
  <c r="W414" i="1"/>
  <c r="AE408" i="1"/>
  <c r="AH408" i="1" s="1"/>
  <c r="W410" i="1"/>
  <c r="AE404" i="1"/>
  <c r="W404" i="1"/>
  <c r="W399" i="1"/>
  <c r="AE399" i="1"/>
  <c r="W400" i="1"/>
  <c r="AH400" i="1" s="1"/>
  <c r="AE401" i="1"/>
  <c r="W401" i="1"/>
  <c r="W402" i="1"/>
  <c r="AE402" i="1"/>
  <c r="AE403" i="1"/>
  <c r="W403" i="1"/>
  <c r="AH405" i="1" l="1"/>
  <c r="X405" i="1"/>
  <c r="AH407" i="1"/>
  <c r="AI408" i="1"/>
  <c r="X409" i="1"/>
  <c r="AI409" i="1" s="1"/>
  <c r="X407" i="1"/>
  <c r="AH414" i="1"/>
  <c r="X414" i="1"/>
  <c r="AH412" i="1"/>
  <c r="X412" i="1"/>
  <c r="AH413" i="1"/>
  <c r="X413" i="1"/>
  <c r="X406" i="1"/>
  <c r="AH406" i="1"/>
  <c r="X410" i="1"/>
  <c r="AH410" i="1"/>
  <c r="X411" i="1"/>
  <c r="AH411" i="1"/>
  <c r="AH404" i="1"/>
  <c r="X404" i="1"/>
  <c r="AH399" i="1"/>
  <c r="X399" i="1"/>
  <c r="X400" i="1"/>
  <c r="AI400" i="1" s="1"/>
  <c r="AH403" i="1"/>
  <c r="X403" i="1"/>
  <c r="X402" i="1"/>
  <c r="AH402" i="1"/>
  <c r="AH401" i="1"/>
  <c r="X401" i="1"/>
  <c r="W327" i="1"/>
  <c r="W136" i="1"/>
  <c r="AI405" i="1" l="1"/>
  <c r="AI411" i="1"/>
  <c r="AI407" i="1"/>
  <c r="AI410" i="1"/>
  <c r="AI412" i="1"/>
  <c r="AI406" i="1"/>
  <c r="AI413" i="1"/>
  <c r="AI414" i="1"/>
  <c r="AI404" i="1"/>
  <c r="AI399" i="1"/>
  <c r="AI403" i="1"/>
  <c r="AI401" i="1"/>
  <c r="AI402" i="1"/>
  <c r="E89" i="8"/>
  <c r="E83" i="8"/>
  <c r="E82" i="8"/>
  <c r="E80" i="8"/>
  <c r="E79" i="8"/>
  <c r="AD36" i="1"/>
  <c r="AD37" i="1"/>
  <c r="AD35" i="1"/>
  <c r="AD681" i="1" l="1"/>
  <c r="AE681" i="1" s="1"/>
  <c r="W681" i="1" s="1"/>
  <c r="X681" i="1" s="1"/>
  <c r="AD682" i="1"/>
  <c r="AE682" i="1" s="1"/>
  <c r="W682" i="1" s="1"/>
  <c r="X682" i="1" s="1"/>
  <c r="AB539" i="1"/>
  <c r="N648" i="1"/>
  <c r="AD648" i="1" s="1"/>
  <c r="AE648" i="1" l="1"/>
  <c r="AC353" i="1"/>
  <c r="W669" i="1"/>
  <c r="I3" i="25"/>
  <c r="AA82" i="1"/>
  <c r="G4" i="25"/>
  <c r="H4" i="25" s="1"/>
  <c r="I4" i="25" s="1"/>
  <c r="F3" i="25"/>
  <c r="H3" i="25"/>
  <c r="AH648" i="1" l="1"/>
  <c r="AI648" i="1" s="1"/>
  <c r="AA83" i="1"/>
  <c r="AC83" i="1" s="1"/>
  <c r="AD83" i="1" s="1"/>
  <c r="AC82" i="1"/>
  <c r="AD82" i="1" s="1"/>
  <c r="AE81" i="1"/>
  <c r="AF81" i="1" s="1"/>
  <c r="AG81" i="1" s="1"/>
  <c r="AK89" i="1"/>
  <c r="AK90" i="1"/>
  <c r="N638" i="1"/>
  <c r="AD638" i="1" s="1"/>
  <c r="AE638" i="1" s="1"/>
  <c r="AA90" i="1"/>
  <c r="AA89" i="1"/>
  <c r="T90" i="1"/>
  <c r="U90" i="1"/>
  <c r="V90" i="1" s="1"/>
  <c r="W82" i="1" l="1"/>
  <c r="X82" i="1" s="1"/>
  <c r="AE82" i="1"/>
  <c r="AE83" i="1"/>
  <c r="W83" i="1"/>
  <c r="X83" i="1" s="1"/>
  <c r="W638" i="1"/>
  <c r="X638" i="1" s="1"/>
  <c r="AH638" i="1" s="1"/>
  <c r="AI638" i="1" s="1"/>
  <c r="AG83" i="1" l="1"/>
  <c r="AH83" i="1" s="1"/>
  <c r="Y82" i="1"/>
  <c r="AG82" i="1"/>
  <c r="AH82" i="1" s="1"/>
  <c r="AD641" i="1"/>
  <c r="AE641" i="1" s="1"/>
  <c r="N641" i="1"/>
  <c r="AB278" i="1"/>
  <c r="AB262" i="1"/>
  <c r="AC262" i="1" s="1"/>
  <c r="AD262" i="1" s="1"/>
  <c r="W262" i="1" s="1"/>
  <c r="AC263" i="1"/>
  <c r="AD290" i="1"/>
  <c r="W290" i="1" s="1"/>
  <c r="X290" i="1" s="1"/>
  <c r="AD291" i="1"/>
  <c r="AE291" i="1" s="1"/>
  <c r="N614" i="1"/>
  <c r="N616" i="1"/>
  <c r="N617" i="1"/>
  <c r="N618" i="1"/>
  <c r="N619" i="1"/>
  <c r="N620" i="1"/>
  <c r="N623" i="1"/>
  <c r="N624" i="1"/>
  <c r="N625" i="1"/>
  <c r="N612" i="1"/>
  <c r="N642" i="1"/>
  <c r="N643" i="1"/>
  <c r="N644" i="1"/>
  <c r="N645" i="1"/>
  <c r="N646" i="1"/>
  <c r="N647" i="1"/>
  <c r="N649" i="1"/>
  <c r="N650" i="1"/>
  <c r="N653" i="1"/>
  <c r="N655" i="1"/>
  <c r="N656" i="1"/>
  <c r="N658" i="1"/>
  <c r="N659" i="1"/>
  <c r="N662" i="1"/>
  <c r="N664" i="1"/>
  <c r="N665" i="1"/>
  <c r="N631" i="1"/>
  <c r="N632" i="1"/>
  <c r="N633" i="1"/>
  <c r="N634" i="1"/>
  <c r="N635" i="1"/>
  <c r="N636" i="1"/>
  <c r="N637" i="1"/>
  <c r="N640" i="1"/>
  <c r="N627" i="1"/>
  <c r="N628" i="1"/>
  <c r="N629" i="1"/>
  <c r="N630" i="1"/>
  <c r="AD612" i="1"/>
  <c r="N611" i="1"/>
  <c r="AD611" i="1" s="1"/>
  <c r="AE611" i="1" s="1"/>
  <c r="W611" i="1" s="1"/>
  <c r="X611" i="1" s="1"/>
  <c r="AH611" i="1" s="1"/>
  <c r="AD642" i="1"/>
  <c r="AE642" i="1" s="1"/>
  <c r="AD640" i="1"/>
  <c r="W80" i="1"/>
  <c r="AG80" i="1" s="1"/>
  <c r="W77" i="1"/>
  <c r="AD685" i="1"/>
  <c r="AE685" i="1" s="1"/>
  <c r="W685" i="1" s="1"/>
  <c r="X685" i="1" s="1"/>
  <c r="AD392" i="1"/>
  <c r="AE392" i="1" s="1"/>
  <c r="AD391" i="1"/>
  <c r="AE391" i="1" s="1"/>
  <c r="AD390" i="1"/>
  <c r="AE390" i="1" s="1"/>
  <c r="AE76" i="1"/>
  <c r="AD187" i="1"/>
  <c r="W187" i="1" s="1"/>
  <c r="X187" i="1" s="1"/>
  <c r="M86" i="5"/>
  <c r="AB269" i="1"/>
  <c r="W297" i="1"/>
  <c r="AE640" i="1" l="1"/>
  <c r="W640" i="1"/>
  <c r="W641" i="1"/>
  <c r="X641" i="1" s="1"/>
  <c r="AH641" i="1" s="1"/>
  <c r="AI641" i="1" s="1"/>
  <c r="W291" i="1"/>
  <c r="X291" i="1" s="1"/>
  <c r="AE290" i="1"/>
  <c r="AD263" i="1"/>
  <c r="W263" i="1" s="1"/>
  <c r="AE612" i="1"/>
  <c r="W612" i="1" s="1"/>
  <c r="AI611" i="1"/>
  <c r="W392" i="1"/>
  <c r="W391" i="1"/>
  <c r="W390" i="1"/>
  <c r="AE77" i="1"/>
  <c r="AG77" i="1" s="1"/>
  <c r="X77" i="1"/>
  <c r="X80" i="1"/>
  <c r="W673" i="1"/>
  <c r="X673" i="1" s="1"/>
  <c r="AE680" i="1"/>
  <c r="W680" i="1" s="1"/>
  <c r="AH680" i="1" s="1"/>
  <c r="AI680" i="1" s="1"/>
  <c r="AD680" i="1"/>
  <c r="W248" i="1"/>
  <c r="AC250" i="1"/>
  <c r="AD250" i="1" s="1"/>
  <c r="W250" i="1" s="1"/>
  <c r="Y77" i="1" l="1"/>
  <c r="AH80" i="1"/>
  <c r="AF612" i="1"/>
  <c r="AG612" i="1" s="1"/>
  <c r="X612" i="1"/>
  <c r="AH612" i="1" s="1"/>
  <c r="AI612" i="1" s="1"/>
  <c r="AH391" i="1"/>
  <c r="X391" i="1"/>
  <c r="X392" i="1"/>
  <c r="AH390" i="1"/>
  <c r="X390" i="1"/>
  <c r="AH77" i="1"/>
  <c r="X680" i="1"/>
  <c r="AD654" i="1"/>
  <c r="AE654" i="1" s="1"/>
  <c r="AD321" i="1"/>
  <c r="AE321" i="1" s="1"/>
  <c r="AD249" i="1"/>
  <c r="AE249" i="1" s="1"/>
  <c r="AI391" i="1" l="1"/>
  <c r="AI390" i="1"/>
  <c r="W249" i="1"/>
  <c r="X249" i="1" s="1"/>
  <c r="W654" i="1"/>
  <c r="X654" i="1" s="1"/>
  <c r="AH654" i="1" s="1"/>
  <c r="W321" i="1"/>
  <c r="X321" i="1" s="1"/>
  <c r="AI654" i="1" l="1"/>
  <c r="AH321" i="1"/>
  <c r="AI321" i="1" s="1"/>
  <c r="AC25" i="1" l="1"/>
  <c r="AD25" i="1" s="1"/>
  <c r="AC26" i="1"/>
  <c r="AD26" i="1" s="1"/>
  <c r="AB21" i="1"/>
  <c r="AD21" i="1" s="1"/>
  <c r="W21" i="1" s="1"/>
  <c r="AD23" i="1"/>
  <c r="AB22" i="1"/>
  <c r="AE23" i="1" l="1"/>
  <c r="AF23" i="1" s="1"/>
  <c r="W23" i="1"/>
  <c r="AI249" i="1"/>
  <c r="AE26" i="1"/>
  <c r="AE25" i="1"/>
  <c r="AD22" i="1"/>
  <c r="W22" i="1" s="1"/>
  <c r="AE21" i="1"/>
  <c r="AF21" i="1" s="1"/>
  <c r="W26" i="1" l="1"/>
  <c r="X26" i="1" s="1"/>
  <c r="W25" i="1"/>
  <c r="X25" i="1" s="1"/>
  <c r="AG25" i="1" s="1"/>
  <c r="AH25" i="1" s="1"/>
  <c r="AE22" i="1"/>
  <c r="AF22" i="1" s="1"/>
  <c r="X23" i="1"/>
  <c r="AG23" i="1" s="1"/>
  <c r="AH23" i="1" s="1"/>
  <c r="X22" i="1"/>
  <c r="AG22" i="1" s="1"/>
  <c r="AH22" i="1" s="1"/>
  <c r="X21" i="1"/>
  <c r="AG26" i="1" l="1"/>
  <c r="AH26" i="1" s="1"/>
  <c r="Y25" i="1"/>
  <c r="AG21" i="1"/>
  <c r="AH21" i="1" s="1"/>
  <c r="Y21" i="1"/>
  <c r="AD327" i="1" l="1"/>
  <c r="AD328" i="1"/>
  <c r="AD329" i="1"/>
  <c r="W329" i="1" s="1"/>
  <c r="AD416" i="1"/>
  <c r="W416" i="1" s="1"/>
  <c r="X416" i="1" s="1"/>
  <c r="AG416" i="1" s="1"/>
  <c r="AH416" i="1" s="1"/>
  <c r="M75" i="5"/>
  <c r="L75" i="5"/>
  <c r="AC87" i="1"/>
  <c r="AD87" i="1" s="1"/>
  <c r="AE87" i="1" s="1"/>
  <c r="W87" i="1" s="1"/>
  <c r="AC86" i="1"/>
  <c r="AC85" i="1"/>
  <c r="N85" i="1"/>
  <c r="X74" i="1"/>
  <c r="AE73" i="1"/>
  <c r="X75" i="1" l="1"/>
  <c r="X329" i="1"/>
  <c r="AD85" i="1"/>
  <c r="AD86" i="1"/>
  <c r="AE86" i="1" s="1"/>
  <c r="W86" i="1" s="1"/>
  <c r="AG75" i="1" l="1"/>
  <c r="AH75" i="1" s="1"/>
  <c r="AE85" i="1"/>
  <c r="W85" i="1" s="1"/>
  <c r="X87" i="1"/>
  <c r="X86" i="1"/>
  <c r="AG86" i="1" s="1"/>
  <c r="X85" i="1" l="1"/>
  <c r="AG85" i="1" s="1"/>
  <c r="AH85" i="1" s="1"/>
  <c r="Y74" i="1"/>
  <c r="AG74" i="1"/>
  <c r="AH74" i="1" s="1"/>
  <c r="AG87" i="1"/>
  <c r="AH87" i="1" s="1"/>
  <c r="AH86" i="1"/>
  <c r="Y85" i="1" l="1"/>
  <c r="AC61" i="1"/>
  <c r="AE61" i="1" s="1"/>
  <c r="AC60" i="1"/>
  <c r="AE60" i="1" s="1"/>
  <c r="W60" i="1" s="1"/>
  <c r="AC58" i="1"/>
  <c r="AE58" i="1" s="1"/>
  <c r="W58" i="1" s="1"/>
  <c r="AC57" i="1"/>
  <c r="AE57" i="1" s="1"/>
  <c r="AC361" i="1"/>
  <c r="AD361" i="1" s="1"/>
  <c r="W361" i="1" s="1"/>
  <c r="AC360" i="1"/>
  <c r="AD512" i="1"/>
  <c r="AD513" i="1"/>
  <c r="W513" i="1" s="1"/>
  <c r="W57" i="1" l="1"/>
  <c r="AF57" i="1"/>
  <c r="AF61" i="1"/>
  <c r="W61" i="1"/>
  <c r="AF58" i="1"/>
  <c r="AF60" i="1"/>
  <c r="AA224" i="1" l="1"/>
  <c r="AA220" i="1"/>
  <c r="AE278" i="1"/>
  <c r="W278" i="1" s="1"/>
  <c r="AD278" i="1"/>
  <c r="AE224" i="1"/>
  <c r="O18" i="26"/>
  <c r="AB477" i="1"/>
  <c r="AD477" i="1" s="1"/>
  <c r="W477" i="1" s="1"/>
  <c r="X477" i="1" s="1"/>
  <c r="AB476" i="1"/>
  <c r="AD476" i="1" s="1"/>
  <c r="W476" i="1" s="1"/>
  <c r="X476" i="1" s="1"/>
  <c r="AD331" i="1"/>
  <c r="W331" i="1" s="1"/>
  <c r="AD330" i="1"/>
  <c r="W330" i="1" s="1"/>
  <c r="X330" i="1" s="1"/>
  <c r="AA10" i="1" l="1"/>
  <c r="AG224" i="1"/>
  <c r="AH278" i="1"/>
  <c r="X278" i="1"/>
  <c r="AE331" i="1"/>
  <c r="AH331" i="1" s="1"/>
  <c r="AI331" i="1" s="1"/>
  <c r="X331" i="1"/>
  <c r="AE330" i="1"/>
  <c r="AH330" i="1" s="1"/>
  <c r="AI330" i="1" s="1"/>
  <c r="AD305" i="1"/>
  <c r="AA298" i="1"/>
  <c r="AB298" i="1" s="1"/>
  <c r="W298" i="1"/>
  <c r="AD695" i="1"/>
  <c r="W695" i="1" s="1"/>
  <c r="X695" i="1" s="1"/>
  <c r="AH695" i="1" s="1"/>
  <c r="AI695" i="1" s="1"/>
  <c r="AE695" i="1"/>
  <c r="AE687" i="1"/>
  <c r="AE688" i="1"/>
  <c r="AE689" i="1"/>
  <c r="AE690" i="1"/>
  <c r="AE691" i="1"/>
  <c r="AE692" i="1"/>
  <c r="AE693" i="1"/>
  <c r="AE694" i="1"/>
  <c r="AE696" i="1"/>
  <c r="AD694" i="1"/>
  <c r="W694" i="1" s="1"/>
  <c r="AC55" i="1"/>
  <c r="AE55" i="1" s="1"/>
  <c r="AC54" i="1"/>
  <c r="AE54" i="1" s="1"/>
  <c r="AA719" i="1"/>
  <c r="AG220" i="1" l="1"/>
  <c r="X220" i="1"/>
  <c r="Y220" i="1" s="1"/>
  <c r="AI278" i="1"/>
  <c r="X224" i="1"/>
  <c r="Y224" i="1" s="1"/>
  <c r="W305" i="1"/>
  <c r="X305" i="1" s="1"/>
  <c r="AC298" i="1"/>
  <c r="AD298" i="1" s="1"/>
  <c r="X298" i="1"/>
  <c r="AF55" i="1"/>
  <c r="W55" i="1"/>
  <c r="X55" i="1" s="1"/>
  <c r="AF54" i="1"/>
  <c r="W54" i="1"/>
  <c r="X54" i="1" s="1"/>
  <c r="AC125" i="1"/>
  <c r="AC124" i="1"/>
  <c r="AD475" i="1"/>
  <c r="AE475" i="1" l="1"/>
  <c r="W475" i="1"/>
  <c r="AH224" i="1"/>
  <c r="AH220" i="1"/>
  <c r="AG55" i="1"/>
  <c r="AH55" i="1" s="1"/>
  <c r="AG54" i="1"/>
  <c r="AH54" i="1" s="1"/>
  <c r="Y54" i="1"/>
  <c r="AD28" i="1"/>
  <c r="AE28" i="1" s="1"/>
  <c r="W28" i="1" s="1"/>
  <c r="X28" i="1" s="1"/>
  <c r="AG28" i="1" s="1"/>
  <c r="AH475" i="1" l="1"/>
  <c r="X475" i="1"/>
  <c r="AH28" i="1"/>
  <c r="AD601" i="1"/>
  <c r="W601" i="1" s="1"/>
  <c r="AD602" i="1"/>
  <c r="W602" i="1" s="1"/>
  <c r="W604" i="1"/>
  <c r="AI475" i="1" l="1"/>
  <c r="AE604" i="1"/>
  <c r="E27" i="5"/>
  <c r="E33" i="5"/>
  <c r="AE37" i="1"/>
  <c r="W37" i="1" s="1"/>
  <c r="AE36" i="1"/>
  <c r="W36" i="1" s="1"/>
  <c r="AE35" i="1"/>
  <c r="W35" i="1" s="1"/>
  <c r="W72" i="1"/>
  <c r="W71" i="1"/>
  <c r="W70" i="1"/>
  <c r="AD368" i="1"/>
  <c r="W368" i="1" s="1"/>
  <c r="AD296" i="1"/>
  <c r="W296" i="1" s="1"/>
  <c r="X296" i="1" s="1"/>
  <c r="X71" i="1" l="1"/>
  <c r="AE368" i="1"/>
  <c r="X368" i="1"/>
  <c r="O76" i="5"/>
  <c r="AC337" i="1"/>
  <c r="AC279" i="1"/>
  <c r="AD279" i="1" s="1"/>
  <c r="AD337" i="1" l="1"/>
  <c r="W337" i="1" s="1"/>
  <c r="X337" i="1" s="1"/>
  <c r="AH368" i="1"/>
  <c r="AI368" i="1" s="1"/>
  <c r="W279" i="1"/>
  <c r="AG279" i="1" s="1"/>
  <c r="AH279" i="1" s="1"/>
  <c r="AD308" i="1"/>
  <c r="W308" i="1" s="1"/>
  <c r="AE337" i="1" l="1"/>
  <c r="AF337" i="1" s="1"/>
  <c r="AE308" i="1"/>
  <c r="X60" i="1" l="1"/>
  <c r="AG60" i="1" s="1"/>
  <c r="AH60" i="1" l="1"/>
  <c r="X61" i="1"/>
  <c r="Y60" i="1" l="1"/>
  <c r="AG61" i="1"/>
  <c r="AH61" i="1" s="1"/>
  <c r="AC367" i="1"/>
  <c r="X57" i="1" l="1"/>
  <c r="AG57" i="1" s="1"/>
  <c r="AH57" i="1" l="1"/>
  <c r="X58" i="1"/>
  <c r="Y57" i="1" l="1"/>
  <c r="AG58" i="1"/>
  <c r="AH58" i="1" s="1"/>
  <c r="AD360" i="1" l="1"/>
  <c r="W360" i="1" s="1"/>
  <c r="AE360" i="1" l="1"/>
  <c r="X360" i="1"/>
  <c r="AH360" i="1" l="1"/>
  <c r="AI360" i="1" s="1"/>
  <c r="AD277" i="1"/>
  <c r="AE277" i="1" s="1"/>
  <c r="AD276" i="1"/>
  <c r="AE276" i="1" s="1"/>
  <c r="AD274" i="1"/>
  <c r="AE274" i="1" s="1"/>
  <c r="W276" i="1" l="1"/>
  <c r="W277" i="1"/>
  <c r="W274" i="1"/>
  <c r="AH274" i="1" s="1"/>
  <c r="X274" i="1" l="1"/>
  <c r="AI274" i="1" s="1"/>
  <c r="AH276" i="1"/>
  <c r="X276" i="1"/>
  <c r="AH277" i="1"/>
  <c r="X277" i="1"/>
  <c r="AI276" i="1" l="1"/>
  <c r="AI277" i="1"/>
  <c r="AD295" i="1" l="1"/>
  <c r="W295" i="1" s="1"/>
  <c r="AD294" i="1"/>
  <c r="W294" i="1" s="1"/>
  <c r="AH294" i="1" s="1"/>
  <c r="AD684" i="1"/>
  <c r="AF684" i="1" s="1"/>
  <c r="W684" i="1"/>
  <c r="X684" i="1" s="1"/>
  <c r="AD683" i="1"/>
  <c r="AE683" i="1" s="1"/>
  <c r="W683" i="1" s="1"/>
  <c r="AH295" i="1" l="1"/>
  <c r="X295" i="1"/>
  <c r="X294" i="1"/>
  <c r="AI294" i="1" s="1"/>
  <c r="AI683" i="1"/>
  <c r="AJ683" i="1" s="1"/>
  <c r="X683" i="1"/>
  <c r="AI684" i="1"/>
  <c r="AJ684" i="1" s="1"/>
  <c r="AI295" i="1" l="1"/>
  <c r="AE128" i="1" l="1"/>
  <c r="AD128" i="1"/>
  <c r="W128" i="1" s="1"/>
  <c r="AD127" i="1"/>
  <c r="AE127" i="1" s="1"/>
  <c r="AD603" i="1"/>
  <c r="W603" i="1" s="1"/>
  <c r="K998" i="1"/>
  <c r="W710" i="1"/>
  <c r="X710" i="1" s="1"/>
  <c r="AD714" i="1"/>
  <c r="W714" i="1" s="1"/>
  <c r="X714" i="1" s="1"/>
  <c r="AK714" i="1"/>
  <c r="AK713" i="1"/>
  <c r="W713" i="1"/>
  <c r="X713" i="1" s="1"/>
  <c r="AK712" i="1"/>
  <c r="W712" i="1"/>
  <c r="X712" i="1" s="1"/>
  <c r="AD699" i="1"/>
  <c r="W699" i="1" s="1"/>
  <c r="X699" i="1" s="1"/>
  <c r="AD125" i="1"/>
  <c r="AD124" i="1"/>
  <c r="AE124" i="1" s="1"/>
  <c r="W124" i="1" s="1"/>
  <c r="AE125" i="1"/>
  <c r="W125" i="1" s="1"/>
  <c r="AC377" i="1"/>
  <c r="AC364" i="1"/>
  <c r="AD364" i="1" s="1"/>
  <c r="W364" i="1" s="1"/>
  <c r="W127" i="1" l="1"/>
  <c r="U127" i="1" s="1"/>
  <c r="AG125" i="1"/>
  <c r="AH125" i="1" s="1"/>
  <c r="AG124" i="1"/>
  <c r="AH124" i="1" s="1"/>
  <c r="X364" i="1"/>
  <c r="AB92" i="1"/>
  <c r="AC92" i="1" s="1"/>
  <c r="AD92" i="1" s="1"/>
  <c r="W92" i="1" s="1"/>
  <c r="X92" i="1" s="1"/>
  <c r="AC95" i="1"/>
  <c r="AG95" i="1"/>
  <c r="AG93" i="1"/>
  <c r="AC90" i="1"/>
  <c r="AD90" i="1" s="1"/>
  <c r="AE90" i="1" s="1"/>
  <c r="W90" i="1" s="1"/>
  <c r="X90" i="1" s="1"/>
  <c r="AG127" i="1" l="1"/>
  <c r="AH127" i="1" s="1"/>
  <c r="AD94" i="1"/>
  <c r="W94" i="1" s="1"/>
  <c r="AG92" i="1"/>
  <c r="AH92" i="1" s="1"/>
  <c r="AE92" i="1"/>
  <c r="AF93" i="1"/>
  <c r="X95" i="1"/>
  <c r="AH95" i="1" s="1"/>
  <c r="V307" i="1"/>
  <c r="W307" i="1" s="1"/>
  <c r="V306" i="1"/>
  <c r="W306" i="1" s="1"/>
  <c r="AG94" i="1" l="1"/>
  <c r="X94" i="1"/>
  <c r="Y92" i="1" s="1"/>
  <c r="AH93" i="1"/>
  <c r="I247" i="1"/>
  <c r="G247" i="1"/>
  <c r="AB118" i="1"/>
  <c r="AD701" i="1"/>
  <c r="AE701" i="1" s="1"/>
  <c r="AD653" i="1"/>
  <c r="AE653" i="1" s="1"/>
  <c r="AD595" i="1"/>
  <c r="AE595" i="1" s="1"/>
  <c r="W595" i="1" s="1"/>
  <c r="W328" i="1"/>
  <c r="AD691" i="1"/>
  <c r="W691" i="1" s="1"/>
  <c r="AF519" i="1"/>
  <c r="AD519" i="1"/>
  <c r="W519" i="1" s="1"/>
  <c r="AF518" i="1"/>
  <c r="AD518" i="1"/>
  <c r="W518" i="1" s="1"/>
  <c r="AC397" i="1"/>
  <c r="W334" i="1"/>
  <c r="X334" i="1" s="1"/>
  <c r="W333" i="1"/>
  <c r="X333" i="1" s="1"/>
  <c r="AD356" i="1"/>
  <c r="AE356" i="1" s="1"/>
  <c r="AD355" i="1"/>
  <c r="AE355" i="1" s="1"/>
  <c r="AE251" i="1"/>
  <c r="W251" i="1" s="1"/>
  <c r="AE250" i="1"/>
  <c r="X250" i="1" l="1"/>
  <c r="AH94" i="1"/>
  <c r="X251" i="1"/>
  <c r="W701" i="1"/>
  <c r="X701" i="1" s="1"/>
  <c r="W653" i="1"/>
  <c r="X653" i="1" s="1"/>
  <c r="AH653" i="1" s="1"/>
  <c r="AF595" i="1"/>
  <c r="AH595" i="1" s="1"/>
  <c r="X595" i="1"/>
  <c r="AG518" i="1"/>
  <c r="AH518" i="1" s="1"/>
  <c r="X691" i="1"/>
  <c r="AH691" i="1" s="1"/>
  <c r="AI691" i="1" s="1"/>
  <c r="AG519" i="1"/>
  <c r="AH519" i="1" s="1"/>
  <c r="X519" i="1"/>
  <c r="X518" i="1"/>
  <c r="W355" i="1"/>
  <c r="X355" i="1" s="1"/>
  <c r="AH355" i="1" s="1"/>
  <c r="AI355" i="1" s="1"/>
  <c r="W356" i="1"/>
  <c r="X356" i="1" s="1"/>
  <c r="AH356" i="1" s="1"/>
  <c r="AI356" i="1" s="1"/>
  <c r="AI250" i="1" l="1"/>
  <c r="O250" i="1"/>
  <c r="AF250" i="1"/>
  <c r="AF251" i="1"/>
  <c r="AH701" i="1"/>
  <c r="AI701" i="1" s="1"/>
  <c r="AI653" i="1"/>
  <c r="AI251" i="1"/>
  <c r="O251" i="1"/>
  <c r="AC89" i="1"/>
  <c r="AD89" i="1" s="1"/>
  <c r="AE89" i="1" s="1"/>
  <c r="W89" i="1" s="1"/>
  <c r="X63" i="1"/>
  <c r="AD429" i="1"/>
  <c r="W429" i="1" s="1"/>
  <c r="AD428" i="1"/>
  <c r="W428" i="1" s="1"/>
  <c r="X89" i="1" l="1"/>
  <c r="Y89" i="1" s="1"/>
  <c r="AG63" i="1"/>
  <c r="AG90" i="1"/>
  <c r="AH90" i="1" s="1"/>
  <c r="AG89" i="1"/>
  <c r="AH89" i="1" s="1"/>
  <c r="X64" i="1"/>
  <c r="AE428" i="1"/>
  <c r="X428" i="1"/>
  <c r="AE429" i="1"/>
  <c r="X429" i="1"/>
  <c r="AG64" i="1" l="1"/>
  <c r="AH64" i="1" s="1"/>
  <c r="AE64" i="1"/>
  <c r="AH428" i="1"/>
  <c r="AF429" i="1"/>
  <c r="AI428" i="1" l="1"/>
  <c r="W18" i="1" l="1"/>
  <c r="Z9" i="1"/>
  <c r="AC359" i="1"/>
  <c r="AC363" i="1"/>
  <c r="AD363" i="1" s="1"/>
  <c r="W363" i="1" s="1"/>
  <c r="X363" i="1" s="1"/>
  <c r="D40" i="5"/>
  <c r="D42" i="5"/>
  <c r="AB17" i="1" l="1"/>
  <c r="AC17" i="1" s="1"/>
  <c r="AD17" i="1" s="1"/>
  <c r="AB16" i="1"/>
  <c r="AC16" i="1" s="1"/>
  <c r="AD16" i="1" s="1"/>
  <c r="AE17" i="1" l="1"/>
  <c r="W17" i="1" s="1"/>
  <c r="AD644" i="1" l="1"/>
  <c r="W644" i="1" s="1"/>
  <c r="X644" i="1" s="1"/>
  <c r="AD643" i="1"/>
  <c r="AE643" i="1" s="1"/>
  <c r="W312" i="1"/>
  <c r="X312" i="1" s="1"/>
  <c r="AC362" i="1"/>
  <c r="AC309" i="1"/>
  <c r="W309" i="1" s="1"/>
  <c r="AE248" i="1"/>
  <c r="X248" i="1" l="1"/>
  <c r="AE644" i="1"/>
  <c r="AH644" i="1" s="1"/>
  <c r="AI644" i="1" s="1"/>
  <c r="W643" i="1"/>
  <c r="X643" i="1" s="1"/>
  <c r="AH643" i="1" s="1"/>
  <c r="AI643" i="1" s="1"/>
  <c r="W670" i="1"/>
  <c r="X670" i="1" s="1"/>
  <c r="N71" i="1"/>
  <c r="AF248" i="1" l="1"/>
  <c r="AI248" i="1"/>
  <c r="AE70" i="1"/>
  <c r="AE71" i="1"/>
  <c r="AE72" i="1"/>
  <c r="X72" i="1" l="1"/>
  <c r="X70" i="1"/>
  <c r="AG71" i="1"/>
  <c r="AH71" i="1" s="1"/>
  <c r="Y70" i="1" l="1"/>
  <c r="AG70" i="1"/>
  <c r="AH70" i="1" s="1"/>
  <c r="AG72" i="1"/>
  <c r="AH72" i="1" s="1"/>
  <c r="AD359" i="1"/>
  <c r="AD354" i="1"/>
  <c r="W354" i="1" s="1"/>
  <c r="AC500" i="1"/>
  <c r="AD252" i="1"/>
  <c r="X37" i="1" l="1"/>
  <c r="AG37" i="1" s="1"/>
  <c r="AF37" i="1"/>
  <c r="AE359" i="1"/>
  <c r="W359" i="1"/>
  <c r="X359" i="1" s="1"/>
  <c r="AE68" i="1"/>
  <c r="X68" i="1" s="1"/>
  <c r="AE354" i="1"/>
  <c r="X354" i="1"/>
  <c r="AC366" i="1"/>
  <c r="AD366" i="1" s="1"/>
  <c r="AG68" i="1" l="1"/>
  <c r="AH68" i="1" s="1"/>
  <c r="AH354" i="1"/>
  <c r="AI354" i="1" s="1"/>
  <c r="AH359" i="1"/>
  <c r="AI359" i="1" s="1"/>
  <c r="AE366" i="1"/>
  <c r="W366" i="1"/>
  <c r="X366" i="1" s="1"/>
  <c r="X35" i="1" l="1"/>
  <c r="AG35" i="1" s="1"/>
  <c r="AH366" i="1"/>
  <c r="AI366" i="1" s="1"/>
  <c r="AD271" i="1" l="1"/>
  <c r="AD304" i="1"/>
  <c r="W304" i="1" s="1"/>
  <c r="AD303" i="1"/>
  <c r="W303" i="1" s="1"/>
  <c r="X669" i="1" l="1"/>
  <c r="W109" i="1" l="1"/>
  <c r="W108" i="1"/>
  <c r="AB108" i="1"/>
  <c r="AB109" i="1"/>
  <c r="AB111" i="1"/>
  <c r="AD696" i="1" l="1"/>
  <c r="AE686" i="1"/>
  <c r="W686" i="1" s="1"/>
  <c r="AH686" i="1" s="1"/>
  <c r="AI686" i="1" s="1"/>
  <c r="AD686" i="1"/>
  <c r="AF517" i="1"/>
  <c r="AF268" i="1"/>
  <c r="X686" i="1" l="1"/>
  <c r="W319" i="1" l="1"/>
  <c r="AD367" i="1"/>
  <c r="AC365" i="1"/>
  <c r="AD365" i="1" s="1"/>
  <c r="AD585" i="1"/>
  <c r="W585" i="1" s="1"/>
  <c r="AH585" i="1" s="1"/>
  <c r="AI585" i="1" s="1"/>
  <c r="AE367" i="1" l="1"/>
  <c r="W367" i="1"/>
  <c r="X367" i="1" s="1"/>
  <c r="AE365" i="1"/>
  <c r="W365" i="1"/>
  <c r="X365" i="1" s="1"/>
  <c r="X585" i="1"/>
  <c r="AH365" i="1" l="1"/>
  <c r="AI365" i="1" s="1"/>
  <c r="AH367" i="1"/>
  <c r="AI367" i="1" s="1"/>
  <c r="W209" i="1" l="1"/>
  <c r="W210" i="1"/>
  <c r="W211" i="1"/>
  <c r="AD473" i="1" l="1"/>
  <c r="W473" i="1" s="1"/>
  <c r="X473" i="1" s="1"/>
  <c r="AD433" i="1"/>
  <c r="W433" i="1" s="1"/>
  <c r="AE433" i="1" s="1"/>
  <c r="AD432" i="1"/>
  <c r="W432" i="1" s="1"/>
  <c r="X432" i="1" s="1"/>
  <c r="AD431" i="1"/>
  <c r="AD430" i="1"/>
  <c r="W430" i="1" s="1"/>
  <c r="X430" i="1" s="1"/>
  <c r="AD586" i="1"/>
  <c r="W586" i="1" s="1"/>
  <c r="W528" i="1"/>
  <c r="AD616" i="1"/>
  <c r="AE616" i="1" s="1"/>
  <c r="W616" i="1" s="1"/>
  <c r="X616" i="1" s="1"/>
  <c r="AD615" i="1"/>
  <c r="AE615" i="1" s="1"/>
  <c r="W615" i="1" s="1"/>
  <c r="X615" i="1" s="1"/>
  <c r="AD614" i="1"/>
  <c r="AE614" i="1" s="1"/>
  <c r="W614" i="1" s="1"/>
  <c r="X614" i="1" s="1"/>
  <c r="AD613" i="1"/>
  <c r="AE613" i="1" s="1"/>
  <c r="W613" i="1" s="1"/>
  <c r="X613" i="1" s="1"/>
  <c r="AH613" i="1" s="1"/>
  <c r="AI613" i="1" s="1"/>
  <c r="W431" i="1" l="1"/>
  <c r="X431" i="1" s="1"/>
  <c r="X433" i="1"/>
  <c r="AF433" i="1" s="1"/>
  <c r="AH586" i="1"/>
  <c r="AI586" i="1" s="1"/>
  <c r="X586" i="1"/>
  <c r="X210" i="1" l="1"/>
  <c r="X209" i="1"/>
  <c r="M6" i="21" l="1"/>
  <c r="I6" i="21"/>
  <c r="AD693" i="1"/>
  <c r="W693" i="1" s="1"/>
  <c r="X693" i="1" s="1"/>
  <c r="AH693" i="1" s="1"/>
  <c r="AI693" i="1" s="1"/>
  <c r="AD484" i="1"/>
  <c r="N996" i="1" l="1"/>
  <c r="N994" i="1"/>
  <c r="N992" i="1"/>
  <c r="N998" i="1" l="1"/>
  <c r="AD422" i="1"/>
  <c r="AD421" i="1"/>
  <c r="AD420" i="1"/>
  <c r="W420" i="1" s="1"/>
  <c r="AD282" i="1"/>
  <c r="AE282" i="1" s="1"/>
  <c r="W282" i="1" s="1"/>
  <c r="X282" i="1" s="1"/>
  <c r="W422" i="1" l="1"/>
  <c r="X422" i="1" s="1"/>
  <c r="W421" i="1"/>
  <c r="X421" i="1" s="1"/>
  <c r="X420" i="1"/>
  <c r="W578" i="1"/>
  <c r="W576" i="1"/>
  <c r="W563" i="1"/>
  <c r="W564" i="1"/>
  <c r="W565" i="1"/>
  <c r="W566" i="1"/>
  <c r="W567" i="1"/>
  <c r="W568" i="1"/>
  <c r="W569" i="1"/>
  <c r="W570" i="1"/>
  <c r="W571" i="1"/>
  <c r="W572" i="1"/>
  <c r="W573" i="1"/>
  <c r="W574" i="1"/>
  <c r="W575" i="1"/>
  <c r="W562" i="1"/>
  <c r="W527" i="1"/>
  <c r="W526" i="1"/>
  <c r="AC495" i="1"/>
  <c r="AD495" i="1" s="1"/>
  <c r="AC494" i="1"/>
  <c r="AC493" i="1"/>
  <c r="AD493" i="1" s="1"/>
  <c r="AE493" i="1" s="1"/>
  <c r="AD492" i="1"/>
  <c r="F493" i="1"/>
  <c r="F494" i="1" s="1"/>
  <c r="F495" i="1" s="1"/>
  <c r="AD486" i="1"/>
  <c r="AE486" i="1" s="1"/>
  <c r="AB214" i="1"/>
  <c r="AB213" i="1"/>
  <c r="AC213" i="1" s="1"/>
  <c r="AD494" i="1" l="1"/>
  <c r="AE494" i="1" s="1"/>
  <c r="AE421" i="1"/>
  <c r="AF421" i="1" s="1"/>
  <c r="AE422" i="1"/>
  <c r="AF422" i="1" s="1"/>
  <c r="AE420" i="1"/>
  <c r="AF420" i="1" s="1"/>
  <c r="AE495" i="1"/>
  <c r="W495" i="1"/>
  <c r="W492" i="1"/>
  <c r="AE492" i="1"/>
  <c r="W493" i="1"/>
  <c r="W486" i="1"/>
  <c r="X486" i="1" s="1"/>
  <c r="AH486" i="1" s="1"/>
  <c r="AI486" i="1" s="1"/>
  <c r="AD213" i="1"/>
  <c r="W213" i="1" s="1"/>
  <c r="AC215" i="1"/>
  <c r="AD215" i="1" s="1"/>
  <c r="W215" i="1" s="1"/>
  <c r="AC214" i="1"/>
  <c r="AD214" i="1" s="1"/>
  <c r="W214" i="1" s="1"/>
  <c r="AC374" i="1"/>
  <c r="AD620" i="1"/>
  <c r="AE620" i="1" s="1"/>
  <c r="W620" i="1" s="1"/>
  <c r="X620" i="1" s="1"/>
  <c r="W672" i="1"/>
  <c r="X672" i="1" s="1"/>
  <c r="AD659" i="1"/>
  <c r="AE659" i="1" s="1"/>
  <c r="AD319" i="1"/>
  <c r="AE319" i="1" s="1"/>
  <c r="W121" i="1"/>
  <c r="AD189" i="1"/>
  <c r="AE189" i="1" s="1"/>
  <c r="AD185" i="1"/>
  <c r="AD181" i="1"/>
  <c r="W181" i="1" s="1"/>
  <c r="AD162" i="1"/>
  <c r="W162" i="1" s="1"/>
  <c r="AD158" i="1"/>
  <c r="W158" i="1" s="1"/>
  <c r="AD150" i="1"/>
  <c r="W150" i="1" s="1"/>
  <c r="AF150" i="1" s="1"/>
  <c r="AB179" i="1"/>
  <c r="AB178" i="1"/>
  <c r="AC178" i="1" s="1"/>
  <c r="AB177" i="1"/>
  <c r="AC177" i="1" s="1"/>
  <c r="AD177" i="1" s="1"/>
  <c r="W177" i="1" s="1"/>
  <c r="AB176" i="1"/>
  <c r="AC176" i="1" s="1"/>
  <c r="AB174" i="1"/>
  <c r="AB173" i="1"/>
  <c r="AB172" i="1"/>
  <c r="AB171" i="1"/>
  <c r="AB169" i="1"/>
  <c r="AB168" i="1"/>
  <c r="AC168" i="1" s="1"/>
  <c r="AB166" i="1"/>
  <c r="AC166" i="1" s="1"/>
  <c r="AD166" i="1" s="1"/>
  <c r="AB165" i="1"/>
  <c r="AC165" i="1" s="1"/>
  <c r="AD165" i="1" s="1"/>
  <c r="AB207" i="1"/>
  <c r="AC207" i="1" s="1"/>
  <c r="AD207" i="1" s="1"/>
  <c r="W207" i="1" s="1"/>
  <c r="AB206" i="1"/>
  <c r="AB205" i="1"/>
  <c r="AC205" i="1" s="1"/>
  <c r="AB204" i="1"/>
  <c r="AB202" i="1"/>
  <c r="AB201" i="1"/>
  <c r="AC201" i="1" s="1"/>
  <c r="AD201" i="1" s="1"/>
  <c r="W201" i="1" s="1"/>
  <c r="AB200" i="1"/>
  <c r="AB199" i="1"/>
  <c r="AC199" i="1" s="1"/>
  <c r="AB197" i="1"/>
  <c r="AC197" i="1" s="1"/>
  <c r="AB196" i="1"/>
  <c r="AC196" i="1" s="1"/>
  <c r="AB194" i="1"/>
  <c r="AC194" i="1" s="1"/>
  <c r="AD194" i="1" s="1"/>
  <c r="W194" i="1" s="1"/>
  <c r="AB193" i="1"/>
  <c r="W494" i="1" l="1"/>
  <c r="X494" i="1" s="1"/>
  <c r="AG210" i="1"/>
  <c r="AH495" i="1"/>
  <c r="X495" i="1"/>
  <c r="AH493" i="1"/>
  <c r="X493" i="1"/>
  <c r="X492" i="1"/>
  <c r="AH492" i="1"/>
  <c r="AG213" i="1"/>
  <c r="W659" i="1"/>
  <c r="X659" i="1" s="1"/>
  <c r="AH659" i="1" s="1"/>
  <c r="AE150" i="1"/>
  <c r="W189" i="1"/>
  <c r="AF189" i="1" s="1"/>
  <c r="AH319" i="1"/>
  <c r="W185" i="1"/>
  <c r="X319" i="1"/>
  <c r="AE185" i="1"/>
  <c r="AF181" i="1"/>
  <c r="AG177" i="1"/>
  <c r="X177" i="1"/>
  <c r="AE166" i="1"/>
  <c r="W166" i="1"/>
  <c r="W165" i="1"/>
  <c r="AE165" i="1"/>
  <c r="AD178" i="1"/>
  <c r="W178" i="1" s="1"/>
  <c r="AD176" i="1"/>
  <c r="W176" i="1" s="1"/>
  <c r="AD168" i="1"/>
  <c r="AC173" i="1"/>
  <c r="AD173" i="1" s="1"/>
  <c r="W173" i="1" s="1"/>
  <c r="AC171" i="1"/>
  <c r="AD171" i="1" s="1"/>
  <c r="W171" i="1" s="1"/>
  <c r="AC179" i="1"/>
  <c r="AD179" i="1" s="1"/>
  <c r="W179" i="1" s="1"/>
  <c r="AC172" i="1"/>
  <c r="AD172" i="1" s="1"/>
  <c r="W172" i="1" s="1"/>
  <c r="AC169" i="1"/>
  <c r="AD169" i="1" s="1"/>
  <c r="AC174" i="1"/>
  <c r="AD174" i="1" s="1"/>
  <c r="W174" i="1" s="1"/>
  <c r="AD199" i="1"/>
  <c r="W199" i="1" s="1"/>
  <c r="AG199" i="1" s="1"/>
  <c r="X215" i="1"/>
  <c r="AG201" i="1"/>
  <c r="X201" i="1"/>
  <c r="X207" i="1"/>
  <c r="AG207" i="1"/>
  <c r="X194" i="1"/>
  <c r="AF194" i="1"/>
  <c r="AF210" i="1"/>
  <c r="AC202" i="1"/>
  <c r="AD202" i="1" s="1"/>
  <c r="W202" i="1" s="1"/>
  <c r="AD205" i="1"/>
  <c r="W205" i="1" s="1"/>
  <c r="AC193" i="1"/>
  <c r="AD193" i="1" s="1"/>
  <c r="W193" i="1" s="1"/>
  <c r="AC211" i="1"/>
  <c r="AC200" i="1"/>
  <c r="AD200" i="1" s="1"/>
  <c r="W200" i="1" s="1"/>
  <c r="AD197" i="1"/>
  <c r="AC206" i="1"/>
  <c r="AD206" i="1" s="1"/>
  <c r="W206" i="1" s="1"/>
  <c r="AD196" i="1"/>
  <c r="AC204" i="1"/>
  <c r="AD204" i="1" s="1"/>
  <c r="W204" i="1" s="1"/>
  <c r="AE194" i="1"/>
  <c r="AB156" i="1"/>
  <c r="AB155" i="1"/>
  <c r="AB154" i="1"/>
  <c r="AB148" i="1"/>
  <c r="AC148" i="1" s="1"/>
  <c r="AD148" i="1" s="1"/>
  <c r="W148" i="1" s="1"/>
  <c r="AB147" i="1"/>
  <c r="AC147" i="1" s="1"/>
  <c r="AB146" i="1"/>
  <c r="AC146" i="1" s="1"/>
  <c r="AB145" i="1"/>
  <c r="AC145" i="1" s="1"/>
  <c r="AB143" i="1"/>
  <c r="AB142" i="1"/>
  <c r="AB141" i="1"/>
  <c r="AC141" i="1" s="1"/>
  <c r="AB140" i="1"/>
  <c r="AB119" i="1"/>
  <c r="AC117" i="1"/>
  <c r="AB115" i="1"/>
  <c r="AC115" i="1" s="1"/>
  <c r="AD115" i="1" s="1"/>
  <c r="W115" i="1" s="1"/>
  <c r="AB114" i="1"/>
  <c r="AC114" i="1" s="1"/>
  <c r="AD114" i="1" s="1"/>
  <c r="W114" i="1" s="1"/>
  <c r="AB113" i="1"/>
  <c r="AH494" i="1" l="1"/>
  <c r="AI494" i="1" s="1"/>
  <c r="AI493" i="1"/>
  <c r="AI492" i="1"/>
  <c r="AI495" i="1"/>
  <c r="X213" i="1"/>
  <c r="AH213" i="1" s="1"/>
  <c r="AG189" i="1"/>
  <c r="AI659" i="1"/>
  <c r="AG185" i="1"/>
  <c r="AF185" i="1"/>
  <c r="X185" i="1"/>
  <c r="Y185" i="1" s="1"/>
  <c r="AI319" i="1"/>
  <c r="X181" i="1"/>
  <c r="Y181" i="1" s="1"/>
  <c r="AG181" i="1"/>
  <c r="AG179" i="1"/>
  <c r="X179" i="1"/>
  <c r="X189" i="1"/>
  <c r="AG187" i="1"/>
  <c r="AH187" i="1" s="1"/>
  <c r="X171" i="1"/>
  <c r="AG171" i="1"/>
  <c r="X173" i="1"/>
  <c r="AG173" i="1"/>
  <c r="AG174" i="1"/>
  <c r="X174" i="1"/>
  <c r="AE169" i="1"/>
  <c r="W169" i="1"/>
  <c r="W168" i="1"/>
  <c r="AE168" i="1"/>
  <c r="X165" i="1"/>
  <c r="AF165" i="1"/>
  <c r="AG165" i="1" s="1"/>
  <c r="AH165" i="1" s="1"/>
  <c r="AE162" i="1"/>
  <c r="AF166" i="1"/>
  <c r="AG166" i="1" s="1"/>
  <c r="AH166" i="1" s="1"/>
  <c r="X166" i="1"/>
  <c r="X178" i="1"/>
  <c r="AG178" i="1"/>
  <c r="AG176" i="1"/>
  <c r="X176" i="1"/>
  <c r="X172" i="1"/>
  <c r="AF172" i="1" s="1"/>
  <c r="AG172" i="1"/>
  <c r="AH177" i="1"/>
  <c r="AG209" i="1"/>
  <c r="X199" i="1"/>
  <c r="AH199" i="1" s="1"/>
  <c r="AG215" i="1"/>
  <c r="AH215" i="1" s="1"/>
  <c r="AH210" i="1"/>
  <c r="AG158" i="1"/>
  <c r="X158" i="1"/>
  <c r="AG200" i="1"/>
  <c r="X200" i="1"/>
  <c r="AF200" i="1" s="1"/>
  <c r="AE193" i="1"/>
  <c r="X214" i="1"/>
  <c r="AG214" i="1"/>
  <c r="X202" i="1"/>
  <c r="AG202" i="1"/>
  <c r="AG204" i="1"/>
  <c r="X204" i="1"/>
  <c r="AG194" i="1"/>
  <c r="AH194" i="1" s="1"/>
  <c r="AH207" i="1"/>
  <c r="AE196" i="1"/>
  <c r="W196" i="1"/>
  <c r="X205" i="1"/>
  <c r="AG205" i="1"/>
  <c r="AG206" i="1"/>
  <c r="X206" i="1"/>
  <c r="W197" i="1"/>
  <c r="AE197" i="1"/>
  <c r="AH201" i="1"/>
  <c r="X150" i="1"/>
  <c r="AG148" i="1"/>
  <c r="X148" i="1"/>
  <c r="AC155" i="1"/>
  <c r="AD155" i="1" s="1"/>
  <c r="W155" i="1" s="1"/>
  <c r="AG128" i="1"/>
  <c r="AH128" i="1" s="1"/>
  <c r="AD146" i="1"/>
  <c r="W146" i="1" s="1"/>
  <c r="AC121" i="1"/>
  <c r="AD147" i="1"/>
  <c r="W147" i="1" s="1"/>
  <c r="AC143" i="1"/>
  <c r="AD143" i="1" s="1"/>
  <c r="W143" i="1" s="1"/>
  <c r="AC142" i="1"/>
  <c r="AD142" i="1" s="1"/>
  <c r="W142" i="1" s="1"/>
  <c r="AD145" i="1"/>
  <c r="W145" i="1" s="1"/>
  <c r="AC140" i="1"/>
  <c r="AD140" i="1" s="1"/>
  <c r="W140" i="1" s="1"/>
  <c r="AC156" i="1"/>
  <c r="AD156" i="1" s="1"/>
  <c r="W156" i="1" s="1"/>
  <c r="AD141" i="1"/>
  <c r="W141" i="1" s="1"/>
  <c r="AC154" i="1"/>
  <c r="AD154" i="1" s="1"/>
  <c r="W154" i="1" s="1"/>
  <c r="X114" i="1"/>
  <c r="AF114" i="1" s="1"/>
  <c r="AG114" i="1"/>
  <c r="X115" i="1"/>
  <c r="AG115" i="1"/>
  <c r="AC113" i="1"/>
  <c r="AD113" i="1" s="1"/>
  <c r="W113" i="1" s="1"/>
  <c r="AC119" i="1"/>
  <c r="AD119" i="1" s="1"/>
  <c r="W119" i="1" s="1"/>
  <c r="AD117" i="1"/>
  <c r="W117" i="1" s="1"/>
  <c r="AC118" i="1"/>
  <c r="AD118" i="1" s="1"/>
  <c r="W118" i="1" s="1"/>
  <c r="X211" i="1" l="1"/>
  <c r="Y209" i="1" s="1"/>
  <c r="AG211" i="1"/>
  <c r="Y213" i="1"/>
  <c r="AH178" i="1"/>
  <c r="AH185" i="1"/>
  <c r="AH176" i="1"/>
  <c r="AH202" i="1"/>
  <c r="AH181" i="1"/>
  <c r="AH189" i="1"/>
  <c r="AH173" i="1"/>
  <c r="AH209" i="1"/>
  <c r="Y165" i="1"/>
  <c r="Y189" i="1"/>
  <c r="X162" i="1"/>
  <c r="AF162" i="1"/>
  <c r="AG162" i="1"/>
  <c r="Y171" i="1"/>
  <c r="AH205" i="1"/>
  <c r="AH172" i="1"/>
  <c r="Y176" i="1"/>
  <c r="X168" i="1"/>
  <c r="AF168" i="1"/>
  <c r="AG168" i="1" s="1"/>
  <c r="AH168" i="1" s="1"/>
  <c r="AH171" i="1"/>
  <c r="AF169" i="1"/>
  <c r="AG169" i="1" s="1"/>
  <c r="AH169" i="1" s="1"/>
  <c r="X169" i="1"/>
  <c r="AH179" i="1"/>
  <c r="AH174" i="1"/>
  <c r="Y204" i="1"/>
  <c r="AH200" i="1"/>
  <c r="Y158" i="1"/>
  <c r="AH158" i="1"/>
  <c r="Y199" i="1"/>
  <c r="AH206" i="1"/>
  <c r="AH214" i="1"/>
  <c r="AF196" i="1"/>
  <c r="AG196" i="1" s="1"/>
  <c r="AH196" i="1" s="1"/>
  <c r="X196" i="1"/>
  <c r="AF193" i="1"/>
  <c r="AG193" i="1" s="1"/>
  <c r="AH193" i="1" s="1"/>
  <c r="X197" i="1"/>
  <c r="AF197" i="1"/>
  <c r="AG197" i="1" s="1"/>
  <c r="AH197" i="1" s="1"/>
  <c r="AH204" i="1"/>
  <c r="AG140" i="1"/>
  <c r="X140" i="1"/>
  <c r="AG142" i="1"/>
  <c r="X142" i="1"/>
  <c r="AG143" i="1"/>
  <c r="X143" i="1"/>
  <c r="X154" i="1"/>
  <c r="AG154" i="1"/>
  <c r="X145" i="1"/>
  <c r="AG145" i="1"/>
  <c r="AG147" i="1"/>
  <c r="X147" i="1"/>
  <c r="AE121" i="1"/>
  <c r="AG155" i="1"/>
  <c r="X155" i="1"/>
  <c r="X146" i="1"/>
  <c r="AG146" i="1"/>
  <c r="X156" i="1"/>
  <c r="AG156" i="1"/>
  <c r="X141" i="1"/>
  <c r="AF141" i="1" s="1"/>
  <c r="AG141" i="1"/>
  <c r="AH148" i="1"/>
  <c r="X125" i="1"/>
  <c r="AH114" i="1"/>
  <c r="AG118" i="1"/>
  <c r="X118" i="1"/>
  <c r="AG119" i="1"/>
  <c r="X119" i="1"/>
  <c r="X113" i="1"/>
  <c r="AG113" i="1"/>
  <c r="X117" i="1"/>
  <c r="AG117" i="1"/>
  <c r="AH115" i="1"/>
  <c r="AH211" i="1" l="1"/>
  <c r="AH156" i="1"/>
  <c r="AH162" i="1"/>
  <c r="Y162" i="1"/>
  <c r="Y117" i="1"/>
  <c r="AH146" i="1"/>
  <c r="Y168" i="1"/>
  <c r="AH141" i="1"/>
  <c r="Y145" i="1"/>
  <c r="Y196" i="1"/>
  <c r="AH154" i="1"/>
  <c r="AH145" i="1"/>
  <c r="Y154" i="1"/>
  <c r="X127" i="1"/>
  <c r="AH155" i="1"/>
  <c r="AH142" i="1"/>
  <c r="AH147" i="1"/>
  <c r="Y150" i="1"/>
  <c r="AG150" i="1" s="1"/>
  <c r="AH150" i="1" s="1"/>
  <c r="X124" i="1"/>
  <c r="Y124" i="1" s="1"/>
  <c r="Y140" i="1"/>
  <c r="AH143" i="1"/>
  <c r="AG121" i="1"/>
  <c r="X121" i="1"/>
  <c r="AF121" i="1"/>
  <c r="X128" i="1"/>
  <c r="AH140" i="1"/>
  <c r="AH113" i="1"/>
  <c r="AH118" i="1"/>
  <c r="AH117" i="1"/>
  <c r="Y113" i="1"/>
  <c r="AH119" i="1"/>
  <c r="Y127" i="1" l="1"/>
  <c r="Y121" i="1"/>
  <c r="AH121" i="1"/>
  <c r="W674" i="1" l="1"/>
  <c r="W287" i="1"/>
  <c r="AD688" i="1"/>
  <c r="W688" i="1"/>
  <c r="X688" i="1" s="1"/>
  <c r="AI707" i="1"/>
  <c r="W707" i="1" s="1"/>
  <c r="X707" i="1" s="1"/>
  <c r="AD707" i="1"/>
  <c r="V707" i="1"/>
  <c r="U707" i="1"/>
  <c r="T707" i="1"/>
  <c r="AD703" i="1"/>
  <c r="AE703" i="1" s="1"/>
  <c r="AD592" i="1"/>
  <c r="W592" i="1" s="1"/>
  <c r="AD591" i="1"/>
  <c r="W591" i="1" s="1"/>
  <c r="N607" i="1"/>
  <c r="AD632" i="1"/>
  <c r="AE632" i="1" s="1"/>
  <c r="AH632" i="1" s="1"/>
  <c r="AD658" i="1"/>
  <c r="AE658" i="1" s="1"/>
  <c r="AF658" i="1" s="1"/>
  <c r="AD657" i="1"/>
  <c r="AD656" i="1"/>
  <c r="AE656" i="1" s="1"/>
  <c r="W656" i="1" s="1"/>
  <c r="X656" i="1" s="1"/>
  <c r="AH656" i="1" s="1"/>
  <c r="AD655" i="1"/>
  <c r="AE655" i="1" s="1"/>
  <c r="W655" i="1" s="1"/>
  <c r="X655" i="1" s="1"/>
  <c r="AH655" i="1" s="1"/>
  <c r="AD623" i="1"/>
  <c r="AE623" i="1" s="1"/>
  <c r="W623" i="1" s="1"/>
  <c r="AE657" i="1" l="1"/>
  <c r="AH591" i="1"/>
  <c r="AI591" i="1" s="1"/>
  <c r="AH592" i="1"/>
  <c r="AI592" i="1" s="1"/>
  <c r="W703" i="1"/>
  <c r="AH703" i="1" s="1"/>
  <c r="X592" i="1"/>
  <c r="X591" i="1"/>
  <c r="AI655" i="1"/>
  <c r="W658" i="1"/>
  <c r="X658" i="1" s="1"/>
  <c r="AI656" i="1"/>
  <c r="X623" i="1"/>
  <c r="W288" i="1"/>
  <c r="X288" i="1" s="1"/>
  <c r="AE288" i="1"/>
  <c r="AF637" i="1"/>
  <c r="AD618" i="1"/>
  <c r="AE618" i="1" s="1"/>
  <c r="W618" i="1" s="1"/>
  <c r="X618" i="1" s="1"/>
  <c r="AD617" i="1"/>
  <c r="AE617" i="1" s="1"/>
  <c r="AB110" i="1"/>
  <c r="AC110" i="1" s="1"/>
  <c r="AD110" i="1" s="1"/>
  <c r="W110" i="1" s="1"/>
  <c r="AD108" i="1"/>
  <c r="AG108" i="1" s="1"/>
  <c r="AB106" i="1"/>
  <c r="AC106" i="1" s="1"/>
  <c r="AB105" i="1"/>
  <c r="AC105" i="1" s="1"/>
  <c r="AD105" i="1" s="1"/>
  <c r="W105" i="1" s="1"/>
  <c r="AB104" i="1"/>
  <c r="AC104" i="1" s="1"/>
  <c r="AG658" i="1" l="1"/>
  <c r="AH658" i="1" s="1"/>
  <c r="W617" i="1"/>
  <c r="X617" i="1" s="1"/>
  <c r="AH617" i="1" s="1"/>
  <c r="X657" i="1"/>
  <c r="AH657" i="1" s="1"/>
  <c r="AI657" i="1"/>
  <c r="X703" i="1"/>
  <c r="AI703" i="1" s="1"/>
  <c r="X105" i="1"/>
  <c r="AF105" i="1" s="1"/>
  <c r="AG105" i="1"/>
  <c r="X110" i="1"/>
  <c r="AG110" i="1"/>
  <c r="AD106" i="1"/>
  <c r="W106" i="1" s="1"/>
  <c r="AG106" i="1" s="1"/>
  <c r="AD109" i="1"/>
  <c r="AG109" i="1" s="1"/>
  <c r="AD111" i="1"/>
  <c r="W111" i="1" s="1"/>
  <c r="AG111" i="1" s="1"/>
  <c r="AD104" i="1"/>
  <c r="AJ617" i="1" l="1"/>
  <c r="AI617" i="1"/>
  <c r="AH110" i="1"/>
  <c r="W104" i="1"/>
  <c r="X104" i="1" l="1"/>
  <c r="AG104" i="1"/>
  <c r="AH104" i="1" l="1"/>
  <c r="X109" i="1"/>
  <c r="AC387" i="1"/>
  <c r="AD531" i="1"/>
  <c r="W531" i="1" s="1"/>
  <c r="AC394" i="1"/>
  <c r="AD394" i="1" s="1"/>
  <c r="W394" i="1" s="1"/>
  <c r="AE602" i="1"/>
  <c r="AF602" i="1" s="1"/>
  <c r="X674" i="1"/>
  <c r="W675" i="1"/>
  <c r="X675" i="1" s="1"/>
  <c r="AE394" i="1" l="1"/>
  <c r="X394" i="1"/>
  <c r="AH109" i="1"/>
  <c r="AE136" i="1"/>
  <c r="AF136" i="1" s="1"/>
  <c r="X111" i="1"/>
  <c r="AH111" i="1" s="1"/>
  <c r="X604" i="1"/>
  <c r="AF603" i="1"/>
  <c r="AH604" i="1" l="1"/>
  <c r="AI604" i="1" s="1"/>
  <c r="AF36" i="1"/>
  <c r="X36" i="1"/>
  <c r="AG36" i="1" s="1"/>
  <c r="AG136" i="1"/>
  <c r="AH136" i="1" s="1"/>
  <c r="W137" i="1"/>
  <c r="AH394" i="1"/>
  <c r="AI394" i="1" s="1"/>
  <c r="AH36" i="1" l="1"/>
  <c r="Y35" i="1"/>
  <c r="AH63" i="1"/>
  <c r="Y63" i="1"/>
  <c r="AH137" i="1"/>
  <c r="M68" i="5"/>
  <c r="N68" i="5" s="1"/>
  <c r="N82" i="5"/>
  <c r="AB19" i="1"/>
  <c r="AC19" i="1" s="1"/>
  <c r="AD663" i="1"/>
  <c r="AD664" i="1"/>
  <c r="AD665" i="1"/>
  <c r="V763" i="1"/>
  <c r="AD362" i="1"/>
  <c r="W362" i="1" s="1"/>
  <c r="AB267" i="1"/>
  <c r="AD622" i="1"/>
  <c r="AC396" i="1"/>
  <c r="AA11" i="1"/>
  <c r="AE16" i="1" l="1"/>
  <c r="W16" i="1" s="1"/>
  <c r="AD19" i="1"/>
  <c r="AE19" i="1" s="1"/>
  <c r="W19" i="1" s="1"/>
  <c r="AE362" i="1"/>
  <c r="X362" i="1"/>
  <c r="AF19" i="1" l="1"/>
  <c r="AF16" i="1"/>
  <c r="AH362" i="1"/>
  <c r="AI362" i="1" s="1"/>
  <c r="X303" i="1" l="1"/>
  <c r="X304" i="1"/>
  <c r="AE634" i="1"/>
  <c r="W634" i="1" s="1"/>
  <c r="X634" i="1" s="1"/>
  <c r="AH634" i="1" s="1"/>
  <c r="AI634" i="1" s="1"/>
  <c r="AD634" i="1"/>
  <c r="AD635" i="1"/>
  <c r="AE635" i="1"/>
  <c r="W635" i="1" s="1"/>
  <c r="L116" i="5"/>
  <c r="AD293" i="1"/>
  <c r="W293" i="1" s="1"/>
  <c r="X635" i="1" l="1"/>
  <c r="AH635" i="1" s="1"/>
  <c r="AI635" i="1" s="1"/>
  <c r="AH293" i="1"/>
  <c r="X293" i="1"/>
  <c r="AD637" i="1"/>
  <c r="AE637" i="1" s="1"/>
  <c r="W637" i="1" s="1"/>
  <c r="AF636" i="1"/>
  <c r="AD636" i="1"/>
  <c r="AE636" i="1" s="1"/>
  <c r="W636" i="1" s="1"/>
  <c r="AD374" i="1"/>
  <c r="W374" i="1" s="1"/>
  <c r="AC358" i="1"/>
  <c r="AD358" i="1" s="1"/>
  <c r="W358" i="1" s="1"/>
  <c r="AD376" i="1"/>
  <c r="W376" i="1" s="1"/>
  <c r="X376" i="1" s="1"/>
  <c r="AD375" i="1"/>
  <c r="AE375" i="1" s="1"/>
  <c r="AC357" i="1"/>
  <c r="AD357" i="1" s="1"/>
  <c r="AD353" i="1"/>
  <c r="AD371" i="1"/>
  <c r="AE371" i="1" s="1"/>
  <c r="AD370" i="1"/>
  <c r="AE370" i="1" s="1"/>
  <c r="AD369" i="1"/>
  <c r="AE369" i="1" s="1"/>
  <c r="AD350" i="1"/>
  <c r="AD349" i="1"/>
  <c r="AE353" i="1" l="1"/>
  <c r="W353" i="1"/>
  <c r="X353" i="1" s="1"/>
  <c r="AE67" i="1"/>
  <c r="AI293" i="1"/>
  <c r="X637" i="1"/>
  <c r="AH637" i="1" s="1"/>
  <c r="AI637" i="1" s="1"/>
  <c r="X636" i="1"/>
  <c r="AH636" i="1" s="1"/>
  <c r="AI636" i="1" s="1"/>
  <c r="X358" i="1"/>
  <c r="AE358" i="1"/>
  <c r="X374" i="1"/>
  <c r="AE374" i="1"/>
  <c r="AE357" i="1"/>
  <c r="W357" i="1"/>
  <c r="X357" i="1" s="1"/>
  <c r="AE361" i="1"/>
  <c r="X361" i="1"/>
  <c r="W375" i="1"/>
  <c r="X375" i="1" s="1"/>
  <c r="AH375" i="1" s="1"/>
  <c r="AI375" i="1" s="1"/>
  <c r="AE376" i="1"/>
  <c r="AH376" i="1" s="1"/>
  <c r="AI376" i="1" s="1"/>
  <c r="W369" i="1"/>
  <c r="X369" i="1" s="1"/>
  <c r="AI369" i="1" s="1"/>
  <c r="W370" i="1"/>
  <c r="X370" i="1" s="1"/>
  <c r="AI370" i="1" s="1"/>
  <c r="W371" i="1"/>
  <c r="X371" i="1" s="1"/>
  <c r="AI371" i="1" s="1"/>
  <c r="AD619" i="1"/>
  <c r="AE619" i="1" s="1"/>
  <c r="W619" i="1" s="1"/>
  <c r="X619" i="1" s="1"/>
  <c r="AE622" i="1"/>
  <c r="W622" i="1" s="1"/>
  <c r="X622" i="1" s="1"/>
  <c r="AD621" i="1"/>
  <c r="AE621" i="1" s="1"/>
  <c r="W621" i="1" s="1"/>
  <c r="X621" i="1" s="1"/>
  <c r="Y740" i="1"/>
  <c r="AD336" i="1"/>
  <c r="W632" i="1"/>
  <c r="AI632" i="1" s="1"/>
  <c r="X67" i="1" l="1"/>
  <c r="AG67" i="1" s="1"/>
  <c r="AH67" i="1" s="1"/>
  <c r="AH353" i="1"/>
  <c r="AI353" i="1" s="1"/>
  <c r="AE336" i="1"/>
  <c r="AF336" i="1" s="1"/>
  <c r="W336" i="1"/>
  <c r="X336" i="1" s="1"/>
  <c r="AH357" i="1"/>
  <c r="AI357" i="1" s="1"/>
  <c r="AH361" i="1"/>
  <c r="AI361" i="1" s="1"/>
  <c r="AH358" i="1"/>
  <c r="AI358" i="1" s="1"/>
  <c r="AH374" i="1"/>
  <c r="AI374" i="1" s="1"/>
  <c r="AG336" i="1" l="1"/>
  <c r="AH336" i="1" s="1"/>
  <c r="AD660" i="1" l="1"/>
  <c r="W660" i="1" s="1"/>
  <c r="AD418" i="1" l="1"/>
  <c r="AD692" i="1"/>
  <c r="W692" i="1" s="1"/>
  <c r="X692" i="1" s="1"/>
  <c r="AH692" i="1" s="1"/>
  <c r="AI692" i="1" s="1"/>
  <c r="X694" i="1"/>
  <c r="AD273" i="1"/>
  <c r="W266" i="1"/>
  <c r="AE266" i="1" s="1"/>
  <c r="AE273" i="1" l="1"/>
  <c r="W273" i="1"/>
  <c r="AH694" i="1"/>
  <c r="AI694" i="1" s="1"/>
  <c r="AE418" i="1"/>
  <c r="W418" i="1"/>
  <c r="X266" i="1"/>
  <c r="V417" i="1"/>
  <c r="W323" i="1"/>
  <c r="AD323" i="1"/>
  <c r="AE323" i="1" s="1"/>
  <c r="W322" i="1"/>
  <c r="AD322" i="1"/>
  <c r="AE322" i="1" s="1"/>
  <c r="AH418" i="1" l="1"/>
  <c r="X418" i="1"/>
  <c r="AH273" i="1"/>
  <c r="X273" i="1"/>
  <c r="AH322" i="1"/>
  <c r="AH323" i="1"/>
  <c r="X323" i="1"/>
  <c r="X322" i="1"/>
  <c r="AI418" i="1" l="1"/>
  <c r="AI273" i="1"/>
  <c r="AI322" i="1"/>
  <c r="AI323" i="1"/>
  <c r="AD267" i="1" l="1"/>
  <c r="W267" i="1" s="1"/>
  <c r="AD269" i="1"/>
  <c r="W269" i="1" s="1"/>
  <c r="AD268" i="1"/>
  <c r="W268" i="1" s="1"/>
  <c r="AG268" i="1" s="1"/>
  <c r="AH268" i="1" s="1"/>
  <c r="AC600" i="1"/>
  <c r="AD600" i="1" s="1"/>
  <c r="AE600" i="1" s="1"/>
  <c r="AD667" i="1"/>
  <c r="AE667" i="1" s="1"/>
  <c r="AD666" i="1"/>
  <c r="AE666" i="1" s="1"/>
  <c r="W666" i="1" s="1"/>
  <c r="W600" i="1" l="1"/>
  <c r="X600" i="1" s="1"/>
  <c r="W667" i="1"/>
  <c r="X667" i="1" s="1"/>
  <c r="X666" i="1" l="1"/>
  <c r="AH666" i="1"/>
  <c r="AI666" i="1" s="1"/>
  <c r="AD529" i="1" l="1"/>
  <c r="W696" i="1" l="1"/>
  <c r="X696" i="1" s="1"/>
  <c r="AH696" i="1" s="1"/>
  <c r="AI696" i="1" s="1"/>
  <c r="W708" i="1"/>
  <c r="X708" i="1" s="1"/>
  <c r="W711" i="1"/>
  <c r="X711" i="1" s="1"/>
  <c r="AK711" i="1"/>
  <c r="AE625" i="1"/>
  <c r="AD625" i="1"/>
  <c r="AE624" i="1"/>
  <c r="AD624" i="1"/>
  <c r="W624" i="1" s="1"/>
  <c r="W625" i="1" l="1"/>
  <c r="X625" i="1" s="1"/>
  <c r="AH625" i="1" s="1"/>
  <c r="AI625" i="1" s="1"/>
  <c r="X624" i="1"/>
  <c r="AH624" i="1" s="1"/>
  <c r="AI624" i="1" s="1"/>
  <c r="AK709" i="1" l="1"/>
  <c r="AD709" i="1"/>
  <c r="W709" i="1" s="1"/>
  <c r="X709" i="1" s="1"/>
  <c r="AH105" i="1"/>
  <c r="D18" i="5"/>
  <c r="D10" i="5"/>
  <c r="D11" i="5" s="1"/>
  <c r="W690" i="1"/>
  <c r="AD689" i="1"/>
  <c r="W689" i="1"/>
  <c r="X689" i="1" s="1"/>
  <c r="AD687" i="1"/>
  <c r="W687" i="1"/>
  <c r="X687" i="1" s="1"/>
  <c r="AE247" i="1"/>
  <c r="W697" i="1"/>
  <c r="AD698" i="1"/>
  <c r="W698" i="1" s="1"/>
  <c r="AF17" i="1"/>
  <c r="AI706" i="1"/>
  <c r="W706" i="1" s="1"/>
  <c r="X706" i="1" s="1"/>
  <c r="AD706" i="1"/>
  <c r="V706" i="1"/>
  <c r="U706" i="1"/>
  <c r="T706" i="1"/>
  <c r="W247" i="1" l="1"/>
  <c r="X247" i="1" s="1"/>
  <c r="X690" i="1"/>
  <c r="AH690" i="1" s="1"/>
  <c r="AI690" i="1" s="1"/>
  <c r="AF247" i="1"/>
  <c r="W138" i="1"/>
  <c r="X138" i="1" s="1"/>
  <c r="X137" i="1"/>
  <c r="AH698" i="1"/>
  <c r="X698" i="1"/>
  <c r="AD285" i="1"/>
  <c r="AE285" i="1" s="1"/>
  <c r="AG285" i="1" s="1"/>
  <c r="AD517" i="1"/>
  <c r="AD417" i="1"/>
  <c r="W417" i="1" s="1"/>
  <c r="AD389" i="1"/>
  <c r="W389" i="1" s="1"/>
  <c r="X389" i="1" s="1"/>
  <c r="AD520" i="1"/>
  <c r="AG247" i="1" l="1"/>
  <c r="AH247" i="1" s="1"/>
  <c r="W517" i="1"/>
  <c r="AG517" i="1" s="1"/>
  <c r="AH517" i="1" s="1"/>
  <c r="AH138" i="1"/>
  <c r="X417" i="1"/>
  <c r="W520" i="1"/>
  <c r="X520" i="1" s="1"/>
  <c r="AI698" i="1"/>
  <c r="W285" i="1"/>
  <c r="X285" i="1" s="1"/>
  <c r="AE417" i="1"/>
  <c r="AE389" i="1"/>
  <c r="AD678" i="1"/>
  <c r="AD679" i="1"/>
  <c r="AE679" i="1"/>
  <c r="W679" i="1" s="1"/>
  <c r="AG216" i="1"/>
  <c r="AG217" i="1"/>
  <c r="AG218" i="1"/>
  <c r="AG227" i="1"/>
  <c r="AG228" i="1"/>
  <c r="AG229" i="1"/>
  <c r="AG230" i="1"/>
  <c r="AG231" i="1"/>
  <c r="AG232" i="1"/>
  <c r="AG233" i="1"/>
  <c r="AG234" i="1"/>
  <c r="AG235" i="1"/>
  <c r="AG236" i="1"/>
  <c r="AG237" i="1"/>
  <c r="AG238" i="1"/>
  <c r="AG239" i="1"/>
  <c r="AG240" i="1"/>
  <c r="AG241" i="1"/>
  <c r="AG242" i="1"/>
  <c r="AG243" i="1"/>
  <c r="AG244" i="1"/>
  <c r="AC18" i="1"/>
  <c r="AF18" i="1" s="1"/>
  <c r="AD590" i="1"/>
  <c r="W590" i="1" s="1"/>
  <c r="AD589" i="1"/>
  <c r="W589" i="1" s="1"/>
  <c r="AD588" i="1"/>
  <c r="W588" i="1" s="1"/>
  <c r="AD587" i="1"/>
  <c r="W587" i="1" s="1"/>
  <c r="X517" i="1" l="1"/>
  <c r="AH417" i="1"/>
  <c r="AI417" i="1" s="1"/>
  <c r="AE520" i="1"/>
  <c r="AF520" i="1" s="1"/>
  <c r="AH285" i="1"/>
  <c r="AI285" i="1" s="1"/>
  <c r="AH389" i="1"/>
  <c r="AH679" i="1"/>
  <c r="AI679" i="1" s="1"/>
  <c r="X679" i="1"/>
  <c r="AH588" i="1"/>
  <c r="AI588" i="1" s="1"/>
  <c r="AH587" i="1"/>
  <c r="AI587" i="1" s="1"/>
  <c r="X589" i="1"/>
  <c r="AH589" i="1"/>
  <c r="AI589" i="1" s="1"/>
  <c r="AH590" i="1"/>
  <c r="AI590" i="1" s="1"/>
  <c r="X590" i="1"/>
  <c r="X588" i="1"/>
  <c r="X587" i="1"/>
  <c r="AI389" i="1" l="1"/>
  <c r="AD284" i="1"/>
  <c r="AE284" i="1" s="1"/>
  <c r="AG284" i="1" s="1"/>
  <c r="AD283" i="1"/>
  <c r="AE283" i="1" s="1"/>
  <c r="W283" i="1" s="1"/>
  <c r="X283" i="1" s="1"/>
  <c r="AC382" i="1"/>
  <c r="AD382" i="1" s="1"/>
  <c r="AC381" i="1"/>
  <c r="AD381" i="1" s="1"/>
  <c r="AC380" i="1"/>
  <c r="AD380" i="1" s="1"/>
  <c r="AE380" i="1" s="1"/>
  <c r="AC379" i="1"/>
  <c r="AD379" i="1" s="1"/>
  <c r="AC378" i="1"/>
  <c r="AD378" i="1" s="1"/>
  <c r="W378" i="1" s="1"/>
  <c r="X378" i="1" s="1"/>
  <c r="AD377" i="1"/>
  <c r="AD700" i="1"/>
  <c r="AE700" i="1" s="1"/>
  <c r="AC393" i="1"/>
  <c r="AD388" i="1"/>
  <c r="W388" i="1" s="1"/>
  <c r="X268" i="1"/>
  <c r="W270" i="1"/>
  <c r="X270" i="1" s="1"/>
  <c r="AE270" i="1"/>
  <c r="AD631" i="1"/>
  <c r="AD630" i="1"/>
  <c r="AE630" i="1" s="1"/>
  <c r="AF630" i="1" s="1"/>
  <c r="AD606" i="1"/>
  <c r="W606" i="1" s="1"/>
  <c r="X606" i="1" s="1"/>
  <c r="AD605" i="1"/>
  <c r="W605" i="1" s="1"/>
  <c r="X605" i="1" s="1"/>
  <c r="AB560" i="1"/>
  <c r="AG17" i="1" l="1"/>
  <c r="AH17" i="1" s="1"/>
  <c r="X17" i="1"/>
  <c r="W284" i="1"/>
  <c r="AH284" i="1" s="1"/>
  <c r="AI284" i="1" s="1"/>
  <c r="AD18" i="1"/>
  <c r="W700" i="1"/>
  <c r="X700" i="1" s="1"/>
  <c r="AE382" i="1"/>
  <c r="W382" i="1"/>
  <c r="X382" i="1" s="1"/>
  <c r="W377" i="1"/>
  <c r="X377" i="1" s="1"/>
  <c r="AE377" i="1"/>
  <c r="AE379" i="1"/>
  <c r="W379" i="1"/>
  <c r="X379" i="1" s="1"/>
  <c r="W381" i="1"/>
  <c r="X381" i="1" s="1"/>
  <c r="AE381" i="1"/>
  <c r="W380" i="1"/>
  <c r="X380" i="1" s="1"/>
  <c r="AH380" i="1" s="1"/>
  <c r="AE378" i="1"/>
  <c r="AI378" i="1" s="1"/>
  <c r="AD393" i="1"/>
  <c r="AE388" i="1"/>
  <c r="AH270" i="1"/>
  <c r="AI270" i="1" s="1"/>
  <c r="W393" i="1" l="1"/>
  <c r="X393" i="1" s="1"/>
  <c r="X284" i="1"/>
  <c r="AH379" i="1"/>
  <c r="AH377" i="1"/>
  <c r="AI381" i="1"/>
  <c r="AH700" i="1"/>
  <c r="AI700" i="1" s="1"/>
  <c r="AI382" i="1"/>
  <c r="AI379" i="1"/>
  <c r="AH378" i="1"/>
  <c r="AH381" i="1"/>
  <c r="AI380" i="1"/>
  <c r="AI377" i="1"/>
  <c r="AH382" i="1"/>
  <c r="AE393" i="1"/>
  <c r="AH388" i="1"/>
  <c r="X388" i="1"/>
  <c r="X668" i="1"/>
  <c r="AH393" i="1" l="1"/>
  <c r="AI393" i="1" s="1"/>
  <c r="AI388" i="1"/>
  <c r="W218" i="1"/>
  <c r="AE601" i="1"/>
  <c r="AD530" i="1"/>
  <c r="AE530" i="1" s="1"/>
  <c r="W529" i="1"/>
  <c r="AE531" i="1"/>
  <c r="X531" i="1"/>
  <c r="AD525" i="1"/>
  <c r="W525" i="1" s="1"/>
  <c r="AD524" i="1"/>
  <c r="W524" i="1" s="1"/>
  <c r="AE524" i="1" s="1"/>
  <c r="AD523" i="1"/>
  <c r="W523" i="1" s="1"/>
  <c r="X523" i="1" s="1"/>
  <c r="AD522" i="1"/>
  <c r="W522" i="1" s="1"/>
  <c r="X522" i="1" s="1"/>
  <c r="G531" i="24"/>
  <c r="G532" i="24"/>
  <c r="G530" i="24"/>
  <c r="W311" i="1"/>
  <c r="X311" i="1" s="1"/>
  <c r="W310" i="1"/>
  <c r="X310" i="1" s="1"/>
  <c r="X309" i="1"/>
  <c r="X308" i="1"/>
  <c r="AH308" i="1" s="1"/>
  <c r="AI308" i="1" s="1"/>
  <c r="AD415" i="1"/>
  <c r="W415" i="1" s="1"/>
  <c r="F532" i="24"/>
  <c r="E532" i="24"/>
  <c r="F531" i="24"/>
  <c r="E531" i="24"/>
  <c r="F530" i="24"/>
  <c r="E530" i="24"/>
  <c r="E540" i="24"/>
  <c r="E541" i="24"/>
  <c r="E542" i="24"/>
  <c r="E543" i="24"/>
  <c r="E544" i="24"/>
  <c r="E545" i="24"/>
  <c r="E546" i="24"/>
  <c r="E547" i="24"/>
  <c r="E548" i="24"/>
  <c r="E549" i="24"/>
  <c r="E550" i="24"/>
  <c r="E551" i="24"/>
  <c r="E552" i="24"/>
  <c r="E553" i="24"/>
  <c r="E554" i="24"/>
  <c r="E555" i="24"/>
  <c r="E556" i="24"/>
  <c r="E557" i="24"/>
  <c r="E558" i="24"/>
  <c r="E559" i="24"/>
  <c r="E560" i="24"/>
  <c r="E561" i="24"/>
  <c r="E562" i="24"/>
  <c r="E563" i="24"/>
  <c r="E564" i="24"/>
  <c r="E539" i="24"/>
  <c r="E570" i="24"/>
  <c r="F540" i="24"/>
  <c r="G540" i="24"/>
  <c r="F541" i="24"/>
  <c r="G541" i="24"/>
  <c r="F542" i="24"/>
  <c r="G542" i="24"/>
  <c r="F543" i="24"/>
  <c r="G543" i="24"/>
  <c r="F544" i="24"/>
  <c r="G544" i="24"/>
  <c r="F545" i="24"/>
  <c r="G545" i="24"/>
  <c r="F546" i="24"/>
  <c r="G546" i="24"/>
  <c r="F547" i="24"/>
  <c r="G547" i="24"/>
  <c r="F548" i="24"/>
  <c r="G548" i="24"/>
  <c r="F549" i="24"/>
  <c r="G549" i="24"/>
  <c r="F550" i="24"/>
  <c r="G550" i="24"/>
  <c r="F551" i="24"/>
  <c r="G551" i="24"/>
  <c r="F552" i="24"/>
  <c r="G552" i="24"/>
  <c r="F553" i="24"/>
  <c r="G553" i="24"/>
  <c r="F554" i="24"/>
  <c r="G554" i="24"/>
  <c r="F555" i="24"/>
  <c r="G555" i="24"/>
  <c r="F556" i="24"/>
  <c r="G556" i="24"/>
  <c r="F557" i="24"/>
  <c r="G557" i="24"/>
  <c r="F558" i="24"/>
  <c r="G558" i="24"/>
  <c r="F559" i="24"/>
  <c r="G559" i="24"/>
  <c r="F560" i="24"/>
  <c r="G560" i="24"/>
  <c r="F561" i="24"/>
  <c r="G561" i="24"/>
  <c r="F562" i="24"/>
  <c r="G562" i="24"/>
  <c r="F563" i="24"/>
  <c r="G563" i="24"/>
  <c r="F564" i="24"/>
  <c r="G564" i="24"/>
  <c r="E565" i="24"/>
  <c r="F565" i="24"/>
  <c r="G565" i="24"/>
  <c r="E566" i="24"/>
  <c r="F566" i="24"/>
  <c r="G566" i="24"/>
  <c r="E567" i="24"/>
  <c r="F567" i="24"/>
  <c r="G567" i="24"/>
  <c r="E568" i="24"/>
  <c r="F568" i="24"/>
  <c r="G568" i="24"/>
  <c r="E569" i="24"/>
  <c r="F569" i="24"/>
  <c r="G569" i="24"/>
  <c r="G570" i="24"/>
  <c r="E571" i="24"/>
  <c r="F571" i="24"/>
  <c r="G571" i="24"/>
  <c r="E572" i="24"/>
  <c r="F572" i="24"/>
  <c r="G572" i="24"/>
  <c r="E573" i="24"/>
  <c r="F573" i="24"/>
  <c r="G573" i="24"/>
  <c r="E574" i="24"/>
  <c r="F574" i="24"/>
  <c r="G574" i="24"/>
  <c r="E575" i="24"/>
  <c r="F575" i="24"/>
  <c r="G575" i="24"/>
  <c r="E576" i="24"/>
  <c r="F576" i="24"/>
  <c r="G576" i="24"/>
  <c r="E577" i="24"/>
  <c r="F577" i="24"/>
  <c r="G577" i="24"/>
  <c r="E578" i="24"/>
  <c r="F578" i="24"/>
  <c r="G578" i="24"/>
  <c r="E579" i="24"/>
  <c r="F579" i="24"/>
  <c r="G579" i="24"/>
  <c r="E580" i="24"/>
  <c r="F580" i="24"/>
  <c r="G580" i="24"/>
  <c r="E581" i="24"/>
  <c r="F581" i="24"/>
  <c r="G581" i="24"/>
  <c r="E582" i="24"/>
  <c r="F582" i="24"/>
  <c r="G582" i="24"/>
  <c r="E583" i="24"/>
  <c r="F583" i="24"/>
  <c r="G583" i="24"/>
  <c r="E584" i="24"/>
  <c r="F584" i="24"/>
  <c r="G584" i="24"/>
  <c r="E585" i="24"/>
  <c r="F585" i="24"/>
  <c r="G585" i="24"/>
  <c r="E586" i="24"/>
  <c r="F586" i="24"/>
  <c r="G586" i="24"/>
  <c r="E587" i="24"/>
  <c r="F587" i="24"/>
  <c r="G587" i="24"/>
  <c r="E588" i="24"/>
  <c r="F588" i="24"/>
  <c r="G588" i="24"/>
  <c r="E589" i="24"/>
  <c r="F589" i="24"/>
  <c r="G589" i="24"/>
  <c r="E590" i="24"/>
  <c r="F590" i="24"/>
  <c r="G590" i="24"/>
  <c r="E591" i="24"/>
  <c r="F591" i="24"/>
  <c r="G591" i="24"/>
  <c r="E592" i="24"/>
  <c r="F592" i="24"/>
  <c r="G592" i="24"/>
  <c r="E593" i="24"/>
  <c r="F593" i="24"/>
  <c r="G593" i="24"/>
  <c r="E594" i="24"/>
  <c r="F594" i="24"/>
  <c r="G594" i="24"/>
  <c r="E595" i="24"/>
  <c r="F595" i="24"/>
  <c r="G595" i="24"/>
  <c r="E596" i="24"/>
  <c r="F596" i="24"/>
  <c r="G596" i="24"/>
  <c r="E597" i="24"/>
  <c r="F597" i="24"/>
  <c r="G597" i="24"/>
  <c r="E598" i="24"/>
  <c r="F598" i="24"/>
  <c r="G598" i="24"/>
  <c r="E599" i="24"/>
  <c r="F599" i="24"/>
  <c r="G599" i="24"/>
  <c r="E600" i="24"/>
  <c r="F600" i="24"/>
  <c r="G600" i="24"/>
  <c r="E601" i="24"/>
  <c r="F601" i="24"/>
  <c r="G601" i="24"/>
  <c r="E602" i="24"/>
  <c r="F602" i="24"/>
  <c r="G602" i="24"/>
  <c r="E603" i="24"/>
  <c r="F603" i="24"/>
  <c r="G603" i="24"/>
  <c r="E604" i="24"/>
  <c r="F604" i="24"/>
  <c r="G604" i="24"/>
  <c r="E605" i="24"/>
  <c r="F605" i="24"/>
  <c r="G605" i="24"/>
  <c r="E606" i="24"/>
  <c r="F606" i="24"/>
  <c r="G606" i="24"/>
  <c r="E607" i="24"/>
  <c r="F607" i="24"/>
  <c r="G607" i="24"/>
  <c r="E608" i="24"/>
  <c r="F608" i="24"/>
  <c r="G608" i="24"/>
  <c r="E609" i="24"/>
  <c r="F609" i="24"/>
  <c r="G609" i="24"/>
  <c r="E610" i="24"/>
  <c r="F610" i="24"/>
  <c r="G610" i="24"/>
  <c r="E611" i="24"/>
  <c r="F611" i="24"/>
  <c r="G611" i="24"/>
  <c r="E612" i="24"/>
  <c r="F612" i="24"/>
  <c r="G612" i="24"/>
  <c r="E613" i="24"/>
  <c r="F613" i="24"/>
  <c r="G613" i="24"/>
  <c r="E614" i="24"/>
  <c r="F614" i="24"/>
  <c r="G614" i="24"/>
  <c r="E615" i="24"/>
  <c r="F615" i="24"/>
  <c r="G615" i="24"/>
  <c r="E616" i="24"/>
  <c r="F616" i="24"/>
  <c r="G616" i="24"/>
  <c r="E617" i="24"/>
  <c r="F617" i="24"/>
  <c r="G617" i="24"/>
  <c r="E618" i="24"/>
  <c r="F618" i="24"/>
  <c r="G618" i="24"/>
  <c r="E619" i="24"/>
  <c r="F619" i="24"/>
  <c r="G619" i="24"/>
  <c r="E620" i="24"/>
  <c r="F620" i="24"/>
  <c r="G620" i="24"/>
  <c r="E621" i="24"/>
  <c r="F621" i="24"/>
  <c r="G621" i="24"/>
  <c r="E622" i="24"/>
  <c r="F622" i="24"/>
  <c r="G622" i="24"/>
  <c r="E623" i="24"/>
  <c r="F623" i="24"/>
  <c r="G623" i="24"/>
  <c r="E624" i="24"/>
  <c r="F624" i="24"/>
  <c r="G624" i="24"/>
  <c r="E625" i="24"/>
  <c r="F625" i="24"/>
  <c r="G625" i="24"/>
  <c r="E626" i="24"/>
  <c r="F626" i="24"/>
  <c r="G626" i="24"/>
  <c r="E627" i="24"/>
  <c r="F627" i="24"/>
  <c r="G627" i="24"/>
  <c r="E628" i="24"/>
  <c r="F628" i="24"/>
  <c r="G628" i="24"/>
  <c r="E629" i="24"/>
  <c r="F629" i="24"/>
  <c r="G629" i="24"/>
  <c r="E630" i="24"/>
  <c r="F630" i="24"/>
  <c r="G630" i="24"/>
  <c r="E631" i="24"/>
  <c r="F631" i="24"/>
  <c r="G631" i="24"/>
  <c r="E632" i="24"/>
  <c r="F632" i="24"/>
  <c r="G632" i="24"/>
  <c r="E633" i="24"/>
  <c r="F633" i="24"/>
  <c r="G633" i="24"/>
  <c r="E634" i="24"/>
  <c r="F634" i="24"/>
  <c r="G634" i="24"/>
  <c r="E635" i="24"/>
  <c r="F635" i="24"/>
  <c r="G635" i="24"/>
  <c r="E636" i="24"/>
  <c r="F636" i="24"/>
  <c r="G636" i="24"/>
  <c r="E637" i="24"/>
  <c r="F637" i="24"/>
  <c r="G637" i="24"/>
  <c r="E638" i="24"/>
  <c r="F638" i="24"/>
  <c r="G638" i="24"/>
  <c r="E639" i="24"/>
  <c r="F639" i="24"/>
  <c r="G639" i="24"/>
  <c r="E640" i="24"/>
  <c r="F640" i="24"/>
  <c r="G640" i="24"/>
  <c r="E641" i="24"/>
  <c r="F641" i="24"/>
  <c r="G641" i="24"/>
  <c r="E642" i="24"/>
  <c r="F642" i="24"/>
  <c r="G642" i="24"/>
  <c r="E643" i="24"/>
  <c r="F643" i="24"/>
  <c r="G643" i="24"/>
  <c r="E644" i="24"/>
  <c r="F644" i="24"/>
  <c r="G644" i="24"/>
  <c r="E645" i="24"/>
  <c r="F645" i="24"/>
  <c r="G645" i="24"/>
  <c r="E646" i="24"/>
  <c r="F646" i="24"/>
  <c r="G646" i="24"/>
  <c r="E647" i="24"/>
  <c r="F647" i="24"/>
  <c r="G647" i="24"/>
  <c r="E648" i="24"/>
  <c r="F648" i="24"/>
  <c r="G648" i="24"/>
  <c r="E649" i="24"/>
  <c r="F649" i="24"/>
  <c r="G649" i="24"/>
  <c r="E650" i="24"/>
  <c r="F650" i="24"/>
  <c r="G650" i="24"/>
  <c r="E651" i="24"/>
  <c r="F651" i="24"/>
  <c r="G651" i="24"/>
  <c r="E652" i="24"/>
  <c r="F652" i="24"/>
  <c r="G652" i="24"/>
  <c r="E653" i="24"/>
  <c r="F653" i="24"/>
  <c r="G653" i="24"/>
  <c r="E654" i="24"/>
  <c r="F654" i="24"/>
  <c r="G654" i="24"/>
  <c r="E655" i="24"/>
  <c r="F655" i="24"/>
  <c r="G655" i="24"/>
  <c r="E656" i="24"/>
  <c r="F656" i="24"/>
  <c r="G656" i="24"/>
  <c r="E657" i="24"/>
  <c r="F657" i="24"/>
  <c r="G657" i="24"/>
  <c r="E658" i="24"/>
  <c r="F658" i="24"/>
  <c r="G658" i="24"/>
  <c r="E659" i="24"/>
  <c r="F659" i="24"/>
  <c r="G659" i="24"/>
  <c r="E660" i="24"/>
  <c r="F660" i="24"/>
  <c r="G660" i="24"/>
  <c r="E661" i="24"/>
  <c r="F661" i="24"/>
  <c r="G661" i="24"/>
  <c r="E662" i="24"/>
  <c r="F662" i="24"/>
  <c r="G662" i="24"/>
  <c r="E663" i="24"/>
  <c r="F663" i="24"/>
  <c r="G663" i="24"/>
  <c r="E664" i="24"/>
  <c r="F664" i="24"/>
  <c r="G664" i="24"/>
  <c r="E665" i="24"/>
  <c r="F665" i="24"/>
  <c r="G665" i="24"/>
  <c r="E666" i="24"/>
  <c r="F666" i="24"/>
  <c r="G666" i="24"/>
  <c r="E667" i="24"/>
  <c r="F667" i="24"/>
  <c r="G667" i="24"/>
  <c r="E668" i="24"/>
  <c r="F668" i="24"/>
  <c r="G668" i="24"/>
  <c r="E669" i="24"/>
  <c r="F669" i="24"/>
  <c r="G669" i="24"/>
  <c r="E670" i="24"/>
  <c r="F670" i="24"/>
  <c r="G670" i="24"/>
  <c r="E671" i="24"/>
  <c r="F671" i="24"/>
  <c r="G671" i="24"/>
  <c r="E672" i="24"/>
  <c r="F672" i="24"/>
  <c r="G672" i="24"/>
  <c r="E673" i="24"/>
  <c r="F673" i="24"/>
  <c r="G673" i="24"/>
  <c r="E674" i="24"/>
  <c r="F674" i="24"/>
  <c r="G674" i="24"/>
  <c r="E675" i="24"/>
  <c r="F675" i="24"/>
  <c r="G675" i="24"/>
  <c r="E676" i="24"/>
  <c r="F676" i="24"/>
  <c r="G676" i="24"/>
  <c r="E677" i="24"/>
  <c r="F677" i="24"/>
  <c r="G677" i="24"/>
  <c r="E678" i="24"/>
  <c r="F678" i="24"/>
  <c r="G678" i="24"/>
  <c r="E679" i="24"/>
  <c r="F679" i="24"/>
  <c r="G679" i="24"/>
  <c r="E680" i="24"/>
  <c r="F680" i="24"/>
  <c r="G680" i="24"/>
  <c r="E681" i="24"/>
  <c r="F681" i="24"/>
  <c r="G681" i="24"/>
  <c r="E682" i="24"/>
  <c r="F682" i="24"/>
  <c r="G682" i="24"/>
  <c r="E683" i="24"/>
  <c r="F683" i="24"/>
  <c r="G683" i="24"/>
  <c r="E684" i="24"/>
  <c r="F684" i="24"/>
  <c r="G684" i="24"/>
  <c r="E685" i="24"/>
  <c r="F685" i="24"/>
  <c r="G685" i="24"/>
  <c r="E686" i="24"/>
  <c r="F686" i="24"/>
  <c r="G686" i="24"/>
  <c r="E687" i="24"/>
  <c r="F687" i="24"/>
  <c r="G687" i="24"/>
  <c r="E688" i="24"/>
  <c r="F688" i="24"/>
  <c r="G688" i="24"/>
  <c r="E689" i="24"/>
  <c r="F689" i="24"/>
  <c r="G689" i="24"/>
  <c r="E690" i="24"/>
  <c r="F690" i="24"/>
  <c r="G690" i="24"/>
  <c r="E691" i="24"/>
  <c r="F691" i="24"/>
  <c r="G691" i="24"/>
  <c r="E692" i="24"/>
  <c r="F692" i="24"/>
  <c r="G692" i="24"/>
  <c r="C570" i="24"/>
  <c r="F570" i="24" s="1"/>
  <c r="G539" i="24"/>
  <c r="F539" i="24"/>
  <c r="AD584" i="1"/>
  <c r="AD583" i="1"/>
  <c r="W583" i="1" s="1"/>
  <c r="AH583" i="1" s="1"/>
  <c r="AI583" i="1" s="1"/>
  <c r="AA302" i="1"/>
  <c r="AB302" i="1" s="1"/>
  <c r="W302" i="1"/>
  <c r="X302" i="1" s="1"/>
  <c r="AA301" i="1"/>
  <c r="AB301" i="1" s="1"/>
  <c r="W301" i="1"/>
  <c r="X301" i="1" s="1"/>
  <c r="AA300" i="1"/>
  <c r="AB300" i="1" s="1"/>
  <c r="W300" i="1"/>
  <c r="X300" i="1" s="1"/>
  <c r="AA299" i="1"/>
  <c r="AB299" i="1" s="1"/>
  <c r="W299" i="1"/>
  <c r="AA297" i="1"/>
  <c r="AB297" i="1" s="1"/>
  <c r="W352" i="1"/>
  <c r="X352" i="1" s="1"/>
  <c r="W351" i="1"/>
  <c r="X351" i="1" s="1"/>
  <c r="AD538" i="1"/>
  <c r="W538" i="1" s="1"/>
  <c r="AD537" i="1"/>
  <c r="W537" i="1" s="1"/>
  <c r="X535" i="1"/>
  <c r="AI535" i="1" s="1"/>
  <c r="W534" i="1"/>
  <c r="X534" i="1" s="1"/>
  <c r="W533" i="1"/>
  <c r="X533" i="1" s="1"/>
  <c r="AI533" i="1" s="1"/>
  <c r="AD582" i="1"/>
  <c r="W582" i="1" s="1"/>
  <c r="AH582" i="1" s="1"/>
  <c r="AI582" i="1" s="1"/>
  <c r="AD581" i="1"/>
  <c r="W581" i="1" s="1"/>
  <c r="AE580" i="1"/>
  <c r="W580" i="1"/>
  <c r="AE579" i="1"/>
  <c r="W579" i="1"/>
  <c r="AD578" i="1"/>
  <c r="X578" i="1"/>
  <c r="W577" i="1"/>
  <c r="X577" i="1" s="1"/>
  <c r="AI577" i="1" s="1"/>
  <c r="AD576" i="1"/>
  <c r="X576" i="1"/>
  <c r="X575" i="1"/>
  <c r="AI575" i="1" s="1"/>
  <c r="AD574" i="1"/>
  <c r="X574" i="1"/>
  <c r="X573" i="1"/>
  <c r="AI573" i="1" s="1"/>
  <c r="AD572" i="1"/>
  <c r="X572" i="1"/>
  <c r="AD571" i="1"/>
  <c r="X571" i="1"/>
  <c r="AD570" i="1"/>
  <c r="X570" i="1"/>
  <c r="AD569" i="1"/>
  <c r="X569" i="1"/>
  <c r="AD568" i="1"/>
  <c r="X568" i="1"/>
  <c r="AD567" i="1"/>
  <c r="X567" i="1"/>
  <c r="AD566" i="1"/>
  <c r="X566" i="1"/>
  <c r="AD565" i="1"/>
  <c r="X565" i="1"/>
  <c r="AD564" i="1"/>
  <c r="X564" i="1"/>
  <c r="AD563" i="1"/>
  <c r="X563" i="1"/>
  <c r="AD562" i="1"/>
  <c r="AE562" i="1" s="1"/>
  <c r="X562" i="1"/>
  <c r="AD561" i="1"/>
  <c r="AE561" i="1" s="1"/>
  <c r="W561" i="1"/>
  <c r="AD560" i="1"/>
  <c r="AE560" i="1" s="1"/>
  <c r="W560" i="1"/>
  <c r="AD559" i="1"/>
  <c r="W559" i="1" s="1"/>
  <c r="AD558" i="1"/>
  <c r="AD557" i="1"/>
  <c r="W557" i="1" s="1"/>
  <c r="AD556" i="1"/>
  <c r="W556" i="1" s="1"/>
  <c r="AD555" i="1"/>
  <c r="W555" i="1" s="1"/>
  <c r="AD554" i="1"/>
  <c r="AD553" i="1"/>
  <c r="W553" i="1" s="1"/>
  <c r="AD552" i="1"/>
  <c r="W552" i="1" s="1"/>
  <c r="W551" i="1"/>
  <c r="X551" i="1" s="1"/>
  <c r="AI551" i="1" s="1"/>
  <c r="AE550" i="1"/>
  <c r="W550" i="1"/>
  <c r="W549" i="1"/>
  <c r="X549" i="1" s="1"/>
  <c r="W548" i="1"/>
  <c r="X548" i="1" s="1"/>
  <c r="W547" i="1"/>
  <c r="X547" i="1" s="1"/>
  <c r="W546" i="1"/>
  <c r="X546" i="1" s="1"/>
  <c r="W545" i="1"/>
  <c r="X545" i="1" s="1"/>
  <c r="W544" i="1"/>
  <c r="X544" i="1" s="1"/>
  <c r="AE543" i="1"/>
  <c r="W543" i="1"/>
  <c r="AE542" i="1"/>
  <c r="W542" i="1"/>
  <c r="AD541" i="1"/>
  <c r="W541" i="1" s="1"/>
  <c r="AE541" i="1" s="1"/>
  <c r="AD540" i="1"/>
  <c r="AD539" i="1"/>
  <c r="W539" i="1" s="1"/>
  <c r="AD532" i="1"/>
  <c r="AE532" i="1" s="1"/>
  <c r="X528" i="1"/>
  <c r="AI528" i="1" s="1"/>
  <c r="X527" i="1"/>
  <c r="AI527" i="1" s="1"/>
  <c r="X526" i="1"/>
  <c r="AI526" i="1" s="1"/>
  <c r="AD521" i="1"/>
  <c r="W521" i="1" s="1"/>
  <c r="AE521" i="1" s="1"/>
  <c r="AD516" i="1"/>
  <c r="W516" i="1" s="1"/>
  <c r="AE516" i="1" s="1"/>
  <c r="AD515" i="1"/>
  <c r="AE515" i="1" s="1"/>
  <c r="AD514" i="1"/>
  <c r="W514" i="1" s="1"/>
  <c r="AE513" i="1"/>
  <c r="AE512" i="1"/>
  <c r="W512" i="1"/>
  <c r="N610" i="1"/>
  <c r="AD610" i="1" s="1"/>
  <c r="AE610" i="1" s="1"/>
  <c r="W610" i="1" s="1"/>
  <c r="X610" i="1" s="1"/>
  <c r="AH610" i="1" s="1"/>
  <c r="N609" i="1"/>
  <c r="AD609" i="1" s="1"/>
  <c r="AE609" i="1" s="1"/>
  <c r="W609" i="1" s="1"/>
  <c r="X609" i="1" s="1"/>
  <c r="AH609" i="1" s="1"/>
  <c r="N608" i="1"/>
  <c r="AD608" i="1" s="1"/>
  <c r="AE608" i="1" s="1"/>
  <c r="W608" i="1" s="1"/>
  <c r="X608" i="1" s="1"/>
  <c r="AH608" i="1" s="1"/>
  <c r="AD607" i="1"/>
  <c r="AE607" i="1" s="1"/>
  <c r="W607" i="1" s="1"/>
  <c r="AE606" i="1"/>
  <c r="AH606" i="1" s="1"/>
  <c r="AI606" i="1" s="1"/>
  <c r="AE605" i="1"/>
  <c r="AH605" i="1" s="1"/>
  <c r="AI605" i="1" s="1"/>
  <c r="AC599" i="1"/>
  <c r="AD599" i="1" s="1"/>
  <c r="W599" i="1" s="1"/>
  <c r="X599" i="1" s="1"/>
  <c r="AC598" i="1"/>
  <c r="AD598" i="1" s="1"/>
  <c r="W598" i="1" s="1"/>
  <c r="X598" i="1" s="1"/>
  <c r="AC597" i="1"/>
  <c r="AD597" i="1" s="1"/>
  <c r="W597" i="1" s="1"/>
  <c r="X597" i="1" s="1"/>
  <c r="AC596" i="1"/>
  <c r="AD596" i="1" s="1"/>
  <c r="W596" i="1" s="1"/>
  <c r="X596" i="1" s="1"/>
  <c r="AE594" i="1"/>
  <c r="AE633" i="1"/>
  <c r="AD633" i="1"/>
  <c r="AE631" i="1"/>
  <c r="W631" i="1" s="1"/>
  <c r="W630" i="1"/>
  <c r="AG630" i="1" s="1"/>
  <c r="AH630" i="1" s="1"/>
  <c r="AE629" i="1"/>
  <c r="AD629" i="1"/>
  <c r="AE628" i="1"/>
  <c r="W628" i="1" s="1"/>
  <c r="AD628" i="1"/>
  <c r="AE627" i="1"/>
  <c r="W627" i="1" s="1"/>
  <c r="AD627" i="1"/>
  <c r="W265" i="1"/>
  <c r="W264" i="1"/>
  <c r="X287" i="1"/>
  <c r="AD286" i="1"/>
  <c r="W286" i="1" s="1"/>
  <c r="X286" i="1" s="1"/>
  <c r="AF286" i="1" s="1"/>
  <c r="AG286" i="1" s="1"/>
  <c r="AD281" i="1"/>
  <c r="AE281" i="1" s="1"/>
  <c r="W281" i="1" s="1"/>
  <c r="X281" i="1" s="1"/>
  <c r="AE280" i="1"/>
  <c r="AD280" i="1"/>
  <c r="W280" i="1" s="1"/>
  <c r="X280" i="1" s="1"/>
  <c r="AE275" i="1"/>
  <c r="AD275" i="1"/>
  <c r="AD272" i="1"/>
  <c r="W272" i="1" s="1"/>
  <c r="AE271" i="1"/>
  <c r="W271" i="1"/>
  <c r="AE269" i="1"/>
  <c r="X269" i="1"/>
  <c r="AE267" i="1"/>
  <c r="W257" i="1"/>
  <c r="AE256" i="1"/>
  <c r="W256" i="1" s="1"/>
  <c r="AE255" i="1"/>
  <c r="W255" i="1" s="1"/>
  <c r="AE254" i="1"/>
  <c r="AE253" i="1"/>
  <c r="AE252" i="1"/>
  <c r="W594" i="1" l="1"/>
  <c r="X594" i="1" s="1"/>
  <c r="AH534" i="1"/>
  <c r="AI534" i="1" s="1"/>
  <c r="W254" i="1"/>
  <c r="X254" i="1" s="1"/>
  <c r="AI254" i="1" s="1"/>
  <c r="W252" i="1"/>
  <c r="X252" i="1" s="1"/>
  <c r="AE538" i="1"/>
  <c r="AE593" i="1"/>
  <c r="W593" i="1" s="1"/>
  <c r="X279" i="1"/>
  <c r="AF256" i="1"/>
  <c r="X256" i="1"/>
  <c r="AI256" i="1" s="1"/>
  <c r="X257" i="1"/>
  <c r="AI257" i="1" s="1"/>
  <c r="AE262" i="1"/>
  <c r="AH262" i="1" s="1"/>
  <c r="AI262" i="1" s="1"/>
  <c r="X262" i="1"/>
  <c r="X263" i="1"/>
  <c r="AE264" i="1"/>
  <c r="X264" i="1"/>
  <c r="AE265" i="1"/>
  <c r="X265" i="1"/>
  <c r="X255" i="1"/>
  <c r="AI255" i="1" s="1"/>
  <c r="W253" i="1"/>
  <c r="W275" i="1"/>
  <c r="X275" i="1" s="1"/>
  <c r="AH275" i="1" s="1"/>
  <c r="X602" i="1"/>
  <c r="AG602" i="1"/>
  <c r="AH602" i="1" s="1"/>
  <c r="W540" i="1"/>
  <c r="AE554" i="1"/>
  <c r="W554" i="1"/>
  <c r="X554" i="1" s="1"/>
  <c r="W558" i="1"/>
  <c r="AE558" i="1" s="1"/>
  <c r="AE552" i="1"/>
  <c r="AE537" i="1"/>
  <c r="X553" i="1"/>
  <c r="AI553" i="1" s="1"/>
  <c r="AE553" i="1"/>
  <c r="W633" i="1"/>
  <c r="X633" i="1" s="1"/>
  <c r="AH633" i="1" s="1"/>
  <c r="W629" i="1"/>
  <c r="AI629" i="1" s="1"/>
  <c r="W584" i="1"/>
  <c r="X584" i="1" s="1"/>
  <c r="AE514" i="1"/>
  <c r="X514" i="1"/>
  <c r="W530" i="1"/>
  <c r="X530" i="1" s="1"/>
  <c r="AH531" i="1"/>
  <c r="AI531" i="1" s="1"/>
  <c r="AE525" i="1"/>
  <c r="X525" i="1"/>
  <c r="X524" i="1"/>
  <c r="AF524" i="1" s="1"/>
  <c r="X607" i="1"/>
  <c r="AH607" i="1" s="1"/>
  <c r="X415" i="1"/>
  <c r="AH415" i="1"/>
  <c r="AI415" i="1" s="1"/>
  <c r="AH572" i="1"/>
  <c r="AI572" i="1" s="1"/>
  <c r="AH567" i="1"/>
  <c r="AI567" i="1" s="1"/>
  <c r="AH576" i="1"/>
  <c r="AI576" i="1" s="1"/>
  <c r="X583" i="1"/>
  <c r="AC302" i="1"/>
  <c r="AD302" i="1" s="1"/>
  <c r="AC297" i="1"/>
  <c r="AD297" i="1" s="1"/>
  <c r="AH578" i="1"/>
  <c r="AI578" i="1" s="1"/>
  <c r="AH563" i="1"/>
  <c r="AI563" i="1" s="1"/>
  <c r="AC299" i="1"/>
  <c r="AD299" i="1" s="1"/>
  <c r="AC300" i="1"/>
  <c r="AD300" i="1" s="1"/>
  <c r="AC301" i="1"/>
  <c r="AD301" i="1" s="1"/>
  <c r="X297" i="1"/>
  <c r="AH568" i="1"/>
  <c r="AI568" i="1" s="1"/>
  <c r="AH569" i="1"/>
  <c r="AI569" i="1" s="1"/>
  <c r="X299" i="1"/>
  <c r="AH571" i="1"/>
  <c r="AI571" i="1" s="1"/>
  <c r="AH512" i="1"/>
  <c r="AH580" i="1"/>
  <c r="AH560" i="1"/>
  <c r="AH543" i="1"/>
  <c r="AH564" i="1"/>
  <c r="AI564" i="1" s="1"/>
  <c r="AH565" i="1"/>
  <c r="AI565" i="1" s="1"/>
  <c r="AH566" i="1"/>
  <c r="AI566" i="1" s="1"/>
  <c r="AH574" i="1"/>
  <c r="AI574" i="1" s="1"/>
  <c r="AE556" i="1"/>
  <c r="X556" i="1"/>
  <c r="AI556" i="1" s="1"/>
  <c r="AH581" i="1"/>
  <c r="AI581" i="1" s="1"/>
  <c r="X581" i="1"/>
  <c r="W515" i="1"/>
  <c r="X515" i="1" s="1"/>
  <c r="AF515" i="1" s="1"/>
  <c r="X543" i="1"/>
  <c r="AH579" i="1"/>
  <c r="W532" i="1"/>
  <c r="X532" i="1" s="1"/>
  <c r="AH561" i="1"/>
  <c r="X561" i="1"/>
  <c r="X512" i="1"/>
  <c r="AH550" i="1"/>
  <c r="AH562" i="1"/>
  <c r="AI562" i="1" s="1"/>
  <c r="AH513" i="1"/>
  <c r="AH542" i="1"/>
  <c r="AH570" i="1"/>
  <c r="AI570" i="1" s="1"/>
  <c r="X541" i="1"/>
  <c r="AE559" i="1"/>
  <c r="X559" i="1"/>
  <c r="AI559" i="1" s="1"/>
  <c r="AE539" i="1"/>
  <c r="X539" i="1"/>
  <c r="AE557" i="1"/>
  <c r="X557" i="1"/>
  <c r="AI557" i="1" s="1"/>
  <c r="X529" i="1"/>
  <c r="X555" i="1"/>
  <c r="AE555" i="1"/>
  <c r="X521" i="1"/>
  <c r="AF521" i="1" s="1"/>
  <c r="AE529" i="1"/>
  <c r="AH529" i="1" s="1"/>
  <c r="X550" i="1"/>
  <c r="X513" i="1"/>
  <c r="X516" i="1"/>
  <c r="AI516" i="1" s="1"/>
  <c r="X582" i="1"/>
  <c r="X579" i="1"/>
  <c r="X560" i="1"/>
  <c r="X542" i="1"/>
  <c r="X580" i="1"/>
  <c r="AI608" i="1"/>
  <c r="AI609" i="1"/>
  <c r="AF594" i="1"/>
  <c r="AH594" i="1" s="1"/>
  <c r="AI610" i="1"/>
  <c r="X601" i="1"/>
  <c r="AH601" i="1" s="1"/>
  <c r="X628" i="1"/>
  <c r="AH628" i="1" s="1"/>
  <c r="AI628" i="1"/>
  <c r="X627" i="1"/>
  <c r="AH627" i="1" s="1"/>
  <c r="X630" i="1"/>
  <c r="AH280" i="1"/>
  <c r="AI271" i="1"/>
  <c r="AH269" i="1"/>
  <c r="AI269" i="1" s="1"/>
  <c r="AH267" i="1"/>
  <c r="X272" i="1"/>
  <c r="AI280" i="1"/>
  <c r="AE272" i="1"/>
  <c r="AH272" i="1" s="1"/>
  <c r="X271" i="1"/>
  <c r="AH271" i="1" s="1"/>
  <c r="X267" i="1"/>
  <c r="AF255" i="1"/>
  <c r="AF252" i="1" l="1"/>
  <c r="AF254" i="1"/>
  <c r="X593" i="1"/>
  <c r="AH593" i="1"/>
  <c r="AI593" i="1" s="1"/>
  <c r="X603" i="1"/>
  <c r="AH603" i="1"/>
  <c r="AI603" i="1" s="1"/>
  <c r="AF253" i="1"/>
  <c r="X253" i="1"/>
  <c r="O253" i="1" s="1"/>
  <c r="AI275" i="1"/>
  <c r="O252" i="1"/>
  <c r="AH37" i="1"/>
  <c r="X540" i="1"/>
  <c r="X558" i="1"/>
  <c r="AI558" i="1" s="1"/>
  <c r="AA552" i="1"/>
  <c r="AF554" i="1"/>
  <c r="X552" i="1"/>
  <c r="AF552" i="1"/>
  <c r="AH552" i="1"/>
  <c r="X629" i="1"/>
  <c r="AH629" i="1" s="1"/>
  <c r="AH537" i="1"/>
  <c r="AI633" i="1"/>
  <c r="AH532" i="1"/>
  <c r="V532" i="1"/>
  <c r="X631" i="1"/>
  <c r="AH631" i="1" s="1"/>
  <c r="AH514" i="1"/>
  <c r="AI514" i="1" s="1"/>
  <c r="AI607" i="1"/>
  <c r="AH530" i="1"/>
  <c r="AI530" i="1" s="1"/>
  <c r="AF525" i="1"/>
  <c r="AI580" i="1"/>
  <c r="AH554" i="1"/>
  <c r="AI554" i="1" s="1"/>
  <c r="AI513" i="1"/>
  <c r="AI579" i="1"/>
  <c r="X537" i="1"/>
  <c r="AI512" i="1"/>
  <c r="AI543" i="1"/>
  <c r="AI560" i="1"/>
  <c r="AI542" i="1"/>
  <c r="AH538" i="1"/>
  <c r="X538" i="1"/>
  <c r="AF556" i="1"/>
  <c r="AF553" i="1"/>
  <c r="AI550" i="1"/>
  <c r="AF516" i="1"/>
  <c r="AI529" i="1"/>
  <c r="AF557" i="1"/>
  <c r="AI561" i="1"/>
  <c r="AH515" i="1"/>
  <c r="AI515" i="1" s="1"/>
  <c r="AF539" i="1"/>
  <c r="AF555" i="1"/>
  <c r="AF559" i="1"/>
  <c r="AF541" i="1"/>
  <c r="AH541" i="1"/>
  <c r="AI541" i="1" s="1"/>
  <c r="AI601" i="1"/>
  <c r="AI631" i="1"/>
  <c r="AI627" i="1"/>
  <c r="AI272" i="1"/>
  <c r="AI267" i="1"/>
  <c r="AH540" i="1" l="1"/>
  <c r="AI540" i="1" s="1"/>
  <c r="AI253" i="1"/>
  <c r="AI252" i="1"/>
  <c r="AI552" i="1"/>
  <c r="AF558" i="1"/>
  <c r="AI537" i="1"/>
  <c r="AI532" i="1"/>
  <c r="AI538" i="1"/>
  <c r="W664" i="1" l="1"/>
  <c r="AG18" i="1" l="1"/>
  <c r="AH18" i="1" s="1"/>
  <c r="AE664" i="1"/>
  <c r="AG664" i="1" s="1"/>
  <c r="AH664" i="1" s="1"/>
  <c r="X19" i="1"/>
  <c r="AA218" i="1"/>
  <c r="AB218" i="1" s="1"/>
  <c r="AA217" i="1"/>
  <c r="AG19" i="1" l="1"/>
  <c r="AH19" i="1" s="1"/>
  <c r="X18" i="1"/>
  <c r="X16" i="1"/>
  <c r="X106" i="1"/>
  <c r="M65" i="5"/>
  <c r="N65" i="5" s="1"/>
  <c r="O65" i="5" s="1"/>
  <c r="AG16" i="1" l="1"/>
  <c r="AH16" i="1" s="1"/>
  <c r="Y16" i="1"/>
  <c r="AH106" i="1"/>
  <c r="Y104" i="1"/>
  <c r="AE218" i="1"/>
  <c r="AD335" i="1"/>
  <c r="W335" i="1" s="1"/>
  <c r="AE335" i="1" l="1"/>
  <c r="AH335" i="1" s="1"/>
  <c r="W671" i="1"/>
  <c r="W676" i="1"/>
  <c r="X676" i="1" s="1"/>
  <c r="AD677" i="1"/>
  <c r="AE677" i="1" s="1"/>
  <c r="W677" i="1" s="1"/>
  <c r="X677" i="1" s="1"/>
  <c r="AE678" i="1"/>
  <c r="AC217" i="1"/>
  <c r="W350" i="1"/>
  <c r="X350" i="1" s="1"/>
  <c r="AE350" i="1" s="1"/>
  <c r="AH350" i="1" s="1"/>
  <c r="AI350" i="1" s="1"/>
  <c r="W349" i="1"/>
  <c r="X349" i="1" s="1"/>
  <c r="AE349" i="1" s="1"/>
  <c r="AH349" i="1" s="1"/>
  <c r="AI349" i="1" s="1"/>
  <c r="AD316" i="1"/>
  <c r="W316" i="1" s="1"/>
  <c r="X316" i="1" s="1"/>
  <c r="AD372" i="1"/>
  <c r="W372" i="1" s="1"/>
  <c r="X372" i="1" s="1"/>
  <c r="AE314" i="1"/>
  <c r="AE315" i="1"/>
  <c r="AE327" i="1"/>
  <c r="AE328" i="1"/>
  <c r="L274" i="24"/>
  <c r="I505" i="24"/>
  <c r="J505" i="24" s="1"/>
  <c r="I504" i="24"/>
  <c r="J504" i="24" s="1"/>
  <c r="I503" i="24"/>
  <c r="J503" i="24" s="1"/>
  <c r="I502" i="24"/>
  <c r="J502" i="24" s="1"/>
  <c r="I501" i="24"/>
  <c r="J501" i="24" s="1"/>
  <c r="I500" i="24"/>
  <c r="J500" i="24" s="1"/>
  <c r="I499" i="24"/>
  <c r="J499" i="24" s="1"/>
  <c r="I498" i="24"/>
  <c r="J498" i="24" s="1"/>
  <c r="J497" i="24"/>
  <c r="J496" i="24"/>
  <c r="J495" i="24"/>
  <c r="J494" i="24"/>
  <c r="L493" i="24"/>
  <c r="J493" i="24"/>
  <c r="L492" i="24"/>
  <c r="J492" i="24"/>
  <c r="J491" i="24"/>
  <c r="J490" i="24"/>
  <c r="J489" i="24"/>
  <c r="J488" i="24"/>
  <c r="I487" i="24"/>
  <c r="J487" i="24" s="1"/>
  <c r="J486" i="24"/>
  <c r="J485" i="24"/>
  <c r="J484" i="24"/>
  <c r="J483" i="24"/>
  <c r="J482" i="24"/>
  <c r="L481" i="24"/>
  <c r="J481" i="24"/>
  <c r="L480" i="24"/>
  <c r="J480" i="24"/>
  <c r="J479" i="24"/>
  <c r="J478" i="24"/>
  <c r="I477" i="24"/>
  <c r="J477" i="24" s="1"/>
  <c r="I476" i="24"/>
  <c r="J476" i="24" s="1"/>
  <c r="I475" i="24"/>
  <c r="J475" i="24" s="1"/>
  <c r="I474" i="24"/>
  <c r="J474" i="24" s="1"/>
  <c r="J473" i="24"/>
  <c r="L469" i="24"/>
  <c r="J469" i="24"/>
  <c r="L468" i="24"/>
  <c r="J468" i="24"/>
  <c r="J467" i="24"/>
  <c r="J466" i="24"/>
  <c r="J465" i="24"/>
  <c r="J464" i="24"/>
  <c r="I463" i="24"/>
  <c r="J463" i="24" s="1"/>
  <c r="J462" i="24"/>
  <c r="J461" i="24"/>
  <c r="L460" i="24"/>
  <c r="I460" i="24" s="1"/>
  <c r="J460" i="24" s="1"/>
  <c r="L459" i="24"/>
  <c r="I459" i="24" s="1"/>
  <c r="J459" i="24" s="1"/>
  <c r="L458" i="24"/>
  <c r="I458" i="24" s="1"/>
  <c r="J458" i="24" s="1"/>
  <c r="L457" i="24"/>
  <c r="J457" i="24"/>
  <c r="L456" i="24"/>
  <c r="J456" i="24"/>
  <c r="J455" i="24"/>
  <c r="J454" i="24"/>
  <c r="I453" i="24"/>
  <c r="J453" i="24" s="1"/>
  <c r="I452" i="24"/>
  <c r="J452" i="24" s="1"/>
  <c r="I451" i="24"/>
  <c r="J451" i="24" s="1"/>
  <c r="I450" i="24"/>
  <c r="J450" i="24" s="1"/>
  <c r="J449" i="24"/>
  <c r="L445" i="24"/>
  <c r="J445" i="24"/>
  <c r="L444" i="24"/>
  <c r="J444" i="24"/>
  <c r="J443" i="24"/>
  <c r="J442" i="24"/>
  <c r="J441" i="24"/>
  <c r="J440" i="24"/>
  <c r="I439" i="24"/>
  <c r="J439" i="24" s="1"/>
  <c r="J438" i="24"/>
  <c r="J437" i="24"/>
  <c r="L436" i="24"/>
  <c r="I436" i="24" s="1"/>
  <c r="J436" i="24" s="1"/>
  <c r="L435" i="24"/>
  <c r="I435" i="24" s="1"/>
  <c r="J435" i="24" s="1"/>
  <c r="L434" i="24"/>
  <c r="I434" i="24" s="1"/>
  <c r="J434" i="24" s="1"/>
  <c r="L433" i="24"/>
  <c r="J433" i="24"/>
  <c r="L432" i="24"/>
  <c r="J432" i="24"/>
  <c r="J431" i="24"/>
  <c r="J430" i="24"/>
  <c r="I429" i="24"/>
  <c r="J429" i="24" s="1"/>
  <c r="J428" i="24"/>
  <c r="I427" i="24"/>
  <c r="J427" i="24" s="1"/>
  <c r="I426" i="24"/>
  <c r="J426" i="24" s="1"/>
  <c r="J425" i="24"/>
  <c r="L424" i="24"/>
  <c r="I424" i="24" s="1"/>
  <c r="J424" i="24" s="1"/>
  <c r="L423" i="24"/>
  <c r="I423" i="24" s="1"/>
  <c r="J423" i="24" s="1"/>
  <c r="L422" i="24"/>
  <c r="I422" i="24" s="1"/>
  <c r="J422" i="24" s="1"/>
  <c r="L421" i="24"/>
  <c r="J421" i="24"/>
  <c r="L420" i="24"/>
  <c r="J420" i="24"/>
  <c r="J419" i="24"/>
  <c r="J418" i="24"/>
  <c r="I417" i="24"/>
  <c r="J417" i="24" s="1"/>
  <c r="I416" i="24"/>
  <c r="J416" i="24" s="1"/>
  <c r="I415" i="24"/>
  <c r="J415" i="24" s="1"/>
  <c r="I414" i="24"/>
  <c r="J414" i="24" s="1"/>
  <c r="J413" i="24"/>
  <c r="J412" i="24"/>
  <c r="J411" i="24"/>
  <c r="J410" i="24"/>
  <c r="L409" i="24"/>
  <c r="J409" i="24"/>
  <c r="L408" i="24"/>
  <c r="J408" i="24"/>
  <c r="J407" i="24"/>
  <c r="J406" i="24"/>
  <c r="I405" i="24"/>
  <c r="J405" i="24" s="1"/>
  <c r="I404" i="24"/>
  <c r="J404" i="24" s="1"/>
  <c r="I403" i="24"/>
  <c r="J403" i="24" s="1"/>
  <c r="I402" i="24"/>
  <c r="J402" i="24" s="1"/>
  <c r="J401" i="24"/>
  <c r="J400" i="24"/>
  <c r="J399" i="24"/>
  <c r="J398" i="24"/>
  <c r="L397" i="24"/>
  <c r="J397" i="24"/>
  <c r="L396" i="24"/>
  <c r="J396" i="24"/>
  <c r="J395" i="24"/>
  <c r="J394" i="24"/>
  <c r="I393" i="24"/>
  <c r="J393" i="24" s="1"/>
  <c r="I392" i="24"/>
  <c r="J392" i="24" s="1"/>
  <c r="I391" i="24"/>
  <c r="J391" i="24" s="1"/>
  <c r="I390" i="24"/>
  <c r="J390" i="24" s="1"/>
  <c r="J389" i="24"/>
  <c r="L388" i="24"/>
  <c r="I388" i="24" s="1"/>
  <c r="J388" i="24" s="1"/>
  <c r="L387" i="24"/>
  <c r="I387" i="24" s="1"/>
  <c r="J387" i="24" s="1"/>
  <c r="L386" i="24"/>
  <c r="I386" i="24" s="1"/>
  <c r="J386" i="24" s="1"/>
  <c r="L385" i="24"/>
  <c r="J385" i="24"/>
  <c r="L384" i="24"/>
  <c r="J384" i="24"/>
  <c r="J383" i="24"/>
  <c r="J382" i="24"/>
  <c r="I381" i="24"/>
  <c r="J381" i="24" s="1"/>
  <c r="I380" i="24"/>
  <c r="J380" i="24" s="1"/>
  <c r="I379" i="24"/>
  <c r="J379" i="24" s="1"/>
  <c r="I378" i="24"/>
  <c r="J378" i="24" s="1"/>
  <c r="J377" i="24"/>
  <c r="J376" i="24"/>
  <c r="J375" i="24"/>
  <c r="J374" i="24"/>
  <c r="L373" i="24"/>
  <c r="J373" i="24"/>
  <c r="L372" i="24"/>
  <c r="J372" i="24"/>
  <c r="J371" i="24"/>
  <c r="J370" i="24"/>
  <c r="I369" i="24"/>
  <c r="J369" i="24" s="1"/>
  <c r="I368" i="24"/>
  <c r="J368" i="24" s="1"/>
  <c r="I367" i="24"/>
  <c r="J367" i="24" s="1"/>
  <c r="I366" i="24"/>
  <c r="J366" i="24" s="1"/>
  <c r="J365" i="24"/>
  <c r="L364" i="24"/>
  <c r="I364" i="24" s="1"/>
  <c r="J364" i="24" s="1"/>
  <c r="L363" i="24"/>
  <c r="I363" i="24" s="1"/>
  <c r="J363" i="24" s="1"/>
  <c r="L362" i="24"/>
  <c r="I362" i="24" s="1"/>
  <c r="J362" i="24" s="1"/>
  <c r="L361" i="24"/>
  <c r="J361" i="24"/>
  <c r="L360" i="24"/>
  <c r="J360" i="24"/>
  <c r="J359" i="24"/>
  <c r="J358" i="24"/>
  <c r="I357" i="24"/>
  <c r="J357" i="24" s="1"/>
  <c r="I356" i="24"/>
  <c r="J356" i="24" s="1"/>
  <c r="I355" i="24"/>
  <c r="J355" i="24" s="1"/>
  <c r="I354" i="24"/>
  <c r="J354" i="24" s="1"/>
  <c r="J353" i="24"/>
  <c r="L352" i="24"/>
  <c r="I352" i="24" s="1"/>
  <c r="J352" i="24" s="1"/>
  <c r="L351" i="24"/>
  <c r="I351" i="24"/>
  <c r="J351" i="24" s="1"/>
  <c r="L350" i="24"/>
  <c r="I350" i="24" s="1"/>
  <c r="J350" i="24" s="1"/>
  <c r="L349" i="24"/>
  <c r="J349" i="24"/>
  <c r="L348" i="24"/>
  <c r="J348" i="24"/>
  <c r="J347" i="24"/>
  <c r="J346" i="24"/>
  <c r="I345" i="24"/>
  <c r="J345" i="24" s="1"/>
  <c r="I344" i="24"/>
  <c r="J344" i="24" s="1"/>
  <c r="I343" i="24"/>
  <c r="J343" i="24" s="1"/>
  <c r="I342" i="24"/>
  <c r="J342" i="24" s="1"/>
  <c r="J341" i="24"/>
  <c r="L340" i="24"/>
  <c r="I340" i="24" s="1"/>
  <c r="J340" i="24" s="1"/>
  <c r="L339" i="24"/>
  <c r="I339" i="24" s="1"/>
  <c r="J339" i="24" s="1"/>
  <c r="L338" i="24"/>
  <c r="I338" i="24" s="1"/>
  <c r="J338" i="24" s="1"/>
  <c r="L337" i="24"/>
  <c r="J337" i="24"/>
  <c r="L336" i="24"/>
  <c r="J336" i="24"/>
  <c r="J335" i="24"/>
  <c r="J334" i="24"/>
  <c r="I333" i="24"/>
  <c r="J333" i="24" s="1"/>
  <c r="I332" i="24"/>
  <c r="J332" i="24" s="1"/>
  <c r="I331" i="24"/>
  <c r="J331" i="24" s="1"/>
  <c r="I330" i="24"/>
  <c r="J330" i="24" s="1"/>
  <c r="J329" i="24"/>
  <c r="L328" i="24"/>
  <c r="I328" i="24" s="1"/>
  <c r="J328" i="24" s="1"/>
  <c r="L327" i="24"/>
  <c r="I327" i="24" s="1"/>
  <c r="J327" i="24" s="1"/>
  <c r="L326" i="24"/>
  <c r="I326" i="24" s="1"/>
  <c r="J326" i="24" s="1"/>
  <c r="L325" i="24"/>
  <c r="J325" i="24"/>
  <c r="L324" i="24"/>
  <c r="J324" i="24"/>
  <c r="J323" i="24"/>
  <c r="J322" i="24"/>
  <c r="I321" i="24"/>
  <c r="J321" i="24" s="1"/>
  <c r="I320" i="24"/>
  <c r="J320" i="24" s="1"/>
  <c r="I319" i="24"/>
  <c r="J319" i="24" s="1"/>
  <c r="I318" i="24"/>
  <c r="J318" i="24" s="1"/>
  <c r="J317" i="24"/>
  <c r="L316" i="24"/>
  <c r="I316" i="24" s="1"/>
  <c r="J316" i="24" s="1"/>
  <c r="L315" i="24"/>
  <c r="I315" i="24" s="1"/>
  <c r="J315" i="24" s="1"/>
  <c r="L314" i="24"/>
  <c r="I314" i="24" s="1"/>
  <c r="J314" i="24" s="1"/>
  <c r="L313" i="24"/>
  <c r="J313" i="24"/>
  <c r="L312" i="24"/>
  <c r="J312" i="24"/>
  <c r="J311" i="24"/>
  <c r="J310" i="24"/>
  <c r="I309" i="24"/>
  <c r="J309" i="24" s="1"/>
  <c r="I308" i="24"/>
  <c r="J308" i="24" s="1"/>
  <c r="I307" i="24"/>
  <c r="J307" i="24" s="1"/>
  <c r="I306" i="24"/>
  <c r="J306" i="24" s="1"/>
  <c r="J305" i="24"/>
  <c r="L304" i="24"/>
  <c r="I304" i="24" s="1"/>
  <c r="J304" i="24" s="1"/>
  <c r="L303" i="24"/>
  <c r="I303" i="24" s="1"/>
  <c r="J303" i="24" s="1"/>
  <c r="L302" i="24"/>
  <c r="I302" i="24" s="1"/>
  <c r="J302" i="24" s="1"/>
  <c r="L301" i="24"/>
  <c r="J301" i="24"/>
  <c r="L300" i="24"/>
  <c r="J300" i="24"/>
  <c r="J299" i="24"/>
  <c r="J298" i="24"/>
  <c r="I297" i="24"/>
  <c r="J297" i="24" s="1"/>
  <c r="I296" i="24"/>
  <c r="J296" i="24" s="1"/>
  <c r="I295" i="24"/>
  <c r="J295" i="24" s="1"/>
  <c r="I294" i="24"/>
  <c r="J294" i="24" s="1"/>
  <c r="J293" i="24"/>
  <c r="L292" i="24"/>
  <c r="I292" i="24" s="1"/>
  <c r="J292" i="24" s="1"/>
  <c r="L291" i="24"/>
  <c r="I291" i="24" s="1"/>
  <c r="J291" i="24" s="1"/>
  <c r="L290" i="24"/>
  <c r="I290" i="24" s="1"/>
  <c r="J290" i="24" s="1"/>
  <c r="L289" i="24"/>
  <c r="J289" i="24"/>
  <c r="L288" i="24"/>
  <c r="J288" i="24"/>
  <c r="J287" i="24"/>
  <c r="J286" i="24"/>
  <c r="I285" i="24"/>
  <c r="J285" i="24" s="1"/>
  <c r="I284" i="24"/>
  <c r="J284" i="24" s="1"/>
  <c r="I283" i="24"/>
  <c r="J283" i="24" s="1"/>
  <c r="I282" i="24"/>
  <c r="J282" i="24" s="1"/>
  <c r="J281" i="24"/>
  <c r="L280" i="24"/>
  <c r="I280" i="24" s="1"/>
  <c r="J280" i="24" s="1"/>
  <c r="L279" i="24"/>
  <c r="I279" i="24" s="1"/>
  <c r="J279" i="24" s="1"/>
  <c r="L278" i="24"/>
  <c r="I278" i="24" s="1"/>
  <c r="J278" i="24" s="1"/>
  <c r="L277" i="24"/>
  <c r="J277" i="24"/>
  <c r="L276" i="24"/>
  <c r="J276" i="24"/>
  <c r="J275" i="24"/>
  <c r="J274" i="24"/>
  <c r="I273" i="24"/>
  <c r="J273" i="24" s="1"/>
  <c r="I272" i="24"/>
  <c r="J272" i="24" s="1"/>
  <c r="I271" i="24"/>
  <c r="J271" i="24" s="1"/>
  <c r="I270" i="24"/>
  <c r="J270" i="24" s="1"/>
  <c r="J269" i="24"/>
  <c r="L268" i="24"/>
  <c r="I268" i="24" s="1"/>
  <c r="J268" i="24" s="1"/>
  <c r="L267" i="24"/>
  <c r="I267" i="24" s="1"/>
  <c r="J267" i="24" s="1"/>
  <c r="L266" i="24"/>
  <c r="I266" i="24" s="1"/>
  <c r="J266" i="24" s="1"/>
  <c r="L265" i="24"/>
  <c r="J265" i="24"/>
  <c r="L264" i="24"/>
  <c r="J264" i="24"/>
  <c r="J263" i="24"/>
  <c r="J262" i="24"/>
  <c r="I261" i="24"/>
  <c r="J261" i="24" s="1"/>
  <c r="I260" i="24"/>
  <c r="J260" i="24" s="1"/>
  <c r="I259" i="24"/>
  <c r="J259" i="24" s="1"/>
  <c r="I258" i="24"/>
  <c r="J258" i="24" s="1"/>
  <c r="J257" i="24"/>
  <c r="L256" i="24"/>
  <c r="I256" i="24" s="1"/>
  <c r="J256" i="24" s="1"/>
  <c r="L255" i="24"/>
  <c r="I255" i="24" s="1"/>
  <c r="J255" i="24" s="1"/>
  <c r="L254" i="24"/>
  <c r="I254" i="24" s="1"/>
  <c r="J254" i="24" s="1"/>
  <c r="L253" i="24"/>
  <c r="J253" i="24"/>
  <c r="L252" i="24"/>
  <c r="J252" i="24"/>
  <c r="J251" i="24"/>
  <c r="J250" i="24"/>
  <c r="I249" i="24"/>
  <c r="J249" i="24" s="1"/>
  <c r="I248" i="24"/>
  <c r="J248" i="24" s="1"/>
  <c r="I247" i="24"/>
  <c r="J247" i="24" s="1"/>
  <c r="I246" i="24"/>
  <c r="J246" i="24" s="1"/>
  <c r="J245" i="24"/>
  <c r="L244" i="24"/>
  <c r="I244" i="24" s="1"/>
  <c r="J244" i="24" s="1"/>
  <c r="L243" i="24"/>
  <c r="I243" i="24" s="1"/>
  <c r="J243" i="24" s="1"/>
  <c r="L242" i="24"/>
  <c r="I242" i="24" s="1"/>
  <c r="J242" i="24" s="1"/>
  <c r="L241" i="24"/>
  <c r="J241" i="24"/>
  <c r="L240" i="24"/>
  <c r="J240" i="24"/>
  <c r="J239" i="24"/>
  <c r="J238" i="24"/>
  <c r="I237" i="24"/>
  <c r="J237" i="24" s="1"/>
  <c r="I236" i="24"/>
  <c r="J236" i="24" s="1"/>
  <c r="I235" i="24"/>
  <c r="J235" i="24" s="1"/>
  <c r="I234" i="24"/>
  <c r="J234" i="24" s="1"/>
  <c r="J233" i="24"/>
  <c r="L232" i="24"/>
  <c r="I232" i="24" s="1"/>
  <c r="J232" i="24" s="1"/>
  <c r="L231" i="24"/>
  <c r="I231" i="24" s="1"/>
  <c r="J231" i="24" s="1"/>
  <c r="L230" i="24"/>
  <c r="I230" i="24" s="1"/>
  <c r="J230" i="24" s="1"/>
  <c r="L229" i="24"/>
  <c r="J229" i="24"/>
  <c r="L228" i="24"/>
  <c r="J228" i="24"/>
  <c r="J227" i="24"/>
  <c r="J226" i="24"/>
  <c r="I225" i="24"/>
  <c r="J225" i="24" s="1"/>
  <c r="I224" i="24"/>
  <c r="J224" i="24" s="1"/>
  <c r="I223" i="24"/>
  <c r="J223" i="24" s="1"/>
  <c r="I222" i="24"/>
  <c r="J222" i="24" s="1"/>
  <c r="J221" i="24"/>
  <c r="J220" i="24"/>
  <c r="J219" i="24"/>
  <c r="J218" i="24"/>
  <c r="L217" i="24"/>
  <c r="J217" i="24"/>
  <c r="L216" i="24"/>
  <c r="J216" i="24"/>
  <c r="J215" i="24"/>
  <c r="J214" i="24"/>
  <c r="I213" i="24"/>
  <c r="J213" i="24" s="1"/>
  <c r="I212" i="24"/>
  <c r="J212" i="24" s="1"/>
  <c r="I211" i="24"/>
  <c r="J211" i="24" s="1"/>
  <c r="I210" i="24"/>
  <c r="J210" i="24" s="1"/>
  <c r="J209" i="24"/>
  <c r="L208" i="24"/>
  <c r="I208" i="24" s="1"/>
  <c r="J208" i="24" s="1"/>
  <c r="L207" i="24"/>
  <c r="I207" i="24" s="1"/>
  <c r="J207" i="24" s="1"/>
  <c r="L206" i="24"/>
  <c r="I206" i="24" s="1"/>
  <c r="J206" i="24" s="1"/>
  <c r="L205" i="24"/>
  <c r="J205" i="24"/>
  <c r="L204" i="24"/>
  <c r="J204" i="24"/>
  <c r="J203" i="24"/>
  <c r="J202" i="24"/>
  <c r="I201" i="24"/>
  <c r="J201" i="24" s="1"/>
  <c r="I200" i="24"/>
  <c r="J200" i="24" s="1"/>
  <c r="I199" i="24"/>
  <c r="J199" i="24" s="1"/>
  <c r="I198" i="24"/>
  <c r="J198" i="24" s="1"/>
  <c r="J197" i="24"/>
  <c r="L196" i="24"/>
  <c r="I196" i="24" s="1"/>
  <c r="J196" i="24" s="1"/>
  <c r="L195" i="24"/>
  <c r="I195" i="24" s="1"/>
  <c r="J195" i="24" s="1"/>
  <c r="L194" i="24"/>
  <c r="I194" i="24" s="1"/>
  <c r="J194" i="24" s="1"/>
  <c r="L193" i="24"/>
  <c r="J193" i="24"/>
  <c r="L192" i="24"/>
  <c r="J192" i="24"/>
  <c r="J191" i="24"/>
  <c r="J190" i="24"/>
  <c r="I189" i="24"/>
  <c r="J189" i="24" s="1"/>
  <c r="I188" i="24"/>
  <c r="J188" i="24" s="1"/>
  <c r="I187" i="24"/>
  <c r="J187" i="24" s="1"/>
  <c r="I186" i="24"/>
  <c r="J186" i="24" s="1"/>
  <c r="J185" i="24"/>
  <c r="L184" i="24"/>
  <c r="I184" i="24" s="1"/>
  <c r="J184" i="24" s="1"/>
  <c r="L183" i="24"/>
  <c r="I183" i="24" s="1"/>
  <c r="J183" i="24" s="1"/>
  <c r="L182" i="24"/>
  <c r="I182" i="24" s="1"/>
  <c r="J182" i="24" s="1"/>
  <c r="L181" i="24"/>
  <c r="J181" i="24"/>
  <c r="L180" i="24"/>
  <c r="J180" i="24"/>
  <c r="J179" i="24"/>
  <c r="J178" i="24"/>
  <c r="I177" i="24"/>
  <c r="J177" i="24" s="1"/>
  <c r="I176" i="24"/>
  <c r="J176" i="24" s="1"/>
  <c r="I175" i="24"/>
  <c r="J175" i="24" s="1"/>
  <c r="I174" i="24"/>
  <c r="J174" i="24" s="1"/>
  <c r="J173" i="24"/>
  <c r="J172" i="24"/>
  <c r="J171" i="24"/>
  <c r="J170" i="24"/>
  <c r="L169" i="24"/>
  <c r="J169" i="24"/>
  <c r="L168" i="24"/>
  <c r="J168" i="24"/>
  <c r="J167" i="24"/>
  <c r="J166" i="24"/>
  <c r="I165" i="24"/>
  <c r="J165" i="24" s="1"/>
  <c r="I164" i="24"/>
  <c r="J164" i="24" s="1"/>
  <c r="I163" i="24"/>
  <c r="J163" i="24" s="1"/>
  <c r="I162" i="24"/>
  <c r="J162" i="24" s="1"/>
  <c r="J161" i="24"/>
  <c r="L160" i="24"/>
  <c r="I160" i="24" s="1"/>
  <c r="J160" i="24" s="1"/>
  <c r="L159" i="24"/>
  <c r="I159" i="24" s="1"/>
  <c r="J159" i="24" s="1"/>
  <c r="L158" i="24"/>
  <c r="I158" i="24" s="1"/>
  <c r="J158" i="24" s="1"/>
  <c r="L157" i="24"/>
  <c r="J157" i="24"/>
  <c r="L156" i="24"/>
  <c r="J156" i="24"/>
  <c r="J155" i="24"/>
  <c r="J154" i="24"/>
  <c r="I153" i="24"/>
  <c r="J153" i="24" s="1"/>
  <c r="I152" i="24"/>
  <c r="J152" i="24" s="1"/>
  <c r="I151" i="24"/>
  <c r="J151" i="24" s="1"/>
  <c r="I150" i="24"/>
  <c r="J150" i="24" s="1"/>
  <c r="J149" i="24"/>
  <c r="L148" i="24"/>
  <c r="I148" i="24" s="1"/>
  <c r="J148" i="24" s="1"/>
  <c r="L147" i="24"/>
  <c r="I147" i="24" s="1"/>
  <c r="J147" i="24" s="1"/>
  <c r="L146" i="24"/>
  <c r="I146" i="24" s="1"/>
  <c r="J146" i="24" s="1"/>
  <c r="L145" i="24"/>
  <c r="J145" i="24"/>
  <c r="L144" i="24"/>
  <c r="J144" i="24"/>
  <c r="J143" i="24"/>
  <c r="J142" i="24"/>
  <c r="I141" i="24"/>
  <c r="J141" i="24" s="1"/>
  <c r="I140" i="24"/>
  <c r="J140" i="24" s="1"/>
  <c r="I139" i="24"/>
  <c r="J139" i="24" s="1"/>
  <c r="I138" i="24"/>
  <c r="J138" i="24" s="1"/>
  <c r="J137" i="24"/>
  <c r="J136" i="24"/>
  <c r="J135" i="24"/>
  <c r="J134" i="24"/>
  <c r="L133" i="24"/>
  <c r="J133" i="24"/>
  <c r="L132" i="24"/>
  <c r="J132" i="24"/>
  <c r="J131" i="24"/>
  <c r="J130" i="24"/>
  <c r="L129" i="24"/>
  <c r="I129" i="24" s="1"/>
  <c r="J129" i="24" s="1"/>
  <c r="I128" i="24"/>
  <c r="J128" i="24" s="1"/>
  <c r="I127" i="24"/>
  <c r="J127" i="24" s="1"/>
  <c r="I126" i="24"/>
  <c r="J126" i="24" s="1"/>
  <c r="J125" i="24"/>
  <c r="L124" i="24"/>
  <c r="I124" i="24" s="1"/>
  <c r="J124" i="24" s="1"/>
  <c r="L123" i="24"/>
  <c r="I123" i="24" s="1"/>
  <c r="J123" i="24" s="1"/>
  <c r="L122" i="24"/>
  <c r="I122" i="24" s="1"/>
  <c r="J122" i="24" s="1"/>
  <c r="L121" i="24"/>
  <c r="J121" i="24"/>
  <c r="L120" i="24"/>
  <c r="J120" i="24"/>
  <c r="J119" i="24"/>
  <c r="J118" i="24"/>
  <c r="L117" i="24"/>
  <c r="I117" i="24" s="1"/>
  <c r="J117" i="24" s="1"/>
  <c r="I116" i="24"/>
  <c r="J116" i="24" s="1"/>
  <c r="I115" i="24"/>
  <c r="J115" i="24" s="1"/>
  <c r="I114" i="24"/>
  <c r="J114" i="24" s="1"/>
  <c r="J113" i="24"/>
  <c r="L112" i="24"/>
  <c r="I112" i="24" s="1"/>
  <c r="J112" i="24" s="1"/>
  <c r="L111" i="24"/>
  <c r="I111" i="24" s="1"/>
  <c r="J111" i="24" s="1"/>
  <c r="L110" i="24"/>
  <c r="I110" i="24" s="1"/>
  <c r="J110" i="24" s="1"/>
  <c r="L109" i="24"/>
  <c r="J109" i="24"/>
  <c r="L108" i="24"/>
  <c r="J108" i="24"/>
  <c r="J107" i="24"/>
  <c r="J106" i="24"/>
  <c r="L105" i="24"/>
  <c r="I105" i="24" s="1"/>
  <c r="J105" i="24" s="1"/>
  <c r="I104" i="24"/>
  <c r="J104" i="24" s="1"/>
  <c r="I103" i="24"/>
  <c r="J103" i="24" s="1"/>
  <c r="I102" i="24"/>
  <c r="J102" i="24" s="1"/>
  <c r="J101" i="24"/>
  <c r="L100" i="24"/>
  <c r="I100" i="24" s="1"/>
  <c r="J100" i="24" s="1"/>
  <c r="L99" i="24"/>
  <c r="I99" i="24" s="1"/>
  <c r="J99" i="24" s="1"/>
  <c r="L98" i="24"/>
  <c r="I98" i="24" s="1"/>
  <c r="J98" i="24" s="1"/>
  <c r="L97" i="24"/>
  <c r="J97" i="24"/>
  <c r="I96" i="24"/>
  <c r="J96" i="24" s="1"/>
  <c r="J95" i="24"/>
  <c r="J94" i="24"/>
  <c r="L93" i="24"/>
  <c r="I93" i="24" s="1"/>
  <c r="J93" i="24" s="1"/>
  <c r="I92" i="24"/>
  <c r="J92" i="24" s="1"/>
  <c r="I91" i="24"/>
  <c r="J91" i="24" s="1"/>
  <c r="I90" i="24"/>
  <c r="J90" i="24" s="1"/>
  <c r="L89" i="24"/>
  <c r="I89" i="24" s="1"/>
  <c r="J89" i="24" s="1"/>
  <c r="L88" i="24"/>
  <c r="I88" i="24" s="1"/>
  <c r="J88" i="24" s="1"/>
  <c r="L87" i="24"/>
  <c r="I87" i="24" s="1"/>
  <c r="J87" i="24" s="1"/>
  <c r="L86" i="24"/>
  <c r="I86" i="24" s="1"/>
  <c r="J86" i="24" s="1"/>
  <c r="I85" i="24"/>
  <c r="J85" i="24" s="1"/>
  <c r="I84" i="24"/>
  <c r="J84" i="24" s="1"/>
  <c r="J83" i="24"/>
  <c r="J82" i="24"/>
  <c r="L81" i="24"/>
  <c r="I81" i="24" s="1"/>
  <c r="J81" i="24" s="1"/>
  <c r="I80" i="24"/>
  <c r="J80" i="24" s="1"/>
  <c r="I79" i="24"/>
  <c r="J79" i="24" s="1"/>
  <c r="I78" i="24"/>
  <c r="J78" i="24" s="1"/>
  <c r="L77" i="24"/>
  <c r="I77" i="24" s="1"/>
  <c r="J77" i="24" s="1"/>
  <c r="L76" i="24"/>
  <c r="I76" i="24" s="1"/>
  <c r="J76" i="24" s="1"/>
  <c r="L75" i="24"/>
  <c r="I75" i="24" s="1"/>
  <c r="J75" i="24" s="1"/>
  <c r="L74" i="24"/>
  <c r="I74" i="24" s="1"/>
  <c r="J74" i="24" s="1"/>
  <c r="I73" i="24"/>
  <c r="J73" i="24" s="1"/>
  <c r="I72" i="24"/>
  <c r="J72" i="24" s="1"/>
  <c r="J71" i="24"/>
  <c r="J70" i="24"/>
  <c r="L69" i="24"/>
  <c r="I69" i="24" s="1"/>
  <c r="J69" i="24" s="1"/>
  <c r="I68" i="24"/>
  <c r="J68" i="24" s="1"/>
  <c r="I67" i="24"/>
  <c r="J67" i="24" s="1"/>
  <c r="I66" i="24"/>
  <c r="J66" i="24" s="1"/>
  <c r="L65" i="24"/>
  <c r="I65" i="24" s="1"/>
  <c r="J65" i="24" s="1"/>
  <c r="L64" i="24"/>
  <c r="I64" i="24" s="1"/>
  <c r="J64" i="24" s="1"/>
  <c r="L63" i="24"/>
  <c r="I63" i="24" s="1"/>
  <c r="J63" i="24" s="1"/>
  <c r="L62" i="24"/>
  <c r="I62" i="24" s="1"/>
  <c r="J62" i="24" s="1"/>
  <c r="I61" i="24"/>
  <c r="J61" i="24" s="1"/>
  <c r="I60" i="24"/>
  <c r="J60" i="24" s="1"/>
  <c r="J59" i="24"/>
  <c r="J58" i="24"/>
  <c r="L57" i="24"/>
  <c r="I57" i="24" s="1"/>
  <c r="J57" i="24" s="1"/>
  <c r="I56" i="24"/>
  <c r="J56" i="24" s="1"/>
  <c r="I55" i="24"/>
  <c r="J55" i="24" s="1"/>
  <c r="I54" i="24"/>
  <c r="J54" i="24" s="1"/>
  <c r="L53" i="24"/>
  <c r="I53" i="24" s="1"/>
  <c r="J53" i="24" s="1"/>
  <c r="L52" i="24"/>
  <c r="I52" i="24" s="1"/>
  <c r="J52" i="24" s="1"/>
  <c r="L51" i="24"/>
  <c r="I51" i="24" s="1"/>
  <c r="J51" i="24" s="1"/>
  <c r="L50" i="24"/>
  <c r="I50" i="24" s="1"/>
  <c r="J50" i="24" s="1"/>
  <c r="I49" i="24"/>
  <c r="J49" i="24" s="1"/>
  <c r="I48" i="24"/>
  <c r="J48" i="24" s="1"/>
  <c r="J47" i="24"/>
  <c r="J46" i="24"/>
  <c r="L45" i="24"/>
  <c r="I45" i="24" s="1"/>
  <c r="J45" i="24" s="1"/>
  <c r="I44" i="24"/>
  <c r="J44" i="24" s="1"/>
  <c r="I43" i="24"/>
  <c r="J43" i="24" s="1"/>
  <c r="S33" i="24"/>
  <c r="S34" i="24" s="1"/>
  <c r="R33" i="24"/>
  <c r="R34" i="24" s="1"/>
  <c r="Q33" i="24"/>
  <c r="Q34" i="24" s="1"/>
  <c r="P33" i="24"/>
  <c r="P34" i="24" s="1"/>
  <c r="O33" i="24"/>
  <c r="O34" i="24" s="1"/>
  <c r="M33" i="24"/>
  <c r="M34" i="24" s="1"/>
  <c r="L33" i="24"/>
  <c r="L34" i="24" s="1"/>
  <c r="K33" i="24"/>
  <c r="K34" i="24" s="1"/>
  <c r="J33" i="24"/>
  <c r="J34" i="24" s="1"/>
  <c r="I33" i="24"/>
  <c r="I34" i="24" s="1"/>
  <c r="H33" i="24"/>
  <c r="H34" i="24" s="1"/>
  <c r="G33" i="24"/>
  <c r="G34" i="24" s="1"/>
  <c r="S32" i="24"/>
  <c r="R32" i="24"/>
  <c r="Q32" i="24"/>
  <c r="P32" i="24"/>
  <c r="O32" i="24"/>
  <c r="N32" i="24"/>
  <c r="M32" i="24"/>
  <c r="L32" i="24"/>
  <c r="K32" i="24"/>
  <c r="J32" i="24"/>
  <c r="I32" i="24"/>
  <c r="H32" i="24"/>
  <c r="G32" i="24"/>
  <c r="R31" i="24"/>
  <c r="Q31" i="24"/>
  <c r="P31" i="24"/>
  <c r="O31" i="24"/>
  <c r="M31" i="24"/>
  <c r="M36" i="24" s="1"/>
  <c r="L31" i="24"/>
  <c r="L36" i="24" s="1"/>
  <c r="K31" i="24"/>
  <c r="K36" i="24" s="1"/>
  <c r="J31" i="24"/>
  <c r="J36" i="24" s="1"/>
  <c r="I31" i="24"/>
  <c r="I36" i="24" s="1"/>
  <c r="H31" i="24"/>
  <c r="H36" i="24" s="1"/>
  <c r="G31" i="24"/>
  <c r="G36" i="24" s="1"/>
  <c r="DM6" i="24"/>
  <c r="DE6" i="24"/>
  <c r="DE7" i="24" s="1"/>
  <c r="CY6" i="24"/>
  <c r="CY7" i="24" s="1"/>
  <c r="CX6" i="24"/>
  <c r="CP6" i="24"/>
  <c r="CP7" i="24" s="1"/>
  <c r="CJ6" i="24"/>
  <c r="CJ7" i="24" s="1"/>
  <c r="CF6" i="24"/>
  <c r="CD6" i="24"/>
  <c r="CD7" i="24" s="1"/>
  <c r="BZ6" i="24"/>
  <c r="BX6" i="24"/>
  <c r="BX7" i="24" s="1"/>
  <c r="BT6" i="24"/>
  <c r="BR6" i="24"/>
  <c r="BR7" i="24" s="1"/>
  <c r="BO6" i="24"/>
  <c r="BO7" i="24" s="1"/>
  <c r="BN6" i="24"/>
  <c r="BL6" i="24"/>
  <c r="BL7" i="24" s="1"/>
  <c r="BH6" i="24"/>
  <c r="BF6" i="24"/>
  <c r="BF7" i="24" s="1"/>
  <c r="BC6" i="24"/>
  <c r="BC7" i="24" s="1"/>
  <c r="BB6" i="24"/>
  <c r="AZ6" i="24"/>
  <c r="AZ7" i="24" s="1"/>
  <c r="M6" i="24"/>
  <c r="M7" i="24" s="1"/>
  <c r="I6" i="24"/>
  <c r="G6" i="24"/>
  <c r="G7" i="24" s="1"/>
  <c r="F6" i="24"/>
  <c r="D6" i="24"/>
  <c r="D7" i="24" s="1"/>
  <c r="DN5" i="24"/>
  <c r="DM5" i="24"/>
  <c r="DE5" i="24"/>
  <c r="CY5" i="24"/>
  <c r="CX5" i="24"/>
  <c r="CP5" i="24"/>
  <c r="CJ5" i="24"/>
  <c r="CF5" i="24"/>
  <c r="CD5" i="24"/>
  <c r="BZ5" i="24"/>
  <c r="BX5" i="24"/>
  <c r="BT5" i="24"/>
  <c r="BR5" i="24"/>
  <c r="BO5" i="24"/>
  <c r="BN5" i="24"/>
  <c r="BL5" i="24"/>
  <c r="BH5" i="24"/>
  <c r="BF5" i="24"/>
  <c r="BC5" i="24"/>
  <c r="BB5" i="24"/>
  <c r="AZ5" i="24"/>
  <c r="M5" i="24"/>
  <c r="I5" i="24"/>
  <c r="G5" i="24"/>
  <c r="F5" i="24"/>
  <c r="D5" i="24"/>
  <c r="DM4" i="24"/>
  <c r="DE4" i="24"/>
  <c r="CY4" i="24"/>
  <c r="CX4" i="24"/>
  <c r="CP4" i="24"/>
  <c r="CJ4" i="24"/>
  <c r="CF4" i="24"/>
  <c r="CD4" i="24"/>
  <c r="BZ4" i="24"/>
  <c r="BX4" i="24"/>
  <c r="BT4" i="24"/>
  <c r="BR4" i="24"/>
  <c r="BO4" i="24"/>
  <c r="BN4" i="24"/>
  <c r="BL4" i="24"/>
  <c r="BH4" i="24"/>
  <c r="BF4" i="24"/>
  <c r="BC4" i="24"/>
  <c r="BB4" i="24"/>
  <c r="AZ4" i="24"/>
  <c r="M4" i="24"/>
  <c r="I4" i="24"/>
  <c r="G4" i="24"/>
  <c r="F4" i="24"/>
  <c r="D4" i="24"/>
  <c r="X671" i="1" l="1"/>
  <c r="AE217" i="1"/>
  <c r="W217" i="1"/>
  <c r="X678" i="1"/>
  <c r="AH678" i="1"/>
  <c r="AI678" i="1" s="1"/>
  <c r="AE372" i="1"/>
  <c r="AH372" i="1" s="1"/>
  <c r="AI372" i="1" s="1"/>
  <c r="AE316" i="1"/>
  <c r="AH316" i="1" s="1"/>
  <c r="W663" i="1" l="1"/>
  <c r="X640" i="1"/>
  <c r="AD318" i="1"/>
  <c r="AE318" i="1" s="1"/>
  <c r="W318" i="1"/>
  <c r="AD317" i="1"/>
  <c r="W317" i="1" s="1"/>
  <c r="AD325" i="1"/>
  <c r="AD490" i="1"/>
  <c r="AE490" i="1" s="1"/>
  <c r="AC498" i="1"/>
  <c r="AD455" i="1"/>
  <c r="W455" i="1" s="1"/>
  <c r="AD454" i="1"/>
  <c r="W454" i="1" s="1"/>
  <c r="AD440" i="1"/>
  <c r="W440" i="1" s="1"/>
  <c r="AD324" i="1"/>
  <c r="W315" i="1"/>
  <c r="X315" i="1" s="1"/>
  <c r="AE484" i="1"/>
  <c r="AD386" i="1"/>
  <c r="AE386" i="1" s="1"/>
  <c r="AD483" i="1"/>
  <c r="AD478" i="1"/>
  <c r="AE478" i="1" s="1"/>
  <c r="AD474" i="1"/>
  <c r="W474" i="1" s="1"/>
  <c r="AC497" i="1"/>
  <c r="W314" i="1"/>
  <c r="X314" i="1" s="1"/>
  <c r="AD489" i="1"/>
  <c r="AE489" i="1" s="1"/>
  <c r="AD487" i="1"/>
  <c r="W487" i="1" s="1"/>
  <c r="AD385" i="1"/>
  <c r="AE385" i="1" s="1"/>
  <c r="AD482" i="1"/>
  <c r="AC496" i="1"/>
  <c r="F496" i="1"/>
  <c r="F498" i="1" s="1"/>
  <c r="AC398" i="1"/>
  <c r="F398" i="1"/>
  <c r="F399" i="1" s="1"/>
  <c r="AC437" i="1"/>
  <c r="AD453" i="1"/>
  <c r="W453" i="1" s="1"/>
  <c r="AD419" i="1"/>
  <c r="AD452" i="1"/>
  <c r="W452" i="1" s="1"/>
  <c r="AD472" i="1"/>
  <c r="W472" i="1" s="1"/>
  <c r="AD439" i="1"/>
  <c r="W439" i="1" s="1"/>
  <c r="AH218" i="1"/>
  <c r="AI218" i="1" s="1"/>
  <c r="AB217" i="1"/>
  <c r="AC435" i="1"/>
  <c r="W419" i="1" l="1"/>
  <c r="X419" i="1" s="1"/>
  <c r="AH439" i="1"/>
  <c r="AE474" i="1"/>
  <c r="AE487" i="1"/>
  <c r="W489" i="1"/>
  <c r="W490" i="1"/>
  <c r="AE483" i="1"/>
  <c r="W483" i="1"/>
  <c r="AE66" i="1"/>
  <c r="X66" i="1" s="1"/>
  <c r="Y66" i="1" s="1"/>
  <c r="W482" i="1"/>
  <c r="V482" i="1" s="1"/>
  <c r="AE482" i="1"/>
  <c r="AE660" i="1"/>
  <c r="X663" i="1"/>
  <c r="AE663" i="1"/>
  <c r="AG663" i="1" s="1"/>
  <c r="AH663" i="1" s="1"/>
  <c r="W642" i="1"/>
  <c r="X642" i="1" s="1"/>
  <c r="AD387" i="1"/>
  <c r="W387" i="1" s="1"/>
  <c r="AH314" i="1"/>
  <c r="W325" i="1"/>
  <c r="AE325" i="1"/>
  <c r="X328" i="1"/>
  <c r="AF328" i="1" s="1"/>
  <c r="AG328" i="1" s="1"/>
  <c r="AH328" i="1" s="1"/>
  <c r="AE480" i="1"/>
  <c r="X455" i="1"/>
  <c r="AE455" i="1"/>
  <c r="AG317" i="1"/>
  <c r="AE317" i="1"/>
  <c r="AH317" i="1" s="1"/>
  <c r="AH318" i="1"/>
  <c r="AH315" i="1"/>
  <c r="AE481" i="1"/>
  <c r="W324" i="1"/>
  <c r="X324" i="1" s="1"/>
  <c r="AE324" i="1"/>
  <c r="X327" i="1"/>
  <c r="AH327" i="1"/>
  <c r="AE454" i="1"/>
  <c r="X440" i="1"/>
  <c r="AE440" i="1"/>
  <c r="AD395" i="1"/>
  <c r="W395" i="1" s="1"/>
  <c r="AD434" i="1"/>
  <c r="W434" i="1" s="1"/>
  <c r="X434" i="1" s="1"/>
  <c r="AD496" i="1"/>
  <c r="AE496" i="1" s="1"/>
  <c r="W478" i="1"/>
  <c r="AD498" i="1"/>
  <c r="AE498" i="1" s="1"/>
  <c r="AD398" i="1"/>
  <c r="W386" i="1"/>
  <c r="AD437" i="1"/>
  <c r="AD497" i="1"/>
  <c r="W497" i="1" s="1"/>
  <c r="AH640" i="1"/>
  <c r="AI640" i="1" s="1"/>
  <c r="X453" i="1"/>
  <c r="AI453" i="1" s="1"/>
  <c r="AE453" i="1"/>
  <c r="X664" i="1"/>
  <c r="AE472" i="1"/>
  <c r="X472" i="1"/>
  <c r="AI472" i="1" s="1"/>
  <c r="X452" i="1"/>
  <c r="AI452" i="1" s="1"/>
  <c r="AE452" i="1"/>
  <c r="W385" i="1"/>
  <c r="X318" i="1"/>
  <c r="W484" i="1"/>
  <c r="X317" i="1"/>
  <c r="X217" i="1"/>
  <c r="X218" i="1"/>
  <c r="AD438" i="1"/>
  <c r="AD435" i="1"/>
  <c r="AE435" i="1" s="1"/>
  <c r="AE419" i="1" l="1"/>
  <c r="AF419" i="1" s="1"/>
  <c r="AH483" i="1"/>
  <c r="X439" i="1"/>
  <c r="AI439" i="1" s="1"/>
  <c r="AE395" i="1"/>
  <c r="AE437" i="1"/>
  <c r="W437" i="1"/>
  <c r="X437" i="1" s="1"/>
  <c r="AI664" i="1"/>
  <c r="X660" i="1"/>
  <c r="AH660" i="1" s="1"/>
  <c r="AI660" i="1" s="1"/>
  <c r="AE398" i="1"/>
  <c r="W398" i="1"/>
  <c r="AE387" i="1"/>
  <c r="AE438" i="1"/>
  <c r="W438" i="1"/>
  <c r="AI663" i="1"/>
  <c r="AH642" i="1"/>
  <c r="AI642" i="1" s="1"/>
  <c r="AH217" i="1"/>
  <c r="AI217" i="1" s="1"/>
  <c r="Y217" i="1"/>
  <c r="X387" i="1"/>
  <c r="W496" i="1"/>
  <c r="X496" i="1" s="1"/>
  <c r="AI327" i="1"/>
  <c r="AI315" i="1"/>
  <c r="AH324" i="1"/>
  <c r="AI324" i="1" s="1"/>
  <c r="AH454" i="1"/>
  <c r="AE434" i="1"/>
  <c r="AH434" i="1" s="1"/>
  <c r="AH325" i="1"/>
  <c r="X325" i="1"/>
  <c r="X481" i="1"/>
  <c r="AH481" i="1"/>
  <c r="X474" i="1"/>
  <c r="AH474" i="1"/>
  <c r="X385" i="1"/>
  <c r="AH385" i="1"/>
  <c r="AI317" i="1"/>
  <c r="X478" i="1"/>
  <c r="AH478" i="1"/>
  <c r="X487" i="1"/>
  <c r="AH487" i="1"/>
  <c r="X489" i="1"/>
  <c r="AH489" i="1"/>
  <c r="AH455" i="1"/>
  <c r="AI455" i="1" s="1"/>
  <c r="X454" i="1"/>
  <c r="AF454" i="1" s="1"/>
  <c r="AI328" i="1"/>
  <c r="X482" i="1"/>
  <c r="AH482" i="1"/>
  <c r="X484" i="1"/>
  <c r="AH484" i="1"/>
  <c r="AI314" i="1"/>
  <c r="X497" i="1"/>
  <c r="AE497" i="1"/>
  <c r="AF497" i="1" s="1"/>
  <c r="AG497" i="1" s="1"/>
  <c r="AH497" i="1" s="1"/>
  <c r="X386" i="1"/>
  <c r="AH386" i="1"/>
  <c r="AI318" i="1"/>
  <c r="X490" i="1"/>
  <c r="AH490" i="1"/>
  <c r="X480" i="1"/>
  <c r="AH480" i="1"/>
  <c r="AH440" i="1"/>
  <c r="AI440" i="1" s="1"/>
  <c r="AF440" i="1"/>
  <c r="AF452" i="1"/>
  <c r="W498" i="1"/>
  <c r="AF453" i="1"/>
  <c r="AF472" i="1"/>
  <c r="X483" i="1"/>
  <c r="AF455" i="1"/>
  <c r="W435" i="1"/>
  <c r="X435" i="1" s="1"/>
  <c r="W20" i="23"/>
  <c r="M20" i="23" s="1"/>
  <c r="W19" i="23"/>
  <c r="R19" i="23"/>
  <c r="Q19" i="23"/>
  <c r="M19" i="23"/>
  <c r="X19" i="23" s="1"/>
  <c r="Y19" i="23" s="1"/>
  <c r="W18" i="23"/>
  <c r="M18" i="23" s="1"/>
  <c r="W17" i="23"/>
  <c r="Q17" i="23"/>
  <c r="R17" i="23" s="1"/>
  <c r="M17" i="23"/>
  <c r="X17" i="23" s="1"/>
  <c r="Y17" i="23" s="1"/>
  <c r="AC436" i="1"/>
  <c r="AD649" i="1"/>
  <c r="AE649" i="1" s="1"/>
  <c r="W649" i="1" s="1"/>
  <c r="AD647" i="1"/>
  <c r="AD662" i="1"/>
  <c r="W662" i="1" s="1"/>
  <c r="AC504" i="1"/>
  <c r="AD463" i="1"/>
  <c r="W463" i="1" s="1"/>
  <c r="AD462" i="1"/>
  <c r="W462" i="1" s="1"/>
  <c r="AD444" i="1"/>
  <c r="W444" i="1" s="1"/>
  <c r="AD384" i="1"/>
  <c r="AC503" i="1"/>
  <c r="AC502" i="1"/>
  <c r="AD461" i="1"/>
  <c r="W461" i="1" s="1"/>
  <c r="AD460" i="1"/>
  <c r="W460" i="1" s="1"/>
  <c r="AD443" i="1"/>
  <c r="AD373" i="1"/>
  <c r="W373" i="1" s="1"/>
  <c r="X373" i="1" s="1"/>
  <c r="AD646" i="1"/>
  <c r="W646" i="1" s="1"/>
  <c r="W665" i="1"/>
  <c r="AD645" i="1"/>
  <c r="AE645" i="1" s="1"/>
  <c r="AD661" i="1"/>
  <c r="W661" i="1" s="1"/>
  <c r="AD320" i="1"/>
  <c r="AG320" i="1" s="1"/>
  <c r="AD488" i="1"/>
  <c r="AC501" i="1"/>
  <c r="AD459" i="1"/>
  <c r="AD458" i="1"/>
  <c r="AD442" i="1"/>
  <c r="W442" i="1" s="1"/>
  <c r="AD326" i="1"/>
  <c r="W326" i="1" s="1"/>
  <c r="AD383" i="1"/>
  <c r="W383" i="1" s="1"/>
  <c r="X383" i="1" s="1"/>
  <c r="AH383" i="1" s="1"/>
  <c r="AI383" i="1" s="1"/>
  <c r="AD479" i="1"/>
  <c r="W479" i="1" s="1"/>
  <c r="AD491" i="1"/>
  <c r="W491" i="1" s="1"/>
  <c r="AC499" i="1"/>
  <c r="F499" i="1"/>
  <c r="F500" i="1" s="1"/>
  <c r="F501" i="1" s="1"/>
  <c r="F502" i="1" s="1"/>
  <c r="F503" i="1" s="1"/>
  <c r="F504" i="1" s="1"/>
  <c r="AD457" i="1"/>
  <c r="W457" i="1" s="1"/>
  <c r="AD456" i="1"/>
  <c r="W456" i="1" s="1"/>
  <c r="AD441" i="1"/>
  <c r="W441" i="1" s="1"/>
  <c r="AE647" i="1" l="1"/>
  <c r="W647" i="1"/>
  <c r="AG66" i="1"/>
  <c r="AH66" i="1" s="1"/>
  <c r="AH395" i="1"/>
  <c r="AI483" i="1"/>
  <c r="X491" i="1"/>
  <c r="AH491" i="1" s="1"/>
  <c r="AI491" i="1" s="1"/>
  <c r="AE491" i="1"/>
  <c r="W488" i="1"/>
  <c r="X488" i="1" s="1"/>
  <c r="AH488" i="1" s="1"/>
  <c r="AI488" i="1" s="1"/>
  <c r="AE488" i="1"/>
  <c r="W458" i="1"/>
  <c r="AE458" i="1" s="1"/>
  <c r="W459" i="1"/>
  <c r="AE459" i="1" s="1"/>
  <c r="W443" i="1"/>
  <c r="AE443" i="1" s="1"/>
  <c r="AE646" i="1"/>
  <c r="W384" i="1"/>
  <c r="X384" i="1" s="1"/>
  <c r="AH384" i="1" s="1"/>
  <c r="AI384" i="1" s="1"/>
  <c r="AH398" i="1"/>
  <c r="AH438" i="1"/>
  <c r="AE661" i="1"/>
  <c r="AG661" i="1" s="1"/>
  <c r="AH661" i="1" s="1"/>
  <c r="X662" i="1"/>
  <c r="AE662" i="1"/>
  <c r="AG662" i="1" s="1"/>
  <c r="AH662" i="1" s="1"/>
  <c r="X665" i="1"/>
  <c r="AE665" i="1"/>
  <c r="AG665" i="1" s="1"/>
  <c r="AH665" i="1" s="1"/>
  <c r="AH387" i="1"/>
  <c r="AI387" i="1" s="1"/>
  <c r="AH496" i="1"/>
  <c r="AI496" i="1" s="1"/>
  <c r="AI487" i="1"/>
  <c r="AI454" i="1"/>
  <c r="X398" i="1"/>
  <c r="AI480" i="1"/>
  <c r="AI484" i="1"/>
  <c r="AI482" i="1"/>
  <c r="AI325" i="1"/>
  <c r="AI478" i="1"/>
  <c r="AI481" i="1"/>
  <c r="AI490" i="1"/>
  <c r="X498" i="1"/>
  <c r="AH498" i="1"/>
  <c r="AI386" i="1"/>
  <c r="AI489" i="1"/>
  <c r="AI474" i="1"/>
  <c r="AI385" i="1"/>
  <c r="X395" i="1"/>
  <c r="AH437" i="1"/>
  <c r="AI437" i="1" s="1"/>
  <c r="AI434" i="1"/>
  <c r="AH435" i="1"/>
  <c r="AI435" i="1" s="1"/>
  <c r="X438" i="1"/>
  <c r="AD396" i="1"/>
  <c r="W396" i="1" s="1"/>
  <c r="X396" i="1" s="1"/>
  <c r="N17" i="23"/>
  <c r="N19" i="23"/>
  <c r="S18" i="23"/>
  <c r="N18" i="23"/>
  <c r="X18" i="23"/>
  <c r="Y18" i="23" s="1"/>
  <c r="X20" i="23"/>
  <c r="Y20" i="23" s="1"/>
  <c r="N20" i="23"/>
  <c r="S19" i="23"/>
  <c r="AD502" i="1"/>
  <c r="AE502" i="1" s="1"/>
  <c r="AD504" i="1"/>
  <c r="AE504" i="1" s="1"/>
  <c r="AD503" i="1"/>
  <c r="AE503" i="1" s="1"/>
  <c r="AD436" i="1"/>
  <c r="W436" i="1" s="1"/>
  <c r="AE463" i="1"/>
  <c r="X463" i="1"/>
  <c r="AI463" i="1" s="1"/>
  <c r="AE460" i="1"/>
  <c r="X460" i="1"/>
  <c r="AI460" i="1" s="1"/>
  <c r="AE444" i="1"/>
  <c r="X444" i="1"/>
  <c r="AI444" i="1" s="1"/>
  <c r="AE461" i="1"/>
  <c r="X461" i="1"/>
  <c r="AI461" i="1" s="1"/>
  <c r="AE462" i="1"/>
  <c r="X462" i="1"/>
  <c r="AI462" i="1" s="1"/>
  <c r="X649" i="1"/>
  <c r="AH649" i="1" s="1"/>
  <c r="W320" i="1"/>
  <c r="AD499" i="1"/>
  <c r="AE499" i="1" s="1"/>
  <c r="AD501" i="1"/>
  <c r="AE501" i="1" s="1"/>
  <c r="AD500" i="1"/>
  <c r="AE479" i="1"/>
  <c r="AH479" i="1" s="1"/>
  <c r="X646" i="1"/>
  <c r="AE373" i="1"/>
  <c r="AH373" i="1" s="1"/>
  <c r="AI373" i="1" s="1"/>
  <c r="AE442" i="1"/>
  <c r="X442" i="1"/>
  <c r="AI442" i="1" s="1"/>
  <c r="AE441" i="1"/>
  <c r="X441" i="1"/>
  <c r="AI441" i="1" s="1"/>
  <c r="AE456" i="1"/>
  <c r="X456" i="1"/>
  <c r="AI456" i="1" s="1"/>
  <c r="W645" i="1"/>
  <c r="X645" i="1" s="1"/>
  <c r="AE457" i="1"/>
  <c r="X457" i="1"/>
  <c r="AI457" i="1" s="1"/>
  <c r="X479" i="1"/>
  <c r="AE326" i="1"/>
  <c r="AI326" i="1" s="1"/>
  <c r="X326" i="1"/>
  <c r="AH647" i="1" l="1"/>
  <c r="AI647" i="1" s="1"/>
  <c r="X647" i="1"/>
  <c r="W500" i="1"/>
  <c r="X500" i="1" s="1"/>
  <c r="AF500" i="1"/>
  <c r="AI395" i="1"/>
  <c r="X459" i="1"/>
  <c r="AI459" i="1" s="1"/>
  <c r="AH320" i="1"/>
  <c r="AI320" i="1" s="1"/>
  <c r="X443" i="1"/>
  <c r="AI443" i="1" s="1"/>
  <c r="X458" i="1"/>
  <c r="AI458" i="1" s="1"/>
  <c r="AH646" i="1"/>
  <c r="AI646" i="1" s="1"/>
  <c r="AI398" i="1"/>
  <c r="AI438" i="1"/>
  <c r="AH645" i="1"/>
  <c r="AI645" i="1" s="1"/>
  <c r="AI665" i="1"/>
  <c r="X661" i="1"/>
  <c r="AI662" i="1"/>
  <c r="AI498" i="1"/>
  <c r="AE396" i="1"/>
  <c r="AH396" i="1" s="1"/>
  <c r="AI396" i="1" s="1"/>
  <c r="W504" i="1"/>
  <c r="AH504" i="1" s="1"/>
  <c r="W502" i="1"/>
  <c r="X502" i="1" s="1"/>
  <c r="AE436" i="1"/>
  <c r="AH436" i="1" s="1"/>
  <c r="W503" i="1"/>
  <c r="AH503" i="1" s="1"/>
  <c r="W499" i="1"/>
  <c r="AH499" i="1" s="1"/>
  <c r="AF444" i="1"/>
  <c r="AF463" i="1"/>
  <c r="AF460" i="1"/>
  <c r="AF462" i="1"/>
  <c r="AF461" i="1"/>
  <c r="AI649" i="1"/>
  <c r="X436" i="1"/>
  <c r="AE320" i="1"/>
  <c r="X320" i="1"/>
  <c r="W501" i="1"/>
  <c r="X501" i="1" s="1"/>
  <c r="AF441" i="1"/>
  <c r="AH326" i="1"/>
  <c r="AF456" i="1"/>
  <c r="AF457" i="1"/>
  <c r="AF442" i="1"/>
  <c r="AI479" i="1"/>
  <c r="AH500" i="1" l="1"/>
  <c r="AI500" i="1" s="1"/>
  <c r="AF459" i="1"/>
  <c r="AF443" i="1"/>
  <c r="AF458" i="1"/>
  <c r="AI661" i="1"/>
  <c r="AH502" i="1"/>
  <c r="AI502" i="1" s="1"/>
  <c r="X503" i="1"/>
  <c r="AI503" i="1" s="1"/>
  <c r="X504" i="1"/>
  <c r="AI504" i="1" s="1"/>
  <c r="X499" i="1"/>
  <c r="AI499" i="1" s="1"/>
  <c r="AI436" i="1"/>
  <c r="AH501" i="1"/>
  <c r="AI501" i="1" s="1"/>
  <c r="AC505" i="1" l="1"/>
  <c r="F505" i="1"/>
  <c r="AD464" i="1"/>
  <c r="AD445" i="1"/>
  <c r="W445" i="1" s="1"/>
  <c r="N115" i="5"/>
  <c r="W464" i="1" l="1"/>
  <c r="X464" i="1" s="1"/>
  <c r="AI464" i="1" s="1"/>
  <c r="AE445" i="1"/>
  <c r="X445" i="1"/>
  <c r="AI445" i="1" s="1"/>
  <c r="AD505" i="1"/>
  <c r="AE505" i="1" s="1"/>
  <c r="L501" i="7"/>
  <c r="M501" i="7" s="1"/>
  <c r="L500" i="7"/>
  <c r="M500" i="7" s="1"/>
  <c r="L499" i="7"/>
  <c r="M499" i="7" s="1"/>
  <c r="L498" i="7"/>
  <c r="M498" i="7" s="1"/>
  <c r="L497" i="7"/>
  <c r="M497" i="7" s="1"/>
  <c r="L496" i="7"/>
  <c r="M496" i="7" s="1"/>
  <c r="L495" i="7"/>
  <c r="M495" i="7" s="1"/>
  <c r="L494" i="7"/>
  <c r="M494" i="7" s="1"/>
  <c r="M493" i="7"/>
  <c r="M492" i="7"/>
  <c r="M491" i="7"/>
  <c r="M490" i="7"/>
  <c r="O489" i="7"/>
  <c r="M489" i="7"/>
  <c r="O488" i="7"/>
  <c r="M488" i="7"/>
  <c r="M487" i="7"/>
  <c r="M486" i="7"/>
  <c r="M485" i="7"/>
  <c r="M484" i="7"/>
  <c r="L483" i="7"/>
  <c r="M483" i="7" s="1"/>
  <c r="M482" i="7"/>
  <c r="M481" i="7"/>
  <c r="M480" i="7"/>
  <c r="M479" i="7"/>
  <c r="M478" i="7"/>
  <c r="O477" i="7"/>
  <c r="M477" i="7"/>
  <c r="O476" i="7"/>
  <c r="M476" i="7"/>
  <c r="M475" i="7"/>
  <c r="M474" i="7"/>
  <c r="L473" i="7"/>
  <c r="M473" i="7" s="1"/>
  <c r="L472" i="7"/>
  <c r="M472" i="7" s="1"/>
  <c r="L471" i="7"/>
  <c r="M471" i="7" s="1"/>
  <c r="L470" i="7"/>
  <c r="M470" i="7" s="1"/>
  <c r="M469" i="7"/>
  <c r="O465" i="7"/>
  <c r="M465" i="7"/>
  <c r="O464" i="7"/>
  <c r="M464" i="7"/>
  <c r="M463" i="7"/>
  <c r="M462" i="7"/>
  <c r="M461" i="7"/>
  <c r="M460" i="7"/>
  <c r="L459" i="7"/>
  <c r="M459" i="7" s="1"/>
  <c r="M458" i="7"/>
  <c r="M457" i="7"/>
  <c r="O456" i="7"/>
  <c r="L456" i="7" s="1"/>
  <c r="M456" i="7" s="1"/>
  <c r="O455" i="7"/>
  <c r="L455" i="7" s="1"/>
  <c r="M455" i="7" s="1"/>
  <c r="O454" i="7"/>
  <c r="L454" i="7" s="1"/>
  <c r="M454" i="7" s="1"/>
  <c r="O453" i="7"/>
  <c r="M453" i="7"/>
  <c r="O452" i="7"/>
  <c r="M452" i="7"/>
  <c r="M451" i="7"/>
  <c r="M450" i="7"/>
  <c r="L449" i="7"/>
  <c r="M449" i="7" s="1"/>
  <c r="L448" i="7"/>
  <c r="M448" i="7" s="1"/>
  <c r="L447" i="7"/>
  <c r="M447" i="7" s="1"/>
  <c r="L446" i="7"/>
  <c r="M446" i="7" s="1"/>
  <c r="M445" i="7"/>
  <c r="O441" i="7"/>
  <c r="M441" i="7"/>
  <c r="O440" i="7"/>
  <c r="M440" i="7"/>
  <c r="M439" i="7"/>
  <c r="M438" i="7"/>
  <c r="M437" i="7"/>
  <c r="M436" i="7"/>
  <c r="L435" i="7"/>
  <c r="M435" i="7" s="1"/>
  <c r="M434" i="7"/>
  <c r="M433" i="7"/>
  <c r="O432" i="7"/>
  <c r="L432" i="7" s="1"/>
  <c r="M432" i="7" s="1"/>
  <c r="O431" i="7"/>
  <c r="L431" i="7" s="1"/>
  <c r="M431" i="7" s="1"/>
  <c r="O430" i="7"/>
  <c r="L430" i="7" s="1"/>
  <c r="M430" i="7" s="1"/>
  <c r="O429" i="7"/>
  <c r="M429" i="7"/>
  <c r="O428" i="7"/>
  <c r="M428" i="7"/>
  <c r="M427" i="7"/>
  <c r="M426" i="7"/>
  <c r="L425" i="7"/>
  <c r="M425" i="7" s="1"/>
  <c r="M424" i="7"/>
  <c r="L423" i="7"/>
  <c r="M423" i="7" s="1"/>
  <c r="L422" i="7"/>
  <c r="M422" i="7" s="1"/>
  <c r="M421" i="7"/>
  <c r="O420" i="7"/>
  <c r="L420" i="7" s="1"/>
  <c r="M420" i="7" s="1"/>
  <c r="O419" i="7"/>
  <c r="L419" i="7" s="1"/>
  <c r="M419" i="7" s="1"/>
  <c r="O418" i="7"/>
  <c r="L418" i="7" s="1"/>
  <c r="M418" i="7" s="1"/>
  <c r="O417" i="7"/>
  <c r="M417" i="7"/>
  <c r="O416" i="7"/>
  <c r="M416" i="7"/>
  <c r="M415" i="7"/>
  <c r="M414" i="7"/>
  <c r="L413" i="7"/>
  <c r="M413" i="7" s="1"/>
  <c r="L412" i="7"/>
  <c r="M412" i="7" s="1"/>
  <c r="L411" i="7"/>
  <c r="M411" i="7" s="1"/>
  <c r="L410" i="7"/>
  <c r="M410" i="7" s="1"/>
  <c r="M409" i="7"/>
  <c r="M408" i="7"/>
  <c r="M407" i="7"/>
  <c r="M406" i="7"/>
  <c r="O405" i="7"/>
  <c r="M405" i="7"/>
  <c r="O404" i="7"/>
  <c r="M404" i="7"/>
  <c r="M403" i="7"/>
  <c r="M402" i="7"/>
  <c r="L401" i="7"/>
  <c r="M401" i="7" s="1"/>
  <c r="L400" i="7"/>
  <c r="M400" i="7" s="1"/>
  <c r="L399" i="7"/>
  <c r="M399" i="7" s="1"/>
  <c r="L398" i="7"/>
  <c r="M398" i="7" s="1"/>
  <c r="M397" i="7"/>
  <c r="M396" i="7"/>
  <c r="M395" i="7"/>
  <c r="M394" i="7"/>
  <c r="O393" i="7"/>
  <c r="M393" i="7"/>
  <c r="O392" i="7"/>
  <c r="M392" i="7"/>
  <c r="M391" i="7"/>
  <c r="M390" i="7"/>
  <c r="L389" i="7"/>
  <c r="M389" i="7" s="1"/>
  <c r="L388" i="7"/>
  <c r="M388" i="7" s="1"/>
  <c r="L387" i="7"/>
  <c r="M387" i="7" s="1"/>
  <c r="L386" i="7"/>
  <c r="M386" i="7" s="1"/>
  <c r="M385" i="7"/>
  <c r="O384" i="7"/>
  <c r="L384" i="7" s="1"/>
  <c r="M384" i="7" s="1"/>
  <c r="O383" i="7"/>
  <c r="L383" i="7" s="1"/>
  <c r="M383" i="7" s="1"/>
  <c r="O382" i="7"/>
  <c r="L382" i="7" s="1"/>
  <c r="M382" i="7" s="1"/>
  <c r="O381" i="7"/>
  <c r="M381" i="7"/>
  <c r="O380" i="7"/>
  <c r="M380" i="7"/>
  <c r="M379" i="7"/>
  <c r="M378" i="7"/>
  <c r="L377" i="7"/>
  <c r="M377" i="7" s="1"/>
  <c r="L376" i="7"/>
  <c r="M376" i="7" s="1"/>
  <c r="L375" i="7"/>
  <c r="M375" i="7" s="1"/>
  <c r="L374" i="7"/>
  <c r="M374" i="7" s="1"/>
  <c r="M373" i="7"/>
  <c r="M372" i="7"/>
  <c r="M371" i="7"/>
  <c r="M370" i="7"/>
  <c r="O369" i="7"/>
  <c r="M369" i="7"/>
  <c r="O368" i="7"/>
  <c r="M368" i="7"/>
  <c r="M367" i="7"/>
  <c r="M366" i="7"/>
  <c r="L365" i="7"/>
  <c r="M365" i="7" s="1"/>
  <c r="L364" i="7"/>
  <c r="M364" i="7" s="1"/>
  <c r="L363" i="7"/>
  <c r="M363" i="7" s="1"/>
  <c r="L362" i="7"/>
  <c r="M362" i="7" s="1"/>
  <c r="M361" i="7"/>
  <c r="O360" i="7"/>
  <c r="L360" i="7" s="1"/>
  <c r="M360" i="7" s="1"/>
  <c r="O359" i="7"/>
  <c r="L359" i="7" s="1"/>
  <c r="M359" i="7" s="1"/>
  <c r="O358" i="7"/>
  <c r="L358" i="7" s="1"/>
  <c r="M358" i="7" s="1"/>
  <c r="O357" i="7"/>
  <c r="M357" i="7"/>
  <c r="O356" i="7"/>
  <c r="M356" i="7"/>
  <c r="M355" i="7"/>
  <c r="M354" i="7"/>
  <c r="L353" i="7"/>
  <c r="M353" i="7" s="1"/>
  <c r="L352" i="7"/>
  <c r="M352" i="7" s="1"/>
  <c r="L351" i="7"/>
  <c r="M351" i="7" s="1"/>
  <c r="L350" i="7"/>
  <c r="M350" i="7" s="1"/>
  <c r="M349" i="7"/>
  <c r="O348" i="7"/>
  <c r="L348" i="7" s="1"/>
  <c r="M348" i="7" s="1"/>
  <c r="O347" i="7"/>
  <c r="L347" i="7" s="1"/>
  <c r="M347" i="7" s="1"/>
  <c r="O346" i="7"/>
  <c r="L346" i="7" s="1"/>
  <c r="M346" i="7" s="1"/>
  <c r="O345" i="7"/>
  <c r="M345" i="7"/>
  <c r="O344" i="7"/>
  <c r="M344" i="7"/>
  <c r="M343" i="7"/>
  <c r="M342" i="7"/>
  <c r="L341" i="7"/>
  <c r="M341" i="7" s="1"/>
  <c r="L340" i="7"/>
  <c r="M340" i="7" s="1"/>
  <c r="L339" i="7"/>
  <c r="M339" i="7" s="1"/>
  <c r="L338" i="7"/>
  <c r="M338" i="7" s="1"/>
  <c r="M337" i="7"/>
  <c r="O336" i="7"/>
  <c r="L336" i="7" s="1"/>
  <c r="M336" i="7" s="1"/>
  <c r="O335" i="7"/>
  <c r="L335" i="7" s="1"/>
  <c r="M335" i="7" s="1"/>
  <c r="O334" i="7"/>
  <c r="L334" i="7" s="1"/>
  <c r="M334" i="7" s="1"/>
  <c r="O333" i="7"/>
  <c r="M333" i="7"/>
  <c r="O332" i="7"/>
  <c r="M332" i="7"/>
  <c r="M331" i="7"/>
  <c r="M330" i="7"/>
  <c r="L329" i="7"/>
  <c r="M329" i="7" s="1"/>
  <c r="L328" i="7"/>
  <c r="M328" i="7" s="1"/>
  <c r="L327" i="7"/>
  <c r="M327" i="7" s="1"/>
  <c r="L326" i="7"/>
  <c r="M326" i="7" s="1"/>
  <c r="M325" i="7"/>
  <c r="O324" i="7"/>
  <c r="L324" i="7" s="1"/>
  <c r="M324" i="7" s="1"/>
  <c r="O323" i="7"/>
  <c r="L323" i="7" s="1"/>
  <c r="M323" i="7" s="1"/>
  <c r="O322" i="7"/>
  <c r="L322" i="7" s="1"/>
  <c r="M322" i="7" s="1"/>
  <c r="O321" i="7"/>
  <c r="M321" i="7"/>
  <c r="O320" i="7"/>
  <c r="M320" i="7"/>
  <c r="M319" i="7"/>
  <c r="M318" i="7"/>
  <c r="L317" i="7"/>
  <c r="M317" i="7" s="1"/>
  <c r="L316" i="7"/>
  <c r="M316" i="7" s="1"/>
  <c r="L315" i="7"/>
  <c r="M315" i="7" s="1"/>
  <c r="L314" i="7"/>
  <c r="M314" i="7" s="1"/>
  <c r="M313" i="7"/>
  <c r="O312" i="7"/>
  <c r="L312" i="7" s="1"/>
  <c r="M312" i="7" s="1"/>
  <c r="O311" i="7"/>
  <c r="L311" i="7" s="1"/>
  <c r="M311" i="7" s="1"/>
  <c r="O310" i="7"/>
  <c r="L310" i="7" s="1"/>
  <c r="M310" i="7" s="1"/>
  <c r="O309" i="7"/>
  <c r="M309" i="7"/>
  <c r="O308" i="7"/>
  <c r="M308" i="7"/>
  <c r="M307" i="7"/>
  <c r="M306" i="7"/>
  <c r="L305" i="7"/>
  <c r="M305" i="7" s="1"/>
  <c r="L304" i="7"/>
  <c r="M304" i="7" s="1"/>
  <c r="L303" i="7"/>
  <c r="M303" i="7" s="1"/>
  <c r="L302" i="7"/>
  <c r="M302" i="7" s="1"/>
  <c r="M301" i="7"/>
  <c r="O300" i="7"/>
  <c r="L300" i="7" s="1"/>
  <c r="M300" i="7" s="1"/>
  <c r="O299" i="7"/>
  <c r="L299" i="7" s="1"/>
  <c r="M299" i="7" s="1"/>
  <c r="O298" i="7"/>
  <c r="L298" i="7" s="1"/>
  <c r="M298" i="7" s="1"/>
  <c r="O297" i="7"/>
  <c r="M297" i="7"/>
  <c r="O296" i="7"/>
  <c r="M296" i="7"/>
  <c r="M295" i="7"/>
  <c r="M294" i="7"/>
  <c r="L293" i="7"/>
  <c r="M293" i="7" s="1"/>
  <c r="L292" i="7"/>
  <c r="M292" i="7" s="1"/>
  <c r="L291" i="7"/>
  <c r="M291" i="7" s="1"/>
  <c r="L290" i="7"/>
  <c r="M290" i="7" s="1"/>
  <c r="M289" i="7"/>
  <c r="O288" i="7"/>
  <c r="L288" i="7" s="1"/>
  <c r="M288" i="7" s="1"/>
  <c r="O287" i="7"/>
  <c r="L287" i="7" s="1"/>
  <c r="M287" i="7" s="1"/>
  <c r="O286" i="7"/>
  <c r="L286" i="7" s="1"/>
  <c r="M286" i="7" s="1"/>
  <c r="O285" i="7"/>
  <c r="M285" i="7"/>
  <c r="O284" i="7"/>
  <c r="M284" i="7"/>
  <c r="M283" i="7"/>
  <c r="M282" i="7"/>
  <c r="L281" i="7"/>
  <c r="M281" i="7" s="1"/>
  <c r="L280" i="7"/>
  <c r="M280" i="7" s="1"/>
  <c r="L279" i="7"/>
  <c r="M279" i="7" s="1"/>
  <c r="L278" i="7"/>
  <c r="M278" i="7" s="1"/>
  <c r="M277" i="7"/>
  <c r="O276" i="7"/>
  <c r="L276" i="7" s="1"/>
  <c r="M276" i="7" s="1"/>
  <c r="O275" i="7"/>
  <c r="L275" i="7" s="1"/>
  <c r="M275" i="7" s="1"/>
  <c r="O274" i="7"/>
  <c r="L274" i="7" s="1"/>
  <c r="M274" i="7" s="1"/>
  <c r="O273" i="7"/>
  <c r="M273" i="7"/>
  <c r="Q272" i="7"/>
  <c r="O272" i="7"/>
  <c r="M272" i="7"/>
  <c r="M271" i="7"/>
  <c r="M270" i="7"/>
  <c r="L269" i="7"/>
  <c r="M269" i="7" s="1"/>
  <c r="L268" i="7"/>
  <c r="M268" i="7" s="1"/>
  <c r="L267" i="7"/>
  <c r="M267" i="7" s="1"/>
  <c r="L266" i="7"/>
  <c r="M266" i="7" s="1"/>
  <c r="M265" i="7"/>
  <c r="O264" i="7"/>
  <c r="L264" i="7" s="1"/>
  <c r="M264" i="7" s="1"/>
  <c r="O263" i="7"/>
  <c r="L263" i="7" s="1"/>
  <c r="M263" i="7" s="1"/>
  <c r="O262" i="7"/>
  <c r="L262" i="7" s="1"/>
  <c r="M262" i="7" s="1"/>
  <c r="O261" i="7"/>
  <c r="M261" i="7"/>
  <c r="O260" i="7"/>
  <c r="M260" i="7"/>
  <c r="M259" i="7"/>
  <c r="M258" i="7"/>
  <c r="L257" i="7"/>
  <c r="M257" i="7" s="1"/>
  <c r="L256" i="7"/>
  <c r="M256" i="7" s="1"/>
  <c r="L255" i="7"/>
  <c r="M255" i="7" s="1"/>
  <c r="L254" i="7"/>
  <c r="M254" i="7" s="1"/>
  <c r="M253" i="7"/>
  <c r="O252" i="7"/>
  <c r="L252" i="7" s="1"/>
  <c r="M252" i="7" s="1"/>
  <c r="O251" i="7"/>
  <c r="L251" i="7" s="1"/>
  <c r="M251" i="7" s="1"/>
  <c r="O250" i="7"/>
  <c r="L250" i="7" s="1"/>
  <c r="M250" i="7" s="1"/>
  <c r="O249" i="7"/>
  <c r="M249" i="7"/>
  <c r="O248" i="7"/>
  <c r="M248" i="7"/>
  <c r="M247" i="7"/>
  <c r="M246" i="7"/>
  <c r="L245" i="7"/>
  <c r="M245" i="7" s="1"/>
  <c r="L244" i="7"/>
  <c r="M244" i="7" s="1"/>
  <c r="L243" i="7"/>
  <c r="M243" i="7" s="1"/>
  <c r="L242" i="7"/>
  <c r="M242" i="7" s="1"/>
  <c r="M241" i="7"/>
  <c r="O240" i="7"/>
  <c r="L240" i="7" s="1"/>
  <c r="M240" i="7" s="1"/>
  <c r="O239" i="7"/>
  <c r="L239" i="7" s="1"/>
  <c r="M239" i="7" s="1"/>
  <c r="O238" i="7"/>
  <c r="L238" i="7" s="1"/>
  <c r="M238" i="7" s="1"/>
  <c r="O237" i="7"/>
  <c r="M237" i="7"/>
  <c r="O236" i="7"/>
  <c r="M236" i="7"/>
  <c r="M235" i="7"/>
  <c r="M234" i="7"/>
  <c r="L233" i="7"/>
  <c r="M233" i="7" s="1"/>
  <c r="L232" i="7"/>
  <c r="M232" i="7" s="1"/>
  <c r="L231" i="7"/>
  <c r="M231" i="7" s="1"/>
  <c r="L230" i="7"/>
  <c r="M230" i="7" s="1"/>
  <c r="M229" i="7"/>
  <c r="O228" i="7"/>
  <c r="L228" i="7" s="1"/>
  <c r="M228" i="7" s="1"/>
  <c r="O227" i="7"/>
  <c r="L227" i="7" s="1"/>
  <c r="M227" i="7" s="1"/>
  <c r="O226" i="7"/>
  <c r="L226" i="7" s="1"/>
  <c r="M226" i="7" s="1"/>
  <c r="O225" i="7"/>
  <c r="M225" i="7"/>
  <c r="O224" i="7"/>
  <c r="M224" i="7"/>
  <c r="M223" i="7"/>
  <c r="M222" i="7"/>
  <c r="L221" i="7"/>
  <c r="M221" i="7" s="1"/>
  <c r="L220" i="7"/>
  <c r="M220" i="7" s="1"/>
  <c r="L219" i="7"/>
  <c r="M219" i="7" s="1"/>
  <c r="L218" i="7"/>
  <c r="M218" i="7" s="1"/>
  <c r="M217" i="7"/>
  <c r="M216" i="7"/>
  <c r="M215" i="7"/>
  <c r="M214" i="7"/>
  <c r="O213" i="7"/>
  <c r="M213" i="7"/>
  <c r="O212" i="7"/>
  <c r="M212" i="7"/>
  <c r="M211" i="7"/>
  <c r="M210" i="7"/>
  <c r="L209" i="7"/>
  <c r="M209" i="7" s="1"/>
  <c r="L208" i="7"/>
  <c r="M208" i="7" s="1"/>
  <c r="L207" i="7"/>
  <c r="M207" i="7" s="1"/>
  <c r="L206" i="7"/>
  <c r="M206" i="7" s="1"/>
  <c r="M205" i="7"/>
  <c r="O204" i="7"/>
  <c r="L204" i="7" s="1"/>
  <c r="M204" i="7" s="1"/>
  <c r="O203" i="7"/>
  <c r="L203" i="7" s="1"/>
  <c r="M203" i="7" s="1"/>
  <c r="O202" i="7"/>
  <c r="L202" i="7" s="1"/>
  <c r="M202" i="7" s="1"/>
  <c r="O201" i="7"/>
  <c r="M201" i="7"/>
  <c r="O200" i="7"/>
  <c r="M200" i="7"/>
  <c r="M199" i="7"/>
  <c r="M198" i="7"/>
  <c r="L197" i="7"/>
  <c r="M197" i="7" s="1"/>
  <c r="L196" i="7"/>
  <c r="M196" i="7" s="1"/>
  <c r="L195" i="7"/>
  <c r="M195" i="7" s="1"/>
  <c r="L194" i="7"/>
  <c r="M194" i="7" s="1"/>
  <c r="M193" i="7"/>
  <c r="O192" i="7"/>
  <c r="L192" i="7" s="1"/>
  <c r="M192" i="7" s="1"/>
  <c r="O191" i="7"/>
  <c r="L191" i="7" s="1"/>
  <c r="M191" i="7" s="1"/>
  <c r="O190" i="7"/>
  <c r="L190" i="7" s="1"/>
  <c r="M190" i="7" s="1"/>
  <c r="O189" i="7"/>
  <c r="M189" i="7"/>
  <c r="O188" i="7"/>
  <c r="M188" i="7"/>
  <c r="M187" i="7"/>
  <c r="M186" i="7"/>
  <c r="L185" i="7"/>
  <c r="M185" i="7" s="1"/>
  <c r="L184" i="7"/>
  <c r="M184" i="7" s="1"/>
  <c r="L183" i="7"/>
  <c r="M183" i="7" s="1"/>
  <c r="L182" i="7"/>
  <c r="M182" i="7" s="1"/>
  <c r="M181" i="7"/>
  <c r="O180" i="7"/>
  <c r="L180" i="7" s="1"/>
  <c r="M180" i="7" s="1"/>
  <c r="O179" i="7"/>
  <c r="L179" i="7" s="1"/>
  <c r="M179" i="7" s="1"/>
  <c r="O178" i="7"/>
  <c r="L178" i="7" s="1"/>
  <c r="M178" i="7" s="1"/>
  <c r="O177" i="7"/>
  <c r="M177" i="7"/>
  <c r="O176" i="7"/>
  <c r="M176" i="7"/>
  <c r="M175" i="7"/>
  <c r="M174" i="7"/>
  <c r="L173" i="7"/>
  <c r="M173" i="7" s="1"/>
  <c r="L172" i="7"/>
  <c r="M172" i="7" s="1"/>
  <c r="L171" i="7"/>
  <c r="M171" i="7" s="1"/>
  <c r="L170" i="7"/>
  <c r="M170" i="7" s="1"/>
  <c r="M169" i="7"/>
  <c r="M168" i="7"/>
  <c r="M167" i="7"/>
  <c r="M166" i="7"/>
  <c r="O165" i="7"/>
  <c r="M165" i="7"/>
  <c r="O164" i="7"/>
  <c r="M164" i="7"/>
  <c r="M163" i="7"/>
  <c r="M162" i="7"/>
  <c r="L161" i="7"/>
  <c r="M161" i="7" s="1"/>
  <c r="L160" i="7"/>
  <c r="M160" i="7" s="1"/>
  <c r="L159" i="7"/>
  <c r="M159" i="7" s="1"/>
  <c r="L158" i="7"/>
  <c r="M158" i="7" s="1"/>
  <c r="M157" i="7"/>
  <c r="O156" i="7"/>
  <c r="L156" i="7" s="1"/>
  <c r="M156" i="7" s="1"/>
  <c r="O155" i="7"/>
  <c r="L155" i="7" s="1"/>
  <c r="M155" i="7" s="1"/>
  <c r="O154" i="7"/>
  <c r="L154" i="7" s="1"/>
  <c r="M154" i="7" s="1"/>
  <c r="O153" i="7"/>
  <c r="M153" i="7"/>
  <c r="O152" i="7"/>
  <c r="M152" i="7"/>
  <c r="M151" i="7"/>
  <c r="M150" i="7"/>
  <c r="L149" i="7"/>
  <c r="M149" i="7" s="1"/>
  <c r="L148" i="7"/>
  <c r="M148" i="7" s="1"/>
  <c r="L147" i="7"/>
  <c r="M147" i="7" s="1"/>
  <c r="L146" i="7"/>
  <c r="M146" i="7" s="1"/>
  <c r="M145" i="7"/>
  <c r="O144" i="7"/>
  <c r="L144" i="7" s="1"/>
  <c r="M144" i="7" s="1"/>
  <c r="O143" i="7"/>
  <c r="L143" i="7" s="1"/>
  <c r="M143" i="7" s="1"/>
  <c r="O142" i="7"/>
  <c r="L142" i="7" s="1"/>
  <c r="M142" i="7" s="1"/>
  <c r="O141" i="7"/>
  <c r="M141" i="7"/>
  <c r="O140" i="7"/>
  <c r="M140" i="7"/>
  <c r="M139" i="7"/>
  <c r="M138" i="7"/>
  <c r="L137" i="7"/>
  <c r="M137" i="7" s="1"/>
  <c r="L136" i="7"/>
  <c r="M136" i="7" s="1"/>
  <c r="L135" i="7"/>
  <c r="M135" i="7" s="1"/>
  <c r="L134" i="7"/>
  <c r="M134" i="7" s="1"/>
  <c r="M133" i="7"/>
  <c r="M132" i="7"/>
  <c r="M131" i="7"/>
  <c r="M130" i="7"/>
  <c r="O129" i="7"/>
  <c r="M129" i="7"/>
  <c r="O128" i="7"/>
  <c r="M128" i="7"/>
  <c r="M127" i="7"/>
  <c r="M126" i="7"/>
  <c r="O125" i="7"/>
  <c r="L125" i="7" s="1"/>
  <c r="M125" i="7" s="1"/>
  <c r="L124" i="7"/>
  <c r="M124" i="7" s="1"/>
  <c r="L123" i="7"/>
  <c r="M123" i="7" s="1"/>
  <c r="L122" i="7"/>
  <c r="M122" i="7" s="1"/>
  <c r="M121" i="7"/>
  <c r="O120" i="7"/>
  <c r="L120" i="7" s="1"/>
  <c r="M120" i="7" s="1"/>
  <c r="O119" i="7"/>
  <c r="L119" i="7" s="1"/>
  <c r="M119" i="7" s="1"/>
  <c r="O118" i="7"/>
  <c r="L118" i="7" s="1"/>
  <c r="M118" i="7" s="1"/>
  <c r="O117" i="7"/>
  <c r="M117" i="7"/>
  <c r="O116" i="7"/>
  <c r="M116" i="7"/>
  <c r="M115" i="7"/>
  <c r="M114" i="7"/>
  <c r="O113" i="7"/>
  <c r="L113" i="7" s="1"/>
  <c r="M113" i="7" s="1"/>
  <c r="L112" i="7"/>
  <c r="M112" i="7" s="1"/>
  <c r="L111" i="7"/>
  <c r="M111" i="7" s="1"/>
  <c r="L110" i="7"/>
  <c r="M110" i="7" s="1"/>
  <c r="M109" i="7"/>
  <c r="O108" i="7"/>
  <c r="L108" i="7" s="1"/>
  <c r="M108" i="7" s="1"/>
  <c r="O107" i="7"/>
  <c r="L107" i="7" s="1"/>
  <c r="M107" i="7" s="1"/>
  <c r="O106" i="7"/>
  <c r="L106" i="7" s="1"/>
  <c r="M106" i="7" s="1"/>
  <c r="O105" i="7"/>
  <c r="M105" i="7"/>
  <c r="O104" i="7"/>
  <c r="M104" i="7"/>
  <c r="M103" i="7"/>
  <c r="M102" i="7"/>
  <c r="O101" i="7"/>
  <c r="L101" i="7" s="1"/>
  <c r="M101" i="7" s="1"/>
  <c r="L100" i="7"/>
  <c r="M100" i="7" s="1"/>
  <c r="L99" i="7"/>
  <c r="M99" i="7" s="1"/>
  <c r="L98" i="7"/>
  <c r="M98" i="7" s="1"/>
  <c r="M97" i="7"/>
  <c r="O96" i="7"/>
  <c r="L96" i="7" s="1"/>
  <c r="M96" i="7" s="1"/>
  <c r="O95" i="7"/>
  <c r="L95" i="7" s="1"/>
  <c r="M95" i="7" s="1"/>
  <c r="O94" i="7"/>
  <c r="L94" i="7" s="1"/>
  <c r="M94" i="7" s="1"/>
  <c r="O93" i="7"/>
  <c r="M93" i="7"/>
  <c r="L92" i="7"/>
  <c r="M92" i="7" s="1"/>
  <c r="M91" i="7"/>
  <c r="M90" i="7"/>
  <c r="O89" i="7"/>
  <c r="L89" i="7" s="1"/>
  <c r="M89" i="7" s="1"/>
  <c r="L88" i="7"/>
  <c r="M88" i="7" s="1"/>
  <c r="L87" i="7"/>
  <c r="M87" i="7" s="1"/>
  <c r="L86" i="7"/>
  <c r="M86" i="7" s="1"/>
  <c r="O85" i="7"/>
  <c r="L85" i="7" s="1"/>
  <c r="M85" i="7" s="1"/>
  <c r="O84" i="7"/>
  <c r="L84" i="7" s="1"/>
  <c r="M84" i="7" s="1"/>
  <c r="O83" i="7"/>
  <c r="L83" i="7" s="1"/>
  <c r="M83" i="7" s="1"/>
  <c r="O82" i="7"/>
  <c r="L82" i="7" s="1"/>
  <c r="M82" i="7" s="1"/>
  <c r="L81" i="7"/>
  <c r="M81" i="7" s="1"/>
  <c r="L80" i="7"/>
  <c r="M80" i="7" s="1"/>
  <c r="M79" i="7"/>
  <c r="M78" i="7"/>
  <c r="O77" i="7"/>
  <c r="L77" i="7" s="1"/>
  <c r="M77" i="7" s="1"/>
  <c r="L76" i="7"/>
  <c r="M76" i="7" s="1"/>
  <c r="L75" i="7"/>
  <c r="M75" i="7" s="1"/>
  <c r="L74" i="7"/>
  <c r="M74" i="7" s="1"/>
  <c r="O73" i="7"/>
  <c r="L73" i="7" s="1"/>
  <c r="M73" i="7" s="1"/>
  <c r="O72" i="7"/>
  <c r="L72" i="7" s="1"/>
  <c r="M72" i="7" s="1"/>
  <c r="O71" i="7"/>
  <c r="L71" i="7" s="1"/>
  <c r="M71" i="7" s="1"/>
  <c r="O70" i="7"/>
  <c r="L70" i="7" s="1"/>
  <c r="M70" i="7" s="1"/>
  <c r="L69" i="7"/>
  <c r="M69" i="7" s="1"/>
  <c r="L68" i="7"/>
  <c r="M68" i="7" s="1"/>
  <c r="M67" i="7"/>
  <c r="M66" i="7"/>
  <c r="O65" i="7"/>
  <c r="L65" i="7" s="1"/>
  <c r="M65" i="7" s="1"/>
  <c r="L64" i="7"/>
  <c r="M64" i="7" s="1"/>
  <c r="L63" i="7"/>
  <c r="M63" i="7" s="1"/>
  <c r="L62" i="7"/>
  <c r="M62" i="7" s="1"/>
  <c r="O61" i="7"/>
  <c r="L61" i="7" s="1"/>
  <c r="M61" i="7" s="1"/>
  <c r="O60" i="7"/>
  <c r="L60" i="7" s="1"/>
  <c r="M60" i="7" s="1"/>
  <c r="O59" i="7"/>
  <c r="L59" i="7" s="1"/>
  <c r="M59" i="7" s="1"/>
  <c r="O58" i="7"/>
  <c r="L58" i="7" s="1"/>
  <c r="M58" i="7" s="1"/>
  <c r="L57" i="7"/>
  <c r="M57" i="7" s="1"/>
  <c r="L56" i="7"/>
  <c r="M56" i="7" s="1"/>
  <c r="M55" i="7"/>
  <c r="M54" i="7"/>
  <c r="O53" i="7"/>
  <c r="L53" i="7" s="1"/>
  <c r="M53" i="7" s="1"/>
  <c r="L52" i="7"/>
  <c r="M52" i="7" s="1"/>
  <c r="L51" i="7"/>
  <c r="M51" i="7" s="1"/>
  <c r="L50" i="7"/>
  <c r="M50" i="7" s="1"/>
  <c r="O49" i="7"/>
  <c r="L49" i="7" s="1"/>
  <c r="M49" i="7" s="1"/>
  <c r="O48" i="7"/>
  <c r="L48" i="7" s="1"/>
  <c r="M48" i="7" s="1"/>
  <c r="O47" i="7"/>
  <c r="L47" i="7" s="1"/>
  <c r="M47" i="7" s="1"/>
  <c r="O46" i="7"/>
  <c r="L46" i="7" s="1"/>
  <c r="M46" i="7" s="1"/>
  <c r="L45" i="7"/>
  <c r="M45" i="7" s="1"/>
  <c r="L44" i="7"/>
  <c r="M44" i="7" s="1"/>
  <c r="M43" i="7"/>
  <c r="M42" i="7"/>
  <c r="E42" i="7"/>
  <c r="E43" i="7" s="1"/>
  <c r="O41" i="7"/>
  <c r="L41" i="7" s="1"/>
  <c r="M41" i="7" s="1"/>
  <c r="L40" i="7"/>
  <c r="M40" i="7" s="1"/>
  <c r="L39" i="7"/>
  <c r="M39" i="7" s="1"/>
  <c r="L38" i="7"/>
  <c r="M38" i="7" s="1"/>
  <c r="G35" i="7"/>
  <c r="G36" i="7" s="1"/>
  <c r="F35" i="7"/>
  <c r="F36" i="7" s="1"/>
  <c r="G34" i="7"/>
  <c r="F34" i="7"/>
  <c r="Q33" i="7"/>
  <c r="Q34" i="7" s="1"/>
  <c r="P33" i="7"/>
  <c r="P34" i="7" s="1"/>
  <c r="O33" i="7"/>
  <c r="O34" i="7" s="1"/>
  <c r="M33" i="7"/>
  <c r="M34" i="7" s="1"/>
  <c r="L33" i="7"/>
  <c r="L34" i="7" s="1"/>
  <c r="K33" i="7"/>
  <c r="K34" i="7" s="1"/>
  <c r="J33" i="7"/>
  <c r="J34" i="7" s="1"/>
  <c r="I33" i="7"/>
  <c r="I34" i="7" s="1"/>
  <c r="F33" i="7"/>
  <c r="Q32" i="7"/>
  <c r="P32" i="7"/>
  <c r="O32" i="7"/>
  <c r="N32" i="7"/>
  <c r="M32" i="7"/>
  <c r="L32" i="7"/>
  <c r="K32" i="7"/>
  <c r="J32" i="7"/>
  <c r="I32" i="7"/>
  <c r="Q31" i="7"/>
  <c r="P31" i="7"/>
  <c r="O31" i="7"/>
  <c r="M31" i="7"/>
  <c r="M36" i="7" s="1"/>
  <c r="L31" i="7"/>
  <c r="L36" i="7" s="1"/>
  <c r="K31" i="7"/>
  <c r="K36" i="7" s="1"/>
  <c r="J31" i="7"/>
  <c r="J36" i="7" s="1"/>
  <c r="I31" i="7"/>
  <c r="I36" i="7" s="1"/>
  <c r="AF28" i="7"/>
  <c r="DU6" i="7"/>
  <c r="DM6" i="7"/>
  <c r="DM7" i="7" s="1"/>
  <c r="DG6" i="7"/>
  <c r="DG7" i="7" s="1"/>
  <c r="DF6" i="7"/>
  <c r="CX6" i="7"/>
  <c r="CX7" i="7" s="1"/>
  <c r="CR6" i="7"/>
  <c r="CR7" i="7" s="1"/>
  <c r="CN6" i="7"/>
  <c r="CL6" i="7"/>
  <c r="CL7" i="7" s="1"/>
  <c r="CH6" i="7"/>
  <c r="CF6" i="7"/>
  <c r="CF7" i="7" s="1"/>
  <c r="CB6" i="7"/>
  <c r="BZ6" i="7"/>
  <c r="BZ7" i="7" s="1"/>
  <c r="BW6" i="7"/>
  <c r="BW7" i="7" s="1"/>
  <c r="BV6" i="7"/>
  <c r="BT6" i="7"/>
  <c r="BT7" i="7" s="1"/>
  <c r="BP6" i="7"/>
  <c r="BN6" i="7"/>
  <c r="BN7" i="7" s="1"/>
  <c r="BK6" i="7"/>
  <c r="BK7" i="7" s="1"/>
  <c r="BJ6" i="7"/>
  <c r="BH6" i="7"/>
  <c r="BH7" i="7" s="1"/>
  <c r="U6" i="7"/>
  <c r="U7" i="7" s="1"/>
  <c r="Q6" i="7"/>
  <c r="O6" i="7"/>
  <c r="O7" i="7" s="1"/>
  <c r="N6" i="7"/>
  <c r="L6" i="7"/>
  <c r="L7" i="7" s="1"/>
  <c r="DV5" i="7"/>
  <c r="DU5" i="7"/>
  <c r="DM5" i="7"/>
  <c r="DG5" i="7"/>
  <c r="DF5" i="7"/>
  <c r="CX5" i="7"/>
  <c r="CR5" i="7"/>
  <c r="CN5" i="7"/>
  <c r="CL5" i="7"/>
  <c r="CH5" i="7"/>
  <c r="CF5" i="7"/>
  <c r="CB5" i="7"/>
  <c r="BZ5" i="7"/>
  <c r="BW5" i="7"/>
  <c r="BV5" i="7"/>
  <c r="BT5" i="7"/>
  <c r="BP5" i="7"/>
  <c r="BN5" i="7"/>
  <c r="BK5" i="7"/>
  <c r="BJ5" i="7"/>
  <c r="BH5" i="7"/>
  <c r="U5" i="7"/>
  <c r="Q5" i="7"/>
  <c r="O5" i="7"/>
  <c r="N5" i="7"/>
  <c r="L5" i="7"/>
  <c r="DU4" i="7"/>
  <c r="DM4" i="7"/>
  <c r="DG4" i="7"/>
  <c r="DF4" i="7"/>
  <c r="CX4" i="7"/>
  <c r="CR4" i="7"/>
  <c r="CN4" i="7"/>
  <c r="CL4" i="7"/>
  <c r="CH4" i="7"/>
  <c r="CF4" i="7"/>
  <c r="CB4" i="7"/>
  <c r="BZ4" i="7"/>
  <c r="BW4" i="7"/>
  <c r="BV4" i="7"/>
  <c r="BT4" i="7"/>
  <c r="BP4" i="7"/>
  <c r="BN4" i="7"/>
  <c r="BK4" i="7"/>
  <c r="BJ4" i="7"/>
  <c r="BH4" i="7"/>
  <c r="U4" i="7"/>
  <c r="Q4" i="7"/>
  <c r="O4" i="7"/>
  <c r="N4" i="7"/>
  <c r="L4" i="7"/>
  <c r="AE464" i="1" l="1"/>
  <c r="AF464" i="1" s="1"/>
  <c r="AF445" i="1"/>
  <c r="W505" i="1"/>
  <c r="X505" i="1" s="1"/>
  <c r="G20" i="19"/>
  <c r="G29" i="19"/>
  <c r="G38" i="19"/>
  <c r="G47" i="19"/>
  <c r="B155" i="20"/>
  <c r="B146" i="20"/>
  <c r="B137" i="20"/>
  <c r="B128" i="20"/>
  <c r="B119" i="20"/>
  <c r="B110" i="20"/>
  <c r="B101" i="20"/>
  <c r="B92" i="20"/>
  <c r="B83" i="20"/>
  <c r="B74" i="20"/>
  <c r="B65" i="20"/>
  <c r="B56" i="20"/>
  <c r="B47" i="20"/>
  <c r="B38" i="20"/>
  <c r="B29" i="20"/>
  <c r="B20" i="20"/>
  <c r="AH505" i="1" l="1"/>
  <c r="AI505" i="1" s="1"/>
  <c r="AJ27" i="14"/>
  <c r="AD27" i="14"/>
  <c r="W27" i="14"/>
  <c r="P27" i="14"/>
  <c r="I27" i="14"/>
  <c r="C27" i="14"/>
  <c r="AB6" i="13"/>
  <c r="AA6" i="13"/>
  <c r="K6" i="13"/>
  <c r="J6" i="13"/>
  <c r="O6" i="13" s="1"/>
  <c r="AB5" i="13"/>
  <c r="AA5" i="13"/>
  <c r="K5" i="13"/>
  <c r="J5" i="13"/>
  <c r="AB4" i="13"/>
  <c r="AA4" i="13"/>
  <c r="K4" i="13"/>
  <c r="J4" i="13"/>
  <c r="AB3" i="13"/>
  <c r="AG3" i="13" s="1"/>
  <c r="AA3" i="13"/>
  <c r="K3" i="13"/>
  <c r="J3" i="13"/>
  <c r="O3" i="13" s="1"/>
  <c r="AG4" i="13" l="1"/>
  <c r="AG6" i="13"/>
  <c r="O5" i="13"/>
  <c r="AG5" i="13"/>
  <c r="O4" i="13"/>
  <c r="P6" i="13"/>
  <c r="P4" i="13"/>
  <c r="AF6" i="13"/>
  <c r="P5" i="13"/>
  <c r="P3" i="13"/>
  <c r="AF3" i="13"/>
  <c r="AF4" i="13"/>
  <c r="AF5" i="13"/>
  <c r="G47" i="12" l="1"/>
  <c r="G38" i="12"/>
  <c r="G29" i="12"/>
  <c r="G20" i="12"/>
  <c r="G17" i="11" l="1"/>
  <c r="G8" i="11"/>
  <c r="H11" i="10"/>
  <c r="H10" i="10"/>
  <c r="H6" i="10"/>
  <c r="H5" i="10"/>
  <c r="H4" i="10"/>
  <c r="H3" i="10"/>
  <c r="AD651" i="1" l="1"/>
  <c r="AE651" i="1" s="1"/>
  <c r="W651" i="1" s="1"/>
  <c r="AD650" i="1"/>
  <c r="AC507" i="1"/>
  <c r="AD465" i="1"/>
  <c r="W465" i="1" s="1"/>
  <c r="AD446" i="1"/>
  <c r="AD702" i="1"/>
  <c r="W702" i="1" s="1"/>
  <c r="AE650" i="1" l="1"/>
  <c r="W650" i="1"/>
  <c r="W446" i="1"/>
  <c r="X446" i="1" s="1"/>
  <c r="AI446" i="1" s="1"/>
  <c r="X651" i="1"/>
  <c r="AE465" i="1"/>
  <c r="X465" i="1"/>
  <c r="AI465" i="1" s="1"/>
  <c r="AD507" i="1"/>
  <c r="AE507" i="1" s="1"/>
  <c r="AI651" i="1"/>
  <c r="X702" i="1"/>
  <c r="X335" i="1"/>
  <c r="W332" i="1"/>
  <c r="X332" i="1" s="1"/>
  <c r="W338" i="1"/>
  <c r="X338" i="1" s="1"/>
  <c r="AD652" i="1"/>
  <c r="AE652" i="1" s="1"/>
  <c r="AC510" i="1"/>
  <c r="AD468" i="1"/>
  <c r="W468" i="1" s="1"/>
  <c r="AD449" i="1"/>
  <c r="W449" i="1" s="1"/>
  <c r="AD470" i="1"/>
  <c r="W470" i="1" s="1"/>
  <c r="AH651" i="1" l="1"/>
  <c r="AE446" i="1"/>
  <c r="AF446" i="1" s="1"/>
  <c r="AH702" i="1"/>
  <c r="AE470" i="1"/>
  <c r="AF470" i="1" s="1"/>
  <c r="AI335" i="1"/>
  <c r="X650" i="1"/>
  <c r="W507" i="1"/>
  <c r="X507" i="1" s="1"/>
  <c r="AI650" i="1"/>
  <c r="AF465" i="1"/>
  <c r="W652" i="1"/>
  <c r="AD510" i="1"/>
  <c r="W510" i="1" s="1"/>
  <c r="X510" i="1" s="1"/>
  <c r="AE449" i="1"/>
  <c r="X449" i="1"/>
  <c r="AI449" i="1" s="1"/>
  <c r="X468" i="1"/>
  <c r="AI468" i="1" s="1"/>
  <c r="AE468" i="1"/>
  <c r="AD451" i="1"/>
  <c r="W451" i="1" s="1"/>
  <c r="AC313" i="1"/>
  <c r="AD313" i="1" s="1"/>
  <c r="W313" i="1" s="1"/>
  <c r="X313" i="1" s="1"/>
  <c r="AC485" i="1"/>
  <c r="AD485" i="1" s="1"/>
  <c r="W485" i="1" s="1"/>
  <c r="X485" i="1" s="1"/>
  <c r="AH485" i="1" s="1"/>
  <c r="AI485" i="1" s="1"/>
  <c r="AC511" i="1"/>
  <c r="AD469" i="1"/>
  <c r="AD450" i="1"/>
  <c r="W450" i="1" s="1"/>
  <c r="AD471" i="1"/>
  <c r="W471" i="1" s="1"/>
  <c r="AC509" i="1"/>
  <c r="AD467" i="1"/>
  <c r="W467" i="1" s="1"/>
  <c r="AD448" i="1"/>
  <c r="W448" i="1" s="1"/>
  <c r="AE471" i="1" l="1"/>
  <c r="W469" i="1"/>
  <c r="AE469" i="1" s="1"/>
  <c r="AH470" i="1"/>
  <c r="X470" i="1"/>
  <c r="AH650" i="1"/>
  <c r="X652" i="1"/>
  <c r="AH507" i="1"/>
  <c r="AI507" i="1" s="1"/>
  <c r="AI652" i="1"/>
  <c r="AF468" i="1"/>
  <c r="AE510" i="1"/>
  <c r="AH510" i="1" s="1"/>
  <c r="AI510" i="1" s="1"/>
  <c r="AF449" i="1"/>
  <c r="AD509" i="1"/>
  <c r="AE509" i="1" s="1"/>
  <c r="AD511" i="1"/>
  <c r="AE511" i="1" s="1"/>
  <c r="AE451" i="1"/>
  <c r="X451" i="1"/>
  <c r="AI451" i="1" s="1"/>
  <c r="AE485" i="1"/>
  <c r="AE450" i="1"/>
  <c r="X450" i="1"/>
  <c r="AI450" i="1" s="1"/>
  <c r="AE313" i="1"/>
  <c r="AH313" i="1" s="1"/>
  <c r="AE448" i="1"/>
  <c r="X448" i="1"/>
  <c r="AI448" i="1" s="1"/>
  <c r="AE467" i="1"/>
  <c r="X467" i="1"/>
  <c r="AI467" i="1" s="1"/>
  <c r="X469" i="1" l="1"/>
  <c r="AI469" i="1" s="1"/>
  <c r="X471" i="1"/>
  <c r="AI471" i="1" s="1"/>
  <c r="AI470" i="1"/>
  <c r="AH652" i="1"/>
  <c r="W509" i="1"/>
  <c r="AH509" i="1" s="1"/>
  <c r="W511" i="1"/>
  <c r="AF450" i="1"/>
  <c r="AF451" i="1"/>
  <c r="AF467" i="1"/>
  <c r="AF448" i="1"/>
  <c r="AF469" i="1" l="1"/>
  <c r="AF471" i="1"/>
  <c r="X511" i="1"/>
  <c r="X509" i="1"/>
  <c r="AI509" i="1" s="1"/>
  <c r="AH511" i="1"/>
  <c r="AI511" i="1" l="1"/>
  <c r="AD466" i="1"/>
  <c r="W466" i="1" l="1"/>
  <c r="X466" i="1" s="1"/>
  <c r="AI466" i="1" s="1"/>
  <c r="W705" i="1"/>
  <c r="AE466" i="1" l="1"/>
  <c r="AF466" i="1" s="1"/>
  <c r="AD447" i="1" l="1"/>
  <c r="X697" i="1"/>
  <c r="X705" i="1"/>
  <c r="AB704" i="1"/>
  <c r="AD704" i="1" s="1"/>
  <c r="W704" i="1" s="1"/>
  <c r="X704" i="1" s="1"/>
  <c r="W447" i="1" l="1"/>
  <c r="X447" i="1" s="1"/>
  <c r="AI447" i="1" s="1"/>
  <c r="AE447" i="1" l="1"/>
  <c r="AF447" i="1" s="1"/>
  <c r="AD292" i="1" l="1"/>
  <c r="W292" i="1" s="1"/>
  <c r="AC508" i="1"/>
  <c r="AH292" i="1" l="1"/>
  <c r="X292" i="1"/>
  <c r="AD508" i="1"/>
  <c r="AE508" i="1" s="1"/>
  <c r="AI292" i="1" l="1"/>
  <c r="W508" i="1"/>
  <c r="X508" i="1" l="1"/>
  <c r="AH508" i="1"/>
  <c r="AI508" i="1" l="1"/>
  <c r="AC506" i="1"/>
  <c r="F506" i="1"/>
  <c r="F507" i="1" s="1"/>
  <c r="F508" i="1" s="1"/>
  <c r="F509" i="1" s="1"/>
  <c r="F510" i="1" s="1"/>
  <c r="F511" i="1" s="1"/>
  <c r="AD506" i="1" l="1"/>
  <c r="W506" i="1" s="1"/>
  <c r="AD397" i="1"/>
  <c r="W397" i="1" s="1"/>
  <c r="AE397" i="1" l="1"/>
  <c r="X506" i="1"/>
  <c r="AE506" i="1"/>
  <c r="AH506" i="1" s="1"/>
  <c r="X397" i="1" l="1"/>
  <c r="AH397" i="1"/>
  <c r="AI506" i="1"/>
  <c r="AI397" i="1" l="1"/>
  <c r="I128" i="8" l="1"/>
  <c r="D140" i="8"/>
  <c r="D125" i="8"/>
  <c r="C115" i="8"/>
  <c r="B115" i="8"/>
  <c r="E77" i="8"/>
  <c r="E33" i="8"/>
  <c r="E32" i="8"/>
  <c r="E28" i="8"/>
  <c r="E24" i="8"/>
  <c r="F24" i="8" s="1"/>
  <c r="P147" i="5"/>
  <c r="P145" i="5"/>
  <c r="Q140" i="5"/>
  <c r="K136" i="5"/>
  <c r="D135" i="5"/>
  <c r="K134" i="5"/>
  <c r="G134" i="5"/>
  <c r="N129" i="5"/>
  <c r="N130" i="5" s="1"/>
  <c r="J129" i="5"/>
  <c r="E128" i="5"/>
  <c r="D128" i="5"/>
  <c r="D129" i="5" s="1"/>
  <c r="F116" i="5"/>
  <c r="D112" i="5"/>
  <c r="E112" i="5" s="1"/>
  <c r="F112" i="5" s="1"/>
  <c r="K109" i="5"/>
  <c r="D102" i="5"/>
  <c r="F100" i="5"/>
  <c r="D100" i="5"/>
  <c r="I99" i="5"/>
  <c r="F99" i="5"/>
  <c r="D99" i="5"/>
  <c r="I98" i="5"/>
  <c r="F98" i="5"/>
  <c r="D98" i="5"/>
  <c r="I97" i="5"/>
  <c r="F97" i="5"/>
  <c r="D97" i="5"/>
  <c r="I96" i="5"/>
  <c r="F96" i="5"/>
  <c r="D96" i="5"/>
  <c r="I95" i="5"/>
  <c r="F95" i="5"/>
  <c r="D95" i="5"/>
  <c r="I94" i="5"/>
  <c r="F94" i="5"/>
  <c r="D94" i="5"/>
  <c r="I93" i="5"/>
  <c r="F93" i="5"/>
  <c r="D93" i="5"/>
  <c r="I92" i="5"/>
  <c r="F92" i="5"/>
  <c r="D92" i="5"/>
  <c r="I91" i="5"/>
  <c r="F91" i="5"/>
  <c r="D91" i="5"/>
  <c r="I90" i="5"/>
  <c r="F90" i="5"/>
  <c r="D90" i="5"/>
  <c r="M89" i="5"/>
  <c r="L89" i="5"/>
  <c r="I89" i="5"/>
  <c r="F89" i="5"/>
  <c r="D89" i="5"/>
  <c r="I88" i="5"/>
  <c r="F88" i="5"/>
  <c r="D88" i="5"/>
  <c r="I87" i="5"/>
  <c r="F87" i="5"/>
  <c r="D87" i="5"/>
  <c r="I86" i="5"/>
  <c r="F86" i="5"/>
  <c r="D86" i="5"/>
  <c r="I85" i="5"/>
  <c r="F85" i="5"/>
  <c r="D85" i="5"/>
  <c r="I84" i="5"/>
  <c r="F84" i="5"/>
  <c r="D84" i="5"/>
  <c r="B84" i="5"/>
  <c r="L83" i="5"/>
  <c r="I83" i="5"/>
  <c r="F83" i="5"/>
  <c r="D83" i="5"/>
  <c r="I82" i="5"/>
  <c r="F82" i="5"/>
  <c r="D82" i="5"/>
  <c r="I81" i="5"/>
  <c r="F81" i="5"/>
  <c r="D81" i="5"/>
  <c r="I80" i="5"/>
  <c r="F80" i="5"/>
  <c r="D80" i="5"/>
  <c r="I79" i="5"/>
  <c r="F79" i="5"/>
  <c r="D79" i="5"/>
  <c r="I78" i="5"/>
  <c r="F78" i="5"/>
  <c r="D78" i="5"/>
  <c r="I77" i="5"/>
  <c r="F77" i="5"/>
  <c r="D77" i="5"/>
  <c r="I76" i="5"/>
  <c r="F76" i="5"/>
  <c r="D76" i="5"/>
  <c r="I75" i="5"/>
  <c r="F75" i="5"/>
  <c r="D75" i="5"/>
  <c r="D73" i="5"/>
  <c r="G70" i="5"/>
  <c r="H66" i="5"/>
  <c r="G54" i="5"/>
  <c r="G55" i="5" s="1"/>
  <c r="G56" i="5" s="1"/>
  <c r="H53" i="5"/>
  <c r="I53" i="5" s="1"/>
  <c r="G53" i="5"/>
  <c r="H50" i="5"/>
  <c r="G50" i="5"/>
  <c r="H47" i="5"/>
  <c r="H45" i="5"/>
  <c r="H46" i="5" s="1"/>
  <c r="E45" i="5"/>
  <c r="H44" i="5"/>
  <c r="I44" i="5" s="1"/>
  <c r="L43" i="5"/>
  <c r="L44" i="5" s="1"/>
  <c r="H43" i="5"/>
  <c r="D43" i="5"/>
  <c r="O38" i="5"/>
  <c r="G28" i="5"/>
  <c r="I23" i="5"/>
  <c r="E26" i="5"/>
  <c r="C15" i="5" s="1"/>
  <c r="I24" i="5"/>
  <c r="F24" i="5"/>
  <c r="F23" i="5"/>
  <c r="F22" i="5"/>
  <c r="C22" i="5"/>
  <c r="I21" i="5"/>
  <c r="F21" i="5"/>
  <c r="C21" i="5"/>
  <c r="I20" i="5"/>
  <c r="F20" i="5"/>
  <c r="C20" i="5"/>
  <c r="I19" i="5"/>
  <c r="F19" i="5"/>
  <c r="C19" i="5"/>
  <c r="I18" i="5"/>
  <c r="F18" i="5"/>
  <c r="C18" i="5"/>
  <c r="F17" i="5"/>
  <c r="F15" i="5"/>
  <c r="D15" i="5"/>
  <c r="D16" i="5" s="1"/>
  <c r="I13" i="5"/>
  <c r="F13" i="5"/>
  <c r="F11" i="5"/>
  <c r="C11" i="5"/>
  <c r="F9" i="5"/>
  <c r="C9" i="5"/>
  <c r="F7" i="5"/>
  <c r="C7" i="5"/>
  <c r="I6" i="5"/>
  <c r="J3" i="5"/>
  <c r="K2" i="5"/>
  <c r="J2" i="5"/>
  <c r="C5" i="5" l="1"/>
  <c r="I9" i="5"/>
  <c r="I11" i="5"/>
  <c r="I15" i="5"/>
  <c r="I7" i="5"/>
  <c r="I5" i="5"/>
  <c r="C10" i="5"/>
  <c r="C12" i="5"/>
  <c r="C14" i="5"/>
  <c r="I22" i="5"/>
  <c r="F5" i="5"/>
  <c r="C16" i="5"/>
  <c r="F10" i="5"/>
  <c r="F16" i="5"/>
  <c r="C8" i="5"/>
  <c r="F12" i="5"/>
  <c r="F14" i="5"/>
  <c r="C6" i="5"/>
  <c r="F8" i="5"/>
  <c r="I10" i="5"/>
  <c r="I12" i="5"/>
  <c r="I14" i="5"/>
  <c r="I16" i="5"/>
  <c r="F6" i="5"/>
  <c r="I8" i="5"/>
  <c r="C13" i="5"/>
  <c r="E94" i="8"/>
  <c r="E97" i="8" s="1"/>
  <c r="F97" i="8" s="1"/>
  <c r="E53" i="8"/>
  <c r="E96" i="8" s="1"/>
  <c r="F96" i="8" s="1"/>
  <c r="D141" i="8"/>
  <c r="E141" i="8" s="1"/>
  <c r="D45" i="5"/>
  <c r="D46" i="5" s="1"/>
  <c r="D47" i="5" s="1"/>
  <c r="F53" i="8" l="1"/>
  <c r="E98" i="8"/>
  <c r="F98" i="8" s="1"/>
  <c r="AH584" i="1" l="1"/>
  <c r="AI584" i="1" s="1"/>
  <c r="X289" i="1"/>
  <c r="Y248" i="1" s="1"/>
  <c r="X716" i="1" s="1"/>
  <c r="AH35" i="1" l="1"/>
  <c r="AE243" i="1" l="1"/>
  <c r="AE244" i="1"/>
  <c r="AE242" i="1"/>
  <c r="X136" i="1" l="1"/>
  <c r="Y136" i="1" s="1"/>
  <c r="X108" i="1" l="1"/>
  <c r="AH108" i="1" l="1"/>
  <c r="Y108" i="1"/>
  <c r="AH716" i="1"/>
  <c r="W718" i="1"/>
  <c r="AD43" i="1" l="1"/>
  <c r="AE43" i="1" s="1"/>
  <c r="W43" i="1" s="1"/>
  <c r="X43" i="1" l="1"/>
  <c r="AF43" i="1"/>
  <c r="AG43" i="1" l="1"/>
  <c r="AH43" i="1" s="1"/>
  <c r="Y43" i="1"/>
  <c r="X718" i="1" l="1"/>
  <c r="P7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tc={29AD33EA-B0A6-4884-A087-07B09A9E624A}</author>
    <author>tc={0756B72A-B84E-472F-AB83-BE5689ADBA97}</author>
    <author>tc={0DCD1C14-B024-44C8-A06A-D372C8D09EAA}</author>
  </authors>
  <commentList>
    <comment ref="Z249" authorId="0" shapeId="0" xr:uid="{29AD33EA-B0A6-4884-A087-07B09A9E624A}">
      <text>
        <t>[Threaded comment]
Your version of Excel allows you to read this threaded comment; however, any edits to it will get removed if the file is opened in a newer version of Excel. Learn more: https://go.microsoft.com/fwlink/?linkid=870924
Comment:
    78094093 - ETW4-BB5-HW 4.5 x 4.5 (4 - 28 Ga. wires)</t>
      </text>
    </comment>
    <comment ref="Z353" authorId="1" shapeId="0" xr:uid="{0756B72A-B84E-472F-AB83-BE5689ADBA97}">
      <text>
        <t xml:space="preserve">[Threaded comment]
Your version of Excel allows you to read this threaded comment; however, any edits to it will get removed if the file is opened in a newer version of Excel. Learn more: https://go.microsoft.com/fwlink/?linkid=870924
Comment:
    2026 PRICE INCREASE
</t>
      </text>
    </comment>
    <comment ref="B602" authorId="2" shapeId="0" xr:uid="{0DCD1C14-B024-44C8-A06A-D372C8D09EAA}">
      <text>
        <t>[Threaded comment]
Your version of Excel allows you to read this threaded comment; however, any edits to it will get removed if the file is opened in a newer version of Excel. Learn more: https://go.microsoft.com/fwlink/?linkid=870924
Comment:
    PEMKO 242 HINGE SIDE
PEMKO 312 S/APPLIED
P 385 FOAM BLOCK
12” P381 ON STOP AT LOCK FOAM BLOCK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tc={E3176B9A-5F44-4A79-8602-F2D20EAFB285}</author>
  </authors>
  <commentList>
    <comment ref="O5" authorId="0" shapeId="0" xr:uid="{E3176B9A-5F44-4A79-8602-F2D20EAFB285}">
      <text>
        <t xml:space="preserve">[Threaded comment]
Your version of Excel allows you to read this threaded comment; however, any edits to it will get removed if the file is opened in a newer version of Excel. Learn more: https://go.microsoft.com/fwlink/?linkid=870924
Comment:
    NAME OR RFQ NUMBER,    /   SOME DRIVER OF DESCRIPTIONS THAT NARROW SELECTION FIELD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Hunt</author>
    <author>Hunt, Eric</author>
  </authors>
  <commentList>
    <comment ref="C16" authorId="0" shapeId="0" xr:uid="{054F064A-29A8-4782-B6F8-EF5BE37E8467}">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16" authorId="0" shapeId="0" xr:uid="{5610F23A-AC92-436E-86A2-211A711CD298}">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16" authorId="0" shapeId="0" xr:uid="{2E04043A-C413-442D-85B4-F2083F8A8D57}">
      <text>
        <r>
          <rPr>
            <b/>
            <sz val="9"/>
            <color indexed="81"/>
            <rFont val="Tahoma"/>
            <family val="2"/>
          </rPr>
          <t xml:space="preserve">Material
</t>
        </r>
        <r>
          <rPr>
            <sz val="9"/>
            <color indexed="81"/>
            <rFont val="Tahoma"/>
            <family val="2"/>
          </rPr>
          <t xml:space="preserve">C    CRS (COLD ROLLED STEEL)
G    GALV (GALVANNEALED)
</t>
        </r>
      </text>
    </comment>
    <comment ref="F16" authorId="0" shapeId="0" xr:uid="{8AFFFC04-B13B-4CB0-ABF3-548916FA7D3D}">
      <text>
        <r>
          <rPr>
            <b/>
            <sz val="9"/>
            <color indexed="81"/>
            <rFont val="Tahoma"/>
            <family val="2"/>
          </rPr>
          <t xml:space="preserve">Thickness
</t>
        </r>
        <r>
          <rPr>
            <sz val="9"/>
            <color indexed="81"/>
            <rFont val="Tahoma"/>
            <family val="2"/>
          </rPr>
          <t>1-3/4" THICK DOOR
1-3/8" THICK DOOR
SPL    DOOR THICKNESS (TO 2-1/2")
~ Left Blank = 1-3/4"</t>
        </r>
      </text>
    </comment>
    <comment ref="G16" authorId="0" shapeId="0" xr:uid="{E9AC43E8-0144-4D77-A18D-4DCA09D080EA}">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16" authorId="0" shapeId="0" xr:uid="{CE66DAF1-FA10-49F4-9DE9-8AE8DE4EC0FD}">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16" authorId="0" shapeId="0" xr:uid="{93884120-AB7A-474C-BDB4-4EC07D46EF85}">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16" authorId="0" shapeId="0" xr:uid="{B7225F31-91E0-4F0F-B6C7-82263A293D63}">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16" authorId="0" shapeId="0" xr:uid="{9FAF7555-9769-4DD0-B6BB-AD7A0E8C1845}">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16" authorId="0" shapeId="0" xr:uid="{FBCFE13B-FCD4-4983-9B11-1D921B382C5C}">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16" authorId="0" shapeId="0" xr:uid="{AB5821D3-B40A-4631-B6CB-CA75BDFEA227}">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16" authorId="0" shapeId="0" xr:uid="{3B5ED41A-1A32-4467-9935-A7BE6DC445D2}">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16" authorId="0" shapeId="0" xr:uid="{DA221FB3-498D-4F4E-9683-FA6C2E5EE249}">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16" authorId="0" shapeId="0" xr:uid="{AC4C8A3F-7E39-4A04-A50E-BB1613A6E2C8}">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16" authorId="0" shapeId="0" xr:uid="{1A46E61C-1FF7-4DF7-8FE2-D158D92E2D9B}">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16" authorId="0" shapeId="0" xr:uid="{CC71B7FD-5B5E-4963-B7BC-32A2314D6008}">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16" authorId="0" shapeId="0" xr:uid="{D6FF9B6C-4FE9-422D-80C7-6EB9DA6876DD}">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16" authorId="0" shapeId="0" xr:uid="{15473A07-9A56-4A3A-8650-3BA752067FDC}">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16" authorId="0" shapeId="0" xr:uid="{F4B8A4BE-6272-4E1F-B8B2-A40C0664B72A}">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16" authorId="0" shapeId="0" xr:uid="{D247D914-0831-4DE2-B944-A13AB1D5992C}">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16" authorId="1" shapeId="0" xr:uid="{6A3CC7E8-24EA-4E34-BC66-9AFA6556C92A}">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18" authorId="1" shapeId="0" xr:uid="{55C40073-4793-42EA-94DB-700619D41E4A}">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18" authorId="1" shapeId="0" xr:uid="{C85CA663-A2EB-470A-9BD6-B3F721386EA5}">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18" authorId="1" shapeId="0" xr:uid="{B485AF9F-8E66-4F0D-AD9A-F058B752A93A}">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18" authorId="1" shapeId="0" xr:uid="{2C2D9EEC-344D-42A7-B001-140916181283}">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18" authorId="1" shapeId="0" xr:uid="{121ED215-BF85-4D74-BB9B-714AF26010AE}">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18" authorId="1" shapeId="0" xr:uid="{69B88863-4170-42BA-BCAF-173E9C25AB56}">
      <text>
        <r>
          <rPr>
            <b/>
            <sz val="9"/>
            <color indexed="81"/>
            <rFont val="Tahoma"/>
            <family val="2"/>
          </rPr>
          <t xml:space="preserve">Material
</t>
        </r>
        <r>
          <rPr>
            <sz val="9"/>
            <color indexed="81"/>
            <rFont val="Tahoma"/>
            <family val="2"/>
          </rPr>
          <t xml:space="preserve">MYL    MYLAR LABEL
MET    METAL LABEL
</t>
        </r>
      </text>
    </comment>
    <comment ref="AA18" authorId="1" shapeId="0" xr:uid="{4C889341-38EF-421B-B7FE-7F9C8EF0FE03}">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19" authorId="1" shapeId="0" xr:uid="{DE51E3A9-735D-4A56-BC87-CFE0487C8B1C}">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20" authorId="1" shapeId="0" xr:uid="{D63A8CC4-1876-4742-BD28-FFD2DE3A47E1}">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21" authorId="1" shapeId="0" xr:uid="{B00A3062-2F27-4D3C-9D50-98038BE3B07F}">
      <text>
        <r>
          <rPr>
            <b/>
            <sz val="9"/>
            <color indexed="81"/>
            <rFont val="Tahoma"/>
            <family val="2"/>
          </rPr>
          <t xml:space="preserve">Lock - MANUFACTURER:
</t>
        </r>
        <r>
          <rPr>
            <sz val="9"/>
            <color indexed="81"/>
            <rFont val="Tahoma"/>
            <family val="2"/>
          </rPr>
          <t xml:space="preserve">Enter Lock Manufacturer
</t>
        </r>
      </text>
    </comment>
    <comment ref="S21" authorId="1" shapeId="0" xr:uid="{36940DE2-9C3D-4AED-B99B-5CA1FEE93B2F}">
      <text>
        <r>
          <rPr>
            <b/>
            <sz val="9"/>
            <color indexed="81"/>
            <rFont val="Tahoma"/>
            <family val="2"/>
          </rPr>
          <t xml:space="preserve">2nd Deadlock:
</t>
        </r>
        <r>
          <rPr>
            <sz val="9"/>
            <color indexed="81"/>
            <rFont val="Tahoma"/>
            <family val="2"/>
          </rPr>
          <t xml:space="preserve">Mfg &amp; Device Number
</t>
        </r>
      </text>
    </comment>
    <comment ref="Y21" authorId="0" shapeId="0" xr:uid="{4EF17B6C-D598-4CA3-9DEC-46D81386170C}">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22" authorId="1" shapeId="0" xr:uid="{BA9AF7D7-86F2-4067-A438-F0537F468259}">
      <text>
        <r>
          <rPr>
            <b/>
            <sz val="9"/>
            <color indexed="81"/>
            <rFont val="Tahoma"/>
            <family val="2"/>
          </rPr>
          <t xml:space="preserve">Lock - DEVICE:
</t>
        </r>
        <r>
          <rPr>
            <sz val="9"/>
            <color indexed="81"/>
            <rFont val="Tahoma"/>
            <family val="2"/>
          </rPr>
          <t xml:space="preserve">Enter Device Number
</t>
        </r>
      </text>
    </comment>
    <comment ref="M23" authorId="1" shapeId="0" xr:uid="{DB60F94A-FD9D-431A-BCE5-B24E03BC9188}">
      <text>
        <r>
          <rPr>
            <b/>
            <sz val="9"/>
            <color indexed="81"/>
            <rFont val="Tahoma"/>
            <family val="2"/>
          </rPr>
          <t xml:space="preserve">Lock - TRIM:
</t>
        </r>
        <r>
          <rPr>
            <sz val="9"/>
            <color indexed="81"/>
            <rFont val="Tahoma"/>
            <family val="2"/>
          </rPr>
          <t xml:space="preserve">Enter Trim Code (or "NA" if not applicable)
</t>
        </r>
      </text>
    </comment>
    <comment ref="M24" authorId="1" shapeId="0" xr:uid="{78B75A24-344C-48B2-88B1-5A2F6F70280C}">
      <text>
        <r>
          <rPr>
            <b/>
            <sz val="9"/>
            <color indexed="81"/>
            <rFont val="Tahoma"/>
            <family val="2"/>
          </rPr>
          <t xml:space="preserve">MULLION:
</t>
        </r>
        <r>
          <rPr>
            <sz val="9"/>
            <color indexed="81"/>
            <rFont val="Tahoma"/>
            <family val="2"/>
          </rPr>
          <t>Enter Mullion Type (or "NA" if not applicable)</t>
        </r>
      </text>
    </comment>
    <comment ref="C25" authorId="0" shapeId="0" xr:uid="{9E7DC9AD-F707-4131-BA60-4D3D98B3758A}">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25" authorId="0" shapeId="0" xr:uid="{B611F801-542B-4584-AC0E-9E5FABBF982A}">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25" authorId="0" shapeId="0" xr:uid="{65705A68-3195-4F7B-94AF-6DE2DA9C8E58}">
      <text>
        <r>
          <rPr>
            <b/>
            <sz val="9"/>
            <color indexed="81"/>
            <rFont val="Tahoma"/>
            <family val="2"/>
          </rPr>
          <t xml:space="preserve">Material
</t>
        </r>
        <r>
          <rPr>
            <sz val="9"/>
            <color indexed="81"/>
            <rFont val="Tahoma"/>
            <family val="2"/>
          </rPr>
          <t xml:space="preserve">C    CRS (COLD ROLLED STEEL)
G    GALV (GALVANNEALED)
</t>
        </r>
      </text>
    </comment>
    <comment ref="F25" authorId="0" shapeId="0" xr:uid="{79AD2A77-F20A-4E4A-9E23-CC74342C371A}">
      <text>
        <r>
          <rPr>
            <b/>
            <sz val="9"/>
            <color indexed="81"/>
            <rFont val="Tahoma"/>
            <family val="2"/>
          </rPr>
          <t xml:space="preserve">Thickness
</t>
        </r>
        <r>
          <rPr>
            <sz val="9"/>
            <color indexed="81"/>
            <rFont val="Tahoma"/>
            <family val="2"/>
          </rPr>
          <t>1-3/4" THICK DOOR
1-3/8" THICK DOOR
SPL    DOOR THICKNESS (TO 2-1/2")
~ Left Blank = 1-3/4"</t>
        </r>
      </text>
    </comment>
    <comment ref="G25" authorId="0" shapeId="0" xr:uid="{1144E9F0-C8CD-4942-B0AC-15D929181464}">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25" authorId="0" shapeId="0" xr:uid="{CA826A0F-E710-45AF-BDCA-176A1D9F1430}">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25" authorId="0" shapeId="0" xr:uid="{935A620B-5E8C-442A-B409-AEF5829E4C6B}">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25" authorId="0" shapeId="0" xr:uid="{6D84255E-9B2F-4FE8-AD77-9234DA11DBA6}">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25" authorId="0" shapeId="0" xr:uid="{3CE08A77-8A46-4C0E-BFE0-AE69C23CFA3D}">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25" authorId="0" shapeId="0" xr:uid="{66A35B0A-FE24-4F0D-842F-4C83E7B7C99F}">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25" authorId="0" shapeId="0" xr:uid="{A905434C-5431-4AAD-BF2A-C5550C19A41E}">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25" authorId="0" shapeId="0" xr:uid="{05BB5969-B52B-4D10-AD68-154FA15A795C}">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25" authorId="0" shapeId="0" xr:uid="{6A7B8CAB-C789-432D-802B-50EA3DA75E1B}">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25" authorId="0" shapeId="0" xr:uid="{379B2D29-F11D-4550-A9B2-1C7CDA88BEB1}">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25" authorId="0" shapeId="0" xr:uid="{0F0B0DA3-860B-4685-BBBF-0A91FA24318B}">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25" authorId="0" shapeId="0" xr:uid="{ECF64301-2E60-447D-9FCF-79E94225A222}">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25" authorId="0" shapeId="0" xr:uid="{5BA75A5F-2237-4D1D-89C4-1167900365F9}">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25" authorId="0" shapeId="0" xr:uid="{D88FF91C-DA6D-45D3-A90A-55B1D853D6B2}">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25" authorId="0" shapeId="0" xr:uid="{9E044188-FEEA-4E0D-B14F-AAC725496AF2}">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25" authorId="0" shapeId="0" xr:uid="{1E8A3C9E-7D24-4DFE-903F-BDC4C49799C8}">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25" authorId="1" shapeId="0" xr:uid="{93F5C7CF-AA31-45DF-88F6-4DC41B85D198}">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27" authorId="1" shapeId="0" xr:uid="{DF4FE218-7F43-4756-8842-8A42F273B82A}">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27" authorId="1" shapeId="0" xr:uid="{4407B160-B413-4E00-9472-ACF74873CE65}">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27" authorId="1" shapeId="0" xr:uid="{BF4CE61B-5727-4AC6-8F81-CDD5F2A15CC5}">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27" authorId="1" shapeId="0" xr:uid="{CEFA8DF1-6D26-4A13-9F6D-B87286E94228}">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27" authorId="1" shapeId="0" xr:uid="{ABB35E31-9E96-4F3F-8DBE-078F250867D7}">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27" authorId="1" shapeId="0" xr:uid="{31EBB23F-7ECB-46D2-B890-3AF4514568BB}">
      <text>
        <r>
          <rPr>
            <b/>
            <sz val="9"/>
            <color indexed="81"/>
            <rFont val="Tahoma"/>
            <family val="2"/>
          </rPr>
          <t xml:space="preserve">Material
</t>
        </r>
        <r>
          <rPr>
            <sz val="9"/>
            <color indexed="81"/>
            <rFont val="Tahoma"/>
            <family val="2"/>
          </rPr>
          <t xml:space="preserve">MYL    MYLAR LABEL
MET    METAL LABEL
</t>
        </r>
      </text>
    </comment>
    <comment ref="AA27" authorId="1" shapeId="0" xr:uid="{4F85FF89-E68F-4035-81E8-598607853AA9}">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28" authorId="1" shapeId="0" xr:uid="{9DB7FD01-3AF7-49B7-921F-1AAD5698DC95}">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29" authorId="1" shapeId="0" xr:uid="{E20653CD-5EA4-4D44-967C-0FEB8DC33837}">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30" authorId="1" shapeId="0" xr:uid="{64D215E5-8257-41D3-B6A4-C86DD44D567C}">
      <text>
        <r>
          <rPr>
            <b/>
            <sz val="9"/>
            <color indexed="81"/>
            <rFont val="Tahoma"/>
            <family val="2"/>
          </rPr>
          <t xml:space="preserve">Lock - MANUFACTURER:
</t>
        </r>
        <r>
          <rPr>
            <sz val="9"/>
            <color indexed="81"/>
            <rFont val="Tahoma"/>
            <family val="2"/>
          </rPr>
          <t xml:space="preserve">Enter Lock Manufacturer
</t>
        </r>
      </text>
    </comment>
    <comment ref="S30" authorId="1" shapeId="0" xr:uid="{DA38DE8E-830D-420D-90A6-2C0303A8DBDF}">
      <text>
        <r>
          <rPr>
            <b/>
            <sz val="9"/>
            <color indexed="81"/>
            <rFont val="Tahoma"/>
            <family val="2"/>
          </rPr>
          <t xml:space="preserve">2nd Deadlock:
</t>
        </r>
        <r>
          <rPr>
            <sz val="9"/>
            <color indexed="81"/>
            <rFont val="Tahoma"/>
            <family val="2"/>
          </rPr>
          <t xml:space="preserve">Mfg &amp; Device Number
</t>
        </r>
      </text>
    </comment>
    <comment ref="Y30" authorId="0" shapeId="0" xr:uid="{9D6C7B0D-67E2-475E-AC0D-82B1A3718BA0}">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31" authorId="1" shapeId="0" xr:uid="{8AF3F2B9-5636-4D63-9570-20B86137873D}">
      <text>
        <r>
          <rPr>
            <b/>
            <sz val="9"/>
            <color indexed="81"/>
            <rFont val="Tahoma"/>
            <family val="2"/>
          </rPr>
          <t xml:space="preserve">Lock - DEVICE:
</t>
        </r>
        <r>
          <rPr>
            <sz val="9"/>
            <color indexed="81"/>
            <rFont val="Tahoma"/>
            <family val="2"/>
          </rPr>
          <t xml:space="preserve">Enter Device Number
</t>
        </r>
      </text>
    </comment>
    <comment ref="M32" authorId="1" shapeId="0" xr:uid="{31B9BCF9-61E3-412C-951A-6BC246A77989}">
      <text>
        <r>
          <rPr>
            <b/>
            <sz val="9"/>
            <color indexed="81"/>
            <rFont val="Tahoma"/>
            <family val="2"/>
          </rPr>
          <t xml:space="preserve">Lock - TRIM:
</t>
        </r>
        <r>
          <rPr>
            <sz val="9"/>
            <color indexed="81"/>
            <rFont val="Tahoma"/>
            <family val="2"/>
          </rPr>
          <t xml:space="preserve">Enter Trim Code (or "NA" if not applicable)
</t>
        </r>
      </text>
    </comment>
    <comment ref="M33" authorId="1" shapeId="0" xr:uid="{FE8ABF07-EE9B-410F-A9CB-A4237147D917}">
      <text>
        <r>
          <rPr>
            <b/>
            <sz val="9"/>
            <color indexed="81"/>
            <rFont val="Tahoma"/>
            <family val="2"/>
          </rPr>
          <t xml:space="preserve">MULLION:
</t>
        </r>
        <r>
          <rPr>
            <sz val="9"/>
            <color indexed="81"/>
            <rFont val="Tahoma"/>
            <family val="2"/>
          </rPr>
          <t>Enter Mullion Type (or "NA" if not applicable)</t>
        </r>
      </text>
    </comment>
    <comment ref="C34" authorId="0" shapeId="0" xr:uid="{60F8C1E4-62A7-4466-8B60-2CD30DF037B6}">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34" authorId="0" shapeId="0" xr:uid="{3564A336-5918-421E-9363-B18B82A26276}">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34" authorId="0" shapeId="0" xr:uid="{21AF0AB0-1D1E-4CD9-A1A6-CE9B29A17F72}">
      <text>
        <r>
          <rPr>
            <b/>
            <sz val="9"/>
            <color indexed="81"/>
            <rFont val="Tahoma"/>
            <family val="2"/>
          </rPr>
          <t xml:space="preserve">Material
</t>
        </r>
        <r>
          <rPr>
            <sz val="9"/>
            <color indexed="81"/>
            <rFont val="Tahoma"/>
            <family val="2"/>
          </rPr>
          <t xml:space="preserve">C    CRS (COLD ROLLED STEEL)
G    GALV (GALVANNEALED)
</t>
        </r>
      </text>
    </comment>
    <comment ref="F34" authorId="0" shapeId="0" xr:uid="{FF1F2F1C-A370-4B0A-A2CA-9ED7925FA9CF}">
      <text>
        <r>
          <rPr>
            <b/>
            <sz val="9"/>
            <color indexed="81"/>
            <rFont val="Tahoma"/>
            <family val="2"/>
          </rPr>
          <t xml:space="preserve">Thickness
</t>
        </r>
        <r>
          <rPr>
            <sz val="9"/>
            <color indexed="81"/>
            <rFont val="Tahoma"/>
            <family val="2"/>
          </rPr>
          <t>1-3/4" THICK DOOR
1-3/8" THICK DOOR
SPL    DOOR THICKNESS (TO 2-1/2")
~ Left Blank = 1-3/4"</t>
        </r>
      </text>
    </comment>
    <comment ref="G34" authorId="0" shapeId="0" xr:uid="{863823BA-38B8-4E40-8D9F-C49622ADD0A2}">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34" authorId="0" shapeId="0" xr:uid="{1B9027E5-3F2D-4B2D-B225-3FBFC1AB8D6C}">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34" authorId="0" shapeId="0" xr:uid="{B29FA36F-1312-4CBB-A881-322E97CC6B39}">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34" authorId="0" shapeId="0" xr:uid="{E90DCC64-B3E3-4C50-A1AF-1A08CE1E3602}">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34" authorId="0" shapeId="0" xr:uid="{1A4C35AD-0B58-45A2-B92F-4F53C9B14705}">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34" authorId="0" shapeId="0" xr:uid="{BF7F60CB-2CFD-404E-8A0D-58B5D1A22CB1}">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34" authorId="0" shapeId="0" xr:uid="{D2632FF4-4F27-43BE-A800-D3879D3F92B8}">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34" authorId="0" shapeId="0" xr:uid="{90E731E8-438F-4A76-90D0-18D3B41A1406}">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34" authorId="0" shapeId="0" xr:uid="{814CDE47-E690-414A-9688-238D1A4339E8}">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34" authorId="0" shapeId="0" xr:uid="{4C6263F0-1325-42BA-A150-72EB21DD4E48}">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34" authorId="0" shapeId="0" xr:uid="{8CD4B146-3737-44AF-A7EC-3C9C1B6F886A}">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34" authorId="0" shapeId="0" xr:uid="{88F0452C-66EC-4664-8210-A691887838A3}">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34" authorId="0" shapeId="0" xr:uid="{6F46B37B-299B-41D2-8AA3-3AA11207464B}">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34" authorId="0" shapeId="0" xr:uid="{1D39A1B0-38B4-4654-93B3-12E5BE25F5E7}">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34" authorId="0" shapeId="0" xr:uid="{7697FE51-DB9B-47E0-88E9-591F4C081333}">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34" authorId="0" shapeId="0" xr:uid="{7E6A91DF-8D51-4EEB-B22C-7C78D56EAD9B}">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34" authorId="1" shapeId="0" xr:uid="{3170443B-AC72-4CF2-88D2-A6D0B42B1962}">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36" authorId="1" shapeId="0" xr:uid="{F0802A29-3DEA-41BC-A8CB-191A4757D63E}">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36" authorId="1" shapeId="0" xr:uid="{2F90DB1C-33B9-4F8B-86A7-83D0E80FFCFB}">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36" authorId="1" shapeId="0" xr:uid="{16BEC737-0E6A-4C1B-AAD8-3341442FC334}">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36" authorId="1" shapeId="0" xr:uid="{9E319E2C-14A0-4681-B62F-8F79BF3E64E2}">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36" authorId="1" shapeId="0" xr:uid="{CC7A0FFA-126A-4AA3-B274-10B12FFC65C8}">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36" authorId="1" shapeId="0" xr:uid="{0BA46C42-B149-4D81-90C1-9D0CB10B81DC}">
      <text>
        <r>
          <rPr>
            <b/>
            <sz val="9"/>
            <color indexed="81"/>
            <rFont val="Tahoma"/>
            <family val="2"/>
          </rPr>
          <t xml:space="preserve">Material
</t>
        </r>
        <r>
          <rPr>
            <sz val="9"/>
            <color indexed="81"/>
            <rFont val="Tahoma"/>
            <family val="2"/>
          </rPr>
          <t xml:space="preserve">MYL    MYLAR LABEL
MET    METAL LABEL
</t>
        </r>
      </text>
    </comment>
    <comment ref="AA36" authorId="1" shapeId="0" xr:uid="{ACA7C7AB-841F-4357-8C7E-9919F7B5E6AD}">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37" authorId="1" shapeId="0" xr:uid="{1996F4FF-A042-4044-B9D2-E20582F3E5C3}">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38" authorId="1" shapeId="0" xr:uid="{A57BCB51-2848-4BEC-8162-F6D7CBDE3435}">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39" authorId="1" shapeId="0" xr:uid="{20F24270-91F6-4FF9-84C2-AB606B5B7664}">
      <text>
        <r>
          <rPr>
            <b/>
            <sz val="9"/>
            <color indexed="81"/>
            <rFont val="Tahoma"/>
            <family val="2"/>
          </rPr>
          <t xml:space="preserve">Lock - MANUFACTURER:
</t>
        </r>
        <r>
          <rPr>
            <sz val="9"/>
            <color indexed="81"/>
            <rFont val="Tahoma"/>
            <family val="2"/>
          </rPr>
          <t xml:space="preserve">Enter Lock Manufacturer
</t>
        </r>
      </text>
    </comment>
    <comment ref="S39" authorId="1" shapeId="0" xr:uid="{3752BB20-1F69-4415-B078-6C7A49B0FEBD}">
      <text>
        <r>
          <rPr>
            <b/>
            <sz val="9"/>
            <color indexed="81"/>
            <rFont val="Tahoma"/>
            <family val="2"/>
          </rPr>
          <t xml:space="preserve">2nd Deadlock:
</t>
        </r>
        <r>
          <rPr>
            <sz val="9"/>
            <color indexed="81"/>
            <rFont val="Tahoma"/>
            <family val="2"/>
          </rPr>
          <t xml:space="preserve">Mfg &amp; Device Number
</t>
        </r>
      </text>
    </comment>
    <comment ref="Y39" authorId="0" shapeId="0" xr:uid="{DDA82CE4-8CFB-45B6-A887-EC168B41CF2A}">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40" authorId="1" shapeId="0" xr:uid="{E56403B2-BF1F-478F-976C-ACBDAB17DA61}">
      <text>
        <r>
          <rPr>
            <b/>
            <sz val="9"/>
            <color indexed="81"/>
            <rFont val="Tahoma"/>
            <family val="2"/>
          </rPr>
          <t xml:space="preserve">Lock - DEVICE:
</t>
        </r>
        <r>
          <rPr>
            <sz val="9"/>
            <color indexed="81"/>
            <rFont val="Tahoma"/>
            <family val="2"/>
          </rPr>
          <t xml:space="preserve">Enter Device Number
</t>
        </r>
      </text>
    </comment>
    <comment ref="M41" authorId="1" shapeId="0" xr:uid="{3699B495-922E-48AB-B83D-7C785641163F}">
      <text>
        <r>
          <rPr>
            <b/>
            <sz val="9"/>
            <color indexed="81"/>
            <rFont val="Tahoma"/>
            <family val="2"/>
          </rPr>
          <t xml:space="preserve">Lock - TRIM:
</t>
        </r>
        <r>
          <rPr>
            <sz val="9"/>
            <color indexed="81"/>
            <rFont val="Tahoma"/>
            <family val="2"/>
          </rPr>
          <t xml:space="preserve">Enter Trim Code (or "NA" if not applicable)
</t>
        </r>
      </text>
    </comment>
    <comment ref="M42" authorId="1" shapeId="0" xr:uid="{3404243B-4D94-4F4D-ABBE-EA47DAA7235F}">
      <text>
        <r>
          <rPr>
            <b/>
            <sz val="9"/>
            <color indexed="81"/>
            <rFont val="Tahoma"/>
            <family val="2"/>
          </rPr>
          <t xml:space="preserve">MULLION:
</t>
        </r>
        <r>
          <rPr>
            <sz val="9"/>
            <color indexed="81"/>
            <rFont val="Tahoma"/>
            <family val="2"/>
          </rPr>
          <t>Enter Mullion Type (or "NA" if not applicable)</t>
        </r>
      </text>
    </comment>
    <comment ref="C43" authorId="0" shapeId="0" xr:uid="{13963F56-6964-400C-A61E-F5D0F762FADE}">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43" authorId="0" shapeId="0" xr:uid="{BFBADCE4-CC7C-4E88-9466-D248C422536B}">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43" authorId="0" shapeId="0" xr:uid="{27688CB6-4EDE-4A44-94F1-68D2C3A9319E}">
      <text>
        <r>
          <rPr>
            <b/>
            <sz val="9"/>
            <color indexed="81"/>
            <rFont val="Tahoma"/>
            <family val="2"/>
          </rPr>
          <t xml:space="preserve">Material
</t>
        </r>
        <r>
          <rPr>
            <sz val="9"/>
            <color indexed="81"/>
            <rFont val="Tahoma"/>
            <family val="2"/>
          </rPr>
          <t xml:space="preserve">C    CRS (COLD ROLLED STEEL)
G    GALV (GALVANNEALED)
</t>
        </r>
      </text>
    </comment>
    <comment ref="F43" authorId="0" shapeId="0" xr:uid="{DDD9D635-EB46-4373-8CC7-13419E5C18AB}">
      <text>
        <r>
          <rPr>
            <b/>
            <sz val="9"/>
            <color indexed="81"/>
            <rFont val="Tahoma"/>
            <family val="2"/>
          </rPr>
          <t xml:space="preserve">Thickness
</t>
        </r>
        <r>
          <rPr>
            <sz val="9"/>
            <color indexed="81"/>
            <rFont val="Tahoma"/>
            <family val="2"/>
          </rPr>
          <t>1-3/4" THICK DOOR
1-3/8" THICK DOOR
SPL    DOOR THICKNESS (TO 2-1/2")
~ Left Blank = 1-3/4"</t>
        </r>
      </text>
    </comment>
    <comment ref="G43" authorId="0" shapeId="0" xr:uid="{2672BF43-1261-4043-9897-BE021E4A7343}">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43" authorId="0" shapeId="0" xr:uid="{82DC8189-5A07-4EFB-9BA4-ABE33BC0128F}">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43" authorId="0" shapeId="0" xr:uid="{2C61B889-A9FD-44FA-8F3B-2EF2F41BC49E}">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43" authorId="0" shapeId="0" xr:uid="{BE270722-BFA0-4CBC-92D6-DA8F593BDF7F}">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43" authorId="0" shapeId="0" xr:uid="{F82D50D9-6978-44F3-86B8-DEB819A46A43}">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43" authorId="0" shapeId="0" xr:uid="{DE829F6D-EF93-4A7F-AE71-0605A7657E9D}">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43" authorId="0" shapeId="0" xr:uid="{BEA03016-1D3C-418F-A29B-6B96CBE112B8}">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43" authorId="0" shapeId="0" xr:uid="{DAA7B00B-3D45-4351-A1FD-4D6162CED3CF}">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43" authorId="0" shapeId="0" xr:uid="{54F1062A-E652-4ED6-9D5A-A55899E6F720}">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43" authorId="0" shapeId="0" xr:uid="{EAC8EBFB-A4B4-4A78-81F6-B126E442EF64}">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43" authorId="0" shapeId="0" xr:uid="{267D21B9-35AD-4C93-AED9-10330625E642}">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43" authorId="0" shapeId="0" xr:uid="{78677AB8-E380-43E1-9549-CB917FF5EEFE}">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43" authorId="0" shapeId="0" xr:uid="{E94000D7-129E-4B30-BF47-6A00A0BD0DB6}">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43" authorId="0" shapeId="0" xr:uid="{026CC2D4-745F-4311-9E38-509216263E11}">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43" authorId="0" shapeId="0" xr:uid="{7E1B0974-142A-4EC5-B0BA-1925E006E8A1}">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43" authorId="0" shapeId="0" xr:uid="{1CD64BC3-D539-44B9-B03D-1ADF6794DBF8}">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43" authorId="1" shapeId="0" xr:uid="{6DB542A8-53B1-4F6D-8C23-0976CA07AA66}">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45" authorId="1" shapeId="0" xr:uid="{73718B9E-C4C0-4D69-80CA-3249DED86192}">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45" authorId="1" shapeId="0" xr:uid="{CD2D7D70-F758-4C44-B8BC-0CC56FFA6A8C}">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45" authorId="1" shapeId="0" xr:uid="{4E90F36F-062C-405F-8AB9-DED0D495AE11}">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45" authorId="1" shapeId="0" xr:uid="{E780E2AB-2D93-42B8-8ED9-2BE34726CCD2}">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45" authorId="1" shapeId="0" xr:uid="{3C74BF9A-19AD-4BE8-BBC9-BD86C82AC950}">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45" authorId="1" shapeId="0" xr:uid="{6F29FEB6-02AB-42A2-8C08-AD913C44DDA9}">
      <text>
        <r>
          <rPr>
            <b/>
            <sz val="9"/>
            <color indexed="81"/>
            <rFont val="Tahoma"/>
            <family val="2"/>
          </rPr>
          <t xml:space="preserve">Material
</t>
        </r>
        <r>
          <rPr>
            <sz val="9"/>
            <color indexed="81"/>
            <rFont val="Tahoma"/>
            <family val="2"/>
          </rPr>
          <t xml:space="preserve">MYL    MYLAR LABEL
MET    METAL LABEL
</t>
        </r>
      </text>
    </comment>
    <comment ref="AA45" authorId="1" shapeId="0" xr:uid="{D6544262-ED0B-4343-88B2-299F5DF13B2B}">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46" authorId="1" shapeId="0" xr:uid="{DABC8A4D-83A5-40F6-B5D0-BD2A12CC4C2F}">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47" authorId="1" shapeId="0" xr:uid="{312DD957-2BE4-4695-8B9F-31B2832F3537}">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48" authorId="1" shapeId="0" xr:uid="{4EBFEBDE-B2ED-4001-BA9F-DC6E713C1BE5}">
      <text>
        <r>
          <rPr>
            <b/>
            <sz val="9"/>
            <color indexed="81"/>
            <rFont val="Tahoma"/>
            <family val="2"/>
          </rPr>
          <t xml:space="preserve">Lock - MANUFACTURER:
</t>
        </r>
        <r>
          <rPr>
            <sz val="9"/>
            <color indexed="81"/>
            <rFont val="Tahoma"/>
            <family val="2"/>
          </rPr>
          <t xml:space="preserve">Enter Lock Manufacturer
</t>
        </r>
      </text>
    </comment>
    <comment ref="S48" authorId="1" shapeId="0" xr:uid="{77EBF4D7-03DE-4EB1-850A-F9695AC1B48A}">
      <text>
        <r>
          <rPr>
            <b/>
            <sz val="9"/>
            <color indexed="81"/>
            <rFont val="Tahoma"/>
            <family val="2"/>
          </rPr>
          <t xml:space="preserve">2nd Deadlock:
</t>
        </r>
        <r>
          <rPr>
            <sz val="9"/>
            <color indexed="81"/>
            <rFont val="Tahoma"/>
            <family val="2"/>
          </rPr>
          <t xml:space="preserve">Mfg &amp; Device Number
</t>
        </r>
      </text>
    </comment>
    <comment ref="Y48" authorId="0" shapeId="0" xr:uid="{88F5BFEA-4902-4FFF-A5D3-E1D69DB774B9}">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49" authorId="1" shapeId="0" xr:uid="{E450CBE9-CB52-4BF4-92D1-57DEDA9FF885}">
      <text>
        <r>
          <rPr>
            <b/>
            <sz val="9"/>
            <color indexed="81"/>
            <rFont val="Tahoma"/>
            <family val="2"/>
          </rPr>
          <t xml:space="preserve">Lock - DEVICE:
</t>
        </r>
        <r>
          <rPr>
            <sz val="9"/>
            <color indexed="81"/>
            <rFont val="Tahoma"/>
            <family val="2"/>
          </rPr>
          <t xml:space="preserve">Enter Device Number
</t>
        </r>
      </text>
    </comment>
    <comment ref="M50" authorId="1" shapeId="0" xr:uid="{E1E84105-B930-4870-B1EE-9D1FAC9ADCD2}">
      <text>
        <r>
          <rPr>
            <b/>
            <sz val="9"/>
            <color indexed="81"/>
            <rFont val="Tahoma"/>
            <family val="2"/>
          </rPr>
          <t xml:space="preserve">Lock - TRIM:
</t>
        </r>
        <r>
          <rPr>
            <sz val="9"/>
            <color indexed="81"/>
            <rFont val="Tahoma"/>
            <family val="2"/>
          </rPr>
          <t xml:space="preserve">Enter Trim Code (or "NA" if not applicable)
</t>
        </r>
      </text>
    </comment>
    <comment ref="M51" authorId="1" shapeId="0" xr:uid="{3713E214-7717-4D4E-B2BE-AAF35C83329C}">
      <text>
        <r>
          <rPr>
            <b/>
            <sz val="9"/>
            <color indexed="81"/>
            <rFont val="Tahoma"/>
            <family val="2"/>
          </rPr>
          <t xml:space="preserve">MULLION:
</t>
        </r>
        <r>
          <rPr>
            <sz val="9"/>
            <color indexed="81"/>
            <rFont val="Tahoma"/>
            <family val="2"/>
          </rPr>
          <t>Enter Mullion Type (or "NA" if not applicable)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tc={E12280EB-61F0-4D1C-B795-BA6285B9B7CE}</author>
  </authors>
  <commentList>
    <comment ref="B10" authorId="0" shapeId="0" xr:uid="{E12280EB-61F0-4D1C-B795-BA6285B9B7CE}">
      <text>
        <t>[Threaded comment]
Your version of Excel allows you to read this threaded comment; however, any edits to it will get removed if the file is opened in a newer version of Excel. Learn more: https://go.microsoft.com/fwlink/?linkid=870924
Comment:
    SINGLE OR PAIR WOULD TRIGGER THE OPTIONS PACKAGE.  SINGLE NO F/BOLT, S/BOLT, ETC</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Eric Hunt</author>
    <author>Hunt, Eric</author>
  </authors>
  <commentList>
    <comment ref="D17" authorId="0" shapeId="0" xr:uid="{6B844FD3-E914-4DE1-AB2A-A6ABE0DB2CD8}">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17" authorId="0" shapeId="0" xr:uid="{FB21EAB4-7855-4D2A-B2C4-BD9004D7C379}">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17" authorId="0" shapeId="0" xr:uid="{359E59FF-60F2-430B-A71B-A65DC830A15C}">
      <text>
        <r>
          <rPr>
            <b/>
            <sz val="9"/>
            <color indexed="81"/>
            <rFont val="Tahoma"/>
            <family val="2"/>
          </rPr>
          <t xml:space="preserve">Material
</t>
        </r>
        <r>
          <rPr>
            <sz val="9"/>
            <color indexed="81"/>
            <rFont val="Tahoma"/>
            <family val="2"/>
          </rPr>
          <t xml:space="preserve">C    CRS (COLD ROLLED STEEL)
G    GALV (GALVANNEALED)
</t>
        </r>
      </text>
    </comment>
    <comment ref="G17" authorId="0" shapeId="0" xr:uid="{0446B8F0-C29A-42DE-8F2F-242A39046FB7}">
      <text>
        <r>
          <rPr>
            <b/>
            <sz val="9"/>
            <color indexed="81"/>
            <rFont val="Tahoma"/>
            <family val="2"/>
          </rPr>
          <t xml:space="preserve">Thickness
</t>
        </r>
        <r>
          <rPr>
            <sz val="9"/>
            <color indexed="81"/>
            <rFont val="Tahoma"/>
            <family val="2"/>
          </rPr>
          <t xml:space="preserve">1-3/4" THICK DOOR
1-3/8" THICK DOOR
SPL    DOOR THICKNESS (TO 2-1/2")
</t>
        </r>
      </text>
    </comment>
    <comment ref="H17" authorId="0" shapeId="0" xr:uid="{C81301FC-725F-4089-B0E8-81B72300DE37}">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17" authorId="0" shapeId="0" xr:uid="{9958BAE5-290C-4010-8AC8-A4F75B9FC0D0}">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17" authorId="0" shapeId="0" xr:uid="{AA939DA0-A174-4763-BBCF-5368BF92E1B1}">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17" authorId="0" shapeId="0" xr:uid="{8EFBAE0F-1EED-4781-A7F6-6DAFC9B43FAE}">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17" authorId="0" shapeId="0" xr:uid="{BDDF8646-4BC3-471A-9D9D-0B13F64D7B3E}">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17" authorId="0" shapeId="0" xr:uid="{92936D55-2941-45FD-9AE2-15876776C6CC}">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17" authorId="0" shapeId="0" xr:uid="{85F5AD4D-0554-4393-BC40-F5420ADB8C1C}">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17" authorId="0" shapeId="0" xr:uid="{866770D8-9770-4B6A-BADA-C5EF289BAB0B}">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17" authorId="0" shapeId="0" xr:uid="{B2BD292F-B7CE-441F-A476-E002EECB744A}">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17" authorId="0" shapeId="0" xr:uid="{A2C81D6D-ABC1-4138-8D1F-DDF51F8E77D6}">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17" authorId="0" shapeId="0" xr:uid="{7A7783F6-6EB6-4DB9-945C-39E4A17AC60E}">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17" authorId="0" shapeId="0" xr:uid="{B9B25753-3A71-4042-A1C8-C1CAFB4CC241}">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17" authorId="0" shapeId="0" xr:uid="{402737BD-BA61-4EFD-A2C3-3A57F6526A24}">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17" authorId="0" shapeId="0" xr:uid="{CCB69E84-4477-4243-B4C9-76F6B8813819}">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17" authorId="0" shapeId="0" xr:uid="{1C899F53-8DAE-45B2-A5C2-B5C8CEAB530A}">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17" authorId="0" shapeId="0" xr:uid="{C77CF44D-EE90-4165-8731-1027E9F6D499}">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17" authorId="0" shapeId="0" xr:uid="{37492EC8-DF14-4D32-B54D-8D23ED8A5653}">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17" authorId="1" shapeId="0" xr:uid="{C788AB84-F16E-4D8B-AD90-7C72023BDB7D}">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9" authorId="1" shapeId="0" xr:uid="{2E1EF7C5-0B5F-4459-AFE1-F03802E153E7}">
      <text>
        <r>
          <rPr>
            <sz val="9"/>
            <color indexed="81"/>
            <rFont val="Tahoma"/>
            <family val="2"/>
          </rPr>
          <t>Enter Special Depth Here
in Inches (SPJD)</t>
        </r>
        <r>
          <rPr>
            <i/>
            <sz val="9"/>
            <color indexed="81"/>
            <rFont val="Tahoma"/>
            <family val="2"/>
          </rPr>
          <t xml:space="preserve">
Do not include ' " ' .</t>
        </r>
      </text>
    </comment>
    <comment ref="O19" authorId="1" shapeId="0" xr:uid="{CDCB65DF-92FE-4D76-BD8C-30C37D85AFF9}">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9" authorId="1" shapeId="0" xr:uid="{1E53FCE2-2532-4334-9384-E13D8C8E2F92}">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9" authorId="1" shapeId="0" xr:uid="{A756BD09-B2C8-4B9F-B036-0B72AE3BE39D}">
      <text>
        <r>
          <rPr>
            <sz val="9"/>
            <color indexed="81"/>
            <rFont val="Tahoma"/>
            <family val="2"/>
          </rPr>
          <t xml:space="preserve">Please Provide a dimensioned profile drawing when Special Profile is selected.
</t>
        </r>
      </text>
    </comment>
    <comment ref="T19" authorId="1" shapeId="0" xr:uid="{5F5CACA6-18FD-45A1-BE93-C04EE02EF0BE}">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9" authorId="1" shapeId="0" xr:uid="{F82E61CE-DAEC-4370-B8D5-436C1F01C78B}">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9" authorId="1" shapeId="0" xr:uid="{2E37B597-47EA-4625-A0AD-3747118AA480}">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9" authorId="1" shapeId="0" xr:uid="{F40E3CC3-8D52-43C1-A4A1-C3249CB12521}">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21" authorId="1" shapeId="0" xr:uid="{2CC413CE-9BC3-4D1F-8DA6-C11F9157A4D1}">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26" authorId="0" shapeId="0" xr:uid="{DA67DD88-07B8-4EE5-96AE-D671E5AA4792}">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26" authorId="0" shapeId="0" xr:uid="{B122533B-7B36-4ADE-AC34-1555257849AB}">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26" authorId="0" shapeId="0" xr:uid="{F430F954-B578-41C2-83E6-B7F11B4490FC}">
      <text>
        <r>
          <rPr>
            <b/>
            <sz val="9"/>
            <color indexed="81"/>
            <rFont val="Tahoma"/>
            <family val="2"/>
          </rPr>
          <t xml:space="preserve">Material
</t>
        </r>
        <r>
          <rPr>
            <sz val="9"/>
            <color indexed="81"/>
            <rFont val="Tahoma"/>
            <family val="2"/>
          </rPr>
          <t xml:space="preserve">C    CRS (COLD ROLLED STEEL)
G    GALV (GALVANNEALED)
</t>
        </r>
      </text>
    </comment>
    <comment ref="G26" authorId="0" shapeId="0" xr:uid="{96C0A801-55A5-4F41-B9C4-F60F02907B6B}">
      <text>
        <r>
          <rPr>
            <b/>
            <sz val="9"/>
            <color indexed="81"/>
            <rFont val="Tahoma"/>
            <family val="2"/>
          </rPr>
          <t xml:space="preserve">Thickness
</t>
        </r>
        <r>
          <rPr>
            <sz val="9"/>
            <color indexed="81"/>
            <rFont val="Tahoma"/>
            <family val="2"/>
          </rPr>
          <t xml:space="preserve">1-3/4" THICK DOOR
1-3/8" THICK DOOR
SPL    DOOR THICKNESS (TO 2-1/2")
</t>
        </r>
      </text>
    </comment>
    <comment ref="H26" authorId="0" shapeId="0" xr:uid="{D924B135-3AD1-465D-82C1-1E15632B0DD9}">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26" authorId="0" shapeId="0" xr:uid="{52519EC4-A2E0-406B-B7F7-4395F5C2C159}">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26" authorId="0" shapeId="0" xr:uid="{D8BA42FA-A89A-4796-92C3-4A221BCCAD78}">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26" authorId="0" shapeId="0" xr:uid="{14C33225-3509-48B3-8316-BC5F08B6B8C2}">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26" authorId="0" shapeId="0" xr:uid="{6E96E2CD-A87E-4CC0-BB2F-7DEDC5CE5783}">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26" authorId="0" shapeId="0" xr:uid="{06FEEA8D-A509-45E1-A987-C454CA92FD41}">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26" authorId="0" shapeId="0" xr:uid="{DF3F52E1-4E4B-4544-8BCA-C0426A8674F7}">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26" authorId="0" shapeId="0" xr:uid="{549D7085-B952-49FB-B3EE-5A89475BB69F}">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26" authorId="0" shapeId="0" xr:uid="{23CEDA0B-665B-499D-AE2D-A674515ABA4E}">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26" authorId="0" shapeId="0" xr:uid="{097A1E4C-1199-4B62-818A-C1BC77304B0F}">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26" authorId="0" shapeId="0" xr:uid="{541A2476-4BC1-4346-9240-81C7B7F1F033}">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26" authorId="0" shapeId="0" xr:uid="{7CF68E5E-423E-4279-8ABD-F9B37CF9EEF0}">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26" authorId="0" shapeId="0" xr:uid="{56D8C68E-4ECD-4B47-85E3-BDE94C69FB3E}">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26" authorId="0" shapeId="0" xr:uid="{C22BCB1A-9260-4CD1-8B47-7EC738CDAC2A}">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26" authorId="0" shapeId="0" xr:uid="{D92823E2-D97A-4836-BCF2-01FBB50E2D57}">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26" authorId="0" shapeId="0" xr:uid="{C5041930-161A-471C-871A-8F43D7017C8B}">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26" authorId="0" shapeId="0" xr:uid="{01D6985A-C644-47BA-BCF3-9CE6A6E03C23}">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26" authorId="1" shapeId="0" xr:uid="{D814655A-02DA-43B4-90AC-68DC03BBE4FF}">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28" authorId="1" shapeId="0" xr:uid="{BA390F87-F439-47D9-BC04-9E4FA8558288}">
      <text>
        <r>
          <rPr>
            <sz val="9"/>
            <color indexed="81"/>
            <rFont val="Tahoma"/>
            <family val="2"/>
          </rPr>
          <t>Enter Special Depth Here
in Inches (SPJD)</t>
        </r>
        <r>
          <rPr>
            <i/>
            <sz val="9"/>
            <color indexed="81"/>
            <rFont val="Tahoma"/>
            <family val="2"/>
          </rPr>
          <t xml:space="preserve">
Do not include ' " ' .</t>
        </r>
      </text>
    </comment>
    <comment ref="O28" authorId="1" shapeId="0" xr:uid="{DA1C22F0-9130-47F9-89B1-8C7BC9EBD3A7}">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28" authorId="1" shapeId="0" xr:uid="{A7ED67F7-E315-4FB0-AE64-25483B5BAC45}">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28" authorId="1" shapeId="0" xr:uid="{4850A1BC-4124-4D91-8D25-D3EF30CF3456}">
      <text>
        <r>
          <rPr>
            <sz val="9"/>
            <color indexed="81"/>
            <rFont val="Tahoma"/>
            <family val="2"/>
          </rPr>
          <t xml:space="preserve">Please Provide a dimensioned profile drawing when Special Profile is selected.
</t>
        </r>
      </text>
    </comment>
    <comment ref="T28" authorId="1" shapeId="0" xr:uid="{FD3BFE28-6FA6-485D-9EA0-703EE8C40630}">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28" authorId="1" shapeId="0" xr:uid="{E4D5D51C-894C-46B1-B5E3-9C723BD68F09}">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28" authorId="1" shapeId="0" xr:uid="{EC22A0ED-A51C-4676-A097-CF7E6D510554}">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28" authorId="1" shapeId="0" xr:uid="{1F222AA7-9062-413A-B235-269DF7271AB8}">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30" authorId="1" shapeId="0" xr:uid="{A95AFB64-00E8-491C-A4D2-91AFF38C58BC}">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35" authorId="0" shapeId="0" xr:uid="{2B825004-6690-4182-B86B-1546D8F632C1}">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35" authorId="0" shapeId="0" xr:uid="{CE8C296F-2CCA-40ED-9AB8-8A7B491C4621}">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35" authorId="0" shapeId="0" xr:uid="{C0CB99A1-4EE0-4AC6-8B6C-5785FF8F86C7}">
      <text>
        <r>
          <rPr>
            <b/>
            <sz val="9"/>
            <color indexed="81"/>
            <rFont val="Tahoma"/>
            <family val="2"/>
          </rPr>
          <t xml:space="preserve">Material
</t>
        </r>
        <r>
          <rPr>
            <sz val="9"/>
            <color indexed="81"/>
            <rFont val="Tahoma"/>
            <family val="2"/>
          </rPr>
          <t xml:space="preserve">C    CRS (COLD ROLLED STEEL)
G    GALV (GALVANNEALED)
</t>
        </r>
      </text>
    </comment>
    <comment ref="G35" authorId="0" shapeId="0" xr:uid="{0426B64D-4D22-4FC6-89F6-736165542972}">
      <text>
        <r>
          <rPr>
            <b/>
            <sz val="9"/>
            <color indexed="81"/>
            <rFont val="Tahoma"/>
            <family val="2"/>
          </rPr>
          <t xml:space="preserve">Thickness
</t>
        </r>
        <r>
          <rPr>
            <sz val="9"/>
            <color indexed="81"/>
            <rFont val="Tahoma"/>
            <family val="2"/>
          </rPr>
          <t xml:space="preserve">1-3/4" THICK DOOR
1-3/8" THICK DOOR
SPL    DOOR THICKNESS (TO 2-1/2")
</t>
        </r>
      </text>
    </comment>
    <comment ref="H35" authorId="0" shapeId="0" xr:uid="{F715042D-6FBE-425C-821E-061655C2E3B9}">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35" authorId="0" shapeId="0" xr:uid="{7022AE4E-69D5-4DA4-9005-34541AB99F4C}">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35" authorId="0" shapeId="0" xr:uid="{1AE9BA35-E5DD-4850-8396-8ECDE68B829A}">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35" authorId="0" shapeId="0" xr:uid="{F6AB8243-98B1-4B54-B929-AEDE2FFA1249}">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35" authorId="0" shapeId="0" xr:uid="{A449F5FB-8704-4F07-89F6-B52F65402202}">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35" authorId="0" shapeId="0" xr:uid="{88517C50-5766-4BCC-921F-6ECA0DD13269}">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35" authorId="0" shapeId="0" xr:uid="{01431D9B-7C6B-45F9-A611-17C2D51E83A5}">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35" authorId="0" shapeId="0" xr:uid="{8656CA60-969E-4C8C-88CE-0A985BA8DA8C}">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35" authorId="0" shapeId="0" xr:uid="{DBD30AFB-39DB-4EB3-8E9F-4E95CA83B1A3}">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35" authorId="0" shapeId="0" xr:uid="{C11CE373-3BB0-4030-A614-40CE026BBCBD}">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35" authorId="0" shapeId="0" xr:uid="{FFCD615D-5695-4CBF-BB37-ECA1B1EFC840}">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35" authorId="0" shapeId="0" xr:uid="{CF9C1ABD-B749-4F81-BC7E-0854BCD1CF24}">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35" authorId="0" shapeId="0" xr:uid="{A3BAA6BC-625B-4666-9AF1-A4795AAC353D}">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35" authorId="0" shapeId="0" xr:uid="{0ED3828F-D745-4714-A41C-21D67DC7E9FE}">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35" authorId="0" shapeId="0" xr:uid="{DBBB20DE-1104-432B-84B6-DE3546425F0B}">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35" authorId="0" shapeId="0" xr:uid="{E33B064A-1565-4105-8079-2115A9B8118A}">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35" authorId="0" shapeId="0" xr:uid="{489F282C-5273-4553-B628-CEA9BEBCDC13}">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35" authorId="1" shapeId="0" xr:uid="{9A0C5233-3307-4886-8380-7FC5B82F0599}">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37" authorId="1" shapeId="0" xr:uid="{1E8605D4-8299-4CD4-9947-6B189CCE3F5C}">
      <text>
        <r>
          <rPr>
            <sz val="9"/>
            <color indexed="81"/>
            <rFont val="Tahoma"/>
            <family val="2"/>
          </rPr>
          <t>Enter Special Depth Here
in Inches (SPJD)</t>
        </r>
        <r>
          <rPr>
            <i/>
            <sz val="9"/>
            <color indexed="81"/>
            <rFont val="Tahoma"/>
            <family val="2"/>
          </rPr>
          <t xml:space="preserve">
Do not include ' " ' .</t>
        </r>
      </text>
    </comment>
    <comment ref="O37" authorId="1" shapeId="0" xr:uid="{3D9C67C4-71D0-40E3-92C4-40610E60E114}">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37" authorId="1" shapeId="0" xr:uid="{402FE676-E18B-4254-B9DD-D8B2C12EB136}">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37" authorId="1" shapeId="0" xr:uid="{2896F6DC-E50E-4982-ADAB-839E08ACF6DC}">
      <text>
        <r>
          <rPr>
            <sz val="9"/>
            <color indexed="81"/>
            <rFont val="Tahoma"/>
            <family val="2"/>
          </rPr>
          <t xml:space="preserve">Please Provide a dimensioned profile drawing when Special Profile is selected.
</t>
        </r>
      </text>
    </comment>
    <comment ref="T37" authorId="1" shapeId="0" xr:uid="{4B12FC6F-197F-4864-919E-5F6347C26E0F}">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37" authorId="1" shapeId="0" xr:uid="{3B1EE7D9-C086-436E-AB88-73E3EFBE37E8}">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37" authorId="1" shapeId="0" xr:uid="{7C7FDEBB-FCC6-4301-8907-6F5C26276CF2}">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37" authorId="1" shapeId="0" xr:uid="{D6B1A254-7DCD-4627-AE34-2004E411E59F}">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39" authorId="1" shapeId="0" xr:uid="{777FB419-15F5-4EA1-AB5A-2335BDE8A7E4}">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44" authorId="0" shapeId="0" xr:uid="{7F1F547C-7E07-4973-92B9-402C1BD94224}">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44" authorId="0" shapeId="0" xr:uid="{25CFAAB4-0319-46F6-9353-8F5960574893}">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44" authorId="0" shapeId="0" xr:uid="{E33C299F-9E40-4FD1-8DBD-191168BEC1B1}">
      <text>
        <r>
          <rPr>
            <b/>
            <sz val="9"/>
            <color indexed="81"/>
            <rFont val="Tahoma"/>
            <family val="2"/>
          </rPr>
          <t xml:space="preserve">Material
</t>
        </r>
        <r>
          <rPr>
            <sz val="9"/>
            <color indexed="81"/>
            <rFont val="Tahoma"/>
            <family val="2"/>
          </rPr>
          <t xml:space="preserve">C    CRS (COLD ROLLED STEEL)
G    GALV (GALVANNEALED)
</t>
        </r>
      </text>
    </comment>
    <comment ref="G44" authorId="0" shapeId="0" xr:uid="{00E95EBA-9A56-406B-8843-3D56D95B2359}">
      <text>
        <r>
          <rPr>
            <b/>
            <sz val="9"/>
            <color indexed="81"/>
            <rFont val="Tahoma"/>
            <family val="2"/>
          </rPr>
          <t xml:space="preserve">Thickness
</t>
        </r>
        <r>
          <rPr>
            <sz val="9"/>
            <color indexed="81"/>
            <rFont val="Tahoma"/>
            <family val="2"/>
          </rPr>
          <t xml:space="preserve">1-3/4" THICK DOOR
1-3/8" THICK DOOR
SPL    DOOR THICKNESS (TO 2-1/2")
</t>
        </r>
      </text>
    </comment>
    <comment ref="H44" authorId="0" shapeId="0" xr:uid="{B8646BF8-6E78-42AA-8BFD-D0F63473546F}">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44" authorId="0" shapeId="0" xr:uid="{582CA9B1-7029-45B5-AAB5-CDA52F535D4E}">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44" authorId="0" shapeId="0" xr:uid="{3E5E76F5-DD05-49C6-8FC7-C264524F28CD}">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44" authorId="0" shapeId="0" xr:uid="{B10A0174-B2C8-4820-A99C-D41820140768}">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44" authorId="0" shapeId="0" xr:uid="{41E8F111-1459-4D7D-9680-0A73A6383AEA}">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44" authorId="0" shapeId="0" xr:uid="{78999B07-DE58-49D5-9CEA-E49D59DDB965}">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44" authorId="0" shapeId="0" xr:uid="{AB9FED68-0D0D-4852-BB5A-68DDDF465D9E}">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44" authorId="0" shapeId="0" xr:uid="{502887EA-AC98-4C91-80C8-BA345C03100C}">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44" authorId="0" shapeId="0" xr:uid="{48FD0EEB-F791-43B8-867F-C30B0F8BD1B8}">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44" authorId="0" shapeId="0" xr:uid="{F3575ADE-722C-41FD-9A69-6B0204B18C51}">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44" authorId="0" shapeId="0" xr:uid="{892FC9B7-1AB8-4A21-9D8E-22CC3BF6C753}">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44" authorId="0" shapeId="0" xr:uid="{E58BE605-729D-4B75-A8B5-BF83FDACC8B9}">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44" authorId="0" shapeId="0" xr:uid="{F5A662EB-F508-49D3-8D94-509B76295463}">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44" authorId="0" shapeId="0" xr:uid="{A8AF7C6B-701E-4B00-8ED3-01AD5B6D9F66}">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44" authorId="0" shapeId="0" xr:uid="{33B359C1-C2E7-4AB6-868D-BFC68472DDBB}">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44" authorId="0" shapeId="0" xr:uid="{009059E2-40D3-421A-860A-8F87EAEFE2ED}">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44" authorId="0" shapeId="0" xr:uid="{4F283C68-9EB3-4B6F-A04E-E8A37B67BFF0}">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44" authorId="1" shapeId="0" xr:uid="{87334794-FB76-45B7-8BFD-DC13D922C397}">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46" authorId="1" shapeId="0" xr:uid="{EFD1E3C9-ACF4-4490-A1B6-D05D59FDA613}">
      <text>
        <r>
          <rPr>
            <sz val="9"/>
            <color indexed="81"/>
            <rFont val="Tahoma"/>
            <family val="2"/>
          </rPr>
          <t>Enter Special Depth Here
in Inches (SPJD)</t>
        </r>
        <r>
          <rPr>
            <i/>
            <sz val="9"/>
            <color indexed="81"/>
            <rFont val="Tahoma"/>
            <family val="2"/>
          </rPr>
          <t xml:space="preserve">
Do not include ' " ' .</t>
        </r>
      </text>
    </comment>
    <comment ref="O46" authorId="1" shapeId="0" xr:uid="{B1AF9AD4-9541-462C-8914-AC3AB5CC643A}">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46" authorId="1" shapeId="0" xr:uid="{93ADB741-670C-4A83-AE54-A658D9B419F6}">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46" authorId="1" shapeId="0" xr:uid="{9C75C58C-0629-40CA-9FFF-6D0E04DBEEA9}">
      <text>
        <r>
          <rPr>
            <sz val="9"/>
            <color indexed="81"/>
            <rFont val="Tahoma"/>
            <family val="2"/>
          </rPr>
          <t xml:space="preserve">Please Provide a dimensioned profile drawing when Special Profile is selected.
</t>
        </r>
      </text>
    </comment>
    <comment ref="T46" authorId="1" shapeId="0" xr:uid="{A6890C04-6EA5-419E-B5F3-41DFC6177B03}">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46" authorId="1" shapeId="0" xr:uid="{3926C14F-A907-4DA9-9CD2-C7D90F8450E0}">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46" authorId="1" shapeId="0" xr:uid="{DFB19F5E-3732-417C-81EB-19EB9618EDD7}">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46" authorId="1" shapeId="0" xr:uid="{AFE1BB02-9DA4-4977-8EF8-47CE3AF9AEB7}">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48" authorId="1" shapeId="0" xr:uid="{820DC3D4-62BC-4DD0-B30C-59340CC5BFFF}">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53" authorId="0" shapeId="0" xr:uid="{6E1C0896-D99C-4244-844C-580CA15CEB2A}">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53" authorId="0" shapeId="0" xr:uid="{F9160ADC-2146-45B5-881A-518A7EFE79C7}">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53" authorId="0" shapeId="0" xr:uid="{CBC404EF-C557-420A-9B17-AC43517C78EC}">
      <text>
        <r>
          <rPr>
            <b/>
            <sz val="9"/>
            <color indexed="81"/>
            <rFont val="Tahoma"/>
            <family val="2"/>
          </rPr>
          <t xml:space="preserve">Material
</t>
        </r>
        <r>
          <rPr>
            <sz val="9"/>
            <color indexed="81"/>
            <rFont val="Tahoma"/>
            <family val="2"/>
          </rPr>
          <t xml:space="preserve">C    CRS (COLD ROLLED STEEL)
G    GALV (GALVANNEALED)
</t>
        </r>
      </text>
    </comment>
    <comment ref="G53" authorId="0" shapeId="0" xr:uid="{7C590C4E-E0AB-45D9-9408-BF66C332F556}">
      <text>
        <r>
          <rPr>
            <b/>
            <sz val="9"/>
            <color indexed="81"/>
            <rFont val="Tahoma"/>
            <family val="2"/>
          </rPr>
          <t xml:space="preserve">Thickness
</t>
        </r>
        <r>
          <rPr>
            <sz val="9"/>
            <color indexed="81"/>
            <rFont val="Tahoma"/>
            <family val="2"/>
          </rPr>
          <t xml:space="preserve">1-3/4" THICK DOOR
1-3/8" THICK DOOR
SPL    DOOR THICKNESS (TO 2-1/2")
</t>
        </r>
      </text>
    </comment>
    <comment ref="H53" authorId="0" shapeId="0" xr:uid="{26DD00D5-672F-482F-9DEF-8CCA9164DAB8}">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53" authorId="0" shapeId="0" xr:uid="{1541EC1F-8497-407A-B20E-0879202E01A8}">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53" authorId="0" shapeId="0" xr:uid="{3A4388F0-FB5A-4CB4-A7EE-879F828CBF00}">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53" authorId="0" shapeId="0" xr:uid="{54BDBC43-9751-4A14-B9C4-99136E1B31F8}">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53" authorId="0" shapeId="0" xr:uid="{23F608A1-4825-4DBF-A078-06AB1982D550}">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53" authorId="0" shapeId="0" xr:uid="{470BB192-F8FA-494F-94D1-BB0667708FBF}">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53" authorId="0" shapeId="0" xr:uid="{9F3EC291-1A3B-40E1-BB14-F573CBC77C76}">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53" authorId="0" shapeId="0" xr:uid="{DA4FCCDA-6353-4BFA-A388-DBB218249D1B}">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53" authorId="0" shapeId="0" xr:uid="{BA7B8990-2F68-48B0-ADCC-3B91CD390D15}">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53" authorId="0" shapeId="0" xr:uid="{E1A05B92-C265-4D85-B805-345937077EEF}">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53" authorId="0" shapeId="0" xr:uid="{F341177D-5C10-4542-A9B8-B94B7AB9BCFF}">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53" authorId="0" shapeId="0" xr:uid="{C3A399D5-5AF0-4F8B-B7A2-66BC3B09CF97}">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53" authorId="0" shapeId="0" xr:uid="{2FC07171-229C-4DD2-ABD4-88C5EE925FCC}">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53" authorId="0" shapeId="0" xr:uid="{23009731-BDB3-4241-90DE-8AC8D261503B}">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53" authorId="0" shapeId="0" xr:uid="{EE48D9A9-7C00-4087-AF69-9E4C08653683}">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53" authorId="0" shapeId="0" xr:uid="{C6CB2A8D-E96C-4E0D-8F98-1DE4868AB5F1}">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53" authorId="0" shapeId="0" xr:uid="{FAAB02A9-F277-44DB-B154-C119419D343F}">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53" authorId="1" shapeId="0" xr:uid="{FD175D09-F952-46B4-8D2E-D57408BA4F30}">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55" authorId="1" shapeId="0" xr:uid="{22EA5614-39AF-4C9C-B37E-95B5897111CF}">
      <text>
        <r>
          <rPr>
            <sz val="9"/>
            <color indexed="81"/>
            <rFont val="Tahoma"/>
            <family val="2"/>
          </rPr>
          <t>Enter Special Depth Here
in Inches (SPJD)</t>
        </r>
        <r>
          <rPr>
            <i/>
            <sz val="9"/>
            <color indexed="81"/>
            <rFont val="Tahoma"/>
            <family val="2"/>
          </rPr>
          <t xml:space="preserve">
Do not include ' " ' .</t>
        </r>
      </text>
    </comment>
    <comment ref="O55" authorId="1" shapeId="0" xr:uid="{58B9E6A7-4C17-4B8E-98C9-9CC6238B1718}">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55" authorId="1" shapeId="0" xr:uid="{00B2C508-3A9B-4332-B296-D10F86539215}">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55" authorId="1" shapeId="0" xr:uid="{4808FB1D-7A3F-4DC7-9937-5633F06FC338}">
      <text>
        <r>
          <rPr>
            <sz val="9"/>
            <color indexed="81"/>
            <rFont val="Tahoma"/>
            <family val="2"/>
          </rPr>
          <t xml:space="preserve">Please Provide a dimensioned profile drawing when Special Profile is selected.
</t>
        </r>
      </text>
    </comment>
    <comment ref="T55" authorId="1" shapeId="0" xr:uid="{133CFB8C-CDFA-41F4-8217-00B3B1EDF5D7}">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55" authorId="1" shapeId="0" xr:uid="{039A120F-17FB-41F8-B6C3-25F68879B859}">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55" authorId="1" shapeId="0" xr:uid="{56EC2F08-3911-4639-A5D0-14D3D40A530F}">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55" authorId="1" shapeId="0" xr:uid="{C49F60B3-4A30-4A6D-BC51-6827B8E448D5}">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57" authorId="1" shapeId="0" xr:uid="{60CAAD04-88E9-4C65-9575-27DE3CCA6EF8}">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62" authorId="0" shapeId="0" xr:uid="{E1C34464-5C9A-49E5-AB9E-BD9F1DFDA68F}">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62" authorId="0" shapeId="0" xr:uid="{FF29CFCB-0F70-46DC-B7F4-1955A95B1AB2}">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62" authorId="0" shapeId="0" xr:uid="{BD542A7B-B1DC-4927-BEA1-7E5931515B31}">
      <text>
        <r>
          <rPr>
            <b/>
            <sz val="9"/>
            <color indexed="81"/>
            <rFont val="Tahoma"/>
            <family val="2"/>
          </rPr>
          <t xml:space="preserve">Material
</t>
        </r>
        <r>
          <rPr>
            <sz val="9"/>
            <color indexed="81"/>
            <rFont val="Tahoma"/>
            <family val="2"/>
          </rPr>
          <t xml:space="preserve">C    CRS (COLD ROLLED STEEL)
G    GALV (GALVANNEALED)
</t>
        </r>
      </text>
    </comment>
    <comment ref="G62" authorId="0" shapeId="0" xr:uid="{C6D0DCDC-6E06-4017-9D0B-AFC53D41B3EE}">
      <text>
        <r>
          <rPr>
            <b/>
            <sz val="9"/>
            <color indexed="81"/>
            <rFont val="Tahoma"/>
            <family val="2"/>
          </rPr>
          <t xml:space="preserve">Thickness
</t>
        </r>
        <r>
          <rPr>
            <sz val="9"/>
            <color indexed="81"/>
            <rFont val="Tahoma"/>
            <family val="2"/>
          </rPr>
          <t xml:space="preserve">1-3/4" THICK DOOR
1-3/8" THICK DOOR
SPL    DOOR THICKNESS (TO 2-1/2")
</t>
        </r>
      </text>
    </comment>
    <comment ref="H62" authorId="0" shapeId="0" xr:uid="{DACCFFC5-75C4-44B5-BCE9-E1D0FD7EED4D}">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62" authorId="0" shapeId="0" xr:uid="{4AE3059E-844E-43DF-B919-495A5664821D}">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62" authorId="0" shapeId="0" xr:uid="{099D572F-C0C0-4AA6-B4C0-D8324C567A96}">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62" authorId="0" shapeId="0" xr:uid="{AFE4509A-4990-47A5-AB1A-5AA8CE5FBB86}">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62" authorId="0" shapeId="0" xr:uid="{15A85EC0-A6FE-4B0A-BB9F-F41F300AC79D}">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62" authorId="0" shapeId="0" xr:uid="{ABB72E97-8729-43D3-9C0C-1D7225CA3456}">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62" authorId="0" shapeId="0" xr:uid="{BB675FF7-2CF8-4B4A-A1DD-316F30494C84}">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62" authorId="0" shapeId="0" xr:uid="{001B5412-EFC5-4A9C-9B7F-E947CC6B06CD}">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62" authorId="0" shapeId="0" xr:uid="{E187A390-C9D5-49D5-A09C-4DAF53599081}">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62" authorId="0" shapeId="0" xr:uid="{1CF84AB2-AD60-48CB-BBD1-8B92D5B6625A}">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62" authorId="0" shapeId="0" xr:uid="{9A31B167-D716-4A71-88F4-4F113A662025}">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62" authorId="0" shapeId="0" xr:uid="{AF28A1C3-B1DD-44B2-80E3-4FBEC32FBD42}">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62" authorId="0" shapeId="0" xr:uid="{4D0DAE9D-A7CC-47CF-B207-6B7C6C7F2AB4}">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62" authorId="0" shapeId="0" xr:uid="{C7CA84D5-0E57-4094-ADB4-A30BA4EDF17B}">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62" authorId="0" shapeId="0" xr:uid="{C3C5876D-3BF5-4D56-ADF2-B674DAB12F42}">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62" authorId="0" shapeId="0" xr:uid="{C2B6AA45-7C16-46DC-B74C-237F8574CACC}">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62" authorId="0" shapeId="0" xr:uid="{CF276806-01EA-4FB3-9806-7F6128BD67B3}">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62" authorId="1" shapeId="0" xr:uid="{A6AF1AF5-1A6F-4735-B49D-F90BB8B67C3B}">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64" authorId="1" shapeId="0" xr:uid="{C45C7622-3862-426B-929D-16AC2856061C}">
      <text>
        <r>
          <rPr>
            <sz val="9"/>
            <color indexed="81"/>
            <rFont val="Tahoma"/>
            <family val="2"/>
          </rPr>
          <t>Enter Special Depth Here
in Inches (SPJD)</t>
        </r>
        <r>
          <rPr>
            <i/>
            <sz val="9"/>
            <color indexed="81"/>
            <rFont val="Tahoma"/>
            <family val="2"/>
          </rPr>
          <t xml:space="preserve">
Do not include ' " ' .</t>
        </r>
      </text>
    </comment>
    <comment ref="O64" authorId="1" shapeId="0" xr:uid="{85432367-49B7-4756-9578-D769E07BD2FF}">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64" authorId="1" shapeId="0" xr:uid="{4867FEE5-D8FC-4AB6-8287-741C9514EE3C}">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64" authorId="1" shapeId="0" xr:uid="{37160D0F-3326-48C8-97CC-F208C47CED0C}">
      <text>
        <r>
          <rPr>
            <sz val="9"/>
            <color indexed="81"/>
            <rFont val="Tahoma"/>
            <family val="2"/>
          </rPr>
          <t xml:space="preserve">Please Provide a dimensioned profile drawing when Special Profile is selected.
</t>
        </r>
      </text>
    </comment>
    <comment ref="T64" authorId="1" shapeId="0" xr:uid="{787D7E9A-5FB6-4085-8DFD-54045E1B5335}">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64" authorId="1" shapeId="0" xr:uid="{9E551FFB-024C-42C1-9BB5-BC2358AFBF85}">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64" authorId="1" shapeId="0" xr:uid="{52F3F89A-AA85-4FA4-B24C-2CD78B8674CA}">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64" authorId="1" shapeId="0" xr:uid="{1845AFDA-A79C-46C3-9FA6-0D278BB9071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66" authorId="1" shapeId="0" xr:uid="{1CBD2770-9D18-4E66-8739-CDDE4A944DE9}">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71" authorId="0" shapeId="0" xr:uid="{183A1E1E-D1C0-4FCA-9961-F0D7D9FEF32D}">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71" authorId="0" shapeId="0" xr:uid="{F1D92DCD-8C80-467B-B588-DB3B88CE9AE9}">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71" authorId="0" shapeId="0" xr:uid="{7BFE7B22-ED5D-4D99-8096-55BBD76F648D}">
      <text>
        <r>
          <rPr>
            <b/>
            <sz val="9"/>
            <color indexed="81"/>
            <rFont val="Tahoma"/>
            <family val="2"/>
          </rPr>
          <t xml:space="preserve">Material
</t>
        </r>
        <r>
          <rPr>
            <sz val="9"/>
            <color indexed="81"/>
            <rFont val="Tahoma"/>
            <family val="2"/>
          </rPr>
          <t xml:space="preserve">C    CRS (COLD ROLLED STEEL)
G    GALV (GALVANNEALED)
</t>
        </r>
      </text>
    </comment>
    <comment ref="G71" authorId="0" shapeId="0" xr:uid="{2A922673-5F23-4E36-90BD-1B0CE1F0090E}">
      <text>
        <r>
          <rPr>
            <b/>
            <sz val="9"/>
            <color indexed="81"/>
            <rFont val="Tahoma"/>
            <family val="2"/>
          </rPr>
          <t xml:space="preserve">Thickness
</t>
        </r>
        <r>
          <rPr>
            <sz val="9"/>
            <color indexed="81"/>
            <rFont val="Tahoma"/>
            <family val="2"/>
          </rPr>
          <t xml:space="preserve">1-3/4" THICK DOOR
1-3/8" THICK DOOR
SPL    DOOR THICKNESS (TO 2-1/2")
</t>
        </r>
      </text>
    </comment>
    <comment ref="H71" authorId="0" shapeId="0" xr:uid="{E2CC6665-98D7-4081-80A6-6A9EA859E0D0}">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71" authorId="0" shapeId="0" xr:uid="{E4AECAE9-A853-4E91-B38C-7DBE21001822}">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71" authorId="0" shapeId="0" xr:uid="{181FAD40-0BE3-401A-84DE-0E36BFAC0B02}">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71" authorId="0" shapeId="0" xr:uid="{F1B7FD08-5579-489A-A3B4-5575037300F4}">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71" authorId="0" shapeId="0" xr:uid="{8B63276C-3FC9-453D-8223-C78927AB3867}">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71" authorId="0" shapeId="0" xr:uid="{43328BB1-6BB5-4184-B197-9DAF57AD02F2}">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71" authorId="0" shapeId="0" xr:uid="{E53BD7FD-837F-467C-872E-8EDBD8BB70FF}">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71" authorId="0" shapeId="0" xr:uid="{58B90426-6E03-415D-B71E-6C80197828E4}">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71" authorId="0" shapeId="0" xr:uid="{2A4C03F2-742E-4286-BF6E-9BD653F9F213}">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71" authorId="0" shapeId="0" xr:uid="{507D4509-B841-4E82-B7FD-2AA0CCEE8864}">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71" authorId="0" shapeId="0" xr:uid="{A30D8C34-2658-41D5-860A-74652538F6DF}">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71" authorId="0" shapeId="0" xr:uid="{9FA779F8-290E-4A96-A526-B766DD396002}">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71" authorId="0" shapeId="0" xr:uid="{78BC9072-BE00-421E-AEC5-793E5388A2A5}">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71" authorId="0" shapeId="0" xr:uid="{2846FBD9-2C4D-4448-A7F5-84374B1F8789}">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71" authorId="0" shapeId="0" xr:uid="{1BE7FDED-A6EE-4031-BD93-C17A464958FF}">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71" authorId="0" shapeId="0" xr:uid="{0D87D373-D174-49FD-BCC7-BCBF99843561}">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71" authorId="0" shapeId="0" xr:uid="{FF5AF520-CE15-461C-9807-F6D8E074B780}">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71" authorId="1" shapeId="0" xr:uid="{33084393-4CD2-428F-B46D-1FF56388EEC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73" authorId="1" shapeId="0" xr:uid="{084747B4-3E7E-40F0-BB10-816FF7CF2176}">
      <text>
        <r>
          <rPr>
            <sz val="9"/>
            <color indexed="81"/>
            <rFont val="Tahoma"/>
            <family val="2"/>
          </rPr>
          <t>Enter Special Depth Here
in Inches (SPJD)</t>
        </r>
        <r>
          <rPr>
            <i/>
            <sz val="9"/>
            <color indexed="81"/>
            <rFont val="Tahoma"/>
            <family val="2"/>
          </rPr>
          <t xml:space="preserve">
Do not include ' " ' .</t>
        </r>
      </text>
    </comment>
    <comment ref="O73" authorId="1" shapeId="0" xr:uid="{92D38E13-6EF4-4699-AB71-02464EC6E4F4}">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73" authorId="1" shapeId="0" xr:uid="{36B5A604-0687-4F8B-9F23-3EBDD73400FD}">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73" authorId="1" shapeId="0" xr:uid="{4BD87123-8210-4DD8-825A-28BC94E4B01E}">
      <text>
        <r>
          <rPr>
            <sz val="9"/>
            <color indexed="81"/>
            <rFont val="Tahoma"/>
            <family val="2"/>
          </rPr>
          <t xml:space="preserve">Please Provide a dimensioned profile drawing when Special Profile is selected.
</t>
        </r>
      </text>
    </comment>
    <comment ref="T73" authorId="1" shapeId="0" xr:uid="{83C7B8A0-D3D8-4361-AAB5-FCF7F8D4BCAC}">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73" authorId="1" shapeId="0" xr:uid="{892CD25E-663D-4BE7-93C6-A068CAFD88AB}">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73" authorId="1" shapeId="0" xr:uid="{707FE2E4-DF4C-43E3-9AD7-1206CE201E22}">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73" authorId="1" shapeId="0" xr:uid="{1DD4EEA8-7F8D-4F11-B9BA-9A1DAB19C485}">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75" authorId="1" shapeId="0" xr:uid="{DC487282-DB28-4FA5-8795-2E7458EB0A2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80" authorId="0" shapeId="0" xr:uid="{2E25DAC3-F3EC-46F2-9229-A86406DF94B5}">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80" authorId="0" shapeId="0" xr:uid="{2A1FDC04-34D6-4B6C-9056-7F66C7B7F0EE}">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80" authorId="0" shapeId="0" xr:uid="{9F5E4243-7552-4327-BFD0-84F2F8D51404}">
      <text>
        <r>
          <rPr>
            <b/>
            <sz val="9"/>
            <color indexed="81"/>
            <rFont val="Tahoma"/>
            <family val="2"/>
          </rPr>
          <t xml:space="preserve">Material
</t>
        </r>
        <r>
          <rPr>
            <sz val="9"/>
            <color indexed="81"/>
            <rFont val="Tahoma"/>
            <family val="2"/>
          </rPr>
          <t xml:space="preserve">C    CRS (COLD ROLLED STEEL)
G    GALV (GALVANNEALED)
</t>
        </r>
      </text>
    </comment>
    <comment ref="G80" authorId="0" shapeId="0" xr:uid="{8833187E-C445-4EC0-87D2-0C355E02462E}">
      <text>
        <r>
          <rPr>
            <b/>
            <sz val="9"/>
            <color indexed="81"/>
            <rFont val="Tahoma"/>
            <family val="2"/>
          </rPr>
          <t xml:space="preserve">Thickness
</t>
        </r>
        <r>
          <rPr>
            <sz val="9"/>
            <color indexed="81"/>
            <rFont val="Tahoma"/>
            <family val="2"/>
          </rPr>
          <t xml:space="preserve">1-3/4" THICK DOOR
1-3/8" THICK DOOR
SPL    DOOR THICKNESS (TO 2-1/2")
</t>
        </r>
      </text>
    </comment>
    <comment ref="H80" authorId="0" shapeId="0" xr:uid="{DF5E9F97-95CA-4A6D-8A4E-025333283D7E}">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80" authorId="0" shapeId="0" xr:uid="{B988E9A1-CD43-4A44-9E23-6B06A794F890}">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80" authorId="0" shapeId="0" xr:uid="{EEE1FB61-4E9E-4B43-9714-43B611C796A8}">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80" authorId="0" shapeId="0" xr:uid="{5B4D8DEF-483B-4B56-A9C4-2F5B9FCD8D97}">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80" authorId="0" shapeId="0" xr:uid="{46D880BC-07D2-4A73-BE3B-598A6B60686D}">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80" authorId="0" shapeId="0" xr:uid="{22E25F6B-4789-49E4-B0B9-9228A83291A3}">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80" authorId="0" shapeId="0" xr:uid="{1D2240A2-162B-45E0-BFB7-95AB1F213D2B}">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80" authorId="0" shapeId="0" xr:uid="{A49B21EE-16DE-42CC-97B9-E63306BEDB58}">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80" authorId="0" shapeId="0" xr:uid="{D60F773B-6B80-449B-B13B-4BC928860C2D}">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80" authorId="0" shapeId="0" xr:uid="{47FC3952-8A72-4867-9D12-B2C9A6D20E87}">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80" authorId="0" shapeId="0" xr:uid="{40264B22-B3FC-48BA-A5BB-BADF0B927718}">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80" authorId="0" shapeId="0" xr:uid="{C04B6602-A798-498A-B668-0193141D10A2}">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80" authorId="0" shapeId="0" xr:uid="{FF593906-167D-48D0-80DD-E18CF419F3BC}">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80" authorId="0" shapeId="0" xr:uid="{03CBD01D-5313-49AE-B12D-B6FBEBD1E5F1}">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80" authorId="0" shapeId="0" xr:uid="{2F587521-9FB8-4368-A0F7-523546A55A41}">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80" authorId="0" shapeId="0" xr:uid="{04C90521-4109-4DD6-84F3-EF68EACE22D5}">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80" authorId="0" shapeId="0" xr:uid="{540D21B1-EB5F-4FF0-A90F-3C188114587A}">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80" authorId="1" shapeId="0" xr:uid="{6CB01015-FCA1-4ED2-BD7D-3B0DE0E17F26}">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82" authorId="1" shapeId="0" xr:uid="{F547BC93-A852-4427-AC1B-E1B788743172}">
      <text>
        <r>
          <rPr>
            <sz val="9"/>
            <color indexed="81"/>
            <rFont val="Tahoma"/>
            <family val="2"/>
          </rPr>
          <t>Enter Special Depth Here
in Inches (SPJD)</t>
        </r>
        <r>
          <rPr>
            <i/>
            <sz val="9"/>
            <color indexed="81"/>
            <rFont val="Tahoma"/>
            <family val="2"/>
          </rPr>
          <t xml:space="preserve">
Do not include ' " ' .</t>
        </r>
      </text>
    </comment>
    <comment ref="O82" authorId="1" shapeId="0" xr:uid="{D32577CD-A937-4515-9A10-FE4BDC9C1FB7}">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82" authorId="1" shapeId="0" xr:uid="{B3ED3F0A-7BD7-469D-969A-99046386B7ED}">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82" authorId="1" shapeId="0" xr:uid="{D6EA38C8-C15A-4420-BF47-4F79EA1910F8}">
      <text>
        <r>
          <rPr>
            <sz val="9"/>
            <color indexed="81"/>
            <rFont val="Tahoma"/>
            <family val="2"/>
          </rPr>
          <t xml:space="preserve">Please Provide a dimensioned profile drawing when Special Profile is selected.
</t>
        </r>
      </text>
    </comment>
    <comment ref="T82" authorId="1" shapeId="0" xr:uid="{17C077BF-27FB-4F4E-96A2-EDF7BD420B2C}">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82" authorId="1" shapeId="0" xr:uid="{3DA1783C-E4CB-4B71-A9A4-44B8386CD17C}">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82" authorId="1" shapeId="0" xr:uid="{9F477002-8906-47CF-8475-9F8A0AE25FD3}">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82" authorId="1" shapeId="0" xr:uid="{B89740DC-6EC4-46CD-92F5-AC336D0ED3A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84" authorId="1" shapeId="0" xr:uid="{CFFED664-F49E-4233-83C7-C4CFBA3962E7}">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89" authorId="0" shapeId="0" xr:uid="{194943FF-A715-472F-A6FF-DE5EF6275ECF}">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89" authorId="0" shapeId="0" xr:uid="{5A49EB67-3422-4A05-A25D-EBED064B184E}">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89" authorId="0" shapeId="0" xr:uid="{9856C0DE-5E69-4A84-A7C7-20B00E94878F}">
      <text>
        <r>
          <rPr>
            <b/>
            <sz val="9"/>
            <color indexed="81"/>
            <rFont val="Tahoma"/>
            <family val="2"/>
          </rPr>
          <t xml:space="preserve">Material
</t>
        </r>
        <r>
          <rPr>
            <sz val="9"/>
            <color indexed="81"/>
            <rFont val="Tahoma"/>
            <family val="2"/>
          </rPr>
          <t xml:space="preserve">C    CRS (COLD ROLLED STEEL)
G    GALV (GALVANNEALED)
</t>
        </r>
      </text>
    </comment>
    <comment ref="G89" authorId="0" shapeId="0" xr:uid="{70722497-24D9-4B15-8FB0-B15394F8F551}">
      <text>
        <r>
          <rPr>
            <b/>
            <sz val="9"/>
            <color indexed="81"/>
            <rFont val="Tahoma"/>
            <family val="2"/>
          </rPr>
          <t xml:space="preserve">Thickness
</t>
        </r>
        <r>
          <rPr>
            <sz val="9"/>
            <color indexed="81"/>
            <rFont val="Tahoma"/>
            <family val="2"/>
          </rPr>
          <t xml:space="preserve">1-3/4" THICK DOOR
1-3/8" THICK DOOR
SPL    DOOR THICKNESS (TO 2-1/2")
</t>
        </r>
      </text>
    </comment>
    <comment ref="H89" authorId="0" shapeId="0" xr:uid="{C0C014BC-B823-4D5F-808B-F57E932CA2EF}">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89" authorId="0" shapeId="0" xr:uid="{03A73B4C-77DC-47E6-B361-419E1A29D4BF}">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89" authorId="0" shapeId="0" xr:uid="{60620873-A912-46F8-96B3-E5A7C108C572}">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89" authorId="0" shapeId="0" xr:uid="{800B0923-ADF6-42EE-B347-3F4E69CFCDC0}">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89" authorId="0" shapeId="0" xr:uid="{0C1B45B0-7397-4420-B06A-620D0914F57C}">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89" authorId="0" shapeId="0" xr:uid="{30A4E5E2-BDEB-43DB-8305-FC677F685DBE}">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89" authorId="0" shapeId="0" xr:uid="{077B5548-6081-4D32-B8CD-D021671BA4AD}">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89" authorId="0" shapeId="0" xr:uid="{8453023D-A203-4652-A031-871B61F52488}">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89" authorId="0" shapeId="0" xr:uid="{0EFBD5D9-7346-4745-847D-7E0CF29D0A6D}">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89" authorId="0" shapeId="0" xr:uid="{21FD0F9A-E739-4CD6-A9CE-C026813F9E92}">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89" authorId="0" shapeId="0" xr:uid="{2051ED93-5800-40F9-A573-F318D9C90760}">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89" authorId="0" shapeId="0" xr:uid="{A7876A01-B758-43E7-A7B1-760BC54D55D9}">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89" authorId="0" shapeId="0" xr:uid="{40DA611E-A1C3-4B77-B6AF-504DDAF50FD9}">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89" authorId="0" shapeId="0" xr:uid="{4FA88E69-8A6F-4E90-91BC-AEA06A124B04}">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89" authorId="0" shapeId="0" xr:uid="{43D84B2F-F39C-45D7-B655-B9971E99E24C}">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89" authorId="0" shapeId="0" xr:uid="{29A73275-F204-480D-862B-1206BAE48C8B}">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89" authorId="0" shapeId="0" xr:uid="{1EC03DA6-6591-48EC-B34A-F62D8AD77E09}">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89" authorId="1" shapeId="0" xr:uid="{F5E2BE88-A609-419E-84AB-3000E89AECF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91" authorId="1" shapeId="0" xr:uid="{BB0EEBFC-1301-4367-B0A6-5902DE124AAB}">
      <text>
        <r>
          <rPr>
            <sz val="9"/>
            <color indexed="81"/>
            <rFont val="Tahoma"/>
            <family val="2"/>
          </rPr>
          <t>Enter Special Depth Here
in Inches (SPJD)</t>
        </r>
        <r>
          <rPr>
            <i/>
            <sz val="9"/>
            <color indexed="81"/>
            <rFont val="Tahoma"/>
            <family val="2"/>
          </rPr>
          <t xml:space="preserve">
Do not include ' " ' .</t>
        </r>
      </text>
    </comment>
    <comment ref="O91" authorId="1" shapeId="0" xr:uid="{696FF565-91DD-4E09-B3ED-D625D1E00C4C}">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91" authorId="1" shapeId="0" xr:uid="{8E4D5BA4-15A7-48B6-8FB6-629308886A6F}">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91" authorId="1" shapeId="0" xr:uid="{95CB514D-727A-4044-85EE-A3443EC157AB}">
      <text>
        <r>
          <rPr>
            <sz val="9"/>
            <color indexed="81"/>
            <rFont val="Tahoma"/>
            <family val="2"/>
          </rPr>
          <t xml:space="preserve">Please Provide a dimensioned profile drawing when Special Profile is selected.
</t>
        </r>
      </text>
    </comment>
    <comment ref="T91" authorId="1" shapeId="0" xr:uid="{A4DA7F32-3E43-423A-8FB2-E02F3ADD2163}">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91" authorId="1" shapeId="0" xr:uid="{B1D76929-148A-49A6-B862-C5F7A95C67F2}">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91" authorId="1" shapeId="0" xr:uid="{13D407A7-CB28-47C9-A646-D42E061E8D22}">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91" authorId="1" shapeId="0" xr:uid="{365F05D4-2685-4F0E-AEAD-915566F870FD}">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93" authorId="1" shapeId="0" xr:uid="{C8BED127-04B0-4395-8674-4E6DF1BCA84E}">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98" authorId="0" shapeId="0" xr:uid="{98428D11-6E37-46C1-8A15-E4134736A51C}">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98" authorId="0" shapeId="0" xr:uid="{8AFF8C9F-2567-4E71-AE87-8E086382E01F}">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98" authorId="0" shapeId="0" xr:uid="{49FA57D0-8880-4B26-9C4D-70A5326A1543}">
      <text>
        <r>
          <rPr>
            <b/>
            <sz val="9"/>
            <color indexed="81"/>
            <rFont val="Tahoma"/>
            <family val="2"/>
          </rPr>
          <t xml:space="preserve">Material
</t>
        </r>
        <r>
          <rPr>
            <sz val="9"/>
            <color indexed="81"/>
            <rFont val="Tahoma"/>
            <family val="2"/>
          </rPr>
          <t xml:space="preserve">C    CRS (COLD ROLLED STEEL)
G    GALV (GALVANNEALED)
</t>
        </r>
      </text>
    </comment>
    <comment ref="G98" authorId="0" shapeId="0" xr:uid="{0BE54B4A-B37A-4721-9CF8-BBA49098E204}">
      <text>
        <r>
          <rPr>
            <b/>
            <sz val="9"/>
            <color indexed="81"/>
            <rFont val="Tahoma"/>
            <family val="2"/>
          </rPr>
          <t xml:space="preserve">Thickness
</t>
        </r>
        <r>
          <rPr>
            <sz val="9"/>
            <color indexed="81"/>
            <rFont val="Tahoma"/>
            <family val="2"/>
          </rPr>
          <t xml:space="preserve">1-3/4" THICK DOOR
1-3/8" THICK DOOR
SPL    DOOR THICKNESS (TO 2-1/2")
</t>
        </r>
      </text>
    </comment>
    <comment ref="H98" authorId="0" shapeId="0" xr:uid="{01C4EC8D-2F88-49AB-9915-0B28FE222C2F}">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98" authorId="0" shapeId="0" xr:uid="{0D1CC93F-D1A4-44F9-BC78-89B40E6EC14A}">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98" authorId="0" shapeId="0" xr:uid="{22F094D5-2CC9-46E8-9746-4B1AD0C9AE28}">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98" authorId="0" shapeId="0" xr:uid="{80CA0AD3-5F6A-47BC-9114-389261879F13}">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98" authorId="0" shapeId="0" xr:uid="{0A62D1D1-BF9E-477F-8809-B65BCECE4F9A}">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98" authorId="0" shapeId="0" xr:uid="{D2E0DBE3-02AD-4A98-94D3-6FF8EF72AE50}">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98" authorId="0" shapeId="0" xr:uid="{8BE1824D-3261-4BE9-B602-8EF805DD9349}">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98" authorId="0" shapeId="0" xr:uid="{D336BA6C-AFD0-448C-8D5A-FA68DC8301A7}">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98" authorId="0" shapeId="0" xr:uid="{A2EB838D-1DDA-47D9-8419-1E14F4A4FFFE}">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98" authorId="0" shapeId="0" xr:uid="{5477311A-AEC3-4FAD-BD68-B372E42518BB}">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98" authorId="0" shapeId="0" xr:uid="{114C71F7-F642-4166-965A-8306BA97E12E}">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98" authorId="0" shapeId="0" xr:uid="{8F00115C-CA4B-4F07-960F-59CCBC8CDB5F}">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98" authorId="0" shapeId="0" xr:uid="{E48A7497-B4DE-4691-9E5E-B3FC7F97E67A}">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98" authorId="0" shapeId="0" xr:uid="{C774B6C2-7A9C-44D2-9A5B-30AA32147B7E}">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98" authorId="0" shapeId="0" xr:uid="{DD44DAE1-9FC4-4BA5-B34D-ECFB88F67B3F}">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98" authorId="0" shapeId="0" xr:uid="{868690FF-4AB2-4BEF-AA8E-5A7EFD85F412}">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98" authorId="0" shapeId="0" xr:uid="{919275A3-5705-460C-AF3A-3D31FB957F2F}">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98" authorId="1" shapeId="0" xr:uid="{953C0624-E878-425B-876C-99B735235280}">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00" authorId="1" shapeId="0" xr:uid="{DBBC707E-5C08-44DB-9685-7E97302B06A5}">
      <text>
        <r>
          <rPr>
            <sz val="9"/>
            <color indexed="81"/>
            <rFont val="Tahoma"/>
            <family val="2"/>
          </rPr>
          <t>Enter Special Depth Here
in Inches (SPJD)</t>
        </r>
        <r>
          <rPr>
            <i/>
            <sz val="9"/>
            <color indexed="81"/>
            <rFont val="Tahoma"/>
            <family val="2"/>
          </rPr>
          <t xml:space="preserve">
Do not include ' " ' .</t>
        </r>
      </text>
    </comment>
    <comment ref="O100" authorId="1" shapeId="0" xr:uid="{E8ACC18F-B2A2-4057-BE0D-9A2A23AE100A}">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00" authorId="1" shapeId="0" xr:uid="{05E77479-6FA4-4CA5-9C2B-563129DF3D5C}">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00" authorId="1" shapeId="0" xr:uid="{88F1BB79-1B92-49DF-A5EA-B2B7304DB052}">
      <text>
        <r>
          <rPr>
            <sz val="9"/>
            <color indexed="81"/>
            <rFont val="Tahoma"/>
            <family val="2"/>
          </rPr>
          <t xml:space="preserve">Please Provide a dimensioned profile drawing when Special Profile is selected.
</t>
        </r>
      </text>
    </comment>
    <comment ref="T100" authorId="1" shapeId="0" xr:uid="{6A771016-B596-4FF5-8982-A5F3E87947ED}">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00" authorId="1" shapeId="0" xr:uid="{EE0C5BDC-6947-41EE-9E4A-8C9BD9CA1EDB}">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00" authorId="1" shapeId="0" xr:uid="{2A2767F9-F8AE-4EB0-A466-A781A133EF47}">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00" authorId="1" shapeId="0" xr:uid="{2E9774E1-8AC6-49BA-929B-35868961E72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102" authorId="1" shapeId="0" xr:uid="{35C45E92-BB92-4A1D-9AD6-9C6232EE251C}">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107" authorId="0" shapeId="0" xr:uid="{48A1B36E-4B7D-4FD9-BF96-7E9805D59332}">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107" authorId="0" shapeId="0" xr:uid="{28F95B1E-BF2B-4062-AB99-1AA8A0393017}">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107" authorId="0" shapeId="0" xr:uid="{B28CB4DA-E04A-4B66-AC8B-BEC2FF3343A4}">
      <text>
        <r>
          <rPr>
            <b/>
            <sz val="9"/>
            <color indexed="81"/>
            <rFont val="Tahoma"/>
            <family val="2"/>
          </rPr>
          <t xml:space="preserve">Material
</t>
        </r>
        <r>
          <rPr>
            <sz val="9"/>
            <color indexed="81"/>
            <rFont val="Tahoma"/>
            <family val="2"/>
          </rPr>
          <t xml:space="preserve">C    CRS (COLD ROLLED STEEL)
G    GALV (GALVANNEALED)
</t>
        </r>
      </text>
    </comment>
    <comment ref="G107" authorId="0" shapeId="0" xr:uid="{D56F97A5-4287-4397-BDC5-A69441706C13}">
      <text>
        <r>
          <rPr>
            <b/>
            <sz val="9"/>
            <color indexed="81"/>
            <rFont val="Tahoma"/>
            <family val="2"/>
          </rPr>
          <t xml:space="preserve">Thickness
</t>
        </r>
        <r>
          <rPr>
            <sz val="9"/>
            <color indexed="81"/>
            <rFont val="Tahoma"/>
            <family val="2"/>
          </rPr>
          <t xml:space="preserve">1-3/4" THICK DOOR
1-3/8" THICK DOOR
SPL    DOOR THICKNESS (TO 2-1/2")
</t>
        </r>
      </text>
    </comment>
    <comment ref="H107" authorId="0" shapeId="0" xr:uid="{2003CD80-0E3D-4FA8-AF1D-7863771BB778}">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107" authorId="0" shapeId="0" xr:uid="{5BC0E03A-F108-41C0-8563-7BA9C6284C7F}">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107" authorId="0" shapeId="0" xr:uid="{748717D2-9B98-42FA-8690-8F6DDED48E6A}">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107" authorId="0" shapeId="0" xr:uid="{3490C26C-DB8D-473E-A23E-4C6DB44C4E1D}">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107" authorId="0" shapeId="0" xr:uid="{B302E612-34FC-4279-B62C-966209AC7B2F}">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107" authorId="0" shapeId="0" xr:uid="{C509188F-D7DB-4388-804F-506738FBBE3E}">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107" authorId="0" shapeId="0" xr:uid="{7B5004A3-AC1A-40C2-A59F-E02D62B7D830}">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107" authorId="0" shapeId="0" xr:uid="{CB5BA4B4-4DFA-4169-81EF-BEDCA6D16AE5}">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107" authorId="0" shapeId="0" xr:uid="{A947C361-2685-403B-A264-C87C45B1BC6B}">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107" authorId="0" shapeId="0" xr:uid="{7FA99865-C2A9-4523-9005-FE80F25BCA19}">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107" authorId="0" shapeId="0" xr:uid="{3DCEC62F-3A51-4D6F-8112-A67B81B7BDF9}">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107" authorId="0" shapeId="0" xr:uid="{D6B97634-9942-4E79-99D6-5A95B01C005F}">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107" authorId="0" shapeId="0" xr:uid="{3BC24517-6D46-4372-AF01-BACC05C5680A}">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107" authorId="0" shapeId="0" xr:uid="{621C7309-20AD-48BB-83DB-4BB59BBAC60F}">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107" authorId="0" shapeId="0" xr:uid="{B52395E8-308F-4CCB-9224-B6A55CCF166B}">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107" authorId="0" shapeId="0" xr:uid="{FF607270-D9F3-473D-9BFE-D7A5BD44F08A}">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107" authorId="0" shapeId="0" xr:uid="{75D199D5-4789-47D0-BAD3-D5FAC5760FDF}">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107" authorId="1" shapeId="0" xr:uid="{5F5797AF-D594-48FC-91F1-D4751DAC1C23}">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09" authorId="1" shapeId="0" xr:uid="{A16C3F64-F1EF-4C7C-B4E8-DB1C78CFFD4B}">
      <text>
        <r>
          <rPr>
            <sz val="9"/>
            <color indexed="81"/>
            <rFont val="Tahoma"/>
            <family val="2"/>
          </rPr>
          <t>Enter Special Depth Here
in Inches (SPJD)</t>
        </r>
        <r>
          <rPr>
            <i/>
            <sz val="9"/>
            <color indexed="81"/>
            <rFont val="Tahoma"/>
            <family val="2"/>
          </rPr>
          <t xml:space="preserve">
Do not include ' " ' .</t>
        </r>
      </text>
    </comment>
    <comment ref="O109" authorId="1" shapeId="0" xr:uid="{36F3A019-20D0-448C-BB03-F03FCB35E578}">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09" authorId="1" shapeId="0" xr:uid="{0D5D957F-DDBB-4A74-9851-A31F4ECDC60E}">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09" authorId="1" shapeId="0" xr:uid="{5AEB8EED-D7AE-4575-9E22-085A7B028A4C}">
      <text>
        <r>
          <rPr>
            <sz val="9"/>
            <color indexed="81"/>
            <rFont val="Tahoma"/>
            <family val="2"/>
          </rPr>
          <t xml:space="preserve">Please Provide a dimensioned profile drawing when Special Profile is selected.
</t>
        </r>
      </text>
    </comment>
    <comment ref="T109" authorId="1" shapeId="0" xr:uid="{C6C97985-E57A-4EE5-A4E3-C2FDA6E633F1}">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09" authorId="1" shapeId="0" xr:uid="{0CC1B000-6C59-45A1-A2C2-A71B730552C2}">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09" authorId="1" shapeId="0" xr:uid="{68A5A6AE-16BD-42B9-9CBB-4A2358DA6E89}">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09" authorId="1" shapeId="0" xr:uid="{BA3F7B09-3339-4D4B-8122-80FFFC8A768D}">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111" authorId="1" shapeId="0" xr:uid="{A4D7037E-C084-40EA-BC85-9BA56F7CB2C3}">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116" authorId="0" shapeId="0" xr:uid="{057E6D4A-9595-4919-B210-9E4F23D9F675}">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116" authorId="0" shapeId="0" xr:uid="{971F1EDD-2EB5-475F-BDE5-A1E7C7C9D95A}">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116" authorId="0" shapeId="0" xr:uid="{230BC5FE-D846-477A-8BCA-5F837A49A402}">
      <text>
        <r>
          <rPr>
            <b/>
            <sz val="9"/>
            <color indexed="81"/>
            <rFont val="Tahoma"/>
            <family val="2"/>
          </rPr>
          <t xml:space="preserve">Material
</t>
        </r>
        <r>
          <rPr>
            <sz val="9"/>
            <color indexed="81"/>
            <rFont val="Tahoma"/>
            <family val="2"/>
          </rPr>
          <t xml:space="preserve">C    CRS (COLD ROLLED STEEL)
G    GALV (GALVANNEALED)
</t>
        </r>
      </text>
    </comment>
    <comment ref="G116" authorId="0" shapeId="0" xr:uid="{BBC362A5-6952-45B4-9DC8-F4A4D570139B}">
      <text>
        <r>
          <rPr>
            <b/>
            <sz val="9"/>
            <color indexed="81"/>
            <rFont val="Tahoma"/>
            <family val="2"/>
          </rPr>
          <t xml:space="preserve">Thickness
</t>
        </r>
        <r>
          <rPr>
            <sz val="9"/>
            <color indexed="81"/>
            <rFont val="Tahoma"/>
            <family val="2"/>
          </rPr>
          <t xml:space="preserve">1-3/4" THICK DOOR
1-3/8" THICK DOOR
SPL    DOOR THICKNESS (TO 2-1/2")
</t>
        </r>
      </text>
    </comment>
    <comment ref="H116" authorId="0" shapeId="0" xr:uid="{51DADC65-9351-49DD-9FE9-A22B4DEB13CD}">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116" authorId="0" shapeId="0" xr:uid="{F3A861F3-E513-4995-BAD5-5E2E8BB016F9}">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116" authorId="0" shapeId="0" xr:uid="{814B0B3C-4115-4986-9B8C-636D1F8E654C}">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116" authorId="0" shapeId="0" xr:uid="{4C8EA061-F828-4E0D-A7B2-3DC23CB746D9}">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116" authorId="0" shapeId="0" xr:uid="{ED5696BB-A8EF-481E-80A6-25F7182CA527}">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116" authorId="0" shapeId="0" xr:uid="{FA8FAFAF-B4A8-4FB2-AFC4-9E7B68645DA3}">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116" authorId="0" shapeId="0" xr:uid="{25E0448C-F991-4050-857B-73CD5CCCA41C}">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116" authorId="0" shapeId="0" xr:uid="{B50182F4-A70A-4517-BD5D-E22561A5E008}">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116" authorId="0" shapeId="0" xr:uid="{4B87A2E6-8503-424A-9694-5E7A46FEAC70}">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116" authorId="0" shapeId="0" xr:uid="{9A92DE72-1202-44D3-8274-CB4A3B5B299D}">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116" authorId="0" shapeId="0" xr:uid="{F5F4AFC9-6054-4CCB-B161-15695DD1CFB9}">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116" authorId="0" shapeId="0" xr:uid="{44E7AFE0-ACAF-478D-8428-1655CF026AD3}">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116" authorId="0" shapeId="0" xr:uid="{9DCA0042-AB23-4F12-B170-E28BEFCDD586}">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116" authorId="0" shapeId="0" xr:uid="{22E6B201-3B8C-4F07-8091-710D329B10C2}">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116" authorId="0" shapeId="0" xr:uid="{18B595EF-F197-44C8-B5AD-1105331430DE}">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116" authorId="0" shapeId="0" xr:uid="{CE3E8FED-7268-4188-ACE3-AF0CD92C7579}">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116" authorId="0" shapeId="0" xr:uid="{B0981798-6CE5-466A-8744-94A1937083E9}">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116" authorId="1" shapeId="0" xr:uid="{D3B370A2-DEBB-4E8D-96FA-A50B2B746C0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18" authorId="1" shapeId="0" xr:uid="{DE0F6BCE-C0E4-4E95-8A7D-6F28F8B8C900}">
      <text>
        <r>
          <rPr>
            <sz val="9"/>
            <color indexed="81"/>
            <rFont val="Tahoma"/>
            <family val="2"/>
          </rPr>
          <t>Enter Special Depth Here
in Inches (SPJD)</t>
        </r>
        <r>
          <rPr>
            <i/>
            <sz val="9"/>
            <color indexed="81"/>
            <rFont val="Tahoma"/>
            <family val="2"/>
          </rPr>
          <t xml:space="preserve">
Do not include ' " ' .</t>
        </r>
      </text>
    </comment>
    <comment ref="O118" authorId="1" shapeId="0" xr:uid="{2BE352FB-19E5-4CB2-A3BC-3EC24AFE7C4F}">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18" authorId="1" shapeId="0" xr:uid="{B1AF8514-65E7-4804-82A0-CCCA05751C5C}">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18" authorId="1" shapeId="0" xr:uid="{0A828102-801A-41ED-B215-99AE9309FB4D}">
      <text>
        <r>
          <rPr>
            <sz val="9"/>
            <color indexed="81"/>
            <rFont val="Tahoma"/>
            <family val="2"/>
          </rPr>
          <t xml:space="preserve">Please Provide a dimensioned profile drawing when Special Profile is selected.
</t>
        </r>
      </text>
    </comment>
    <comment ref="T118" authorId="1" shapeId="0" xr:uid="{E0BF0EC5-DEE6-4CFB-A6F7-41544B2FA148}">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18" authorId="1" shapeId="0" xr:uid="{610AA0C1-FC4E-4B24-9060-2FB38523C666}">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18" authorId="1" shapeId="0" xr:uid="{977576DF-54D8-442F-ADF4-469B9E7D7504}">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18" authorId="1" shapeId="0" xr:uid="{40FD3C59-EAD6-41B8-A313-FF35A2F8AFE8}">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120" authorId="1" shapeId="0" xr:uid="{6D3D3A64-9AC8-4A65-96D9-5737F030927C}">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125" authorId="0" shapeId="0" xr:uid="{F1D6D039-9B6A-43DD-9239-E2F357D6A513}">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125" authorId="0" shapeId="0" xr:uid="{FF075E32-2836-4E26-B168-CFBB521C7E67}">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125" authorId="0" shapeId="0" xr:uid="{EF614E8F-6BAA-4AE9-9ED9-EBFE5ACF171D}">
      <text>
        <r>
          <rPr>
            <b/>
            <sz val="9"/>
            <color indexed="81"/>
            <rFont val="Tahoma"/>
            <family val="2"/>
          </rPr>
          <t xml:space="preserve">Material
</t>
        </r>
        <r>
          <rPr>
            <sz val="9"/>
            <color indexed="81"/>
            <rFont val="Tahoma"/>
            <family val="2"/>
          </rPr>
          <t xml:space="preserve">C    CRS (COLD ROLLED STEEL)
G    GALV (GALVANNEALED)
</t>
        </r>
      </text>
    </comment>
    <comment ref="G125" authorId="0" shapeId="0" xr:uid="{4BB7C803-129B-42FF-BA0D-FBFF10F174B6}">
      <text>
        <r>
          <rPr>
            <b/>
            <sz val="9"/>
            <color indexed="81"/>
            <rFont val="Tahoma"/>
            <family val="2"/>
          </rPr>
          <t xml:space="preserve">Thickness
</t>
        </r>
        <r>
          <rPr>
            <sz val="9"/>
            <color indexed="81"/>
            <rFont val="Tahoma"/>
            <family val="2"/>
          </rPr>
          <t xml:space="preserve">1-3/4" THICK DOOR
1-3/8" THICK DOOR
SPL    DOOR THICKNESS (TO 2-1/2")
</t>
        </r>
      </text>
    </comment>
    <comment ref="H125" authorId="0" shapeId="0" xr:uid="{A122A5DB-6F66-4FFE-87B4-7F58688AB6D1}">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125" authorId="0" shapeId="0" xr:uid="{EE020B74-8120-4CC4-BABC-8B936E31582B}">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125" authorId="0" shapeId="0" xr:uid="{C78F774D-2C53-4F75-BF78-B7441A7EEF1F}">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125" authorId="0" shapeId="0" xr:uid="{E91054B8-EC20-4CFB-BE70-C42C1191FDB1}">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125" authorId="0" shapeId="0" xr:uid="{B4E93938-2A57-4EAF-9C9C-45487B983133}">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125" authorId="0" shapeId="0" xr:uid="{4CDB69B6-AE02-490F-8B8C-B3FC8F1333C9}">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125" authorId="0" shapeId="0" xr:uid="{F9219667-1129-4729-BB13-7A1B4B6A5CFC}">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125" authorId="0" shapeId="0" xr:uid="{19289D83-EFD6-408F-AEAD-260B7DB77E5E}">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125" authorId="0" shapeId="0" xr:uid="{F7A4422B-8435-4E24-9AB2-8CCED510F487}">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125" authorId="0" shapeId="0" xr:uid="{6C711020-B837-4D43-9680-736ED7EBF42E}">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125" authorId="0" shapeId="0" xr:uid="{DEE69677-1B1F-4B2D-9D66-333B2D69224F}">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125" authorId="0" shapeId="0" xr:uid="{8E30D5F5-97B7-438E-A1C3-12C2E79B02C2}">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125" authorId="0" shapeId="0" xr:uid="{8DD245D1-CBB5-4C4B-8475-92B4A82CFCA8}">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125" authorId="0" shapeId="0" xr:uid="{BAB6D0E6-9FC5-4A5A-8770-A57903898B27}">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125" authorId="0" shapeId="0" xr:uid="{52C6238C-BD36-4F5E-BC30-F523C91E7C44}">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125" authorId="0" shapeId="0" xr:uid="{558B6D2C-27C1-4E63-BA6C-093330381939}">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125" authorId="0" shapeId="0" xr:uid="{F840415D-C8FE-414E-9863-D46400FE97CC}">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125" authorId="1" shapeId="0" xr:uid="{277C4C83-7B2D-40B4-8470-50C1D1CD0B83}">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27" authorId="1" shapeId="0" xr:uid="{1EF33AB2-3C98-4094-92BB-DA4C2FB01E18}">
      <text>
        <r>
          <rPr>
            <sz val="9"/>
            <color indexed="81"/>
            <rFont val="Tahoma"/>
            <family val="2"/>
          </rPr>
          <t>Enter Special Depth Here
in Inches (SPJD)</t>
        </r>
        <r>
          <rPr>
            <i/>
            <sz val="9"/>
            <color indexed="81"/>
            <rFont val="Tahoma"/>
            <family val="2"/>
          </rPr>
          <t xml:space="preserve">
Do not include ' " ' .</t>
        </r>
      </text>
    </comment>
    <comment ref="O127" authorId="1" shapeId="0" xr:uid="{3E45D62A-F3F9-403D-A2CB-79325FD5E2AF}">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27" authorId="1" shapeId="0" xr:uid="{82C480A3-286B-47E4-A851-8F55200C3106}">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27" authorId="1" shapeId="0" xr:uid="{6D454378-0ADB-4F24-B4B3-4A563625DF2B}">
      <text>
        <r>
          <rPr>
            <sz val="9"/>
            <color indexed="81"/>
            <rFont val="Tahoma"/>
            <family val="2"/>
          </rPr>
          <t xml:space="preserve">Please Provide a dimensioned profile drawing when Special Profile is selected.
</t>
        </r>
      </text>
    </comment>
    <comment ref="T127" authorId="1" shapeId="0" xr:uid="{D5B24CD9-FD05-414D-9733-4ECAD9AE41EE}">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27" authorId="1" shapeId="0" xr:uid="{5FEB8B63-299F-46DA-B4A4-1EC5401E3128}">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27" authorId="1" shapeId="0" xr:uid="{66ACD57C-0E98-4A50-B501-FB31F32CA124}">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27" authorId="1" shapeId="0" xr:uid="{DED1AC4F-AA70-420F-A910-4F35BC561DA3}">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129" authorId="1" shapeId="0" xr:uid="{3A25B0A2-5441-492D-BA47-1A6C2A7A9B90}">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134" authorId="0" shapeId="0" xr:uid="{BB581A8C-FCC3-440D-91EA-566F38A73313}">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134" authorId="0" shapeId="0" xr:uid="{B6C518AF-ED38-4FAD-845D-4A916D6B6FEC}">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134" authorId="0" shapeId="0" xr:uid="{DB350E7C-61B8-479D-9F98-6D6A454FACC5}">
      <text>
        <r>
          <rPr>
            <b/>
            <sz val="9"/>
            <color indexed="81"/>
            <rFont val="Tahoma"/>
            <family val="2"/>
          </rPr>
          <t xml:space="preserve">Material
</t>
        </r>
        <r>
          <rPr>
            <sz val="9"/>
            <color indexed="81"/>
            <rFont val="Tahoma"/>
            <family val="2"/>
          </rPr>
          <t xml:space="preserve">C    CRS (COLD ROLLED STEEL)
G    GALV (GALVANNEALED)
</t>
        </r>
      </text>
    </comment>
    <comment ref="G134" authorId="0" shapeId="0" xr:uid="{694018DC-709F-4552-A1DF-6DFA5C9BDD7B}">
      <text>
        <r>
          <rPr>
            <b/>
            <sz val="9"/>
            <color indexed="81"/>
            <rFont val="Tahoma"/>
            <family val="2"/>
          </rPr>
          <t xml:space="preserve">Thickness
</t>
        </r>
        <r>
          <rPr>
            <sz val="9"/>
            <color indexed="81"/>
            <rFont val="Tahoma"/>
            <family val="2"/>
          </rPr>
          <t xml:space="preserve">1-3/4" THICK DOOR
1-3/8" THICK DOOR
SPL    DOOR THICKNESS (TO 2-1/2")
</t>
        </r>
      </text>
    </comment>
    <comment ref="H134" authorId="0" shapeId="0" xr:uid="{25A4A860-F948-4AA2-AEE3-2DF22FAE8953}">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134" authorId="0" shapeId="0" xr:uid="{5F409991-C322-4ACE-939D-75B80E068035}">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134" authorId="0" shapeId="0" xr:uid="{1B277568-EBC8-47E7-ACBA-6816D31ED8E2}">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134" authorId="0" shapeId="0" xr:uid="{BEC56105-E6EA-48C0-B78D-04635F4207F4}">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134" authorId="0" shapeId="0" xr:uid="{326CBD8B-6E26-44FF-95B2-C76695AB75D1}">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134" authorId="0" shapeId="0" xr:uid="{AF2E6D10-5F74-4C17-90A3-50477768B4DB}">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134" authorId="0" shapeId="0" xr:uid="{6C1D0D21-C1D7-4582-9A9E-B3FEDCA0E325}">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134" authorId="0" shapeId="0" xr:uid="{78E2BBCF-5C95-4B60-91FD-DAE44064D3AF}">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134" authorId="0" shapeId="0" xr:uid="{70D981B8-7217-46AB-B93D-B22B18E091F0}">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134" authorId="0" shapeId="0" xr:uid="{16C8FCD0-14D4-4D51-8F67-D2357CB1A282}">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134" authorId="0" shapeId="0" xr:uid="{27D52B50-48ED-4F27-B0A0-F0E4BCA7A33E}">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134" authorId="0" shapeId="0" xr:uid="{7EBAF9F8-FEDF-4B50-91C3-A83DD8669882}">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134" authorId="0" shapeId="0" xr:uid="{E8E17C6A-46F3-40AD-9D31-87C5461A48C0}">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134" authorId="0" shapeId="0" xr:uid="{C4A15699-7D54-4841-BFBA-472CF72CAE9A}">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134" authorId="0" shapeId="0" xr:uid="{A0B1B789-4497-4FFF-92F0-6F90411D5A21}">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134" authorId="0" shapeId="0" xr:uid="{4AF72ACF-5E5A-45A0-8444-BEDFBEA93A27}">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134" authorId="0" shapeId="0" xr:uid="{BD77EA20-D9A3-4E62-AAC3-2A97E9A9D1FA}">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134" authorId="1" shapeId="0" xr:uid="{02188445-EFAE-4AB6-91D7-047883E2D27A}">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36" authorId="1" shapeId="0" xr:uid="{BDB2518A-BC5C-4941-A9C1-C385DF4140D0}">
      <text>
        <r>
          <rPr>
            <sz val="9"/>
            <color indexed="81"/>
            <rFont val="Tahoma"/>
            <family val="2"/>
          </rPr>
          <t>Enter Special Depth Here
in Inches (SPJD)</t>
        </r>
        <r>
          <rPr>
            <i/>
            <sz val="9"/>
            <color indexed="81"/>
            <rFont val="Tahoma"/>
            <family val="2"/>
          </rPr>
          <t xml:space="preserve">
Do not include ' " ' .</t>
        </r>
      </text>
    </comment>
    <comment ref="O136" authorId="1" shapeId="0" xr:uid="{727D2B46-46E8-45A4-B539-161587E4092F}">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36" authorId="1" shapeId="0" xr:uid="{4096C5B2-8775-4BCC-84FF-39969E742844}">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36" authorId="1" shapeId="0" xr:uid="{68EB912C-436D-4ECB-A139-CFEA29A12ACC}">
      <text>
        <r>
          <rPr>
            <sz val="9"/>
            <color indexed="81"/>
            <rFont val="Tahoma"/>
            <family val="2"/>
          </rPr>
          <t xml:space="preserve">Please Provide a dimensioned profile drawing when Special Profile is selected.
</t>
        </r>
      </text>
    </comment>
    <comment ref="T136" authorId="1" shapeId="0" xr:uid="{96481987-3B66-4334-9C6F-647B60C62B66}">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36" authorId="1" shapeId="0" xr:uid="{AC9F3520-B8D9-4B2B-98EF-5CA6E9F380C7}">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36" authorId="1" shapeId="0" xr:uid="{05042350-528C-41BA-97E7-B303BEDC16E2}">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36" authorId="1" shapeId="0" xr:uid="{89D4F60F-858A-49B3-8553-D500BBBFD2D9}">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138" authorId="1" shapeId="0" xr:uid="{11206BD9-C78B-436E-A7BB-8FCF91360BD1}">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143" authorId="0" shapeId="0" xr:uid="{F98B4E43-63EA-442A-8BD5-FB4507B5EB7D}">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143" authorId="0" shapeId="0" xr:uid="{DC64B788-51FC-411E-8473-D5E95F7397B5}">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143" authorId="0" shapeId="0" xr:uid="{FFBDA35A-8B48-4A9F-B40E-CF134E8767C9}">
      <text>
        <r>
          <rPr>
            <b/>
            <sz val="9"/>
            <color indexed="81"/>
            <rFont val="Tahoma"/>
            <family val="2"/>
          </rPr>
          <t xml:space="preserve">Material
</t>
        </r>
        <r>
          <rPr>
            <sz val="9"/>
            <color indexed="81"/>
            <rFont val="Tahoma"/>
            <family val="2"/>
          </rPr>
          <t xml:space="preserve">C    CRS (COLD ROLLED STEEL)
G    GALV (GALVANNEALED)
</t>
        </r>
      </text>
    </comment>
    <comment ref="G143" authorId="0" shapeId="0" xr:uid="{535BF7E7-B7E6-43A3-A31E-80BDA2C3FE6C}">
      <text>
        <r>
          <rPr>
            <b/>
            <sz val="9"/>
            <color indexed="81"/>
            <rFont val="Tahoma"/>
            <family val="2"/>
          </rPr>
          <t xml:space="preserve">Thickness
</t>
        </r>
        <r>
          <rPr>
            <sz val="9"/>
            <color indexed="81"/>
            <rFont val="Tahoma"/>
            <family val="2"/>
          </rPr>
          <t xml:space="preserve">1-3/4" THICK DOOR
1-3/8" THICK DOOR
SPL    DOOR THICKNESS (TO 2-1/2")
</t>
        </r>
      </text>
    </comment>
    <comment ref="H143" authorId="0" shapeId="0" xr:uid="{C5578D59-61C4-426B-8CE0-30905E54A6BF}">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143" authorId="0" shapeId="0" xr:uid="{768BFBA4-D82B-4621-A4A7-086D066DDEAA}">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143" authorId="0" shapeId="0" xr:uid="{796AD97A-024C-45B5-B13F-4DBE73926B26}">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143" authorId="0" shapeId="0" xr:uid="{DF20C69C-FE72-49CC-B0A0-E90351E2EED8}">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143" authorId="0" shapeId="0" xr:uid="{A0AB2BE1-FADA-4CB8-852B-D608B60B17F2}">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143" authorId="0" shapeId="0" xr:uid="{B3B3F07C-A65F-4681-AD11-945EE20BFEFE}">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143" authorId="0" shapeId="0" xr:uid="{D78B1712-5DAC-489C-BA89-BCF85A5CF64F}">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143" authorId="0" shapeId="0" xr:uid="{30D2497A-6B0C-4142-A886-5C6F436EC170}">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143" authorId="0" shapeId="0" xr:uid="{7616BAA5-373D-4874-B30E-11C9873787D0}">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143" authorId="0" shapeId="0" xr:uid="{F5C5A15B-BEEB-4BA9-87EE-643E0BEA7804}">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143" authorId="0" shapeId="0" xr:uid="{47887F47-247C-4781-8174-FD33779F1B1A}">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143" authorId="0" shapeId="0" xr:uid="{8114D374-30D8-49B0-B263-7ABF093011F5}">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143" authorId="0" shapeId="0" xr:uid="{5AAD669D-6082-4871-AD11-9F07FA5AE66B}">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143" authorId="0" shapeId="0" xr:uid="{A636E5BA-8D16-4AF6-8CCD-26603CE6D0FA}">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143" authorId="0" shapeId="0" xr:uid="{BB7B1341-DCB3-4D85-AA5A-EA94FBEC92DA}">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143" authorId="0" shapeId="0" xr:uid="{94EE995D-C15C-4055-9CC6-21D1F39B4589}">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143" authorId="0" shapeId="0" xr:uid="{EA0158C4-D7AA-4FE4-ADBD-17217B88DDE7}">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143" authorId="1" shapeId="0" xr:uid="{76BF8B99-542C-4713-B8E6-237BB313A6B5}">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45" authorId="1" shapeId="0" xr:uid="{D4CE95C5-235E-4232-BDB7-F94EEE7B12C9}">
      <text>
        <r>
          <rPr>
            <sz val="9"/>
            <color indexed="81"/>
            <rFont val="Tahoma"/>
            <family val="2"/>
          </rPr>
          <t>Enter Special Depth Here
in Inches (SPJD)</t>
        </r>
        <r>
          <rPr>
            <i/>
            <sz val="9"/>
            <color indexed="81"/>
            <rFont val="Tahoma"/>
            <family val="2"/>
          </rPr>
          <t xml:space="preserve">
Do not include ' " ' .</t>
        </r>
      </text>
    </comment>
    <comment ref="O145" authorId="1" shapeId="0" xr:uid="{E6318D7F-63BB-4785-9012-BE18E5E030A9}">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45" authorId="1" shapeId="0" xr:uid="{BAA93D0F-FD03-4507-A3B9-76DF97760919}">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45" authorId="1" shapeId="0" xr:uid="{22A9CD1B-167D-46B4-A8C3-CA05D7F11953}">
      <text>
        <r>
          <rPr>
            <sz val="9"/>
            <color indexed="81"/>
            <rFont val="Tahoma"/>
            <family val="2"/>
          </rPr>
          <t xml:space="preserve">Please Provide a dimensioned profile drawing when Special Profile is selected.
</t>
        </r>
      </text>
    </comment>
    <comment ref="T145" authorId="1" shapeId="0" xr:uid="{2E63C548-7A7E-4056-A908-A7756B5D577F}">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45" authorId="1" shapeId="0" xr:uid="{4E31FF1B-8820-4F3C-ABB5-B27D11B1D6D1}">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45" authorId="1" shapeId="0" xr:uid="{3DC2727A-22DA-4D5C-AE3D-51D038504482}">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45" authorId="1" shapeId="0" xr:uid="{3C7C8025-88BA-4601-A593-A1394A0EAECF}">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147" authorId="1" shapeId="0" xr:uid="{2F5DD3DD-B898-4742-85CE-D7A22CB7B3DF}">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D152" authorId="0" shapeId="0" xr:uid="{EB6C8FB6-F933-41BB-8C71-49941D5DA1F5}">
      <text>
        <r>
          <rPr>
            <b/>
            <sz val="9"/>
            <color indexed="81"/>
            <rFont val="Tahoma"/>
            <family val="2"/>
          </rPr>
          <t xml:space="preserve">Series
</t>
        </r>
        <r>
          <rPr>
            <sz val="9"/>
            <color indexed="81"/>
            <rFont val="Tahoma"/>
            <family val="2"/>
          </rPr>
          <t>F--    F SERIES(MASONRY) FRAME OR COMPONENT
DW-    DW SERIES(DRYWALL) FRAME OR COMPONENT
UNI    UNI-FRAME STYLE FRAME OR COMPONENT
SPF    SPLIT STYLE FRAME OR COMPONENT
STK    STICK TYPE FRAME COMPONENTS
F50    PIOCANE +/-50 PSF (DP) FRAMES
F70    PIOCANE +/-70 PSF (DP) FRAMES
FST    PIOSONIC STC FRAME
FEMA    F SERIES FEMA 361 FRAME</t>
        </r>
        <r>
          <rPr>
            <b/>
            <sz val="9"/>
            <color indexed="81"/>
            <rFont val="Calibri"/>
            <family val="2"/>
            <scheme val="minor"/>
          </rPr>
          <t xml:space="preserve">
</t>
        </r>
        <r>
          <rPr>
            <sz val="9"/>
            <color indexed="81"/>
            <rFont val="Tahoma"/>
            <family val="2"/>
          </rPr>
          <t xml:space="preserve">
</t>
        </r>
      </text>
    </comment>
    <comment ref="E152" authorId="0" shapeId="0" xr:uid="{9FB35B24-CE7A-4F8E-A3DD-0BCCF2EDBBB1}">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F152" authorId="0" shapeId="0" xr:uid="{D776D639-6AC6-4EE1-B00B-CF6A187275AA}">
      <text>
        <r>
          <rPr>
            <b/>
            <sz val="9"/>
            <color indexed="81"/>
            <rFont val="Tahoma"/>
            <family val="2"/>
          </rPr>
          <t xml:space="preserve">Material
</t>
        </r>
        <r>
          <rPr>
            <sz val="9"/>
            <color indexed="81"/>
            <rFont val="Tahoma"/>
            <family val="2"/>
          </rPr>
          <t xml:space="preserve">C    CRS (COLD ROLLED STEEL)
G    GALV (GALVANNEALED)
</t>
        </r>
      </text>
    </comment>
    <comment ref="G152" authorId="0" shapeId="0" xr:uid="{5CF9E659-C0A3-46FC-9CB5-E776C09754BA}">
      <text>
        <r>
          <rPr>
            <b/>
            <sz val="9"/>
            <color indexed="81"/>
            <rFont val="Tahoma"/>
            <family val="2"/>
          </rPr>
          <t xml:space="preserve">Thickness
</t>
        </r>
        <r>
          <rPr>
            <sz val="9"/>
            <color indexed="81"/>
            <rFont val="Tahoma"/>
            <family val="2"/>
          </rPr>
          <t xml:space="preserve">1-3/4" THICK DOOR
1-3/8" THICK DOOR
SPL    DOOR THICKNESS (TO 2-1/2")
</t>
        </r>
      </text>
    </comment>
    <comment ref="H152" authorId="0" shapeId="0" xr:uid="{B1819246-DAE4-4855-88DA-6BB1F95F4AD6}">
      <text>
        <r>
          <rPr>
            <b/>
            <sz val="9"/>
            <color indexed="81"/>
            <rFont val="Tahoma"/>
            <family val="2"/>
          </rPr>
          <t xml:space="preserve">Rabbet
</t>
        </r>
        <r>
          <rPr>
            <sz val="9"/>
            <color indexed="81"/>
            <rFont val="Tahoma"/>
            <family val="2"/>
          </rPr>
          <t xml:space="preserve">ER    EQUAL RABBET
UR    UNEQUAL RABBET
SR    SINGLE RABBET
CO    CASED OPENING
DE    DOUBLE EGRESS
SP    SPECIAL RABBET SIZE(S)/PROFILE
</t>
        </r>
      </text>
    </comment>
    <comment ref="I152" authorId="0" shapeId="0" xr:uid="{635E3CB9-D3B7-45C9-9FA4-00437AE7462B}">
      <text>
        <r>
          <rPr>
            <b/>
            <sz val="9"/>
            <color indexed="81"/>
            <rFont val="Tahoma"/>
            <family val="2"/>
          </rPr>
          <t xml:space="preserve">Type
</t>
        </r>
        <r>
          <rPr>
            <b/>
            <u/>
            <sz val="9"/>
            <color indexed="81"/>
            <rFont val="Tahoma"/>
            <family val="2"/>
          </rPr>
          <t>Complete Frames</t>
        </r>
        <r>
          <rPr>
            <b/>
            <sz val="9"/>
            <color indexed="81"/>
            <rFont val="Tahoma"/>
            <family val="2"/>
          </rPr>
          <t xml:space="preserve">
</t>
        </r>
        <r>
          <rPr>
            <sz val="9"/>
            <color indexed="81"/>
            <rFont val="Tahoma"/>
            <family val="2"/>
          </rPr>
          <t xml:space="preserve">3S-    3 SIDED FRAME SNGL (H/HJ/SJ)                         BJ6    6" FACE SECTION
3P-    3 SIDED FRAME PAIR (PH/HJ/HJ)                       BJ8    8" FACE SECTION
3C-    3 SIDED COMMUNICATING FRAME                    SS4    4" SILL SECTION
</t>
        </r>
        <r>
          <rPr>
            <b/>
            <u/>
            <sz val="9"/>
            <color indexed="81"/>
            <rFont val="Tahoma"/>
            <family val="2"/>
          </rPr>
          <t xml:space="preserve">Standard Frame Components  </t>
        </r>
        <r>
          <rPr>
            <b/>
            <sz val="9"/>
            <color indexed="81"/>
            <rFont val="Tahoma"/>
            <family val="2"/>
          </rPr>
          <t xml:space="preserve"> </t>
        </r>
        <r>
          <rPr>
            <sz val="9"/>
            <color indexed="81"/>
            <rFont val="Tahoma"/>
            <family val="2"/>
          </rPr>
          <t xml:space="preserve">                           SS6    6.62" SILL SECTION
H--    SINGLE HEADER COMPONENT                            SS8    8.62" SILL SECTION
PH-    PAIRED OPNG HEADER COMPONENT                FSC    SILL CHANNEL
HJ-    HINGE JAMB COMPONENT                                 CP2    CORNER POST (2 WAY)
SJ-    STRIKE JAMB COMPONENT                                CP3    CORNER POST (3 WAY)
BJ-    BLANK JAMB COMPONENT                                 C45    CORNER POST 45 DEGREE
CJ-    COMMUNICATING JAMB                                    Fi2    BLANK INTER. MULLION (2")
</t>
        </r>
        <r>
          <rPr>
            <b/>
            <u/>
            <sz val="9"/>
            <color indexed="81"/>
            <rFont val="Tahoma"/>
            <family val="2"/>
          </rPr>
          <t xml:space="preserve">Borrowed Lite Frames  </t>
        </r>
        <r>
          <rPr>
            <u/>
            <sz val="9"/>
            <color indexed="81"/>
            <rFont val="Tahoma"/>
            <family val="2"/>
          </rPr>
          <t xml:space="preserve">  </t>
        </r>
        <r>
          <rPr>
            <sz val="9"/>
            <color indexed="81"/>
            <rFont val="Tahoma"/>
            <family val="2"/>
          </rPr>
          <t xml:space="preserve">                                       SHi   INTER. MULLION (SINGLE HINGE)
4S-    4 SIDED BORROWED LITE (COMPLETE)            SSi    INTER. MULLION (SINGLE STRIKE)
</t>
        </r>
        <r>
          <rPr>
            <b/>
            <u/>
            <sz val="9"/>
            <color indexed="81"/>
            <rFont val="Tahoma"/>
            <family val="2"/>
          </rPr>
          <t>Borrowed Lite Components</t>
        </r>
        <r>
          <rPr>
            <u/>
            <sz val="9"/>
            <color indexed="81"/>
            <rFont val="Tahoma"/>
            <family val="2"/>
          </rPr>
          <t xml:space="preserve"> </t>
        </r>
        <r>
          <rPr>
            <sz val="9"/>
            <color indexed="81"/>
            <rFont val="Tahoma"/>
            <family val="2"/>
          </rPr>
          <t xml:space="preserve">                                DHi    INTER. MULLION (DBL HINGE)
BLH    BORROWED LITE HEADER                                DSi    INTER. MULLION (DBL STRIKE)
BLJ    BORROWED LITE JAMB                                     HSi    INTER. MULLION (HINGE &amp; STRIKE)
BLS    BORROWED LITE SILL                                      </t>
        </r>
        <r>
          <rPr>
            <b/>
            <u/>
            <sz val="9"/>
            <color indexed="81"/>
            <rFont val="Tahoma"/>
            <family val="2"/>
          </rPr>
          <t>UniFrame Products</t>
        </r>
        <r>
          <rPr>
            <sz val="9"/>
            <color indexed="81"/>
            <rFont val="Tahoma"/>
            <family val="2"/>
          </rPr>
          <t xml:space="preserve">
</t>
        </r>
        <r>
          <rPr>
            <b/>
            <u/>
            <sz val="9"/>
            <color indexed="81"/>
            <rFont val="Tahoma"/>
            <family val="2"/>
          </rPr>
          <t>Cut &amp; Notch \ Special Units</t>
        </r>
        <r>
          <rPr>
            <b/>
            <sz val="9"/>
            <color indexed="81"/>
            <rFont val="Tahoma"/>
            <family val="2"/>
          </rPr>
          <t xml:space="preserve">                                 </t>
        </r>
        <r>
          <rPr>
            <sz val="9"/>
            <color indexed="81"/>
            <rFont val="Tahoma"/>
            <family val="2"/>
          </rPr>
          <t xml:space="preserve">HJT    UNIFRAME HINGE JAMB TRIM
CNN    SPECIAL UNIT (CUT &amp; NOTCH ONLY)              SJT    UNIFRAME STRIKE JAMB TRIM
</t>
        </r>
        <r>
          <rPr>
            <u/>
            <sz val="9"/>
            <color indexed="81"/>
            <rFont val="Tahoma"/>
            <family val="2"/>
          </rPr>
          <t xml:space="preserve">SUA    SPECIAL UNIT (WELDED) </t>
        </r>
        <r>
          <rPr>
            <sz val="9"/>
            <color indexed="81"/>
            <rFont val="Tahoma"/>
            <family val="2"/>
          </rPr>
          <t xml:space="preserve">                                BJT    UNIFRAME BLANK JAMB TRIM
FBJ    FAB BLANK JAMB                                              SRS    UNIFRAME SINGLE RABBET STOP
FHJ    FAB HINGE JAMB                                              UJS    UNIFRAME JAMB STOP
FSJ    FAB STRIKE JAMB                                             HT-    UNIFRAME HEAD TRIM
FM2    FAB BLANK MULLION (2")                                HT4    UNIFRAME 4" HEAD TRIM
FM4    FAB BLANK MULLION (4")                                SRH    UNIFRAME SR HEAD STOP
SHM    MULLION (SINGLE HINGE)                              UHS    UNIFRAME HEAD STOP
SSM    MULLION (SINGLE STRIKE)                             BLT    UNIFRAME BL JAMB TRIM
DHM    MULLION (DBL HINGE)                                   MBT    UNIFRAME MULLION TRIM
DSM    MULLION (DBL STRIKE)                                  UMH    UNIFRAME MULLION HDWE
HSM    MULLION (HINGE &amp; STRIKE)                          </t>
        </r>
        <r>
          <rPr>
            <b/>
            <u/>
            <sz val="9"/>
            <color indexed="81"/>
            <rFont val="Tahoma"/>
            <family val="2"/>
          </rPr>
          <t>Split Frame Products</t>
        </r>
        <r>
          <rPr>
            <sz val="9"/>
            <color indexed="81"/>
            <rFont val="Tahoma"/>
            <family val="2"/>
          </rPr>
          <t xml:space="preserve">
FPS    FILLER PLATE W/ STOP                                   HJC    HINGE JAMB COMPONENT
FPN    FILLER PLATE NO STOP                                  SJC    STRIKE JAMB COMPONENT
FCP    COVER PLATE                                                  VJC    VARIABLE JAMB COMPONENT
BJ4    4" FACE SECTION                                            HC    HEADER COMPONENT
                                                                                   VHC    VARIABLE HDR COMPONENT
</t>
        </r>
      </text>
    </comment>
    <comment ref="J152" authorId="0" shapeId="0" xr:uid="{13B70592-9F5B-4EE6-BB26-EA9FD9F94B03}">
      <text>
        <r>
          <rPr>
            <b/>
            <sz val="9"/>
            <color indexed="81"/>
            <rFont val="Tahoma"/>
            <family val="2"/>
          </rPr>
          <t xml:space="preserve">Depth
</t>
        </r>
        <r>
          <rPr>
            <b/>
            <u/>
            <sz val="9"/>
            <color indexed="81"/>
            <rFont val="Tahoma"/>
            <family val="2"/>
          </rPr>
          <t>Standard Depths:</t>
        </r>
        <r>
          <rPr>
            <b/>
            <sz val="9"/>
            <color indexed="81"/>
            <rFont val="Tahoma"/>
            <family val="2"/>
          </rPr>
          <t xml:space="preserve">
</t>
        </r>
        <r>
          <rPr>
            <sz val="9"/>
            <color indexed="81"/>
            <rFont val="Tahoma"/>
            <family val="2"/>
          </rPr>
          <t>4.25    (4-1/4")
4.50    (4-1/2")
4.625    (4-5/8")
4.6875    (4-11/16") SPLIT FRAME HDWE
4.75    (4-3/4")
5.5    (5-1/2")
5.625    (5-5/8")
5.75    (5-3/4")
5.875    (5-7/8")
6    (6")
6.625    (6-5/8")
6.75    (6-3/4")
7    (7")
7.125    (7-1/8")
7.75    (7-3/4")
8.25    (8-1/4")
8.75    (8-3/4")</t>
        </r>
        <r>
          <rPr>
            <b/>
            <sz val="9"/>
            <color indexed="81"/>
            <rFont val="Tahoma"/>
            <family val="2"/>
          </rPr>
          <t xml:space="preserve">
</t>
        </r>
        <r>
          <rPr>
            <b/>
            <u/>
            <sz val="9"/>
            <color indexed="81"/>
            <rFont val="Tahoma"/>
            <family val="2"/>
          </rPr>
          <t>UniFrame Depths:</t>
        </r>
        <r>
          <rPr>
            <b/>
            <sz val="9"/>
            <color indexed="81"/>
            <rFont val="Tahoma"/>
            <family val="2"/>
          </rPr>
          <t xml:space="preserve">
</t>
        </r>
        <r>
          <rPr>
            <sz val="9"/>
            <color indexed="81"/>
            <rFont val="Tahoma"/>
            <family val="2"/>
          </rPr>
          <t>1.625    (1 5/8") For Uni-Frame 1-9/16" Trim
2.00    (2") For Uni-Frame 1-15/16" Trim</t>
        </r>
        <r>
          <rPr>
            <b/>
            <sz val="9"/>
            <color indexed="81"/>
            <rFont val="Tahoma"/>
            <family val="2"/>
          </rPr>
          <t xml:space="preserve">
</t>
        </r>
        <r>
          <rPr>
            <b/>
            <u/>
            <sz val="9"/>
            <color indexed="81"/>
            <rFont val="Tahoma"/>
            <family val="2"/>
          </rPr>
          <t>Other:</t>
        </r>
        <r>
          <rPr>
            <sz val="9"/>
            <color indexed="81"/>
            <rFont val="Tahoma"/>
            <family val="2"/>
          </rPr>
          <t xml:space="preserve">
SPJD - Special Jamb Depth 
Enter Dimension in space provided below
</t>
        </r>
      </text>
    </comment>
    <comment ref="K152" authorId="0" shapeId="0" xr:uid="{145AB2DB-3539-44D3-8F04-56750DDAE5B8}">
      <text>
        <r>
          <rPr>
            <b/>
            <sz val="9"/>
            <color indexed="81"/>
            <rFont val="Tahoma"/>
            <family val="2"/>
          </rPr>
          <t>Width</t>
        </r>
        <r>
          <rPr>
            <sz val="9"/>
            <color indexed="81"/>
            <rFont val="Tahoma"/>
            <family val="2"/>
          </rPr>
          <t xml:space="preserve">
SW    SPECIAL WIDTH
     </t>
        </r>
        <r>
          <rPr>
            <i/>
            <sz val="9"/>
            <color indexed="81"/>
            <rFont val="Tahoma"/>
            <family val="2"/>
          </rPr>
          <t>Special Size Format (3'-5 1/2")</t>
        </r>
        <r>
          <rPr>
            <sz val="9"/>
            <color indexed="81"/>
            <rFont val="Tahoma"/>
            <family val="2"/>
          </rPr>
          <t xml:space="preserve">
20    2'0" JAMB OPENING WIDTH
24    2'4" JAMB OPENING WIDTH
26    2'6" JAMB OPENING WIDTH
28    2'8" JAMB OPENING WIDTH
210    2'10" JAMB OPENING WIDTH
30    3'0" JAMB OPENING WIDTH
34    3'4" JAMB OPENING WIDTH
36    3'6" JAMB OPENING WIDTH
38    3'8" JAMB OPENING WIDTH
310    3'10" JAMB OPENING WIDTH
40    4'0" JAMB OPENING WIDTH
48    4'8" JAMB OPENING WIDTH
50    5'0" JAMB OPENING WIDTH 
54    5'4" JAMB OPENING WIDTH
58    5'8" JAMB OPENING WIDTH
60    6'0" JAMB OPENING WIDTH
68    6'8" JAMB OPENING WIDTH
70    7'0" JAMB OPENING WIDTH
74    7'4" JAMB OPENING WIDTH
78    7'8" JAMB OPENING WIDTH
80    8'0" JAMB OPENING WIDTH
NA    WIDTH NOT APPLICABLE
</t>
        </r>
      </text>
    </comment>
    <comment ref="M152" authorId="0" shapeId="0" xr:uid="{0F575FAA-5352-419A-B792-E3BE3BEEB8F9}">
      <text>
        <r>
          <rPr>
            <b/>
            <sz val="9"/>
            <color indexed="81"/>
            <rFont val="Tahoma"/>
            <family val="2"/>
          </rPr>
          <t xml:space="preserve">Height
</t>
        </r>
        <r>
          <rPr>
            <sz val="9"/>
            <color indexed="81"/>
            <rFont val="Tahoma"/>
            <family val="2"/>
          </rPr>
          <t xml:space="preserve">SH    SPECIAL JAMB OPENING HEIGHT
      </t>
        </r>
        <r>
          <rPr>
            <i/>
            <sz val="9"/>
            <color indexed="81"/>
            <rFont val="Tahoma"/>
            <family val="2"/>
          </rPr>
          <t>Special Size Format (3'-5 1/2")</t>
        </r>
        <r>
          <rPr>
            <sz val="9"/>
            <color indexed="81"/>
            <rFont val="Tahoma"/>
            <family val="2"/>
          </rPr>
          <t xml:space="preserve">
26    2'6" JAMB OPENING HEIGHT
28    2'8" JAMB OPENING HEIGHT
210    2'10" JAMB OPENING HEIGHT
30    3'0" JAMB OPENING HEIGHT
34    3'4" JAMB OPENING HEIGHT
36    3'6" JAMB OPENING HEIGHT
38    3'8" JAMB OPENING HEIGHT
80    8'0" JAMB OPENING HEIGHT
710    7'10" JAMB OPENING HEIGHT
72    7'2" JAMB OPENING HEIGHT
70    7'0" JAMB OPENING HEIGHT
68    6'8" JAMB OPENING HEIGHT
60    6'0" JAMB OPENING HEIGHT
50    5'0" JAMB OPENING HEIGHT
54    5'4" JAMB OPENING HEIGHT
48    4'8" JAMB OPENING HEIGHT
40    4'0" JAMB OPENING HEIGHT
310    3'10" JAMB OPENING HEIGHT
58    5'8" JAMB OPENING HEIGHT
NA    HEIGHT NOT APPLICABLE
100    10' STICK MATERIAL
</t>
        </r>
      </text>
    </comment>
    <comment ref="O152" authorId="0" shapeId="0" xr:uid="{EBA63E02-30F5-45AD-B4EE-8F28EC8EF9CE}">
      <text>
        <r>
          <rPr>
            <b/>
            <sz val="9"/>
            <color indexed="81"/>
            <rFont val="Tahoma"/>
            <family val="2"/>
          </rPr>
          <t xml:space="preserve">Strike
</t>
        </r>
        <r>
          <rPr>
            <sz val="9"/>
            <color indexed="81"/>
            <rFont val="Tahoma"/>
            <family val="2"/>
          </rPr>
          <t xml:space="preserve">478-    4-7/8" STANDARD (LIPPED) STRIKE
234-    2-3/4" STANDARD (LIPPED) STRIKE
NO--    NO STRIKE PREP
ESTK    ELECTRIC STRIKE PREP
SASR    STOP APPLIED STK REINF (#10)
EMDL     EMERGENCY RELEASE / DBL LIPPED 
ICS2    INTERCONNECTING STRIKE (2x2-3/4)
234N    2-3/4" STANDARD (NO LIP) STRIKE
478N    4-7/8" STANDARD ( NO LIP) STRIKE
350N    3-1/2" STANDARD (NO LIP) STRIKE
SPL    SPECIAL STRIKE
TRSR    TRIM APPLIED STK REINF (#9)
</t>
        </r>
      </text>
    </comment>
    <comment ref="P152" authorId="0" shapeId="0" xr:uid="{E64475BD-6BAB-43D0-A24A-ED72BD302B7D}">
      <text>
        <r>
          <rPr>
            <b/>
            <sz val="9"/>
            <color indexed="81"/>
            <rFont val="Tahoma"/>
            <family val="2"/>
          </rPr>
          <t xml:space="preserve">Primary Strike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*Define using selection below.
---    DEVICE SPECIFIC LOCATION(STD PER MFG)
FEN    FENESTRA LOCATION
</t>
        </r>
      </text>
    </comment>
    <comment ref="Q152" authorId="0" shapeId="0" xr:uid="{ABB119F9-26B3-4BFC-96F6-A15E44009150}">
      <text>
        <r>
          <rPr>
            <b/>
            <sz val="9"/>
            <color indexed="81"/>
            <rFont val="Tahoma"/>
            <family val="2"/>
          </rPr>
          <t xml:space="preserve">Secondary Strike
</t>
        </r>
        <r>
          <rPr>
            <sz val="9"/>
            <color indexed="81"/>
            <rFont val="Tahoma"/>
            <family val="2"/>
          </rPr>
          <t>NONE    NO SECONDARY LOCK
234N    2-3/4" STD NO LIPPED STRIKE
478N    4-7/8" STD NO LIPPED STRIKE
350N    3-1/2" STD NO LIPPED STRIKE
234-    2-3/4" STD -LIPPED STRIKE
478-    4-7/8" STD -LIPPED STRIKE
SASR    STOP APPLIED STK REINF (#10)
SPL    SPL DEADLOCK
*Define Locations Below.</t>
        </r>
      </text>
    </comment>
    <comment ref="R152" authorId="0" shapeId="0" xr:uid="{61641451-BE94-4A2A-9039-E87F57E07280}">
      <text>
        <r>
          <rPr>
            <b/>
            <sz val="9"/>
            <color indexed="81"/>
            <rFont val="Tahoma"/>
            <family val="2"/>
          </rPr>
          <t xml:space="preserve">Handing
</t>
        </r>
        <r>
          <rPr>
            <sz val="9"/>
            <color indexed="81"/>
            <rFont val="Tahoma"/>
            <family val="2"/>
          </rPr>
          <t xml:space="preserve">RH    RIGHT HAND
RHA    RIGHT HAND ACTIVE (PAIR)
LH    LEFT HAND
LHA    LEFT HAND ACTIVE (PAIR)
NH    NON HANDED 
DA    DOUBLE ACTING / CENTER-HUNG
</t>
        </r>
      </text>
    </comment>
    <comment ref="S152" authorId="0" shapeId="0" xr:uid="{7616FF1F-884F-4097-BA19-209A541DE02C}">
      <text>
        <r>
          <rPr>
            <b/>
            <sz val="9"/>
            <color indexed="81"/>
            <rFont val="Tahoma"/>
            <family val="2"/>
          </rPr>
          <t xml:space="preserve">Profile
</t>
        </r>
        <r>
          <rPr>
            <b/>
            <u/>
            <sz val="9"/>
            <color indexed="81"/>
            <rFont val="Tahoma"/>
            <family val="2"/>
          </rPr>
          <t>Multiple Component Units</t>
        </r>
        <r>
          <rPr>
            <b/>
            <sz val="9"/>
            <color indexed="81"/>
            <rFont val="Tahoma"/>
            <family val="2"/>
          </rPr>
          <t xml:space="preserve">
</t>
        </r>
        <r>
          <rPr>
            <sz val="9"/>
            <color indexed="81"/>
            <rFont val="Tahoma"/>
            <family val="2"/>
          </rPr>
          <t>2H2J    2" FACE HEAD / 2" FACE JAMBS
4H2J    4" FACE HEAD / 2" FACE JAMBS
6H2J    6" FACE HEAD / 2" FACE JAMBS</t>
        </r>
        <r>
          <rPr>
            <b/>
            <sz val="9"/>
            <color indexed="81"/>
            <rFont val="Tahoma"/>
            <family val="2"/>
          </rPr>
          <t xml:space="preserve">
</t>
        </r>
        <r>
          <rPr>
            <b/>
            <u/>
            <sz val="9"/>
            <color indexed="81"/>
            <rFont val="Tahoma"/>
            <family val="2"/>
          </rPr>
          <t>Single Components</t>
        </r>
        <r>
          <rPr>
            <b/>
            <sz val="9"/>
            <color indexed="81"/>
            <rFont val="Tahoma"/>
            <family val="2"/>
          </rPr>
          <t xml:space="preserve">
</t>
        </r>
        <r>
          <rPr>
            <sz val="9"/>
            <color indexed="81"/>
            <rFont val="Tahoma"/>
            <family val="2"/>
          </rPr>
          <t>2FC    2" FACE COMPONENT
4FC    4" FACE HEAD (USE W/ 2" FACE JAMBS)
6FC    6" FACE HEAD (USE W/ 2" FACE JAMBS)</t>
        </r>
        <r>
          <rPr>
            <b/>
            <sz val="9"/>
            <color indexed="81"/>
            <rFont val="Tahoma"/>
            <family val="2"/>
          </rPr>
          <t xml:space="preserve">
</t>
        </r>
        <r>
          <rPr>
            <b/>
            <u/>
            <sz val="9"/>
            <color indexed="81"/>
            <rFont val="Tahoma"/>
            <family val="2"/>
          </rPr>
          <t>Uniframe</t>
        </r>
        <r>
          <rPr>
            <b/>
            <sz val="9"/>
            <color indexed="81"/>
            <rFont val="Tahoma"/>
            <family val="2"/>
          </rPr>
          <t xml:space="preserve">
</t>
        </r>
        <r>
          <rPr>
            <sz val="9"/>
            <color indexed="81"/>
            <rFont val="Tahoma"/>
            <family val="2"/>
          </rPr>
          <t>UF6    UNI-FRAME 5/8" STOP COMPONENT</t>
        </r>
        <r>
          <rPr>
            <b/>
            <sz val="9"/>
            <color indexed="81"/>
            <rFont val="Tahoma"/>
            <family val="2"/>
          </rPr>
          <t xml:space="preserve">
</t>
        </r>
        <r>
          <rPr>
            <b/>
            <u/>
            <sz val="9"/>
            <color indexed="81"/>
            <rFont val="Tahoma"/>
            <family val="2"/>
          </rPr>
          <t>Special</t>
        </r>
        <r>
          <rPr>
            <b/>
            <sz val="9"/>
            <color indexed="81"/>
            <rFont val="Tahoma"/>
            <family val="2"/>
          </rPr>
          <t xml:space="preserve">
</t>
        </r>
        <r>
          <rPr>
            <sz val="9"/>
            <color indexed="81"/>
            <rFont val="Tahoma"/>
            <family val="2"/>
          </rPr>
          <t>SPL    SPECIAL PROFILE*</t>
        </r>
        <r>
          <rPr>
            <b/>
            <sz val="9"/>
            <color indexed="81"/>
            <rFont val="Tahoma"/>
            <family val="2"/>
          </rPr>
          <t xml:space="preserve">
</t>
        </r>
        <r>
          <rPr>
            <b/>
            <i/>
            <sz val="9"/>
            <color indexed="81"/>
            <rFont val="Tahoma"/>
            <family val="2"/>
          </rPr>
          <t>Provide Profile Drawings with Dimensions</t>
        </r>
        <r>
          <rPr>
            <sz val="9"/>
            <color indexed="81"/>
            <rFont val="Tahoma"/>
            <family val="2"/>
          </rPr>
          <t xml:space="preserve">
</t>
        </r>
      </text>
    </comment>
    <comment ref="T152" authorId="0" shapeId="0" xr:uid="{8E49E9A6-2CBF-4754-8F4D-649796312C6B}">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t>
        </r>
        <r>
          <rPr>
            <b/>
            <u/>
            <sz val="9"/>
            <color indexed="81"/>
            <rFont val="Tahoma"/>
            <family val="2"/>
          </rPr>
          <t xml:space="preserve">
Optional Label Info
</t>
        </r>
        <r>
          <rPr>
            <b/>
            <sz val="9"/>
            <color indexed="81"/>
            <rFont val="Tahoma"/>
            <family val="2"/>
          </rPr>
          <t xml:space="preserve">
Agency
</t>
        </r>
        <r>
          <rPr>
            <sz val="9"/>
            <color indexed="81"/>
            <rFont val="Tahoma"/>
            <family val="2"/>
          </rPr>
          <t xml:space="preserve">WH    (WHI) WARNOCK HERSEY - INTERTEK
UL    (UL) UNDERWRITERS LABORATORIES
LC    LABELED CONSTRUCTION
SF    SPL FRAME UNIT ASSY SPECIFIC
</t>
        </r>
        <r>
          <rPr>
            <b/>
            <sz val="9"/>
            <color indexed="81"/>
            <rFont val="Tahoma"/>
            <family val="2"/>
          </rPr>
          <t>Rating</t>
        </r>
        <r>
          <rPr>
            <sz val="9"/>
            <color indexed="81"/>
            <rFont val="Tahoma"/>
            <family val="2"/>
          </rPr>
          <t xml:space="preserve">
A    A LABEL / 3HR RATING
B    B LABEL / 1.5HR RATING
C    C LABEL / 45MIN (3/4HR)
20    20 MINUTE
HL    HURRICANE / WINDSTORM LABEL
6LT    UL SIDELITE/TRANSOM 
6LW    UL WINDOW FRAME 
5PF    UL PANEL FRAME 
C18    CONSTRUCTION LABEL (#18)
LC    LABELED CONSTRUCTION - GENERIC (#1G)
20U    20 MIN WINDOW / NO HOSE UL METAL (#4M)
</t>
        </r>
        <r>
          <rPr>
            <b/>
            <sz val="9"/>
            <color indexed="81"/>
            <rFont val="Tahoma"/>
            <family val="2"/>
          </rPr>
          <t>Material</t>
        </r>
        <r>
          <rPr>
            <sz val="9"/>
            <color indexed="81"/>
            <rFont val="Tahoma"/>
            <family val="2"/>
          </rPr>
          <t xml:space="preserve">
MYL    MYLAR LABEL
MET    METAL LABEL
EMB    EMBOSSED LABEL
RIV     RIVETED LABEL
</t>
        </r>
      </text>
    </comment>
    <comment ref="U152" authorId="0" shapeId="0" xr:uid="{65A2E811-2876-49B9-8FBC-F1212C908489}">
      <text>
        <r>
          <rPr>
            <b/>
            <sz val="9"/>
            <color indexed="81"/>
            <rFont val="Tahoma"/>
            <family val="2"/>
          </rPr>
          <t xml:space="preserve">Assembly / Welding
</t>
        </r>
        <r>
          <rPr>
            <sz val="9"/>
            <color indexed="81"/>
            <rFont val="Tahoma"/>
            <family val="2"/>
          </rPr>
          <t xml:space="preserve">KD    KNOCKED DOWN
FW    FACE WELDED FRAME 
CW    CONTINUOUS WELDED FRAME
KDC    KNOCKED DOWN / CUSTOMER TO WELD*
*No Gussets, Tabs, Slots 
</t>
        </r>
      </text>
    </comment>
    <comment ref="V152" authorId="0" shapeId="0" xr:uid="{D39AA023-CF74-4844-9733-4E08884447C8}">
      <text>
        <r>
          <rPr>
            <b/>
            <sz val="9"/>
            <color indexed="81"/>
            <rFont val="Tahoma"/>
            <family val="2"/>
          </rPr>
          <t xml:space="preserve">Anchor
</t>
        </r>
        <r>
          <rPr>
            <sz val="9"/>
            <color indexed="81"/>
            <rFont val="Tahoma"/>
            <family val="2"/>
          </rPr>
          <t>NANC    NO ANCHOR PREP NEEDED</t>
        </r>
        <r>
          <rPr>
            <b/>
            <sz val="9"/>
            <color indexed="81"/>
            <rFont val="Tahoma"/>
            <family val="2"/>
          </rPr>
          <t xml:space="preserve">
</t>
        </r>
        <r>
          <rPr>
            <b/>
            <u/>
            <sz val="9"/>
            <color indexed="81"/>
            <rFont val="Tahoma"/>
            <family val="2"/>
          </rPr>
          <t>WELD-IN \ PREP ANCHOR SELECTION</t>
        </r>
        <r>
          <rPr>
            <b/>
            <sz val="9"/>
            <color indexed="81"/>
            <rFont val="Tahoma"/>
            <family val="2"/>
          </rPr>
          <t xml:space="preserve">
</t>
        </r>
        <r>
          <rPr>
            <sz val="9"/>
            <color indexed="81"/>
            <rFont val="Tahoma"/>
            <family val="2"/>
          </rPr>
          <t xml:space="preserve">MAS    MASONRY ANCHOR
WS    WOOD STUD ANCHOR 
STS   STEEL(METAL) STUD ANCHOR
EO    EXISTING OPENING
----------------------------------------------
P&amp;D    PUNCH AND DIMPLE (ONLY)
DWCS    DRYWALL COMPRESSION W/ SILL STRAPS
DWBH    DRYWALL COMPRESSION W/ BASE HOLES
DE16    DBL EGRESS 16 GA CHANNEL
DE12    DBL EGRESS 12 GA CHANNEL
</t>
        </r>
        <r>
          <rPr>
            <b/>
            <sz val="9"/>
            <color indexed="81"/>
            <rFont val="Tahoma"/>
            <family val="2"/>
          </rPr>
          <t xml:space="preserve">
</t>
        </r>
        <r>
          <rPr>
            <b/>
            <u/>
            <sz val="9"/>
            <color indexed="81"/>
            <rFont val="Tahoma"/>
            <family val="2"/>
          </rPr>
          <t>LOOSE ANCHORS</t>
        </r>
        <r>
          <rPr>
            <b/>
            <sz val="9"/>
            <color indexed="81"/>
            <rFont val="Tahoma"/>
            <family val="2"/>
          </rPr>
          <t xml:space="preserve">
</t>
        </r>
        <r>
          <rPr>
            <i/>
            <sz val="9"/>
            <color indexed="81"/>
            <rFont val="Tahoma"/>
            <family val="2"/>
          </rPr>
          <t>Masonry Loose</t>
        </r>
        <r>
          <rPr>
            <b/>
            <sz val="9"/>
            <color indexed="81"/>
            <rFont val="Tahoma"/>
            <family val="2"/>
          </rPr>
          <t xml:space="preserve">
</t>
        </r>
        <r>
          <rPr>
            <sz val="9"/>
            <color indexed="81"/>
            <rFont val="Tahoma"/>
            <family val="2"/>
          </rPr>
          <t xml:space="preserve">LWIRE     LOOSE WIRE ANCHOR
LTANC     LOOSE "T" ANCHOR
</t>
        </r>
        <r>
          <rPr>
            <i/>
            <sz val="9"/>
            <color indexed="81"/>
            <rFont val="Tahoma"/>
            <family val="2"/>
          </rPr>
          <t xml:space="preserve">Wood Stud Loose
</t>
        </r>
        <r>
          <rPr>
            <sz val="9"/>
            <color indexed="81"/>
            <rFont val="Tahoma"/>
            <family val="2"/>
          </rPr>
          <t xml:space="preserve">LWSAD     LOOSE ADJUSTABLE WOOD STUD ANCHOR
</t>
        </r>
        <r>
          <rPr>
            <i/>
            <sz val="9"/>
            <color indexed="81"/>
            <rFont val="Tahoma"/>
            <family val="2"/>
          </rPr>
          <t>Steel Stud Loose</t>
        </r>
        <r>
          <rPr>
            <sz val="9"/>
            <color indexed="81"/>
            <rFont val="Tahoma"/>
            <family val="2"/>
          </rPr>
          <t xml:space="preserve">
LSSAD     LOOSE STEEL STUD ADJUSTABLE ANCHOR
</t>
        </r>
        <r>
          <rPr>
            <i/>
            <sz val="9"/>
            <color indexed="81"/>
            <rFont val="Tahoma"/>
            <family val="2"/>
          </rPr>
          <t>Combination Anchor</t>
        </r>
        <r>
          <rPr>
            <sz val="9"/>
            <color indexed="81"/>
            <rFont val="Tahoma"/>
            <family val="2"/>
          </rPr>
          <t xml:space="preserve">
LCMBO     LOOSE COMBINATION ANCHOR
</t>
        </r>
        <r>
          <rPr>
            <i/>
            <sz val="9"/>
            <color indexed="81"/>
            <rFont val="Tahoma"/>
            <family val="2"/>
          </rPr>
          <t>Existing Opening Anchor</t>
        </r>
        <r>
          <rPr>
            <sz val="9"/>
            <color indexed="81"/>
            <rFont val="Tahoma"/>
            <family val="2"/>
          </rPr>
          <t xml:space="preserve">
LEOBF     LOOSE EO BUTTERFLY ANCHOR
</t>
        </r>
        <r>
          <rPr>
            <b/>
            <sz val="9"/>
            <color indexed="81"/>
            <rFont val="Tahoma"/>
            <family val="2"/>
          </rPr>
          <t>Please Note any Special Anchoring Considerations.</t>
        </r>
      </text>
    </comment>
    <comment ref="W152" authorId="0" shapeId="0" xr:uid="{448DD7E4-D89E-408B-89A1-F8D018A68D25}">
      <text>
        <r>
          <rPr>
            <b/>
            <sz val="9"/>
            <color indexed="81"/>
            <rFont val="Tahoma"/>
            <family val="2"/>
          </rPr>
          <t xml:space="preserve">Hinge Type
</t>
        </r>
        <r>
          <rPr>
            <sz val="9"/>
            <color indexed="81"/>
            <rFont val="Tahoma"/>
            <family val="2"/>
          </rPr>
          <t xml:space="preserve">450--    4-1/2" HINGE STD WT
500--    5" HINGE STD WT.
450HW    4-1/2" HEAVY WT HINGE
500HW    5" HEAVY WT HINGE
CONH-    CONTINUOUS HINGE REINFORCEMENT
PIVOT    MORTISED PIVOT SET / HEAD &amp; JAMB
POCKT    POCKET TYPE PIVOT HINGE
DM67H    DBL MORTISED 6" OR 7" TEMPLATE HINGE
RNDCH    ROUND CORNER HINGE
INVHG    INVISIBLE HINGE PREP
ANCHR    ANCHOR HINGE PREP
DASPH    DBL ACTING SPRING HINGE (NON TEMP)
350--    3-1/2" HINGE PREPARATION
400--    4" HINGE PREPARATION
DD45    DOUBLE DEPTH 4-1/2" HINGE
DD50    DOUBLE DEPTH 5" HINGE
SOSSH    SOSS or SIMONSWERKS INVISIBLE HINGE PREP
ELIAS    ELIASON REINFORCING
</t>
        </r>
      </text>
    </comment>
    <comment ref="Y152" authorId="0" shapeId="0" xr:uid="{D5CBD320-7D5A-4FC2-95F1-D2952B4B35B2}">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Z152" authorId="0" shapeId="0" xr:uid="{16EC7539-D867-492D-8097-633F6399B086}">
      <text>
        <r>
          <rPr>
            <b/>
            <sz val="9"/>
            <color indexed="81"/>
            <rFont val="Tahoma"/>
            <family val="2"/>
          </rPr>
          <t xml:space="preserve">Closer
</t>
        </r>
        <r>
          <rPr>
            <sz val="9"/>
            <color indexed="81"/>
            <rFont val="Tahoma"/>
            <family val="2"/>
          </rPr>
          <t xml:space="preserve">NOCL    NO CLOSER REINFORCEMENT
FRNC    FIRE RATED FRAME w/ NO CLOSER REINF.
REG    REGULAR ARM - CLOSER REINFORCEMENT[#1]
PAC    PARALLEL ARM - CLOSER REINFORCEMENT [#3]
RPC    REGULAR AND PARALLEL - CLOSER REINFS [#1,3]
TJC    TOP JAMB CLOSER REINFORCEMENT[#7]
CLSL    CLOSER SLEEVE REINFORCEMENT (12" x FULL DEPTH)
CLFW    REG ARM CLOSER REINF. FULL WIDTH (FACE)[#8]
PAFW    PARALLEL ARM REINF. FULL WIDTH (STOP)
SOHS    SURFACE OVERHEAD CLOSER / STOP REINF.
MOHS    MORTISED OVERHEAD CLOSER / STOP PREPARATION
COHS    CONCEALED OVERHEAD CLOSER PREPARATION
BRKT    CORNER BRACKET CLOSER REINF [#2]
RPTJ    REG, PAC, AND TOP JAMB REINF [#1,3,7]
TJFW    AUTO OPER. REINF FULL WIDTH[#7 CONT]
CORF    COORDINATOR @ CL REINF IN FACE [#6]
CORS    COORDINATOR @ FULL WIDTH SOFFET [#5 CONT]
</t>
        </r>
      </text>
    </comment>
    <comment ref="AA152" authorId="0" shapeId="0" xr:uid="{EC609D5D-1340-49C6-94F0-D539ED14B4DC}">
      <text>
        <r>
          <rPr>
            <b/>
            <sz val="9"/>
            <color indexed="81"/>
            <rFont val="Tahoma"/>
            <family val="2"/>
          </rPr>
          <t xml:space="preserve">Bolt
</t>
        </r>
        <r>
          <rPr>
            <sz val="9"/>
            <color indexed="81"/>
            <rFont val="Tahoma"/>
            <family val="2"/>
          </rPr>
          <t xml:space="preserve">NOFB    NO FLUSH BOLT NEEDED 
FBU    UNIVERSAL FB MORTISED STRIKE 
FBKO    FB KNOCKOUT ONLY 
FBM    MORTISED FB STRIKE 
AFBR    DEVICE SPECIFIC MORT AFB STRIKE 
SBRF    SURFACE BOLT REINFORCE IN FACE 
SBRS    SURFACE BOLT (SVR) REINF IN SOFFET 
SBRR    BOLT REINFORCE IN RABBET 
CVRS1    QTY 1 CVR MORT STRIKE 
CVRS2    QTY 2 CVR MORT STRIKE 
RLMS2    QTY 2 ROLLER LATCH MORTISED STRIKE REINF 
RLMS1    QTY 1 ROLLER LATCH MORTISED STRIKE REINF 
</t>
        </r>
      </text>
    </comment>
    <comment ref="AB152" authorId="1" shapeId="0" xr:uid="{CF85A143-A88C-4673-850A-633E9ABF9907}">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J154" authorId="1" shapeId="0" xr:uid="{5E88C276-4648-4D75-ABC8-3DC68B02D646}">
      <text>
        <r>
          <rPr>
            <sz val="9"/>
            <color indexed="81"/>
            <rFont val="Tahoma"/>
            <family val="2"/>
          </rPr>
          <t>Enter Special Depth Here
in Inches (SPJD)</t>
        </r>
        <r>
          <rPr>
            <i/>
            <sz val="9"/>
            <color indexed="81"/>
            <rFont val="Tahoma"/>
            <family val="2"/>
          </rPr>
          <t xml:space="preserve">
Do not include ' " ' .</t>
        </r>
      </text>
    </comment>
    <comment ref="O154" authorId="1" shapeId="0" xr:uid="{E5865D70-E74F-4D43-B6AB-FEEA96003B16}">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Q154" authorId="1" shapeId="0" xr:uid="{AE592565-F442-4F12-81BC-7843C01AA292}">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Miter Point to Top of Hardware (SPL)
TtoC    Miter Point to Centerline of Hardware (SPLT)
BtoC    Botom of Door to Centerline of Hardware (SPLB)
AffC    Above Finished Floor to Centerline of Hardware (SPLA)
</t>
        </r>
      </text>
    </comment>
    <comment ref="S154" authorId="1" shapeId="0" xr:uid="{1DB04D69-B50F-4348-AA29-532AE0E152D0}">
      <text>
        <r>
          <rPr>
            <sz val="9"/>
            <color indexed="81"/>
            <rFont val="Tahoma"/>
            <family val="2"/>
          </rPr>
          <t xml:space="preserve">Please Provide a dimensioned profile drawing when Special Profile is selected.
</t>
        </r>
      </text>
    </comment>
    <comment ref="T154" authorId="1" shapeId="0" xr:uid="{58BE809C-8918-4599-843A-3C5BC843EA48}">
      <text>
        <r>
          <rPr>
            <b/>
            <sz val="9"/>
            <color indexed="81"/>
            <rFont val="Tahoma"/>
            <family val="2"/>
          </rPr>
          <t xml:space="preserve">Agency/Type:
</t>
        </r>
        <r>
          <rPr>
            <sz val="9"/>
            <color indexed="81"/>
            <rFont val="Tahoma"/>
            <family val="2"/>
          </rPr>
          <t>WH    (WHI) WARNOCK HERSEY - INTERTEK
UL    (UL) UNDERWRITERS LABORATORIES
LC    LABELED CONSTRUCTION
SF    SPL FRAME UNIT ASSY SPECIFIC</t>
        </r>
        <r>
          <rPr>
            <sz val="9"/>
            <color indexed="81"/>
            <rFont val="Tahoma"/>
            <family val="2"/>
          </rPr>
          <t xml:space="preserve">
</t>
        </r>
      </text>
    </comment>
    <comment ref="U154" authorId="1" shapeId="0" xr:uid="{5E2B2A30-F1E1-4A17-887A-6D53D2E27232}">
      <text>
        <r>
          <rPr>
            <b/>
            <sz val="9"/>
            <color indexed="81"/>
            <rFont val="Tahoma"/>
            <family val="2"/>
          </rPr>
          <t xml:space="preserve">Rating/Type:
</t>
        </r>
        <r>
          <rPr>
            <sz val="9"/>
            <color indexed="81"/>
            <rFont val="Tahoma"/>
            <family val="2"/>
          </rPr>
          <t xml:space="preserve">A    A LABEL / 3HR RATING
B    B LABEL / 1.5HR RATING
C    C LABEL / 45MIN (3/4HR)
20    20 MINUTE
HL    HURRICANE / WINDSTORM LABEL
6LT    UL SIDELITE/TRANSOM 
6LW    UL WINDOW FRAME 
5PF    UL PANEL FRAME 
C18    CONSTRUCTION LABEL (#18)
LC    LABELED CONSTRUCTION - GENERIC (#1G)
20U    20 MIN WINDOW / NO HOSE UL METAL (#4M)
</t>
        </r>
      </text>
    </comment>
    <comment ref="V154" authorId="1" shapeId="0" xr:uid="{51452560-0CDF-43AF-8E1C-0FC1E5245AA4}">
      <text>
        <r>
          <rPr>
            <b/>
            <sz val="9"/>
            <color indexed="81"/>
            <rFont val="Tahoma"/>
            <family val="2"/>
          </rPr>
          <t>Label Material</t>
        </r>
        <r>
          <rPr>
            <sz val="9"/>
            <color indexed="81"/>
            <rFont val="Tahoma"/>
            <family val="2"/>
          </rPr>
          <t xml:space="preserve">
MYL - Mylar (Plastic)
MET - Metal Labels (Spotwelded on Standard) 
RIV  - Metal Labels (Riveted on)
EMB - Embossed Labels**
</t>
        </r>
        <r>
          <rPr>
            <b/>
            <sz val="9"/>
            <color indexed="16"/>
            <rFont val="Tahoma"/>
            <family val="2"/>
          </rPr>
          <t>** Embossed Labels are not available in Qtys less than 20 frames.</t>
        </r>
        <r>
          <rPr>
            <sz val="9"/>
            <color indexed="81"/>
            <rFont val="Tahoma"/>
            <family val="2"/>
          </rPr>
          <t xml:space="preserve">
</t>
        </r>
      </text>
    </comment>
    <comment ref="AB154" authorId="1" shapeId="0" xr:uid="{CA3E9498-759E-4E0C-BC79-F3CE07F7EDBB}">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 ref="AB156" authorId="1" shapeId="0" xr:uid="{4D366E0E-E4B1-44C5-9DEA-2A4358C19C72}">
      <text>
        <r>
          <rPr>
            <sz val="9"/>
            <color indexed="81"/>
            <rFont val="Tahoma"/>
            <family val="2"/>
          </rPr>
          <t xml:space="preserve">DRTN: Double Return (F Series Frame)
THRM:Thermal Break
WF:Uniseal / Kerf Frame
HOSP:Hospital (Cut-Off) Stops
LLFC:Lead Lined Frame
CLST:Ceiling Struts
LLCO:Lead Lined Clips ONLY
REVMIT: DW Miter on F Series Frame
SILL:Add Sill Section (2" or 4" Face)
SSS:Stainless Steel Spats
CND-:Counduit for Elec Hdwe
PTP-:Power Transfer (EPT)
ELH-:Electric Hinge Prep
MAGS:Magnetic Switch (Hole Type)
CJ2:CJ-Strike (2 Strikes)
CJ6:CJ-Hinge (6 HInges)
DTCH2:DTCH-Strike (2 Strikes)
DTCH4:DTCH-Hinge (4 HInges)
FWHR:Full Width Hinge Reinforcement
FHHR:Full Height Hinge Reinforcement
INPV:Intermediate Pivot
HFH:Hi Frequency Hinge 
SHDR:PAIR: 1" x 1-1/2" x 1/8" Angle
SHDR:FULL WIDTH 12 Ga Channel (to 6" Depth)
RASW:18Ga Reinforce for Applied 
RFRM:Reinf for Removable Mullion
RFHM:Reinf for Hardware Mullion
DPS:Door Position Switch
NAIL:Nail on Frames 
16BA:16Ga Floor Anchor (on Stick Mat'l)
ADJA:Adjustable Base Anchor
UNFA:Uniframe Floor Anchor Attached
NOS:No Silencer Holes
BHA:Base Holes (of F Series)
RFLA:Reversed(Inverted) Floor Anchors
BDL:Segregate by Floor
SPLP:Non-Standard Color / Finish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Hunt</author>
    <author>Hunt, Eric</author>
  </authors>
  <commentList>
    <comment ref="C16" authorId="0" shapeId="0" xr:uid="{D2F81204-4EA1-4332-BF73-144DEC0E1301}">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16" authorId="0" shapeId="0" xr:uid="{CBFBA9C3-1CF7-41C9-917E-CC9797293C34}">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16" authorId="0" shapeId="0" xr:uid="{451ACE63-37B4-4CD3-8A95-B9FD2B328E08}">
      <text>
        <r>
          <rPr>
            <b/>
            <sz val="9"/>
            <color indexed="81"/>
            <rFont val="Tahoma"/>
            <family val="2"/>
          </rPr>
          <t xml:space="preserve">Material
</t>
        </r>
        <r>
          <rPr>
            <sz val="9"/>
            <color indexed="81"/>
            <rFont val="Tahoma"/>
            <family val="2"/>
          </rPr>
          <t xml:space="preserve">C    CRS (COLD ROLLED STEEL)
G    GALV (GALVANNEALED)
</t>
        </r>
      </text>
    </comment>
    <comment ref="F16" authorId="0" shapeId="0" xr:uid="{335B4A8A-88CB-4FD5-91F1-70953C3C660D}">
      <text>
        <r>
          <rPr>
            <b/>
            <sz val="9"/>
            <color indexed="81"/>
            <rFont val="Tahoma"/>
            <family val="2"/>
          </rPr>
          <t xml:space="preserve">Thickness
</t>
        </r>
        <r>
          <rPr>
            <sz val="9"/>
            <color indexed="81"/>
            <rFont val="Tahoma"/>
            <family val="2"/>
          </rPr>
          <t>1-3/4" THICK DOOR
1-3/8" THICK DOOR
SPL    DOOR THICKNESS (TO 2-1/2")
~ Left Blank = 1-3/4"</t>
        </r>
      </text>
    </comment>
    <comment ref="G16" authorId="0" shapeId="0" xr:uid="{0B8989EA-DDF4-417C-9745-0C7AB3A3C28B}">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16" authorId="0" shapeId="0" xr:uid="{053C9EBE-77E8-4F0C-ADE1-BE53B9BE33AC}">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16" authorId="0" shapeId="0" xr:uid="{98BFA297-C772-481B-A1A3-EA461EB77200}">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16" authorId="0" shapeId="0" xr:uid="{74E023EA-95C5-41B7-86D3-53D75A9680C2}">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16" authorId="0" shapeId="0" xr:uid="{A8D84F3A-065D-4B2D-91B8-439FFDADF11F}">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16" authorId="0" shapeId="0" xr:uid="{D4453F37-DC8E-443E-BB66-30C7425F6E3E}">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16" authorId="0" shapeId="0" xr:uid="{B402F794-E582-4CA5-901E-1C797544D9A6}">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16" authorId="0" shapeId="0" xr:uid="{C60BA170-C2BC-4153-BA94-E0D5A16E77CA}">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16" authorId="0" shapeId="0" xr:uid="{FB87C6A2-4077-41C9-993F-B71D8DDBB1C6}">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16" authorId="0" shapeId="0" xr:uid="{4B4EF7C5-94F0-44C5-B637-06BBBCB89B1E}">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16" authorId="0" shapeId="0" xr:uid="{D2C21367-47AB-4009-8E08-57174B82BE03}">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16" authorId="0" shapeId="0" xr:uid="{E2D7C86E-B2F0-44DE-B8D1-DFEA8BDD19D0}">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16" authorId="0" shapeId="0" xr:uid="{0EDDD400-12AF-4715-96EC-22B2DEBBDEAB}">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16" authorId="0" shapeId="0" xr:uid="{C72E00F0-0A01-4DED-AA20-F1EBC42E5A7A}">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16" authorId="0" shapeId="0" xr:uid="{1FAA1B84-1016-4BFF-B163-10F6167A10DF}">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16" authorId="0" shapeId="0" xr:uid="{38CD6BE9-BBFC-49EB-9CE9-0EF7243437A0}">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16" authorId="1" shapeId="0" xr:uid="{4A840F39-6412-422E-97E5-13463546908A}">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18" authorId="1" shapeId="0" xr:uid="{36CA4A53-8DFF-4FE3-AF3D-97A21A8C85C3}">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18" authorId="1" shapeId="0" xr:uid="{E382A175-5B6D-44F4-866B-A810C2983231}">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18" authorId="1" shapeId="0" xr:uid="{B4E69280-976D-45AF-8032-EEE5FB3DF2E0}">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18" authorId="1" shapeId="0" xr:uid="{B4F62CC9-657F-49C1-8736-C2AABA44BC87}">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18" authorId="1" shapeId="0" xr:uid="{791CC0C2-F004-4559-A9B6-4AB563673706}">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18" authorId="1" shapeId="0" xr:uid="{29CFF8AE-1AD7-4BD1-BA08-752822BCE619}">
      <text>
        <r>
          <rPr>
            <b/>
            <sz val="9"/>
            <color indexed="81"/>
            <rFont val="Tahoma"/>
            <family val="2"/>
          </rPr>
          <t xml:space="preserve">Material
</t>
        </r>
        <r>
          <rPr>
            <sz val="9"/>
            <color indexed="81"/>
            <rFont val="Tahoma"/>
            <family val="2"/>
          </rPr>
          <t xml:space="preserve">MYL    MYLAR LABEL
MET    METAL LABEL
</t>
        </r>
      </text>
    </comment>
    <comment ref="AA18" authorId="1" shapeId="0" xr:uid="{CB032D02-5F86-47A8-8862-4DC0CA41D707}">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19" authorId="1" shapeId="0" xr:uid="{EE30AB4B-1F1D-4C80-911B-AB7285599129}">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20" authorId="1" shapeId="0" xr:uid="{024FCFCC-E4A8-4AFF-98DB-F3DD0A06423D}">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21" authorId="1" shapeId="0" xr:uid="{BEA0CD69-0DE7-419B-9848-B7FBDAF3B262}">
      <text>
        <r>
          <rPr>
            <b/>
            <sz val="9"/>
            <color indexed="81"/>
            <rFont val="Tahoma"/>
            <family val="2"/>
          </rPr>
          <t xml:space="preserve">Lock - MANUFACTURER:
</t>
        </r>
        <r>
          <rPr>
            <sz val="9"/>
            <color indexed="81"/>
            <rFont val="Tahoma"/>
            <family val="2"/>
          </rPr>
          <t xml:space="preserve">Enter Lock Manufacturer
</t>
        </r>
      </text>
    </comment>
    <comment ref="S21" authorId="1" shapeId="0" xr:uid="{E58CC914-4DE8-4336-BA79-D93C3D6DA8EE}">
      <text>
        <r>
          <rPr>
            <b/>
            <sz val="9"/>
            <color indexed="81"/>
            <rFont val="Tahoma"/>
            <family val="2"/>
          </rPr>
          <t xml:space="preserve">2nd Deadlock:
</t>
        </r>
        <r>
          <rPr>
            <sz val="9"/>
            <color indexed="81"/>
            <rFont val="Tahoma"/>
            <family val="2"/>
          </rPr>
          <t xml:space="preserve">Mfg &amp; Device Number
</t>
        </r>
      </text>
    </comment>
    <comment ref="Y21" authorId="0" shapeId="0" xr:uid="{27366D35-4203-4F1E-B213-1BB5834DC898}">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22" authorId="1" shapeId="0" xr:uid="{8289113B-B200-4D65-8F22-F7542005C86F}">
      <text>
        <r>
          <rPr>
            <b/>
            <sz val="9"/>
            <color indexed="81"/>
            <rFont val="Tahoma"/>
            <family val="2"/>
          </rPr>
          <t xml:space="preserve">Lock - DEVICE:
</t>
        </r>
        <r>
          <rPr>
            <sz val="9"/>
            <color indexed="81"/>
            <rFont val="Tahoma"/>
            <family val="2"/>
          </rPr>
          <t xml:space="preserve">Enter Device Number
</t>
        </r>
      </text>
    </comment>
    <comment ref="M23" authorId="1" shapeId="0" xr:uid="{C2FA5446-960C-474C-B643-EB9495045BFB}">
      <text>
        <r>
          <rPr>
            <b/>
            <sz val="9"/>
            <color indexed="81"/>
            <rFont val="Tahoma"/>
            <family val="2"/>
          </rPr>
          <t xml:space="preserve">Lock - TRIM:
</t>
        </r>
        <r>
          <rPr>
            <sz val="9"/>
            <color indexed="81"/>
            <rFont val="Tahoma"/>
            <family val="2"/>
          </rPr>
          <t xml:space="preserve">Enter Trim Code (or "NA" if not applicable)
</t>
        </r>
      </text>
    </comment>
    <comment ref="M24" authorId="1" shapeId="0" xr:uid="{2EDF2FAC-BAB1-474C-A157-8328FAEABF2B}">
      <text>
        <r>
          <rPr>
            <b/>
            <sz val="9"/>
            <color indexed="81"/>
            <rFont val="Tahoma"/>
            <family val="2"/>
          </rPr>
          <t xml:space="preserve">MULLION:
</t>
        </r>
        <r>
          <rPr>
            <sz val="9"/>
            <color indexed="81"/>
            <rFont val="Tahoma"/>
            <family val="2"/>
          </rPr>
          <t>Enter Mullion Type (or "NA" if not applicable)</t>
        </r>
      </text>
    </comment>
    <comment ref="C25" authorId="0" shapeId="0" xr:uid="{693BBFDD-755E-4A81-A4FF-64252CD97BD0}">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25" authorId="0" shapeId="0" xr:uid="{B03F69EF-BA8F-4E9C-A706-BD8922447423}">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25" authorId="0" shapeId="0" xr:uid="{0C6CCAB0-8D89-4B8E-9E58-43E3FC1D9CCF}">
      <text>
        <r>
          <rPr>
            <b/>
            <sz val="9"/>
            <color indexed="81"/>
            <rFont val="Tahoma"/>
            <family val="2"/>
          </rPr>
          <t xml:space="preserve">Material
</t>
        </r>
        <r>
          <rPr>
            <sz val="9"/>
            <color indexed="81"/>
            <rFont val="Tahoma"/>
            <family val="2"/>
          </rPr>
          <t xml:space="preserve">C    CRS (COLD ROLLED STEEL)
G    GALV (GALVANNEALED)
</t>
        </r>
      </text>
    </comment>
    <comment ref="F25" authorId="0" shapeId="0" xr:uid="{C322BEAB-27B3-4ADB-9A64-FC73802A7514}">
      <text>
        <r>
          <rPr>
            <b/>
            <sz val="9"/>
            <color indexed="81"/>
            <rFont val="Tahoma"/>
            <family val="2"/>
          </rPr>
          <t xml:space="preserve">Thickness
</t>
        </r>
        <r>
          <rPr>
            <sz val="9"/>
            <color indexed="81"/>
            <rFont val="Tahoma"/>
            <family val="2"/>
          </rPr>
          <t>1-3/4" THICK DOOR
1-3/8" THICK DOOR
SPL    DOOR THICKNESS (TO 2-1/2")
~ Left Blank = 1-3/4"</t>
        </r>
      </text>
    </comment>
    <comment ref="G25" authorId="0" shapeId="0" xr:uid="{793B190F-5A90-4256-A7EE-FAD50AEA8B56}">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25" authorId="0" shapeId="0" xr:uid="{A288F8D2-0678-42D0-B61F-A5B824843157}">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25" authorId="0" shapeId="0" xr:uid="{14821180-D889-4A96-8134-8EB5DDDA8E2A}">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25" authorId="0" shapeId="0" xr:uid="{AF0F4B25-8AA4-430B-9995-235E2C3520E4}">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25" authorId="0" shapeId="0" xr:uid="{0BC02A44-ACCA-40DD-B1D7-19875064D37B}">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25" authorId="0" shapeId="0" xr:uid="{E860A9BF-45CB-46EF-9894-FD63D0C0ADB2}">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25" authorId="0" shapeId="0" xr:uid="{34FFEEC3-6DD2-4C4D-B6AE-D43CE98CEB59}">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25" authorId="0" shapeId="0" xr:uid="{4A975DC1-6634-4160-93A2-AC8F9A9C27B9}">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25" authorId="0" shapeId="0" xr:uid="{88F50A43-4A3E-4A73-8F30-FE6C7E15F0A7}">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25" authorId="0" shapeId="0" xr:uid="{56C7BFE9-1982-404C-86AF-652C2F459C4E}">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25" authorId="0" shapeId="0" xr:uid="{44F106E5-0C3A-4DF9-9451-6172588B6273}">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25" authorId="0" shapeId="0" xr:uid="{37EF9318-D223-407A-BA6E-678AB475AB2F}">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25" authorId="0" shapeId="0" xr:uid="{D8D00E24-8464-4F4A-AF4C-11417256A346}">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25" authorId="0" shapeId="0" xr:uid="{229F4D5D-D462-4C28-A27B-80171F0F27B4}">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25" authorId="0" shapeId="0" xr:uid="{7E314664-720A-40EB-8444-3FBE63E161DC}">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25" authorId="0" shapeId="0" xr:uid="{DE007A64-D6B3-47BC-B025-4E366C89FAF6}">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25" authorId="1" shapeId="0" xr:uid="{AD03584E-D771-438E-8CCA-00F4E45CA1FB}">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27" authorId="1" shapeId="0" xr:uid="{9D554BD4-6704-4D47-B899-175F6EBD607E}">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27" authorId="1" shapeId="0" xr:uid="{A6DC9ADB-CD6F-45A0-8D6F-022D79E9B32A}">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27" authorId="1" shapeId="0" xr:uid="{BB6647BF-3966-43A1-813E-AF41B78F5D61}">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27" authorId="1" shapeId="0" xr:uid="{16DC8311-BB90-4384-B98A-DC9A5EE17764}">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27" authorId="1" shapeId="0" xr:uid="{6A08A431-C56D-40D9-A05F-C8ECA9FF7894}">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27" authorId="1" shapeId="0" xr:uid="{B5473D88-6A82-42B4-AF27-CCF74D705805}">
      <text>
        <r>
          <rPr>
            <b/>
            <sz val="9"/>
            <color indexed="81"/>
            <rFont val="Tahoma"/>
            <family val="2"/>
          </rPr>
          <t xml:space="preserve">Material
</t>
        </r>
        <r>
          <rPr>
            <sz val="9"/>
            <color indexed="81"/>
            <rFont val="Tahoma"/>
            <family val="2"/>
          </rPr>
          <t xml:space="preserve">MYL    MYLAR LABEL
MET    METAL LABEL
</t>
        </r>
      </text>
    </comment>
    <comment ref="AA27" authorId="1" shapeId="0" xr:uid="{F11C04DD-59CA-4755-A94C-B5696331EE91}">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28" authorId="1" shapeId="0" xr:uid="{E849E37D-DCC5-4E31-8C80-6D9A5B5069C7}">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29" authorId="1" shapeId="0" xr:uid="{98749137-FC3E-466E-8CA8-67B784BEB088}">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30" authorId="1" shapeId="0" xr:uid="{D332AB2E-01DF-4349-ACEF-4981C604712A}">
      <text>
        <r>
          <rPr>
            <b/>
            <sz val="9"/>
            <color indexed="81"/>
            <rFont val="Tahoma"/>
            <family val="2"/>
          </rPr>
          <t xml:space="preserve">Lock - MANUFACTURER:
</t>
        </r>
        <r>
          <rPr>
            <sz val="9"/>
            <color indexed="81"/>
            <rFont val="Tahoma"/>
            <family val="2"/>
          </rPr>
          <t xml:space="preserve">Enter Lock Manufacturer
</t>
        </r>
      </text>
    </comment>
    <comment ref="S30" authorId="1" shapeId="0" xr:uid="{D65B8951-DB5A-43EE-A0D8-51E3F43C66D8}">
      <text>
        <r>
          <rPr>
            <b/>
            <sz val="9"/>
            <color indexed="81"/>
            <rFont val="Tahoma"/>
            <family val="2"/>
          </rPr>
          <t xml:space="preserve">2nd Deadlock:
</t>
        </r>
        <r>
          <rPr>
            <sz val="9"/>
            <color indexed="81"/>
            <rFont val="Tahoma"/>
            <family val="2"/>
          </rPr>
          <t xml:space="preserve">Mfg &amp; Device Number
</t>
        </r>
      </text>
    </comment>
    <comment ref="Y30" authorId="0" shapeId="0" xr:uid="{17D48111-B54C-435D-8368-F812102B9B9B}">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31" authorId="1" shapeId="0" xr:uid="{03C65639-90AD-4414-9A68-55F45928234F}">
      <text>
        <r>
          <rPr>
            <b/>
            <sz val="9"/>
            <color indexed="81"/>
            <rFont val="Tahoma"/>
            <family val="2"/>
          </rPr>
          <t xml:space="preserve">Lock - DEVICE:
</t>
        </r>
        <r>
          <rPr>
            <sz val="9"/>
            <color indexed="81"/>
            <rFont val="Tahoma"/>
            <family val="2"/>
          </rPr>
          <t xml:space="preserve">Enter Device Number
</t>
        </r>
      </text>
    </comment>
    <comment ref="M32" authorId="1" shapeId="0" xr:uid="{C3861CA1-9496-49F2-AB03-711678E79E39}">
      <text>
        <r>
          <rPr>
            <b/>
            <sz val="9"/>
            <color indexed="81"/>
            <rFont val="Tahoma"/>
            <family val="2"/>
          </rPr>
          <t xml:space="preserve">Lock - TRIM:
</t>
        </r>
        <r>
          <rPr>
            <sz val="9"/>
            <color indexed="81"/>
            <rFont val="Tahoma"/>
            <family val="2"/>
          </rPr>
          <t xml:space="preserve">Enter Trim Code (or "NA" if not applicable)
</t>
        </r>
      </text>
    </comment>
    <comment ref="M33" authorId="1" shapeId="0" xr:uid="{A4B0187A-6E8D-4CDF-BB86-F4D94C9B2B8F}">
      <text>
        <r>
          <rPr>
            <b/>
            <sz val="9"/>
            <color indexed="81"/>
            <rFont val="Tahoma"/>
            <family val="2"/>
          </rPr>
          <t xml:space="preserve">MULLION:
</t>
        </r>
        <r>
          <rPr>
            <sz val="9"/>
            <color indexed="81"/>
            <rFont val="Tahoma"/>
            <family val="2"/>
          </rPr>
          <t>Enter Mullion Type (or "NA" if not applicable)</t>
        </r>
      </text>
    </comment>
    <comment ref="C34" authorId="0" shapeId="0" xr:uid="{6DAB056D-96F4-4532-98A8-941C8F3CA9A9}">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34" authorId="0" shapeId="0" xr:uid="{799ACEDB-219C-4D5C-8979-805206457DB9}">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34" authorId="0" shapeId="0" xr:uid="{E094E864-A70D-470A-B5F0-6BB83DF9D9AB}">
      <text>
        <r>
          <rPr>
            <b/>
            <sz val="9"/>
            <color indexed="81"/>
            <rFont val="Tahoma"/>
            <family val="2"/>
          </rPr>
          <t xml:space="preserve">Material
</t>
        </r>
        <r>
          <rPr>
            <sz val="9"/>
            <color indexed="81"/>
            <rFont val="Tahoma"/>
            <family val="2"/>
          </rPr>
          <t xml:space="preserve">C    CRS (COLD ROLLED STEEL)
G    GALV (GALVANNEALED)
</t>
        </r>
      </text>
    </comment>
    <comment ref="F34" authorId="0" shapeId="0" xr:uid="{DDF7A02D-AC75-429E-B124-64B9AC8B98D3}">
      <text>
        <r>
          <rPr>
            <b/>
            <sz val="9"/>
            <color indexed="81"/>
            <rFont val="Tahoma"/>
            <family val="2"/>
          </rPr>
          <t xml:space="preserve">Thickness
</t>
        </r>
        <r>
          <rPr>
            <sz val="9"/>
            <color indexed="81"/>
            <rFont val="Tahoma"/>
            <family val="2"/>
          </rPr>
          <t>1-3/4" THICK DOOR
1-3/8" THICK DOOR
SPL    DOOR THICKNESS (TO 2-1/2")
~ Left Blank = 1-3/4"</t>
        </r>
      </text>
    </comment>
    <comment ref="G34" authorId="0" shapeId="0" xr:uid="{DA8D57FF-1CE0-4403-9EB4-D5529921C6D5}">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34" authorId="0" shapeId="0" xr:uid="{7BD5CDDA-2AFC-46C1-9182-0F253018CBE4}">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34" authorId="0" shapeId="0" xr:uid="{F476AFAE-F68A-407E-99F9-B8B24FA45876}">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34" authorId="0" shapeId="0" xr:uid="{F20E2D65-7F3B-4C56-B490-F701FAA2FE15}">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34" authorId="0" shapeId="0" xr:uid="{00841607-65D8-47B6-80DF-012043DD6E74}">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34" authorId="0" shapeId="0" xr:uid="{6667EF34-4B80-40F3-BDB0-7AE3FA497110}">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34" authorId="0" shapeId="0" xr:uid="{64F82DF9-7540-48A8-8442-AA5C48A36B04}">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34" authorId="0" shapeId="0" xr:uid="{BA832113-D3C5-4E6E-A1A2-C7C9DD9A82DD}">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34" authorId="0" shapeId="0" xr:uid="{6FBD12D1-DE0D-495A-A799-F78E9BF30146}">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34" authorId="0" shapeId="0" xr:uid="{F72DF0A3-9571-486A-BE0B-F8AE70287553}">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34" authorId="0" shapeId="0" xr:uid="{C41F45D2-5AFC-4689-A885-9ECE0AA182D5}">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34" authorId="0" shapeId="0" xr:uid="{7AC163C3-4896-47FA-AB2D-1FEA5373A8CF}">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34" authorId="0" shapeId="0" xr:uid="{AF10B9F9-9E0A-41C2-81B7-6085B73620F7}">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34" authorId="0" shapeId="0" xr:uid="{215CDD97-E846-4BB5-9A4D-CE38F25BC51F}">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34" authorId="0" shapeId="0" xr:uid="{4F12EACF-8D40-41BF-9774-4946DEE50F8C}">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34" authorId="0" shapeId="0" xr:uid="{6BB4DEC9-AD30-4069-8B07-8340CECA774F}">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34" authorId="1" shapeId="0" xr:uid="{A3AA0A9F-59CC-4DB9-BED8-E244B3F6FDD7}">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36" authorId="1" shapeId="0" xr:uid="{3577586B-B00D-4A9F-93CF-1B820F162EED}">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36" authorId="1" shapeId="0" xr:uid="{6EF01DF2-8154-431E-9585-5DE577197EFD}">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36" authorId="1" shapeId="0" xr:uid="{C1EF4F72-CC21-4815-BE41-302CC6408AAE}">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36" authorId="1" shapeId="0" xr:uid="{CFB21393-0D98-4CC8-A8AC-EB7F7979F7F8}">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36" authorId="1" shapeId="0" xr:uid="{1DB49D07-5C15-4903-B414-41395A2A8B03}">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36" authorId="1" shapeId="0" xr:uid="{3908C36B-9FD4-4750-BAD3-F18D2BFDA9DF}">
      <text>
        <r>
          <rPr>
            <b/>
            <sz val="9"/>
            <color indexed="81"/>
            <rFont val="Tahoma"/>
            <family val="2"/>
          </rPr>
          <t xml:space="preserve">Material
</t>
        </r>
        <r>
          <rPr>
            <sz val="9"/>
            <color indexed="81"/>
            <rFont val="Tahoma"/>
            <family val="2"/>
          </rPr>
          <t xml:space="preserve">MYL    MYLAR LABEL
MET    METAL LABEL
</t>
        </r>
      </text>
    </comment>
    <comment ref="AA36" authorId="1" shapeId="0" xr:uid="{3352DC21-CD6C-4BCE-89B0-33F9639E99C4}">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37" authorId="1" shapeId="0" xr:uid="{806B493A-9C99-4B6D-A03A-6196BF43AA73}">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38" authorId="1" shapeId="0" xr:uid="{0DA1BC5E-332E-447B-837C-00544CC36832}">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39" authorId="1" shapeId="0" xr:uid="{E1337826-72D2-4910-8C00-581DBC551A91}">
      <text>
        <r>
          <rPr>
            <b/>
            <sz val="9"/>
            <color indexed="81"/>
            <rFont val="Tahoma"/>
            <family val="2"/>
          </rPr>
          <t xml:space="preserve">Lock - MANUFACTURER:
</t>
        </r>
        <r>
          <rPr>
            <sz val="9"/>
            <color indexed="81"/>
            <rFont val="Tahoma"/>
            <family val="2"/>
          </rPr>
          <t xml:space="preserve">Enter Lock Manufacturer
</t>
        </r>
      </text>
    </comment>
    <comment ref="S39" authorId="1" shapeId="0" xr:uid="{7A123283-3A94-42F2-A98C-26BB305E1869}">
      <text>
        <r>
          <rPr>
            <b/>
            <sz val="9"/>
            <color indexed="81"/>
            <rFont val="Tahoma"/>
            <family val="2"/>
          </rPr>
          <t xml:space="preserve">2nd Deadlock:
</t>
        </r>
        <r>
          <rPr>
            <sz val="9"/>
            <color indexed="81"/>
            <rFont val="Tahoma"/>
            <family val="2"/>
          </rPr>
          <t xml:space="preserve">Mfg &amp; Device Number
</t>
        </r>
      </text>
    </comment>
    <comment ref="Y39" authorId="0" shapeId="0" xr:uid="{C70B1A91-E980-4470-9C4C-0C2562AC0D39}">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40" authorId="1" shapeId="0" xr:uid="{F3BD657F-575E-46B5-B4FC-9219367EFF0C}">
      <text>
        <r>
          <rPr>
            <b/>
            <sz val="9"/>
            <color indexed="81"/>
            <rFont val="Tahoma"/>
            <family val="2"/>
          </rPr>
          <t xml:space="preserve">Lock - DEVICE:
</t>
        </r>
        <r>
          <rPr>
            <sz val="9"/>
            <color indexed="81"/>
            <rFont val="Tahoma"/>
            <family val="2"/>
          </rPr>
          <t xml:space="preserve">Enter Device Number
</t>
        </r>
      </text>
    </comment>
    <comment ref="M41" authorId="1" shapeId="0" xr:uid="{5FB42E54-E03C-4F06-860D-4680554B7D2F}">
      <text>
        <r>
          <rPr>
            <b/>
            <sz val="9"/>
            <color indexed="81"/>
            <rFont val="Tahoma"/>
            <family val="2"/>
          </rPr>
          <t xml:space="preserve">Lock - TRIM:
</t>
        </r>
        <r>
          <rPr>
            <sz val="9"/>
            <color indexed="81"/>
            <rFont val="Tahoma"/>
            <family val="2"/>
          </rPr>
          <t xml:space="preserve">Enter Trim Code (or "NA" if not applicable)
</t>
        </r>
      </text>
    </comment>
    <comment ref="M42" authorId="1" shapeId="0" xr:uid="{B4CDE1AE-0BA1-4696-BB1C-C71CF49E8699}">
      <text>
        <r>
          <rPr>
            <b/>
            <sz val="9"/>
            <color indexed="81"/>
            <rFont val="Tahoma"/>
            <family val="2"/>
          </rPr>
          <t xml:space="preserve">MULLION:
</t>
        </r>
        <r>
          <rPr>
            <sz val="9"/>
            <color indexed="81"/>
            <rFont val="Tahoma"/>
            <family val="2"/>
          </rPr>
          <t>Enter Mullion Type (or "NA" if not applicable)</t>
        </r>
      </text>
    </comment>
    <comment ref="C43" authorId="0" shapeId="0" xr:uid="{6029A597-1386-4D55-8137-6F73ED51ABB2}">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43" authorId="0" shapeId="0" xr:uid="{249A455A-FA0C-4CB7-A0F9-41C6F9B5721A}">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43" authorId="0" shapeId="0" xr:uid="{9BDEDD57-2BE9-4968-8223-8FC29516D258}">
      <text>
        <r>
          <rPr>
            <b/>
            <sz val="9"/>
            <color indexed="81"/>
            <rFont val="Tahoma"/>
            <family val="2"/>
          </rPr>
          <t xml:space="preserve">Material
</t>
        </r>
        <r>
          <rPr>
            <sz val="9"/>
            <color indexed="81"/>
            <rFont val="Tahoma"/>
            <family val="2"/>
          </rPr>
          <t xml:space="preserve">C    CRS (COLD ROLLED STEEL)
G    GALV (GALVANNEALED)
</t>
        </r>
      </text>
    </comment>
    <comment ref="F43" authorId="0" shapeId="0" xr:uid="{EF47D2AA-EB58-4800-BF3C-2C7EB1D808B1}">
      <text>
        <r>
          <rPr>
            <b/>
            <sz val="9"/>
            <color indexed="81"/>
            <rFont val="Tahoma"/>
            <family val="2"/>
          </rPr>
          <t xml:space="preserve">Thickness
</t>
        </r>
        <r>
          <rPr>
            <sz val="9"/>
            <color indexed="81"/>
            <rFont val="Tahoma"/>
            <family val="2"/>
          </rPr>
          <t>1-3/4" THICK DOOR
1-3/8" THICK DOOR
SPL    DOOR THICKNESS (TO 2-1/2")
~ Left Blank = 1-3/4"</t>
        </r>
      </text>
    </comment>
    <comment ref="G43" authorId="0" shapeId="0" xr:uid="{F30908E7-6544-4461-B03C-F7DF1614D6BE}">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43" authorId="0" shapeId="0" xr:uid="{2EF3AA3F-7082-4F08-B673-6F44676B04FD}">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43" authorId="0" shapeId="0" xr:uid="{B801D4D5-749B-4702-B14D-9D5A97FB12CB}">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43" authorId="0" shapeId="0" xr:uid="{E555EC47-5366-4886-94AC-FF49C736C39D}">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43" authorId="0" shapeId="0" xr:uid="{2CEAA9E9-4B30-4B00-9C7E-7F754AE32D68}">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43" authorId="0" shapeId="0" xr:uid="{989F5657-132D-4A07-BAA5-400137C7D16B}">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43" authorId="0" shapeId="0" xr:uid="{3CD8C9B7-818B-49D8-87DB-E7AB1A5EC3CC}">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43" authorId="0" shapeId="0" xr:uid="{3CC0B3C3-419A-4C53-AD3A-4A28AC674FAE}">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43" authorId="0" shapeId="0" xr:uid="{D550B96F-B55A-4D96-B69F-89476DE739CB}">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43" authorId="0" shapeId="0" xr:uid="{89B5A9C4-BEC1-497A-8BEB-C8CAE01ABD82}">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43" authorId="0" shapeId="0" xr:uid="{D4821FF1-5BE9-4E30-B861-179EEE1662E0}">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43" authorId="0" shapeId="0" xr:uid="{E56CAE57-B90D-4A7C-ACAA-E1C5DACC27C4}">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43" authorId="0" shapeId="0" xr:uid="{6F9DE79B-F816-4DF9-A59D-0D6C225414D3}">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43" authorId="0" shapeId="0" xr:uid="{0ED21FD5-E6D7-4CD0-B629-3D8EAD1E220E}">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43" authorId="0" shapeId="0" xr:uid="{CA79DED8-CAB0-4349-AEDD-C0F8421179D7}">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43" authorId="0" shapeId="0" xr:uid="{B0BEC58D-BBC6-46F5-980F-BECEB347472D}">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43" authorId="1" shapeId="0" xr:uid="{C55B347D-0ABC-448A-8342-DB2AF0B4330E}">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45" authorId="1" shapeId="0" xr:uid="{BE2B53B7-DB9C-4B0B-BFC9-EC76184C49D0}">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45" authorId="1" shapeId="0" xr:uid="{1BD6239E-AF39-4E6F-B0A8-705133D55A9F}">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45" authorId="1" shapeId="0" xr:uid="{2CA40434-97C4-451B-8087-D1537009CF44}">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45" authorId="1" shapeId="0" xr:uid="{7139F6B2-D11E-4EB5-9492-99EA1A12106A}">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45" authorId="1" shapeId="0" xr:uid="{F02CC1D8-1A40-44AA-8173-3836437491C0}">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45" authorId="1" shapeId="0" xr:uid="{CC70C199-DA86-46D2-A7FA-140175C8AFC9}">
      <text>
        <r>
          <rPr>
            <b/>
            <sz val="9"/>
            <color indexed="81"/>
            <rFont val="Tahoma"/>
            <family val="2"/>
          </rPr>
          <t xml:space="preserve">Material
</t>
        </r>
        <r>
          <rPr>
            <sz val="9"/>
            <color indexed="81"/>
            <rFont val="Tahoma"/>
            <family val="2"/>
          </rPr>
          <t xml:space="preserve">MYL    MYLAR LABEL
MET    METAL LABEL
</t>
        </r>
      </text>
    </comment>
    <comment ref="AA45" authorId="1" shapeId="0" xr:uid="{F91CA71C-A688-4CC6-9997-96BFFDAE88AE}">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46" authorId="1" shapeId="0" xr:uid="{3C347740-1E9C-4C5E-BAFB-E66C22F550B9}">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47" authorId="1" shapeId="0" xr:uid="{DF52680D-E92C-4B20-ACFB-4B4F7F9DC319}">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48" authorId="1" shapeId="0" xr:uid="{57F2EA2C-7ADC-416E-B853-F9A90CBB9E82}">
      <text>
        <r>
          <rPr>
            <b/>
            <sz val="9"/>
            <color indexed="81"/>
            <rFont val="Tahoma"/>
            <family val="2"/>
          </rPr>
          <t xml:space="preserve">Lock - MANUFACTURER:
</t>
        </r>
        <r>
          <rPr>
            <sz val="9"/>
            <color indexed="81"/>
            <rFont val="Tahoma"/>
            <family val="2"/>
          </rPr>
          <t xml:space="preserve">Enter Lock Manufacturer
</t>
        </r>
      </text>
    </comment>
    <comment ref="S48" authorId="1" shapeId="0" xr:uid="{3FAB10D0-B6DC-4CD1-A20F-EA4B856D94E5}">
      <text>
        <r>
          <rPr>
            <b/>
            <sz val="9"/>
            <color indexed="81"/>
            <rFont val="Tahoma"/>
            <family val="2"/>
          </rPr>
          <t xml:space="preserve">2nd Deadlock:
</t>
        </r>
        <r>
          <rPr>
            <sz val="9"/>
            <color indexed="81"/>
            <rFont val="Tahoma"/>
            <family val="2"/>
          </rPr>
          <t xml:space="preserve">Mfg &amp; Device Number
</t>
        </r>
      </text>
    </comment>
    <comment ref="Y48" authorId="0" shapeId="0" xr:uid="{4CDB6583-BB14-46F9-9C22-9BC5C6A62908}">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49" authorId="1" shapeId="0" xr:uid="{A6241B0A-75B0-4DB9-8444-F096F4061533}">
      <text>
        <r>
          <rPr>
            <b/>
            <sz val="9"/>
            <color indexed="81"/>
            <rFont val="Tahoma"/>
            <family val="2"/>
          </rPr>
          <t xml:space="preserve">Lock - DEVICE:
</t>
        </r>
        <r>
          <rPr>
            <sz val="9"/>
            <color indexed="81"/>
            <rFont val="Tahoma"/>
            <family val="2"/>
          </rPr>
          <t xml:space="preserve">Enter Device Number
</t>
        </r>
      </text>
    </comment>
    <comment ref="M50" authorId="1" shapeId="0" xr:uid="{D10A1C3A-F4DD-4F6A-833D-ED0CEE0DC729}">
      <text>
        <r>
          <rPr>
            <b/>
            <sz val="9"/>
            <color indexed="81"/>
            <rFont val="Tahoma"/>
            <family val="2"/>
          </rPr>
          <t xml:space="preserve">Lock - TRIM:
</t>
        </r>
        <r>
          <rPr>
            <sz val="9"/>
            <color indexed="81"/>
            <rFont val="Tahoma"/>
            <family val="2"/>
          </rPr>
          <t xml:space="preserve">Enter Trim Code (or "NA" if not applicable)
</t>
        </r>
      </text>
    </comment>
    <comment ref="M51" authorId="1" shapeId="0" xr:uid="{DB465864-B5A8-4DC1-9631-DD4770DA0F53}">
      <text>
        <r>
          <rPr>
            <b/>
            <sz val="9"/>
            <color indexed="81"/>
            <rFont val="Tahoma"/>
            <family val="2"/>
          </rPr>
          <t xml:space="preserve">MULLION:
</t>
        </r>
        <r>
          <rPr>
            <sz val="9"/>
            <color indexed="81"/>
            <rFont val="Tahoma"/>
            <family val="2"/>
          </rPr>
          <t>Enter Mullion Type (or "NA" if not applicable)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Eric Hunt</author>
    <author>Hunt, Eric</author>
  </authors>
  <commentList>
    <comment ref="C4" authorId="0" shapeId="0" xr:uid="{864BF173-BB08-4345-91EE-9F2697284B9A}">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4" authorId="0" shapeId="0" xr:uid="{D9FACB06-C3F3-4BA4-9C3F-5E9F3CBB869B}">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4" authorId="0" shapeId="0" xr:uid="{70AD8590-7528-475F-9767-0FDEEAB0D394}">
      <text>
        <r>
          <rPr>
            <b/>
            <sz val="9"/>
            <color indexed="81"/>
            <rFont val="Tahoma"/>
            <family val="2"/>
          </rPr>
          <t xml:space="preserve">Material
</t>
        </r>
        <r>
          <rPr>
            <sz val="9"/>
            <color indexed="81"/>
            <rFont val="Tahoma"/>
            <family val="2"/>
          </rPr>
          <t xml:space="preserve">C    CRS (COLD ROLLED STEEL)
G    GALV (GALVANNEALED)
</t>
        </r>
      </text>
    </comment>
    <comment ref="F4" authorId="0" shapeId="0" xr:uid="{02721B1D-1212-4246-BDFA-2CA3A5D701C8}">
      <text>
        <r>
          <rPr>
            <b/>
            <sz val="9"/>
            <color indexed="81"/>
            <rFont val="Tahoma"/>
            <family val="2"/>
          </rPr>
          <t xml:space="preserve">Thickness
</t>
        </r>
        <r>
          <rPr>
            <sz val="9"/>
            <color indexed="81"/>
            <rFont val="Tahoma"/>
            <family val="2"/>
          </rPr>
          <t>1-3/4" THICK DOOR
1-3/8" THICK DOOR
SPL    DOOR THICKNESS (TO 2-1/2")
~ Left Blank = 1-3/4"</t>
        </r>
      </text>
    </comment>
    <comment ref="G4" authorId="0" shapeId="0" xr:uid="{E323DC18-1BE9-4287-94E0-A4E0E429F0F0}">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4" authorId="0" shapeId="0" xr:uid="{B0FEE976-F8D5-48F5-82E3-03D9450115CC}">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4" authorId="0" shapeId="0" xr:uid="{A69E2954-8AAD-44F3-B427-85BE2B6C9CD7}">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4" authorId="0" shapeId="0" xr:uid="{14DDDE55-E873-4337-926E-3A6358CE51BE}">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4" authorId="0" shapeId="0" xr:uid="{CE070939-E3F6-4A8B-B160-9513F16AA895}">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4" authorId="0" shapeId="0" xr:uid="{C6991D85-B3FE-4DF3-B397-7C7D3AC245B3}">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4" authorId="0" shapeId="0" xr:uid="{04D49212-D2F6-418C-9E64-3584D88276D0}">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4" authorId="0" shapeId="0" xr:uid="{D8B6BA60-D582-403E-B5C9-2F916796BC28}">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4" authorId="0" shapeId="0" xr:uid="{CFEAB24B-1916-4CDD-9FDB-5CFAE7FC19AD}">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4" authorId="0" shapeId="0" xr:uid="{9A1430CA-A1CA-4746-9268-018225EA4AC8}">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4" authorId="0" shapeId="0" xr:uid="{BF1ADD40-B40A-4056-A6AF-189A998E780C}">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4" authorId="0" shapeId="0" xr:uid="{B94FBD58-3970-4741-A4D3-E2666934AF1E}">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4" authorId="0" shapeId="0" xr:uid="{C0E0A696-E2B0-453C-B986-116D7205BBEE}">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4" authorId="0" shapeId="0" xr:uid="{A646FA86-CA00-4924-A4AC-41BE38470B03}">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4" authorId="0" shapeId="0" xr:uid="{4BDC5349-7A53-4CA4-ADBE-0868B792D8F1}">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4" authorId="0" shapeId="0" xr:uid="{1970FBD7-3C7D-431D-A598-98ACBA9830D1}">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4" authorId="1" shapeId="0" xr:uid="{DE825EBA-427B-4B17-B77E-33A0BBA9DD67}">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6" authorId="1" shapeId="0" xr:uid="{161FFAEB-E63F-4C45-B825-B6ACFF0C6557}">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6" authorId="1" shapeId="0" xr:uid="{E1944AC5-D5D6-4FD1-A544-3AA296592A13}">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6" authorId="1" shapeId="0" xr:uid="{38AD6D6E-A682-43CF-BDCA-E23AB51575C9}">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6" authorId="1" shapeId="0" xr:uid="{E53F50AB-67C1-49B4-BC0E-8EC99EC11C62}">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6" authorId="1" shapeId="0" xr:uid="{CD5FEFCB-C02B-42EF-91A7-BA1DB5BE476F}">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6" authorId="1" shapeId="0" xr:uid="{020A4D6F-DBD4-4028-B8D7-101E0A867EB3}">
      <text>
        <r>
          <rPr>
            <b/>
            <sz val="9"/>
            <color indexed="81"/>
            <rFont val="Tahoma"/>
            <family val="2"/>
          </rPr>
          <t xml:space="preserve">Material
</t>
        </r>
        <r>
          <rPr>
            <sz val="9"/>
            <color indexed="81"/>
            <rFont val="Tahoma"/>
            <family val="2"/>
          </rPr>
          <t xml:space="preserve">MYL    MYLAR LABEL
MET    METAL LABEL
</t>
        </r>
      </text>
    </comment>
    <comment ref="AA6" authorId="1" shapeId="0" xr:uid="{2AD53C3C-B465-4A4F-B203-1B9AA82F30B1}">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7" authorId="1" shapeId="0" xr:uid="{89ADFD8E-AD91-408E-AF00-3271F0E4E0BE}">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8" authorId="1" shapeId="0" xr:uid="{B0469633-C563-41F8-95DF-E0982E61D5BB}">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9" authorId="1" shapeId="0" xr:uid="{2BC67A2A-7CF8-4CBC-8E02-CE4FABE52169}">
      <text>
        <r>
          <rPr>
            <b/>
            <sz val="9"/>
            <color indexed="81"/>
            <rFont val="Tahoma"/>
            <family val="2"/>
          </rPr>
          <t xml:space="preserve">Lock - MANUFACTURER:
</t>
        </r>
        <r>
          <rPr>
            <sz val="9"/>
            <color indexed="81"/>
            <rFont val="Tahoma"/>
            <family val="2"/>
          </rPr>
          <t xml:space="preserve">Enter Lock Manufacturer
</t>
        </r>
      </text>
    </comment>
    <comment ref="S9" authorId="1" shapeId="0" xr:uid="{08A8A832-F4C7-4F2E-9D53-5A76E330907C}">
      <text>
        <r>
          <rPr>
            <b/>
            <sz val="9"/>
            <color indexed="81"/>
            <rFont val="Tahoma"/>
            <family val="2"/>
          </rPr>
          <t xml:space="preserve">2nd Deadlock:
</t>
        </r>
        <r>
          <rPr>
            <sz val="9"/>
            <color indexed="81"/>
            <rFont val="Tahoma"/>
            <family val="2"/>
          </rPr>
          <t xml:space="preserve">Mfg &amp; Device Number
</t>
        </r>
      </text>
    </comment>
    <comment ref="Y9" authorId="0" shapeId="0" xr:uid="{10AF87BB-99E3-4995-942A-4C1ED9223A80}">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10" authorId="1" shapeId="0" xr:uid="{0AA677F7-6A43-4F29-8D36-4D45EA19DB23}">
      <text>
        <r>
          <rPr>
            <b/>
            <sz val="9"/>
            <color indexed="81"/>
            <rFont val="Tahoma"/>
            <family val="2"/>
          </rPr>
          <t xml:space="preserve">Lock - DEVICE:
</t>
        </r>
        <r>
          <rPr>
            <sz val="9"/>
            <color indexed="81"/>
            <rFont val="Tahoma"/>
            <family val="2"/>
          </rPr>
          <t xml:space="preserve">Enter Device Number
</t>
        </r>
      </text>
    </comment>
    <comment ref="M11" authorId="1" shapeId="0" xr:uid="{A9E78986-39A8-46EA-81F2-BC17464729F8}">
      <text>
        <r>
          <rPr>
            <b/>
            <sz val="9"/>
            <color indexed="81"/>
            <rFont val="Tahoma"/>
            <family val="2"/>
          </rPr>
          <t xml:space="preserve">Lock - TRIM:
</t>
        </r>
        <r>
          <rPr>
            <sz val="9"/>
            <color indexed="81"/>
            <rFont val="Tahoma"/>
            <family val="2"/>
          </rPr>
          <t xml:space="preserve">Enter Trim Code (or "NA" if not applicable)
</t>
        </r>
      </text>
    </comment>
    <comment ref="M12" authorId="1" shapeId="0" xr:uid="{37CA0A7C-07F7-41F4-8FAC-734AC2368F9D}">
      <text>
        <r>
          <rPr>
            <b/>
            <sz val="9"/>
            <color indexed="81"/>
            <rFont val="Tahoma"/>
            <family val="2"/>
          </rPr>
          <t xml:space="preserve">MULLION:
</t>
        </r>
        <r>
          <rPr>
            <sz val="9"/>
            <color indexed="81"/>
            <rFont val="Tahoma"/>
            <family val="2"/>
          </rPr>
          <t>Enter Mullion Type (or "NA" if not applicable)</t>
        </r>
      </text>
    </comment>
    <comment ref="C13" authorId="0" shapeId="0" xr:uid="{7076FCB1-2F97-4615-A717-64B042A64488}">
      <text>
        <r>
          <rPr>
            <b/>
            <sz val="9"/>
            <color indexed="81"/>
            <rFont val="Tahoma"/>
            <family val="2"/>
          </rPr>
          <t>Series</t>
        </r>
        <r>
          <rPr>
            <u/>
            <sz val="9"/>
            <color indexed="81"/>
            <rFont val="Tahoma"/>
            <family val="2"/>
          </rPr>
          <t xml:space="preserve">
</t>
        </r>
        <r>
          <rPr>
            <b/>
            <u/>
            <sz val="9"/>
            <color indexed="81"/>
            <rFont val="Tahoma"/>
            <family val="2"/>
          </rPr>
          <t>&gt; HONEYCOMB CORE DOORS</t>
        </r>
        <r>
          <rPr>
            <b/>
            <sz val="9"/>
            <color indexed="81"/>
            <rFont val="Tahoma"/>
            <family val="2"/>
          </rPr>
          <t xml:space="preserve">
</t>
        </r>
        <r>
          <rPr>
            <sz val="9"/>
            <color indexed="81"/>
            <rFont val="Tahoma"/>
            <family val="2"/>
          </rPr>
          <t>H--    HONEYCOMB CORE FULL FLUSH
HF-   HONEYCOMB CORE DOOR SEAMLESS
CH-    HONEYCOMB CORE FULL WELD
EH-    EMBOSSED HONEYCOMB FULL FLUSH
EHF    EMBOSSED HONEYCOMB SEAMLESS</t>
        </r>
        <r>
          <rPr>
            <b/>
            <sz val="9"/>
            <color indexed="81"/>
            <rFont val="Tahoma"/>
            <family val="2"/>
          </rPr>
          <t xml:space="preserve">
</t>
        </r>
        <r>
          <rPr>
            <b/>
            <u/>
            <sz val="9"/>
            <color indexed="81"/>
            <rFont val="Tahoma"/>
            <family val="2"/>
          </rPr>
          <t>&gt; POLYSTYRENE CORE DOORS</t>
        </r>
        <r>
          <rPr>
            <b/>
            <sz val="9"/>
            <color indexed="81"/>
            <rFont val="Tahoma"/>
            <family val="2"/>
          </rPr>
          <t xml:space="preserve">
</t>
        </r>
        <r>
          <rPr>
            <sz val="9"/>
            <color indexed="81"/>
            <rFont val="Tahoma"/>
            <family val="2"/>
          </rPr>
          <t>HP-    POLYSTYRENE CORE FULL FLUSH
HPF    POLYSTYRENE CORE SEAMLESS
CHP-    POLYSTYRENE CORE FULL WELD
EP-    EMBOSSED POLYSTYRENE FULL FLUSH
EPF    EMBOSSED POLYSTYRENE SEAMLESS</t>
        </r>
        <r>
          <rPr>
            <b/>
            <sz val="9"/>
            <color indexed="81"/>
            <rFont val="Tahoma"/>
            <family val="2"/>
          </rPr>
          <t xml:space="preserve">
</t>
        </r>
        <r>
          <rPr>
            <b/>
            <u/>
            <sz val="9"/>
            <color indexed="81"/>
            <rFont val="Tahoma"/>
            <family val="2"/>
          </rPr>
          <t>&gt; STEEL STIFFENED DOORS</t>
        </r>
        <r>
          <rPr>
            <b/>
            <sz val="9"/>
            <color indexed="81"/>
            <rFont val="Tahoma"/>
            <family val="2"/>
          </rPr>
          <t xml:space="preserve">
</t>
        </r>
        <r>
          <rPr>
            <sz val="9"/>
            <color indexed="81"/>
            <rFont val="Tahoma"/>
            <family val="2"/>
          </rPr>
          <t>C--    STEEL STIFFENED SEAMLESS WE
LW-    STEEL STIFFENED FULL FLUSH
LWF    STEEL STIFFENED SEAMLESS</t>
        </r>
        <r>
          <rPr>
            <b/>
            <sz val="9"/>
            <color indexed="81"/>
            <rFont val="Tahoma"/>
            <family val="2"/>
          </rPr>
          <t xml:space="preserve">
</t>
        </r>
        <r>
          <rPr>
            <b/>
            <u/>
            <sz val="9"/>
            <color indexed="81"/>
            <rFont val="Tahoma"/>
            <family val="2"/>
          </rPr>
          <t>&gt; POLYURTHANE DOORS</t>
        </r>
        <r>
          <rPr>
            <b/>
            <sz val="9"/>
            <color indexed="81"/>
            <rFont val="Tahoma"/>
            <family val="2"/>
          </rPr>
          <t xml:space="preserve">
</t>
        </r>
        <r>
          <rPr>
            <sz val="9"/>
            <color indexed="81"/>
            <rFont val="Tahoma"/>
            <family val="2"/>
          </rPr>
          <t>HT-    URETHANE CORE FULL FLUSH
HTF    URETHANE CORE SEAMLESS
CHT    URETHANE CORE FULL WELD</t>
        </r>
        <r>
          <rPr>
            <b/>
            <sz val="9"/>
            <color indexed="81"/>
            <rFont val="Tahoma"/>
            <family val="2"/>
          </rPr>
          <t xml:space="preserve">
</t>
        </r>
        <r>
          <rPr>
            <b/>
            <u/>
            <sz val="9"/>
            <color indexed="81"/>
            <rFont val="Tahoma"/>
            <family val="2"/>
          </rPr>
          <t>&gt; TEMP RISE DOORS</t>
        </r>
        <r>
          <rPr>
            <b/>
            <sz val="9"/>
            <color indexed="81"/>
            <rFont val="Tahoma"/>
            <family val="2"/>
          </rPr>
          <t xml:space="preserve">
</t>
        </r>
        <r>
          <rPr>
            <sz val="9"/>
            <color indexed="81"/>
            <rFont val="Tahoma"/>
            <family val="2"/>
          </rPr>
          <t>HR-    TEMP RISE FULL FLUSH
HRF    TEMP RISE SEAMLESS
CHR    TEMP RISE FULL WELD</t>
        </r>
        <r>
          <rPr>
            <b/>
            <sz val="9"/>
            <color indexed="81"/>
            <rFont val="Tahoma"/>
            <family val="2"/>
          </rPr>
          <t xml:space="preserve">
</t>
        </r>
        <r>
          <rPr>
            <b/>
            <u/>
            <sz val="9"/>
            <color indexed="81"/>
            <rFont val="Tahoma"/>
            <family val="2"/>
          </rPr>
          <t>&gt; WINDSTORM DOORS</t>
        </r>
        <r>
          <rPr>
            <b/>
            <sz val="9"/>
            <color indexed="81"/>
            <rFont val="Tahoma"/>
            <family val="2"/>
          </rPr>
          <t xml:space="preserve">
</t>
        </r>
        <r>
          <rPr>
            <sz val="9"/>
            <color indexed="81"/>
            <rFont val="Tahoma"/>
            <family val="2"/>
          </rPr>
          <t>W70   PIOCANE POLY CORE FULL FLUSH +/-70
W50   PIOCANE POLY CORE FULL FLUSH +/-50
W70F   PIOCANE POLY CORE SEAMLESS +/-70
W50F   PIOCANE POLY CORE SEAMLESS +/-50</t>
        </r>
        <r>
          <rPr>
            <b/>
            <sz val="9"/>
            <color indexed="81"/>
            <rFont val="Tahoma"/>
            <family val="2"/>
          </rPr>
          <t xml:space="preserve">
</t>
        </r>
        <r>
          <rPr>
            <b/>
            <u/>
            <sz val="9"/>
            <color indexed="81"/>
            <rFont val="Tahoma"/>
            <family val="2"/>
          </rPr>
          <t>&gt; OTHER</t>
        </r>
        <r>
          <rPr>
            <b/>
            <sz val="9"/>
            <color indexed="81"/>
            <rFont val="Tahoma"/>
            <family val="2"/>
          </rPr>
          <t xml:space="preserve">
</t>
        </r>
        <r>
          <rPr>
            <sz val="9"/>
            <color indexed="81"/>
            <rFont val="Tahoma"/>
            <family val="2"/>
          </rPr>
          <t xml:space="preserve">STC    SOUND RATED DOOR **Note Rating.
SBR    BLAST DOOR (LOW PRESSURE)
LAMINATED TRANSOM or SIDELITE PANEL
C SERIES - FEMA 361 DOOR
</t>
        </r>
      </text>
    </comment>
    <comment ref="D13" authorId="0" shapeId="0" xr:uid="{E6C92AD7-AAC7-4A55-A35E-8227E3186F19}">
      <text>
        <r>
          <rPr>
            <b/>
            <sz val="9"/>
            <color indexed="81"/>
            <rFont val="Tahoma"/>
            <family val="2"/>
          </rPr>
          <t xml:space="preserve">Gauge 
</t>
        </r>
        <r>
          <rPr>
            <sz val="9"/>
            <color indexed="81"/>
            <rFont val="Tahoma"/>
            <family val="2"/>
          </rPr>
          <t>18    18 GA. CONSTRUCTION
16    16 GA. CONSTRUCTION
14    14 GA. CONSTRUCTION
12    12 GA. CONSTRUCTION</t>
        </r>
        <r>
          <rPr>
            <b/>
            <sz val="9"/>
            <color indexed="81"/>
            <rFont val="Tahoma"/>
            <family val="2"/>
          </rPr>
          <t xml:space="preserve">
</t>
        </r>
        <r>
          <rPr>
            <sz val="9"/>
            <color indexed="81"/>
            <rFont val="Tahoma"/>
            <family val="2"/>
          </rPr>
          <t xml:space="preserve">
</t>
        </r>
      </text>
    </comment>
    <comment ref="E13" authorId="0" shapeId="0" xr:uid="{8F64C218-F650-4CB2-977A-79CCE9E05A09}">
      <text>
        <r>
          <rPr>
            <b/>
            <sz val="9"/>
            <color indexed="81"/>
            <rFont val="Tahoma"/>
            <family val="2"/>
          </rPr>
          <t xml:space="preserve">Material
</t>
        </r>
        <r>
          <rPr>
            <sz val="9"/>
            <color indexed="81"/>
            <rFont val="Tahoma"/>
            <family val="2"/>
          </rPr>
          <t xml:space="preserve">C    CRS (COLD ROLLED STEEL)
G    GALV (GALVANNEALED)
</t>
        </r>
      </text>
    </comment>
    <comment ref="F13" authorId="0" shapeId="0" xr:uid="{5C5D6F39-0BEC-4F45-AC2C-4E200A6AC0A7}">
      <text>
        <r>
          <rPr>
            <b/>
            <sz val="9"/>
            <color indexed="81"/>
            <rFont val="Tahoma"/>
            <family val="2"/>
          </rPr>
          <t xml:space="preserve">Thickness
</t>
        </r>
        <r>
          <rPr>
            <sz val="9"/>
            <color indexed="81"/>
            <rFont val="Tahoma"/>
            <family val="2"/>
          </rPr>
          <t>1-3/4" THICK DOOR
1-3/8" THICK DOOR
SPL    DOOR THICKNESS (TO 2-1/2")
~ Left Blank = 1-3/4"</t>
        </r>
      </text>
    </comment>
    <comment ref="G13" authorId="0" shapeId="0" xr:uid="{E4C04E45-2E0A-4F06-BC71-770B1BC1BA52}">
      <text>
        <r>
          <rPr>
            <b/>
            <sz val="9"/>
            <color indexed="81"/>
            <rFont val="Tahoma"/>
            <family val="2"/>
          </rPr>
          <t xml:space="preserve">Activity
</t>
        </r>
        <r>
          <rPr>
            <sz val="9"/>
            <color indexed="81"/>
            <rFont val="Tahoma"/>
            <family val="2"/>
          </rPr>
          <t>A    ACTIVE DOOR
I    INACTIVE DOOR
Note: Single or Pair Selection is required with Active Door selection.</t>
        </r>
      </text>
    </comment>
    <comment ref="H13" authorId="0" shapeId="0" xr:uid="{C7B52FC6-59F6-48ED-8F4F-A710BC49713C}">
      <text>
        <r>
          <rPr>
            <b/>
            <sz val="9"/>
            <color indexed="81"/>
            <rFont val="Tahoma"/>
            <family val="2"/>
          </rPr>
          <t xml:space="preserve">Astragal
</t>
        </r>
        <r>
          <rPr>
            <sz val="9"/>
            <color indexed="81"/>
            <rFont val="Tahoma"/>
            <family val="2"/>
          </rPr>
          <t>N    NO ASTRAGAL</t>
        </r>
        <r>
          <rPr>
            <b/>
            <sz val="9"/>
            <color indexed="81"/>
            <rFont val="Tahoma"/>
            <family val="2"/>
          </rPr>
          <t xml:space="preserve">
</t>
        </r>
        <r>
          <rPr>
            <sz val="9"/>
            <color indexed="81"/>
            <rFont val="Tahoma"/>
            <family val="2"/>
          </rPr>
          <t xml:space="preserve">ZS    Z ASTRAGAL (SCREW APPLIED)
ZW    Z ASTRAGAL (WELDED ON)
ZL    Z ASTRAGAL (LOOSE)
FS    FLAT ASTRAGAL (SCREW APPLIED)
FW    FLAT ASTRAGAL (WELDED)
FL    FLAT ASTRAGAL (LOOSE)
ZO    Z ASTRAGAL (BY OTHERS)
~ Left Blank = No Astragal
</t>
        </r>
      </text>
    </comment>
    <comment ref="I13" authorId="0" shapeId="0" xr:uid="{10165BF5-F53B-4490-AD17-C8DCBFCBFDCF}">
      <text>
        <r>
          <rPr>
            <b/>
            <sz val="9"/>
            <color indexed="81"/>
            <rFont val="Tahoma"/>
            <family val="2"/>
          </rPr>
          <t xml:space="preserve">Elevation
</t>
        </r>
        <r>
          <rPr>
            <u/>
            <sz val="9"/>
            <color indexed="81"/>
            <rFont val="Tahoma"/>
            <family val="2"/>
          </rPr>
          <t>F-    FLUSH DOOR</t>
        </r>
        <r>
          <rPr>
            <sz val="9"/>
            <color indexed="81"/>
            <rFont val="Tahoma"/>
            <family val="2"/>
          </rPr>
          <t xml:space="preserve">
</t>
        </r>
        <r>
          <rPr>
            <u/>
            <sz val="9"/>
            <color indexed="81"/>
            <rFont val="Tahoma"/>
            <family val="2"/>
          </rPr>
          <t>V-    VISION DOOR</t>
        </r>
        <r>
          <rPr>
            <sz val="9"/>
            <color indexed="81"/>
            <rFont val="Tahoma"/>
            <family val="2"/>
          </rPr>
          <t xml:space="preserve">
G68    HALF GLASS 22x30
</t>
        </r>
        <r>
          <rPr>
            <u/>
            <sz val="9"/>
            <color indexed="81"/>
            <rFont val="Tahoma"/>
            <family val="2"/>
          </rPr>
          <t>G70    HALF GLASS 22x34</t>
        </r>
        <r>
          <rPr>
            <sz val="9"/>
            <color indexed="81"/>
            <rFont val="Tahoma"/>
            <family val="2"/>
          </rPr>
          <t xml:space="preserve">
N3    N 3x33 DOOR
N4    N 4x25 DOOR
</t>
        </r>
        <r>
          <rPr>
            <u/>
            <sz val="9"/>
            <color indexed="81"/>
            <rFont val="Tahoma"/>
            <family val="2"/>
          </rPr>
          <t>N5    N 5x20 DOOR</t>
        </r>
        <r>
          <rPr>
            <sz val="9"/>
            <color indexed="81"/>
            <rFont val="Tahoma"/>
            <family val="2"/>
          </rPr>
          <t xml:space="preserve">
NG68    N G 6x30
</t>
        </r>
        <r>
          <rPr>
            <u/>
            <sz val="9"/>
            <color indexed="81"/>
            <rFont val="Tahoma"/>
            <family val="2"/>
          </rPr>
          <t>NG70    N G 6x34</t>
        </r>
        <r>
          <rPr>
            <sz val="9"/>
            <color indexed="81"/>
            <rFont val="Tahoma"/>
            <family val="2"/>
          </rPr>
          <t xml:space="preserve">
L1    LOUVER 12x12
L2    LOUVER 24x12
</t>
        </r>
        <r>
          <rPr>
            <u/>
            <sz val="9"/>
            <color indexed="81"/>
            <rFont val="Tahoma"/>
            <family val="2"/>
          </rPr>
          <t>L3    LOUVE 24x24</t>
        </r>
        <r>
          <rPr>
            <sz val="9"/>
            <color indexed="81"/>
            <rFont val="Tahoma"/>
            <family val="2"/>
          </rPr>
          <t xml:space="preserve">
FG68    FULL GLASS
</t>
        </r>
        <r>
          <rPr>
            <u/>
            <sz val="9"/>
            <color indexed="81"/>
            <rFont val="Tahoma"/>
            <family val="2"/>
          </rPr>
          <t>FG70    FULL GLASS</t>
        </r>
        <r>
          <rPr>
            <sz val="9"/>
            <color indexed="81"/>
            <rFont val="Tahoma"/>
            <family val="2"/>
          </rPr>
          <t xml:space="preserve">
</t>
        </r>
        <r>
          <rPr>
            <i/>
            <sz val="9"/>
            <color indexed="81"/>
            <rFont val="Tahoma"/>
            <family val="2"/>
          </rPr>
          <t>SK    SPECIAL KIT</t>
        </r>
        <r>
          <rPr>
            <sz val="9"/>
            <color indexed="81"/>
            <rFont val="Tahoma"/>
            <family val="2"/>
          </rPr>
          <t xml:space="preserve">
6P    6 PANEL EMB
2P    2 PANEL EMB
1P    1 PANEL EMB
</t>
        </r>
        <r>
          <rPr>
            <u/>
            <sz val="9"/>
            <color indexed="81"/>
            <rFont val="Tahoma"/>
            <family val="2"/>
          </rPr>
          <t>4P    4 PANEL EMB</t>
        </r>
        <r>
          <rPr>
            <sz val="9"/>
            <color indexed="81"/>
            <rFont val="Tahoma"/>
            <family val="2"/>
          </rPr>
          <t xml:space="preserve">
2NG    2NG KITS EMB 
VE    VISION EMB
V2E    2 VISION EMB
NGE    NG OVER EMB
GE    HG OVER EMBOSS
TP    TRANSOM PANEL
Please Note "Type" Below for Cutout Only, or Special Kit. 
</t>
        </r>
      </text>
    </comment>
    <comment ref="J13" authorId="0" shapeId="0" xr:uid="{AA4B0E28-14B4-4B7A-A2D0-AAA63D9B4F72}">
      <text>
        <r>
          <rPr>
            <b/>
            <sz val="9"/>
            <color indexed="81"/>
            <rFont val="Tahoma"/>
            <family val="2"/>
          </rPr>
          <t xml:space="preserve">Width 
</t>
        </r>
        <r>
          <rPr>
            <sz val="9"/>
            <color indexed="81"/>
            <rFont val="Tahoma"/>
            <family val="2"/>
          </rPr>
          <t>20    2'0" NOMINAL WIDTH
24    2'4" NOMINAL WIDTH
26    2'6" NOMINAL WIDTH
28    2'8" NOMINAL WIDTH
210    2'10" NOMINAL WIDTH
30    3'0" NOMINAL WIDTH
34    3'4" NOMINAL WIDTH
36    3'6" NOMINAL WIDTH
38    3'8" NOMINAL WIDTH
310    3'10" NOMINAL WIDTH
40    4'0" NOMINAL WIDTH
SW    SPECIAL WIDTH</t>
        </r>
        <r>
          <rPr>
            <b/>
            <sz val="9"/>
            <color indexed="81"/>
            <rFont val="Tahoma"/>
            <family val="2"/>
          </rPr>
          <t xml:space="preserve">
</t>
        </r>
        <r>
          <rPr>
            <sz val="9"/>
            <color indexed="81"/>
            <rFont val="Tahoma"/>
            <family val="2"/>
          </rPr>
          <t xml:space="preserve">
Special Size Format (3'-5 1/2")</t>
        </r>
      </text>
    </comment>
    <comment ref="L13" authorId="0" shapeId="0" xr:uid="{712BA85D-497D-44B9-B05A-E4C52DB8EC73}">
      <text>
        <r>
          <rPr>
            <b/>
            <sz val="9"/>
            <color indexed="81"/>
            <rFont val="Tahoma"/>
            <family val="2"/>
          </rPr>
          <t xml:space="preserve">Height 
</t>
        </r>
        <r>
          <rPr>
            <sz val="9"/>
            <color indexed="81"/>
            <rFont val="Tahoma"/>
            <family val="2"/>
          </rPr>
          <t>68    6'8" NOMINAL HEIGHT
70    7'0" NOMINAL HEIGHT
72    7'2" NOMINAL HEIGHT
710    7'10" NOMINAL HEIGHT
80    8'0" NOMINAL HEIGHT
SH    SPECIAL HEIGHT</t>
        </r>
        <r>
          <rPr>
            <b/>
            <sz val="9"/>
            <color indexed="81"/>
            <rFont val="Tahoma"/>
            <family val="2"/>
          </rPr>
          <t xml:space="preserve">
</t>
        </r>
        <r>
          <rPr>
            <sz val="9"/>
            <color indexed="81"/>
            <rFont val="Tahoma"/>
            <family val="2"/>
          </rPr>
          <t xml:space="preserve">Special Size Format (3'-5 1/2")
</t>
        </r>
      </text>
    </comment>
    <comment ref="N13" authorId="0" shapeId="0" xr:uid="{4B19FB70-EEFB-4DBE-9379-4E4124A25CF1}">
      <text>
        <r>
          <rPr>
            <b/>
            <sz val="9"/>
            <color indexed="81"/>
            <rFont val="Tahoma"/>
            <family val="2"/>
          </rPr>
          <t xml:space="preserve">Undercut 
</t>
        </r>
        <r>
          <rPr>
            <sz val="9"/>
            <color indexed="81"/>
            <rFont val="Tahoma"/>
            <family val="2"/>
          </rPr>
          <t xml:space="preserve">5/8    5/8" UNDERCUT
3/8    3/8" UNDERCUT
3/4    3/4" UNDERCUT
SPL - Special Undercut*
Enter in Box Provided
</t>
        </r>
      </text>
    </comment>
    <comment ref="O13" authorId="0" shapeId="0" xr:uid="{F910D0C2-0BA6-4CB8-B897-36C32D0CD772}">
      <text>
        <r>
          <rPr>
            <b/>
            <u/>
            <sz val="9"/>
            <color indexed="81"/>
            <rFont val="Tahoma"/>
            <family val="2"/>
          </rPr>
          <t xml:space="preserve">&gt; Locks - Single Point      </t>
        </r>
        <r>
          <rPr>
            <b/>
            <sz val="9"/>
            <color indexed="81"/>
            <rFont val="Tahoma"/>
            <family val="2"/>
          </rPr>
          <t xml:space="preserve">     </t>
        </r>
        <r>
          <rPr>
            <sz val="9"/>
            <color indexed="81"/>
            <rFont val="Tahoma"/>
            <family val="2"/>
          </rPr>
          <t xml:space="preserve">                                                </t>
        </r>
        <r>
          <rPr>
            <b/>
            <sz val="9"/>
            <color indexed="81"/>
            <rFont val="Tahoma"/>
            <family val="2"/>
          </rPr>
          <t xml:space="preserve">    </t>
        </r>
        <r>
          <rPr>
            <b/>
            <u/>
            <sz val="9"/>
            <color indexed="81"/>
            <rFont val="Tahoma"/>
            <family val="2"/>
          </rPr>
          <t>&gt; Strikes for Inactive Doors</t>
        </r>
        <r>
          <rPr>
            <sz val="9"/>
            <color indexed="81"/>
            <rFont val="Tahoma"/>
            <family val="2"/>
          </rPr>
          <t xml:space="preserve">
NOLP    NO LOCK PREP OR REINF (BLANK)                            478-    4-7/8" STANDARD (LIPPED) STRIKE
MP--    MORTISED LOCK - BLANK PANEL                                478N   4-7/8" STANDARD (NO LIPPED) STRIKE
MST-    MORTISED LOCK SECTIONAL TRIM                            234-    2-3/4" STANDARD (LIPPED) STRIKE
CYL-    CYLINDRICAL LOCK                                                     234N    2-3/4" STANDARD (NO LIPPED) STRIKE
CBF-    CYLINDRICAL LOCK EDGE / BLANK FACE                   NO--    NO STRIKE PREP
CBE-    CYLINDRICAL LOCK HOLE / BLANK EDGE                  ESTK    ELECTRIC STRIKE PREP
T---    UNIVERSAL LEVER LOCK PREP / TURTLE                    EMDL     EMERGENCY RELEASE / DBL LIPPED 
L---    CYLINDRICAL WITH THRU BOLTS(LEVER,CTB)           OBS    OPENBACK STRIKE PREPARATION
CRLP    CARD READER LOCK PREP                                       RSTK    RIM STRIKE REINF 
</t>
        </r>
        <r>
          <rPr>
            <b/>
            <u/>
            <sz val="9"/>
            <color indexed="81"/>
            <rFont val="Tahoma"/>
            <family val="2"/>
          </rPr>
          <t xml:space="preserve">&gt; Exit Devices - Reinforce Only   </t>
        </r>
        <r>
          <rPr>
            <b/>
            <sz val="9"/>
            <color indexed="81"/>
            <rFont val="Tahoma"/>
            <family val="2"/>
          </rPr>
          <t xml:space="preserve">    </t>
        </r>
        <r>
          <rPr>
            <sz val="9"/>
            <color indexed="81"/>
            <rFont val="Tahoma"/>
            <family val="2"/>
          </rPr>
          <t xml:space="preserve">                               SPL    SPECIAL STRIKE
RP--    RIM PANIC REINF ONLY [#104]                                   </t>
        </r>
        <r>
          <rPr>
            <b/>
            <u/>
            <sz val="9"/>
            <color indexed="81"/>
            <rFont val="Tahoma"/>
            <family val="2"/>
          </rPr>
          <t xml:space="preserve">  &gt; Other Lock Preparations</t>
        </r>
        <r>
          <rPr>
            <sz val="9"/>
            <color indexed="81"/>
            <rFont val="Tahoma"/>
            <family val="2"/>
          </rPr>
          <t xml:space="preserve">
SVR    SURF VERT ROD REINF ONLY [#105]AP                    90U-    GOV'T 90 UNIT LOCK PREP
RBA    REINFORCE BLANK ACTIVE [#105]A                         PADL    PADLOCK REINFORCEMENT
RBI    REINFORCE BLANK INACTIVE [#105]I                       SPKL    SECURITY POCK LOCK
VRNP    GENERIC VERT ROD (NO FACE PREP)                     3PTL    3 POINT LOCK 
MPAN    MORTISED PANIC DEVICE REINF [#104]                ICL2    INTERCONNECTED CYLINDRICAL LOCKS (2xCYL)
RMP-:MULTI (WORKS W/ M,SVR, OR RP) [#105]                 ICS2    INTERCONNECTED STRIKES (2x2-3/4")
PP--    PUSH PULL  REINFORCE ONLY [#106]                  </t>
        </r>
        <r>
          <rPr>
            <b/>
            <sz val="9"/>
            <color indexed="81"/>
            <rFont val="Tahoma"/>
            <family val="2"/>
          </rPr>
          <t xml:space="preserve"> </t>
        </r>
        <r>
          <rPr>
            <b/>
            <u/>
            <sz val="9"/>
            <color indexed="81"/>
            <rFont val="Tahoma"/>
            <family val="2"/>
          </rPr>
          <t xml:space="preserve">  &gt; FEMA Specific</t>
        </r>
        <r>
          <rPr>
            <sz val="9"/>
            <color indexed="81"/>
            <rFont val="Tahoma"/>
            <family val="2"/>
          </rPr>
          <t xml:space="preserve">
FP--    FLUSH PULL  PREPARATION                                      MST1    FEMA - MORTISED SECTIONAL TRIM FOR PDQ
</t>
        </r>
        <r>
          <rPr>
            <b/>
            <u/>
            <sz val="9"/>
            <color indexed="81"/>
            <rFont val="Tahoma"/>
            <family val="2"/>
          </rPr>
          <t xml:space="preserve">&gt; Exit Devices - Device Specific Prep   </t>
        </r>
        <r>
          <rPr>
            <sz val="9"/>
            <color indexed="81"/>
            <rFont val="Tahoma"/>
            <family val="2"/>
          </rPr>
          <t xml:space="preserve">                      SVR2    FEMA - SVR SECURITECH 5311-F13-IHD-HVL
RPP-    RIM PANIC - PREP FOR DEVICE [#104]                  SVR3    FEMA - SVR SECURITECH 8VT45-G1-SBD
SVRP    SURF VERT ROD - PREP FOR DEVICE [#105]         CVR3    FEMA - CVR SECURITECH 8VT45-G1-IHD
CVR-    CONC VERT ROD - PREP FOR DEVICE [#105]        SVR4    FEMA - SVR VON DUPRIN WS 9927(SINGLE DOOR)
DTRP    DUMMY TRIM MNTG HOLES [#104]                        SVR5    FEMA - SVR VON DUPRIN WS 9927(ACTIVE IN PAIR)
MPNP    MORTISED PANIC - PREP FOR DEVICE [#104]      SPL    SPECIAL LOCK
RED-    RECESSED EXIT DEVICE [#105] </t>
        </r>
        <r>
          <rPr>
            <b/>
            <sz val="9"/>
            <color indexed="81"/>
            <rFont val="Tahoma"/>
            <family val="2"/>
          </rPr>
          <t xml:space="preserve">
</t>
        </r>
      </text>
    </comment>
    <comment ref="P13" authorId="0" shapeId="0" xr:uid="{9CF89BDC-E18B-46F6-807D-BE8C9B0895D4}">
      <text>
        <r>
          <rPr>
            <b/>
            <sz val="9"/>
            <color indexed="81"/>
            <rFont val="Tahoma"/>
            <family val="2"/>
          </rPr>
          <t xml:space="preserve">Location 
</t>
        </r>
        <r>
          <rPr>
            <sz val="9"/>
            <color indexed="81"/>
            <rFont val="Tahoma"/>
            <family val="2"/>
          </rPr>
          <t>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t>
        </r>
        <r>
          <rPr>
            <b/>
            <sz val="9"/>
            <color indexed="81"/>
            <rFont val="Tahoma"/>
            <family val="2"/>
          </rPr>
          <t>* Define Below</t>
        </r>
        <r>
          <rPr>
            <sz val="9"/>
            <color indexed="81"/>
            <rFont val="Tahoma"/>
            <family val="2"/>
          </rPr>
          <t xml:space="preserve">
---    DEVICE SPECIFIC LOCATION(STD PER MFG)
FEN    FENESTRA LOCATION
</t>
        </r>
      </text>
    </comment>
    <comment ref="Q13" authorId="0" shapeId="0" xr:uid="{6274EE04-D45F-4B73-8C49-573563F8AC67}">
      <text>
        <r>
          <rPr>
            <b/>
            <sz val="9"/>
            <color indexed="81"/>
            <rFont val="Tahoma"/>
            <family val="2"/>
          </rPr>
          <t xml:space="preserve">Secondary Lock
</t>
        </r>
        <r>
          <rPr>
            <sz val="9"/>
            <color indexed="81"/>
            <rFont val="Tahoma"/>
            <family val="2"/>
          </rPr>
          <t xml:space="preserve">NONE    NO SECONDARY LOCK or STRIKE
CDL    DEADLOCK (CYLINDRICAL)
SPL    SPL DEADLOCK 
478N    4-7/8" STANDARD (NO LIPPED)
234N    2-3/4" STANDARD (NO LIPPED) 
478    4-7/8" STANDARD (LIPPED) STRIKE 
234    2-3/4" STANDARD (LIPPED) STRIKE 
MDL    DEADLOCK(MORTISED)
MED3    FEMA - 3 x MEDECO DEADLOCKS
C160    CYL DEADLOCK WITH 1" EDGE
SPL-    SPL DEADLOCK STRIKE
350N    3-1/2" DEADLOCK STRIKE
RSTK    RIM STRIKE REINF 
OBS    OPENBACK STRIKE PREPARATION
</t>
        </r>
        <r>
          <rPr>
            <b/>
            <sz val="9"/>
            <color indexed="81"/>
            <rFont val="Tahoma"/>
            <family val="2"/>
          </rPr>
          <t xml:space="preserve">
* Define the location on ALL secondary lock/strike preps below.</t>
        </r>
        <r>
          <rPr>
            <sz val="9"/>
            <color indexed="81"/>
            <rFont val="Tahoma"/>
            <family val="2"/>
          </rPr>
          <t xml:space="preserve">
</t>
        </r>
      </text>
    </comment>
    <comment ref="R13" authorId="0" shapeId="0" xr:uid="{651DCAA3-FC9C-4EDF-90FC-FBE6DD70A8FD}">
      <text>
        <r>
          <rPr>
            <b/>
            <sz val="9"/>
            <color indexed="81"/>
            <rFont val="Tahoma"/>
            <family val="2"/>
          </rPr>
          <t xml:space="preserve">Handing
</t>
        </r>
        <r>
          <rPr>
            <sz val="9"/>
            <color indexed="81"/>
            <rFont val="Tahoma"/>
            <family val="2"/>
          </rPr>
          <t xml:space="preserve">RH    RIGHT HAND
RHR    RIGHT HAND REVERSE
LH    LEFT HAND
LHR    LEFT HAND REVERSE
NH    NON HANDED / REVERSIBLE
DA    DOUBLE ACTING / CENTER-HUNG
</t>
        </r>
      </text>
    </comment>
    <comment ref="S13" authorId="0" shapeId="0" xr:uid="{048E90CB-17ED-4358-8DCC-96DFD75FED2D}">
      <text>
        <r>
          <rPr>
            <b/>
            <sz val="9"/>
            <color indexed="81"/>
            <rFont val="Tahoma"/>
            <family val="2"/>
          </rPr>
          <t xml:space="preserve">Label
</t>
        </r>
        <r>
          <rPr>
            <sz val="9"/>
            <color indexed="81"/>
            <rFont val="Tahoma"/>
            <family val="2"/>
          </rPr>
          <t>NO LABEL REQUIRED(N)
LABEL REDUIRED(L)</t>
        </r>
        <r>
          <rPr>
            <b/>
            <sz val="9"/>
            <color indexed="81"/>
            <rFont val="Tahoma"/>
            <family val="2"/>
          </rPr>
          <t xml:space="preserve">
Specific Label Options (Below):
</t>
        </r>
        <r>
          <rPr>
            <b/>
            <u/>
            <sz val="9"/>
            <color indexed="81"/>
            <rFont val="Tahoma"/>
            <family val="2"/>
          </rPr>
          <t>Agency</t>
        </r>
        <r>
          <rPr>
            <b/>
            <sz val="9"/>
            <color indexed="81"/>
            <rFont val="Tahoma"/>
            <family val="2"/>
          </rPr>
          <t xml:space="preserve">
</t>
        </r>
        <r>
          <rPr>
            <sz val="9"/>
            <color indexed="81"/>
            <rFont val="Tahoma"/>
            <family val="2"/>
          </rPr>
          <t xml:space="preserve">WH    (WHI) WARNOCK HERSEY - INTERTEK
UL    (UL) UNDERWRITERS LABORATORIES
LC    LABELED CONSTRUCTION
</t>
        </r>
        <r>
          <rPr>
            <b/>
            <u/>
            <sz val="9"/>
            <color indexed="81"/>
            <rFont val="Tahoma"/>
            <family val="2"/>
          </rPr>
          <t>Rating</t>
        </r>
        <r>
          <rPr>
            <sz val="9"/>
            <color indexed="81"/>
            <rFont val="Tahoma"/>
            <family val="2"/>
          </rPr>
          <t xml:space="preserve">
A    A LABEL / 3HR RATING
B    B LABEL / 1.5HR RATING
C    C LABEL / 45MIN (3/4HR)
20    20 MINUTE
TR    TEMP RISE
</t>
        </r>
        <r>
          <rPr>
            <b/>
            <u/>
            <sz val="9"/>
            <color indexed="81"/>
            <rFont val="Tahoma"/>
            <family val="2"/>
          </rPr>
          <t>Material</t>
        </r>
        <r>
          <rPr>
            <sz val="9"/>
            <color indexed="81"/>
            <rFont val="Tahoma"/>
            <family val="2"/>
          </rPr>
          <t xml:space="preserve">
MYL    MYLAR LABEL
MET    METAL LABEL
EMB    EMBOSSED LABEL
</t>
        </r>
      </text>
    </comment>
    <comment ref="T13" authorId="0" shapeId="0" xr:uid="{3AFAE318-6D31-4637-AD21-9A0FC26DB434}">
      <text>
        <r>
          <rPr>
            <b/>
            <sz val="9"/>
            <color indexed="81"/>
            <rFont val="Tahoma"/>
            <family val="2"/>
          </rPr>
          <t xml:space="preserve">Top and/or Bottom Capping
</t>
        </r>
        <r>
          <rPr>
            <sz val="9"/>
            <color indexed="81"/>
            <rFont val="Tahoma"/>
            <family val="2"/>
          </rPr>
          <t>STS    STEEL TOP CAP SCREWED ON
STW    STEEL TOP CAP TACK WELDED ON
STF    STEEL TOP WELDED ON AND FILLED
STBS    STEEL TOP AND BOTTOM CAP SCREWED ON
STBW    STEEL TOP AND BOTTOM CAP TACK WELDED ON
STBF    STEEL TOP AND BOTTOM WELDED ON AND FILLED
VIN    VINYL TOP CAP
NOCAP    NO CAP NEEDED
SBS    STEEL BOTTOM CAP SCREWED ON
SBW    STEEL BOTTOM CAP TACK WELDED ON
SBF    STEEL BOTTOM WELDED ON AND FILLED</t>
        </r>
      </text>
    </comment>
    <comment ref="V13" authorId="0" shapeId="0" xr:uid="{1930CADD-6B2D-4BD5-A5C2-3452D825B30A}">
      <text>
        <r>
          <rPr>
            <b/>
            <sz val="9"/>
            <color indexed="81"/>
            <rFont val="Tahoma"/>
            <family val="2"/>
          </rPr>
          <t xml:space="preserve">Hinge Type
</t>
        </r>
        <r>
          <rPr>
            <sz val="9"/>
            <color indexed="81"/>
            <rFont val="Tahoma"/>
            <family val="2"/>
          </rPr>
          <t xml:space="preserve">450--    4-1/2" HINGE REG WT
500--    5" HINGE REG WT.
450HW    4-1/2" HEAVY DUTY WT HINGE
500HW    5" HEAVY DUTY WT HINGE
CONH-    CONT HINGE W/ STRIP
PIVOT    SINGLE OR DBL ACTING PIVOT HINGE
NOHNG    NO HINGE PREP
POCKT    POCKET TYPE PIVOT HINGE
ANCHR    ANCHOR HINGE PREP
L5THG    NONSTD TEMPLATE HG &lt; 5"
DM67H    DBL MORTISED 6" OR 7" TEMPLATE HINGE
RNDCH    ROUND CORNER HINGE 
SASPH    SINGLE ACTING SPRING HINGE (NON TEMP)
DASPH    DBL ACTING SPRING HINGE (NON TEMP)
SOSSH    SOSS INVISIBLE HINGE PREP 
CONN-    CONT HINGE NO REINF.
350--    3-1/2" TEMPLATE HINGE
400--    4" TEMPLATE HINGE
</t>
        </r>
      </text>
    </comment>
    <comment ref="X13" authorId="0" shapeId="0" xr:uid="{FDD03BAF-BBF3-4988-B0B3-F3221B5C4991}">
      <text>
        <r>
          <rPr>
            <b/>
            <sz val="9"/>
            <color indexed="81"/>
            <rFont val="Tahoma"/>
            <family val="2"/>
          </rPr>
          <t xml:space="preserve">Hinge Location
</t>
        </r>
        <r>
          <rPr>
            <sz val="9"/>
            <color indexed="81"/>
            <rFont val="Tahoma"/>
            <family val="2"/>
          </rPr>
          <t xml:space="preserve">PIO    PIONEER LOCATION
S--    S TYPE LOCATION
AMW    AMWELD LOCATION
CEC    CECO LOCATION
COP    COPCO LOCATION
CUR    CURRIES LOCATION
DEA    DEANSTEEL LOCATION
KEW    KEWANEE LOCATION
MES    MESKER LOCATION
R05    REPUBLIC 2005 LOCATIONS
R14    REPUBLIC 2014 LOCATIONS
R15    REPUBLIC 2015 LOCATIONS
STE    STEEL CRAFT LOCATION
SPL    SPL LOCATIONS  (TOP TO TOP)
---    DEVICE SPECIFIC LOCATION(STD PER MFG)
FEN    FENESTRA LOCATION
</t>
        </r>
      </text>
    </comment>
    <comment ref="Y13" authorId="0" shapeId="0" xr:uid="{F8315757-B94F-475E-BD6D-E2048C2CFAF0}">
      <text>
        <r>
          <rPr>
            <b/>
            <sz val="9"/>
            <color indexed="81"/>
            <rFont val="Tahoma"/>
            <family val="2"/>
          </rPr>
          <t xml:space="preserve">Closer
</t>
        </r>
        <r>
          <rPr>
            <sz val="9"/>
            <color indexed="81"/>
            <rFont val="Tahoma"/>
            <family val="2"/>
          </rPr>
          <t>STD    REGULAR ARM CLOSER REINF [#101]
PAC    REGULAR or PARALLEL ARM CLOSER REINF [#103]
SOH    SURFACE OVERHEAD HOLDER /STOP [#102]
MOH    MORTISED OVERHEAD HOLDER /STOP
COC    CONCEALED OVERHEAD CLOSER
SCC    SMOK CHECK TYPE CLOSER REINF [#103]
NCL    NO CLOSER REINF NEEDED</t>
        </r>
      </text>
    </comment>
    <comment ref="Z13" authorId="0" shapeId="0" xr:uid="{8CB9DD22-E017-41E7-AE53-A75E3973C34D}">
      <text>
        <r>
          <rPr>
            <b/>
            <sz val="9"/>
            <color indexed="81"/>
            <rFont val="Tahoma"/>
            <family val="2"/>
          </rPr>
          <t xml:space="preserve">Bolt or VReinf
</t>
        </r>
        <r>
          <rPr>
            <sz val="9"/>
            <color indexed="81"/>
            <rFont val="Tahoma"/>
            <family val="2"/>
          </rPr>
          <t xml:space="preserve">NOFB    NO FLUSH BOLT NEEDED
FB    FLUSH BOLT PREP ANSI 115.4
AFB    AUTO FB PREP ANSI 115.4 (12"TOP)
AFSP    AUTO FB AT SPECIAL LOCATION
SBR    SURFACE BOLT REINFORCE [#107]
VR    VERTICAL ROD STRIKE (TRANSOM PANELS)
SLB    FEMA - SLIDE BOLT REINF (3/4x12)
ELECTRO-MAGNETIC HOLD REINF (WS)
AFBT    AUTO FB TOP ONLY (ANSI/12")
FBT    FB TOP ONLY (ANSI)
</t>
        </r>
      </text>
    </comment>
    <comment ref="AA13" authorId="1" shapeId="0" xr:uid="{880510AF-6581-4DD3-8629-F9D1B6C9190E}">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I15" authorId="1" shapeId="0" xr:uid="{92AAD93A-D155-45D7-9DE9-B78FDDD26AEE}">
      <text>
        <r>
          <rPr>
            <b/>
            <sz val="9"/>
            <color indexed="81"/>
            <rFont val="Tahoma"/>
            <family val="2"/>
          </rPr>
          <t xml:space="preserve">Elevation Type:
Cutout Only
</t>
        </r>
        <r>
          <rPr>
            <sz val="9"/>
            <color indexed="81"/>
            <rFont val="Tahoma"/>
            <family val="2"/>
          </rPr>
          <t>(P) - Core in Place
(B) - Cutout &amp; Reinforce</t>
        </r>
        <r>
          <rPr>
            <b/>
            <sz val="9"/>
            <color indexed="81"/>
            <rFont val="Tahoma"/>
            <family val="2"/>
          </rPr>
          <t xml:space="preserve">
With Kit</t>
        </r>
        <r>
          <rPr>
            <sz val="9"/>
            <color indexed="81"/>
            <rFont val="Tahoma"/>
            <family val="2"/>
          </rPr>
          <t xml:space="preserve">
(K) - Standard Kit
(M) - Fush Moulding
* - Other Kit Type / Please Note Specifics</t>
        </r>
      </text>
    </comment>
    <comment ref="O15" authorId="1" shapeId="0" xr:uid="{D93D6A1D-4CA2-4420-955D-33CB9E1266CA}">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Q15" authorId="1" shapeId="0" xr:uid="{178A8A75-24C3-4ABE-8263-70E7ED41031D}">
      <text>
        <r>
          <rPr>
            <b/>
            <sz val="9"/>
            <color indexed="81"/>
            <rFont val="Tahoma"/>
            <family val="2"/>
          </rPr>
          <t xml:space="preserve">Location
Enter in Fractional Inches
</t>
        </r>
        <r>
          <rPr>
            <sz val="9"/>
            <color indexed="81"/>
            <rFont val="Tahoma"/>
            <family val="2"/>
          </rPr>
          <t>(Example: 40 5/16)</t>
        </r>
        <r>
          <rPr>
            <b/>
            <sz val="9"/>
            <color indexed="81"/>
            <rFont val="Tahoma"/>
            <family val="2"/>
          </rPr>
          <t xml:space="preserve">
Dim Type (Below)
</t>
        </r>
        <r>
          <rPr>
            <sz val="9"/>
            <color indexed="81"/>
            <rFont val="Tahoma"/>
            <family val="2"/>
          </rPr>
          <t xml:space="preserve">TtoT    Top of Door to Top of Hardware (SPL)
TtoC    Top of Door to Centerline of Hardware (SPLT)
BtoC    Botom of Door to Centerline of Hardware (SPLB)
AffC    Above Finished Floor to Centerline of Hardware (SPLA)
</t>
        </r>
      </text>
    </comment>
    <comment ref="S15" authorId="1" shapeId="0" xr:uid="{FAE0BB2E-17E7-43E0-BC12-8DA0E9C3CD2C}">
      <text>
        <r>
          <rPr>
            <b/>
            <sz val="9"/>
            <color indexed="81"/>
            <rFont val="Tahoma"/>
            <family val="2"/>
          </rPr>
          <t xml:space="preserve">Agency
</t>
        </r>
        <r>
          <rPr>
            <sz val="9"/>
            <color indexed="81"/>
            <rFont val="Tahoma"/>
            <family val="2"/>
          </rPr>
          <t>WH    (WHI) WARNOCK HERSEY - INTERTEK
UL    (UL) UNDERWRITERS LABORATORIES
LC    LABELED CONSTRUCTION</t>
        </r>
        <r>
          <rPr>
            <b/>
            <sz val="9"/>
            <color indexed="81"/>
            <rFont val="Tahoma"/>
            <family val="2"/>
          </rPr>
          <t xml:space="preserve">
</t>
        </r>
        <r>
          <rPr>
            <sz val="9"/>
            <color indexed="81"/>
            <rFont val="Tahoma"/>
            <family val="2"/>
          </rPr>
          <t xml:space="preserve">
</t>
        </r>
      </text>
    </comment>
    <comment ref="T15" authorId="1" shapeId="0" xr:uid="{F5C822F2-3BDC-4769-90C8-2D8C1194836E}">
      <text>
        <r>
          <rPr>
            <b/>
            <sz val="9"/>
            <color indexed="81"/>
            <rFont val="Tahoma"/>
            <family val="2"/>
          </rPr>
          <t xml:space="preserve">Rating
</t>
        </r>
        <r>
          <rPr>
            <sz val="9"/>
            <color indexed="81"/>
            <rFont val="Tahoma"/>
            <family val="2"/>
          </rPr>
          <t>A    A LABEL / 3HR RATING
B    B LABEL / 1.5HR RATING
C    C LABEL / 45MIN (3/4HR)
20    20 MINUTE
TR    TEMP RISE</t>
        </r>
        <r>
          <rPr>
            <b/>
            <sz val="9"/>
            <color indexed="81"/>
            <rFont val="Tahoma"/>
            <family val="2"/>
          </rPr>
          <t xml:space="preserve">
</t>
        </r>
      </text>
    </comment>
    <comment ref="U15" authorId="1" shapeId="0" xr:uid="{2DA67183-209B-4B0E-84BF-09CF2E1667F3}">
      <text>
        <r>
          <rPr>
            <b/>
            <sz val="9"/>
            <color indexed="81"/>
            <rFont val="Tahoma"/>
            <family val="2"/>
          </rPr>
          <t xml:space="preserve">Material
</t>
        </r>
        <r>
          <rPr>
            <sz val="9"/>
            <color indexed="81"/>
            <rFont val="Tahoma"/>
            <family val="2"/>
          </rPr>
          <t xml:space="preserve">MYL    MYLAR LABEL
MET    METAL LABEL
</t>
        </r>
      </text>
    </comment>
    <comment ref="AA15" authorId="1" shapeId="0" xr:uid="{4A4FA180-00AC-4BEB-A4FD-6AF9EAD0B238}">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A16" authorId="1" shapeId="0" xr:uid="{EA713668-8D4C-4AA9-BE10-6F28905C096E}">
      <text>
        <r>
          <rPr>
            <b/>
            <sz val="9"/>
            <color indexed="81"/>
            <rFont val="Tahoma"/>
            <family val="2"/>
          </rPr>
          <t xml:space="preserve">Single / Pair
</t>
        </r>
        <r>
          <rPr>
            <sz val="9"/>
            <color indexed="81"/>
            <rFont val="Tahoma"/>
            <family val="2"/>
          </rPr>
          <t>SNGL - Single Door Leaf (Single Opening)
PAIR - Active or Inactive Leaf in Pair (Pair Opening)
DBLE - Active Leaf in Double Egress Pair (Pair Opening)</t>
        </r>
        <r>
          <rPr>
            <sz val="9"/>
            <color indexed="81"/>
            <rFont val="Tahoma"/>
            <family val="2"/>
          </rPr>
          <t xml:space="preserve">
</t>
        </r>
        <r>
          <rPr>
            <i/>
            <sz val="9"/>
            <color indexed="81"/>
            <rFont val="Tahoma"/>
            <family val="2"/>
          </rPr>
          <t>This information is needed to determine net door width size.</t>
        </r>
      </text>
    </comment>
    <comment ref="AA17" authorId="1" shapeId="0" xr:uid="{AA705409-0D36-4935-AE82-D3F0C4C6BB56}">
      <text>
        <r>
          <rPr>
            <b/>
            <sz val="9"/>
            <color indexed="81"/>
            <rFont val="Tahoma"/>
            <family val="2"/>
          </rPr>
          <t xml:space="preserve">DTCH:DUTCH DOOR (Not Labeled)
DTCH:DUTCH DOOR with (UL) Label
DTS:Dutch Door Shelf - Snap on
DTS(W):Dutch Door Shelf - Welded on
DTS2:Dutch Shelf Projected Two Sides 
DTSPL:Up to 10" Shelf
MNO:Mono Rail Cutout (Per Leaf) -Gasket not included
LLD:Lead Lined (1/16" Thk Lead)
LLA:Lead Lined Flat Astragal - Installed
ELH:Electric / Security Hinge Prep
HFH:High Frequency Hinge Reinf.
IPV:Intermediate Pivot Hinge
ELH:Elec /Security Hinge Prep /Hole
PTP:Power Transfer Prep
CND:Conduit Thru Door
MAG:Magnetic Switch (Hole Type)
DPS:Door Position Switch
BSS:Non Std Lock Backset
PP:Push / Pull Reinforcement
FP:Mortised Flush Pull
EP:Edge Pull (Pocket Door Edge)
AOP:Automatic Operator
RSB:Reinforce for Spring Bumpers
MS:Mail Slot 
VW:Interviewer Prep
VW2:(2x) Interviewer Preps
HL:Hospital Lock/Latch 
RL:Roller Latch Preparation
FL:Fire Latch / Fire Bolt
MDB:Mortised Door Bottom
SDB:Surface Applied Door Bottom
RBC:Recessed Bottom Channel for Device*
</t>
        </r>
        <r>
          <rPr>
            <sz val="9"/>
            <color indexed="81"/>
            <rFont val="Tahoma"/>
            <family val="2"/>
          </rPr>
          <t xml:space="preserve">
</t>
        </r>
      </text>
    </comment>
    <comment ref="M18" authorId="1" shapeId="0" xr:uid="{02B26072-6AC1-41AB-898C-02F0B3EE0385}">
      <text>
        <r>
          <rPr>
            <b/>
            <sz val="9"/>
            <color indexed="81"/>
            <rFont val="Tahoma"/>
            <family val="2"/>
          </rPr>
          <t xml:space="preserve">Lock - MANUFACTURER:
</t>
        </r>
        <r>
          <rPr>
            <sz val="9"/>
            <color indexed="81"/>
            <rFont val="Tahoma"/>
            <family val="2"/>
          </rPr>
          <t xml:space="preserve">Enter Lock Manufacturer
</t>
        </r>
      </text>
    </comment>
    <comment ref="S18" authorId="1" shapeId="0" xr:uid="{7FB871A4-9FD1-4092-AB46-D0E8F4EF2C48}">
      <text>
        <r>
          <rPr>
            <b/>
            <sz val="9"/>
            <color indexed="81"/>
            <rFont val="Tahoma"/>
            <family val="2"/>
          </rPr>
          <t xml:space="preserve">2nd Deadlock:
</t>
        </r>
        <r>
          <rPr>
            <sz val="9"/>
            <color indexed="81"/>
            <rFont val="Tahoma"/>
            <family val="2"/>
          </rPr>
          <t xml:space="preserve">Mfg &amp; Device Number
</t>
        </r>
      </text>
    </comment>
    <comment ref="Y18" authorId="0" shapeId="0" xr:uid="{D95050E3-BB99-49AD-AAA6-D327E53EF910}">
      <text>
        <r>
          <rPr>
            <b/>
            <sz val="9"/>
            <color indexed="81"/>
            <rFont val="Tahoma"/>
            <family val="2"/>
          </rPr>
          <t>Edge Type</t>
        </r>
        <r>
          <rPr>
            <sz val="9"/>
            <color indexed="81"/>
            <rFont val="Tahoma"/>
            <family val="2"/>
          </rPr>
          <t xml:space="preserve">
SQRE    SQUARE EDGE - LOCK &amp; HINGE (STANDARD)
BVLD(B)    BEVELED DOOR EDGES - LOCK &amp; HINGE EDGE
BVLD(L)    BEVELED LOCK EDGE ONLY
BLN(B)    BULL NOSE EDGE - LOCK &amp; HINGE EDGE
RSA    RABBETTED STILE (TYPE A - MIDPOINT)
RSB    RABBETTED STILE (TYPE B - EDGE TYPE)
RTA    RABBETTED TOP OR BOTTOM (TYP A - MIDPOINT)
RTB    RABBETTED TOP OR BOTTOM (TYP B - EDGE TYPE)
BLN(H)    BULL NOSE EDGE - HINGE EDGE ONLY
BLN(L)    BULL NOSE EDGE - LOCK EDGE ONLY
</t>
        </r>
      </text>
    </comment>
    <comment ref="M19" authorId="1" shapeId="0" xr:uid="{D2B7AA82-DE2E-461E-BE58-28F2E94E44F7}">
      <text>
        <r>
          <rPr>
            <b/>
            <sz val="9"/>
            <color indexed="81"/>
            <rFont val="Tahoma"/>
            <family val="2"/>
          </rPr>
          <t xml:space="preserve">Lock - DEVICE:
</t>
        </r>
        <r>
          <rPr>
            <sz val="9"/>
            <color indexed="81"/>
            <rFont val="Tahoma"/>
            <family val="2"/>
          </rPr>
          <t xml:space="preserve">Enter Device Number
</t>
        </r>
      </text>
    </comment>
    <comment ref="M20" authorId="1" shapeId="0" xr:uid="{B96ED335-E7C3-4169-9108-0B5472AC2FCD}">
      <text>
        <r>
          <rPr>
            <b/>
            <sz val="9"/>
            <color indexed="81"/>
            <rFont val="Tahoma"/>
            <family val="2"/>
          </rPr>
          <t xml:space="preserve">Lock - TRIM:
</t>
        </r>
        <r>
          <rPr>
            <sz val="9"/>
            <color indexed="81"/>
            <rFont val="Tahoma"/>
            <family val="2"/>
          </rPr>
          <t xml:space="preserve">Enter Trim Code (or "NA" if not applicable)
</t>
        </r>
      </text>
    </comment>
    <comment ref="M21" authorId="1" shapeId="0" xr:uid="{CC8DC89D-85EB-4295-8C45-D756953C4031}">
      <text>
        <r>
          <rPr>
            <b/>
            <sz val="9"/>
            <color indexed="81"/>
            <rFont val="Tahoma"/>
            <family val="2"/>
          </rPr>
          <t xml:space="preserve">MULLION:
</t>
        </r>
        <r>
          <rPr>
            <sz val="9"/>
            <color indexed="81"/>
            <rFont val="Tahoma"/>
            <family val="2"/>
          </rPr>
          <t>Enter Mullion Type (or "NA" if not applicable)</t>
        </r>
      </text>
    </comment>
  </commentList>
</comments>
</file>

<file path=xl/sharedStrings.xml><?xml version="1.0" encoding="utf-8"?>
<sst xmlns="http://schemas.openxmlformats.org/spreadsheetml/2006/main" count="12630" uniqueCount="3746">
  <si>
    <t>DATE:</t>
  </si>
  <si>
    <t>4.5" HW</t>
  </si>
  <si>
    <t>PURCHASE ORDER</t>
  </si>
  <si>
    <t>PO DATE</t>
  </si>
  <si>
    <t>COMPANY:</t>
  </si>
  <si>
    <t>QUOTE #</t>
  </si>
  <si>
    <t>ADDRESS:</t>
  </si>
  <si>
    <t>LOCATION:</t>
  </si>
  <si>
    <t>CONTACT:</t>
  </si>
  <si>
    <t>PROJECT:</t>
  </si>
  <si>
    <t>PHONE:</t>
  </si>
  <si>
    <t>SHIPPING METHOD</t>
  </si>
  <si>
    <t>SHIPPING TERMS</t>
  </si>
  <si>
    <t>TO BE DETERMINED</t>
  </si>
  <si>
    <t>FOB FACTORY</t>
  </si>
  <si>
    <t>NOTES FROM ORDER SHEET</t>
  </si>
  <si>
    <t>Qty</t>
  </si>
  <si>
    <t>Line Total</t>
  </si>
  <si>
    <t>List Price</t>
  </si>
  <si>
    <t>GM</t>
  </si>
  <si>
    <t>% GM</t>
  </si>
  <si>
    <t>FRAME</t>
  </si>
  <si>
    <t>HINGES</t>
  </si>
  <si>
    <t>DESIGN</t>
  </si>
  <si>
    <t>CLOSER</t>
  </si>
  <si>
    <t>INACTIVE DOOR</t>
  </si>
  <si>
    <t>ASTRAGAL</t>
  </si>
  <si>
    <t>INACTIVE HARDWARE</t>
  </si>
  <si>
    <t>SUB-TOTAL FOR ABOVE ITEMS:</t>
  </si>
  <si>
    <t>PO BOX 248</t>
  </si>
  <si>
    <t>VIENNA, OH 44473</t>
  </si>
  <si>
    <t>THRESHOLD</t>
  </si>
  <si>
    <t>KEYING</t>
  </si>
  <si>
    <t>PHI</t>
  </si>
  <si>
    <t>LOCKSET</t>
  </si>
  <si>
    <t>HARDWARE</t>
  </si>
  <si>
    <t>$ x QTY</t>
  </si>
  <si>
    <t>NET</t>
  </si>
  <si>
    <t>LIST</t>
  </si>
  <si>
    <t>GM%</t>
  </si>
  <si>
    <t>PROJECT KEYING</t>
  </si>
  <si>
    <t>FLUSH BOLTS</t>
  </si>
  <si>
    <t>INCHES</t>
  </si>
  <si>
    <t>NGP</t>
  </si>
  <si>
    <t>22-90-122</t>
  </si>
  <si>
    <t>RGB</t>
  </si>
  <si>
    <t>26D FINISH</t>
  </si>
  <si>
    <t>6 PIN CONSTRUCTION CORE CHANGE AND OPERATING KEYS</t>
  </si>
  <si>
    <t xml:space="preserve">HYDRAULIC CLOSER NON HOLD OPEN     </t>
  </si>
  <si>
    <t>FLAT SADDLE</t>
  </si>
  <si>
    <t>PART #</t>
  </si>
  <si>
    <t xml:space="preserve">12"   </t>
  </si>
  <si>
    <t>424</t>
  </si>
  <si>
    <t>4.00" DEPTH</t>
  </si>
  <si>
    <t>BY DOOR WIDTH</t>
  </si>
  <si>
    <t>C699A</t>
  </si>
  <si>
    <t>FT</t>
  </si>
  <si>
    <t>5050 BULB</t>
  </si>
  <si>
    <t>5040 FLAT</t>
  </si>
  <si>
    <t>C627A</t>
  </si>
  <si>
    <t>NEOPRENE SWEEP</t>
  </si>
  <si>
    <t>200NA</t>
  </si>
  <si>
    <t>DOOR SWEEP W DRIP EDGE BRUSH</t>
  </si>
  <si>
    <t>HW</t>
  </si>
  <si>
    <t>32D</t>
  </si>
  <si>
    <t>BBNRP</t>
  </si>
  <si>
    <t>KEY X THUMB TURN</t>
  </si>
  <si>
    <t>SURFACE BOLTS</t>
  </si>
  <si>
    <t>316</t>
  </si>
  <si>
    <t>116 DOOR SAVER PARALLEL ARM</t>
  </si>
  <si>
    <t xml:space="preserve">LONG BODY DOOR CLOSER  </t>
  </si>
  <si>
    <t>GRADE 1</t>
  </si>
  <si>
    <t>FIXED DOOR LOUVER</t>
  </si>
  <si>
    <t>VISION LITE</t>
  </si>
  <si>
    <t>24" x 12"</t>
  </si>
  <si>
    <t>WALL STOP w HOLD OPEN</t>
  </si>
  <si>
    <t>DJ</t>
  </si>
  <si>
    <t>PUSH / PULL PLATE</t>
  </si>
  <si>
    <t>RHR</t>
  </si>
  <si>
    <t>4.5 X 4.5</t>
  </si>
  <si>
    <t>SW</t>
  </si>
  <si>
    <t>CONTINUOUS HINGE</t>
  </si>
  <si>
    <t>DEADBOLT</t>
  </si>
  <si>
    <t xml:space="preserve">GRADE 1 DEADBOLT </t>
  </si>
  <si>
    <t xml:space="preserve">48" RIM </t>
  </si>
  <si>
    <t>PRECISION</t>
  </si>
  <si>
    <t>WS RATED</t>
  </si>
  <si>
    <t>STAINLESS STEEL 32D</t>
  </si>
  <si>
    <t>THUMB PIECE PULL</t>
  </si>
  <si>
    <t>ALUMINUM DRIP CAP</t>
  </si>
  <si>
    <t>DOOR STOP/HOLDER</t>
  </si>
  <si>
    <t>CUSHIONED WALL STOP W HOLDER</t>
  </si>
  <si>
    <t>1</t>
  </si>
  <si>
    <t>SIZE</t>
  </si>
  <si>
    <t>GAUGE</t>
  </si>
  <si>
    <t>WIND STORM</t>
  </si>
  <si>
    <t>12"</t>
  </si>
  <si>
    <t>8"</t>
  </si>
  <si>
    <t>36" MORTISE PANIC</t>
  </si>
  <si>
    <t>FLAT PULL</t>
  </si>
  <si>
    <t>7.1.21 madness</t>
  </si>
  <si>
    <t>add $350 to 14 gauge  for 12 gauge</t>
  </si>
  <si>
    <t>18 ga.</t>
  </si>
  <si>
    <t>16 ga.</t>
  </si>
  <si>
    <t>14 ga.</t>
  </si>
  <si>
    <t>Doors</t>
  </si>
  <si>
    <t>new w/s price</t>
  </si>
  <si>
    <t>2068 dr</t>
  </si>
  <si>
    <t>2070 dr</t>
  </si>
  <si>
    <t>2090 dr</t>
  </si>
  <si>
    <t>3068 dr</t>
  </si>
  <si>
    <t>3070 dr</t>
  </si>
  <si>
    <t>3668 dr</t>
  </si>
  <si>
    <t>3670 dr</t>
  </si>
  <si>
    <t>3080 dr</t>
  </si>
  <si>
    <t>3680 dr</t>
  </si>
  <si>
    <t>4068 dr</t>
  </si>
  <si>
    <t>4070 dr</t>
  </si>
  <si>
    <t>4080 dr</t>
  </si>
  <si>
    <t>4680 dr</t>
  </si>
  <si>
    <t xml:space="preserve"> </t>
  </si>
  <si>
    <t>3090 dr</t>
  </si>
  <si>
    <t>3690 dr</t>
  </si>
  <si>
    <t>4090 dr</t>
  </si>
  <si>
    <t>30100 dr</t>
  </si>
  <si>
    <t>40100 dr</t>
  </si>
  <si>
    <t>3'0x11'0 dr</t>
  </si>
  <si>
    <t>4'0x11'0 dr</t>
  </si>
  <si>
    <t>We can do in stainless or Hm     If HM use 14 ga seamless door and add $250.  Not sure if we can put the E330 label on it.</t>
  </si>
  <si>
    <t>Door adds</t>
  </si>
  <si>
    <t>top cap + rp</t>
  </si>
  <si>
    <t>Seamless welded (no 18ga)</t>
  </si>
  <si>
    <t>top cap  + svr</t>
  </si>
  <si>
    <t>Closer</t>
  </si>
  <si>
    <t>included in base price</t>
  </si>
  <si>
    <t>Top Cap</t>
  </si>
  <si>
    <t>Cont. Hinge</t>
  </si>
  <si>
    <t>Pivot (top &amp; bot)</t>
  </si>
  <si>
    <t>SB/ASA</t>
  </si>
  <si>
    <t>FB / ASA</t>
  </si>
  <si>
    <r>
      <t xml:space="preserve">add all vertical rod doors : </t>
    </r>
    <r>
      <rPr>
        <sz val="11"/>
        <color rgb="FFFF0000"/>
        <rFont val="Calibri"/>
        <family val="2"/>
        <scheme val="minor"/>
      </rPr>
      <t>$$37:</t>
    </r>
    <r>
      <rPr>
        <sz val="10"/>
        <color theme="1"/>
        <rFont val="Verdana"/>
        <family val="2"/>
      </rPr>
      <t xml:space="preserve">  $12 top cap +25 svr</t>
    </r>
  </si>
  <si>
    <t>SVR</t>
  </si>
  <si>
    <t>ADD $12 TO TOP CAP + RIM</t>
  </si>
  <si>
    <r>
      <t xml:space="preserve">add all rim panic doorsdoors: </t>
    </r>
    <r>
      <rPr>
        <sz val="11"/>
        <color rgb="FFFF0000"/>
        <rFont val="Calibri"/>
        <family val="2"/>
        <scheme val="minor"/>
      </rPr>
      <t>$24</t>
    </r>
    <r>
      <rPr>
        <sz val="10"/>
        <color theme="1"/>
        <rFont val="Verdana"/>
        <family val="2"/>
      </rPr>
      <t xml:space="preserve">   $12 rp  + $12 top cap</t>
    </r>
  </si>
  <si>
    <t>Rim</t>
  </si>
  <si>
    <t>ADD TO ALL W $12 TOP CAP</t>
  </si>
  <si>
    <r>
      <t xml:space="preserve">add any door w lite kits:  </t>
    </r>
    <r>
      <rPr>
        <sz val="11"/>
        <color rgb="FFFF0000"/>
        <rFont val="Calibri"/>
        <family val="2"/>
        <scheme val="minor"/>
      </rPr>
      <t>$22</t>
    </r>
  </si>
  <si>
    <t>Raceway</t>
  </si>
  <si>
    <t>Elec Strike</t>
  </si>
  <si>
    <t>Elec hinge</t>
  </si>
  <si>
    <t>5" HINGE</t>
  </si>
  <si>
    <t>EPT</t>
  </si>
  <si>
    <t>(Core) Poly</t>
  </si>
  <si>
    <t>(Core) Polyurethane</t>
  </si>
  <si>
    <t>14 gauge channels</t>
  </si>
  <si>
    <t>12 gauge channels</t>
  </si>
  <si>
    <t>(Core) Ribbed</t>
  </si>
  <si>
    <t>discontinued</t>
  </si>
  <si>
    <t>(Core) Honeycomb</t>
  </si>
  <si>
    <t>Flat astragals  12 gauge A60, punched for screws</t>
  </si>
  <si>
    <t>up to 8/0</t>
  </si>
  <si>
    <t>&gt; 8/0</t>
  </si>
  <si>
    <t>cutout only</t>
  </si>
  <si>
    <t>NV (cutout  &amp; lite kit)</t>
  </si>
  <si>
    <t>HG (cutout &amp; lite kit)</t>
  </si>
  <si>
    <t>FG 3070 (cutout &amp; lite kit)</t>
  </si>
  <si>
    <t>FG 4080 (cutout &amp; lite kit)</t>
  </si>
  <si>
    <t>12x12 inverted 'Y' Louver (cutout &amp; louver)</t>
  </si>
  <si>
    <t>24x24 inverted 'Y' Louver (cutout &amp; louver)</t>
  </si>
  <si>
    <t xml:space="preserve">Full Integral Louver (Z blades) </t>
  </si>
  <si>
    <t>$26 per sq ft (example: 3070 = 21 sq ft)</t>
  </si>
  <si>
    <t>Full Integral Louver (hurricane rated)</t>
  </si>
  <si>
    <t>$39 per sq ft (example: 3070 = 21 sq ft)</t>
  </si>
  <si>
    <t>NOA/non-rated (FIRE)</t>
  </si>
  <si>
    <t>up to 100 sq "</t>
  </si>
  <si>
    <t xml:space="preserve">NOA/ fire </t>
  </si>
  <si>
    <t>60-min max</t>
  </si>
  <si>
    <t>Frames Components :</t>
  </si>
  <si>
    <t>up to 6" JD</t>
  </si>
  <si>
    <t>3/0 header</t>
  </si>
  <si>
    <t>5/0 header</t>
  </si>
  <si>
    <t>6/8 hinge jamb</t>
  </si>
  <si>
    <t>6/8 strike jamb</t>
  </si>
  <si>
    <t>Borrow lites</t>
  </si>
  <si>
    <t>14/per linear ft.; 16' minimum</t>
  </si>
  <si>
    <t>ADDER FOR WIND+RIM or SVR</t>
  </si>
  <si>
    <t>KD Frames</t>
  </si>
  <si>
    <t>16 ga. 7.1.21 BASE</t>
  </si>
  <si>
    <t>7.1.21_WS +RIM/SVR</t>
  </si>
  <si>
    <t>14 GA 7.1.21 BASE</t>
  </si>
  <si>
    <t>7.1.21 WS +RIM/SVR</t>
  </si>
  <si>
    <t>12 ga.</t>
  </si>
  <si>
    <t>WS +RIM/SVR</t>
  </si>
  <si>
    <t>3068 fr</t>
  </si>
  <si>
    <t>not upd</t>
  </si>
  <si>
    <t>3070 fr</t>
  </si>
  <si>
    <t>3080 fr</t>
  </si>
  <si>
    <t>4068 fr</t>
  </si>
  <si>
    <t>4070 fr</t>
  </si>
  <si>
    <t>4080 fr</t>
  </si>
  <si>
    <t>3090 fr</t>
  </si>
  <si>
    <t>4090 fr</t>
  </si>
  <si>
    <t>3'0x10'0 fr</t>
  </si>
  <si>
    <t>4'0x10'0 fr</t>
  </si>
  <si>
    <t>3'0x11'0 fr</t>
  </si>
  <si>
    <t>4'0x11'0 fr</t>
  </si>
  <si>
    <t>5068 fr</t>
  </si>
  <si>
    <t>6068 fr</t>
  </si>
  <si>
    <t>6070 fr</t>
  </si>
  <si>
    <t>6080 fr</t>
  </si>
  <si>
    <t>6090 fr</t>
  </si>
  <si>
    <t>7068 fr</t>
  </si>
  <si>
    <t>8068 fr</t>
  </si>
  <si>
    <t>8070 fr</t>
  </si>
  <si>
    <t>8080 fr</t>
  </si>
  <si>
    <t>8090 fr</t>
  </si>
  <si>
    <t>6'0x10'0 fr</t>
  </si>
  <si>
    <t>8'0x10'0 fr</t>
  </si>
  <si>
    <t>6'0x11'0 fr</t>
  </si>
  <si>
    <t>8'0x11'0 fr</t>
  </si>
  <si>
    <t>Frame adds</t>
  </si>
  <si>
    <t>EWA</t>
  </si>
  <si>
    <t>FRAME FOOTER</t>
  </si>
  <si>
    <t>UP TO 4/0  COST $17 SELL $20    UP TO 8/0 PAIR COST  $27 COST SELL $38</t>
  </si>
  <si>
    <t>Universal Anchors (price per anchor)</t>
  </si>
  <si>
    <t>UL fire label (single)</t>
  </si>
  <si>
    <t>UL fire label (pair)</t>
  </si>
  <si>
    <t>4" head up to 5070</t>
  </si>
  <si>
    <t xml:space="preserve">COST OVER 6" </t>
  </si>
  <si>
    <t>PER INCH</t>
  </si>
  <si>
    <t>4" head over 5070</t>
  </si>
  <si>
    <t>36" or less threshold  12 gauge 304 #4 Notched for frame stop, (optional at same price) drilled and countersunk for (4) fasteners</t>
  </si>
  <si>
    <t xml:space="preserve">Std Face Weld </t>
  </si>
  <si>
    <t>$90 net each</t>
  </si>
  <si>
    <t>Bulb by others; Fasteners by others</t>
  </si>
  <si>
    <t>Full Throat weld</t>
  </si>
  <si>
    <t>greater than 36" up to 72" $185 each</t>
  </si>
  <si>
    <t>Elec. Strike</t>
  </si>
  <si>
    <t>Install threshold by full welding to notched jamb</t>
  </si>
  <si>
    <t>$90 net per frame</t>
  </si>
  <si>
    <t>DOOR LOOP</t>
  </si>
  <si>
    <t>Pivot prep (each)</t>
  </si>
  <si>
    <t>Flush Bolt Strike</t>
  </si>
  <si>
    <t>SVR / Rim</t>
  </si>
  <si>
    <t>12 ga. full head reinforcment</t>
  </si>
  <si>
    <t>USE FOR REM MULL</t>
  </si>
  <si>
    <t>Drywall return (KDPF frames include pressure fit anchor and no other anchors)</t>
  </si>
  <si>
    <t>Monorail prep, L frames</t>
  </si>
  <si>
    <t>16 ga. JD add / "</t>
  </si>
  <si>
    <t>14 ga. JD add / "</t>
  </si>
  <si>
    <t>h1</t>
  </si>
  <si>
    <t>12 ga. JD add / "</t>
  </si>
  <si>
    <t>h2</t>
  </si>
  <si>
    <t>spd h1</t>
  </si>
  <si>
    <t>Removable mullion</t>
  </si>
  <si>
    <t>v2 (unk velocity)</t>
  </si>
  <si>
    <t>195*7/33</t>
  </si>
  <si>
    <t>3080 frame w/ mullion</t>
  </si>
  <si>
    <t>4080 frame w/ mullion</t>
  </si>
  <si>
    <t>3090 frame w/ mullion</t>
  </si>
  <si>
    <t>sq root of 90 psf is 9.5</t>
  </si>
  <si>
    <t>4090 frame w/ mullion</t>
  </si>
  <si>
    <t>6080 frame w/ mullion</t>
  </si>
  <si>
    <t>6090 frame w/ mullion</t>
  </si>
  <si>
    <t>8080 frame w/ mullion</t>
  </si>
  <si>
    <t>8090 frame w/ mullion</t>
  </si>
  <si>
    <t>For NOA construction doors must have a top cap and frames have EWA.</t>
  </si>
  <si>
    <t>5.2.22</t>
  </si>
  <si>
    <t>mastser pricing sheets based on pioneer</t>
  </si>
  <si>
    <t>plug multiplier to list</t>
  </si>
  <si>
    <t>PICK ONLY ONE GA AND 1 SIZE</t>
  </si>
  <si>
    <t>pick size/and options typical</t>
  </si>
  <si>
    <t>DOORS</t>
  </si>
  <si>
    <t>RIBBED</t>
  </si>
  <si>
    <t>FIRE LABEL</t>
  </si>
  <si>
    <t>SUBTOTAL ACTIVE  DOOR BASE</t>
  </si>
  <si>
    <t>ADDER</t>
  </si>
  <si>
    <t>GALV</t>
  </si>
  <si>
    <t>50/50=.25</t>
  </si>
  <si>
    <t>STYRENE</t>
  </si>
  <si>
    <t>50/55=.225</t>
  </si>
  <si>
    <t>URETHANE</t>
  </si>
  <si>
    <t>50/59=.205</t>
  </si>
  <si>
    <t>RIBBED WELDED EDGE</t>
  </si>
  <si>
    <t>50/60=.20</t>
  </si>
  <si>
    <t>TOP CAP</t>
  </si>
  <si>
    <t>50/61=.195</t>
  </si>
  <si>
    <t xml:space="preserve">50/62=.190   </t>
  </si>
  <si>
    <t>FLAT ASTRAGAL</t>
  </si>
  <si>
    <t xml:space="preserve">50/65=.175   </t>
  </si>
  <si>
    <t>S TRIM</t>
  </si>
  <si>
    <t>VISION PREP</t>
  </si>
  <si>
    <t>FLUSH BOLT</t>
  </si>
  <si>
    <t>EL STRIKE</t>
  </si>
  <si>
    <t>EL HINGE</t>
  </si>
  <si>
    <t>LABEL</t>
  </si>
  <si>
    <t>DEAD BOLT</t>
  </si>
  <si>
    <t>RP w STRIM</t>
  </si>
  <si>
    <t xml:space="preserve"> MP w STRIM</t>
  </si>
  <si>
    <t>SEAM WELD</t>
  </si>
  <si>
    <t>CONT HINGE</t>
  </si>
  <si>
    <t>SUB HDWE:</t>
  </si>
  <si>
    <t>TOTAL ACTIVE DOOR</t>
  </si>
  <si>
    <t>INACTIVE DOORS</t>
  </si>
  <si>
    <t>SUBTOTAL INACTIVE DOOR BASE</t>
  </si>
  <si>
    <t>INACTIVE</t>
  </si>
  <si>
    <t>CUT WINDOW</t>
  </si>
  <si>
    <t xml:space="preserve">ASA </t>
  </si>
  <si>
    <t>SBOLT</t>
  </si>
  <si>
    <t>FB/AUTO FB</t>
  </si>
  <si>
    <t>ACTIVE DOOR</t>
  </si>
  <si>
    <t>adder</t>
  </si>
  <si>
    <t>galv sgl</t>
  </si>
  <si>
    <t>galv dbl</t>
  </si>
  <si>
    <t>pac 1</t>
  </si>
  <si>
    <t>pac 2</t>
  </si>
  <si>
    <t>FIRE RATED</t>
  </si>
  <si>
    <t>rp</t>
  </si>
  <si>
    <t>mort fb</t>
  </si>
  <si>
    <t>SBR   S BOLT</t>
  </si>
  <si>
    <t>p/d ea</t>
  </si>
  <si>
    <t>NDC</t>
  </si>
  <si>
    <t>WS  1.8</t>
  </si>
  <si>
    <t>WS</t>
  </si>
  <si>
    <t>WIND + FIRE</t>
  </si>
  <si>
    <t>F/WIND</t>
  </si>
  <si>
    <t>GALV:  CUTOUT AND INSTALL WIND X FIRE RATED GLASS KIT</t>
  </si>
  <si>
    <t>5050 BLB</t>
  </si>
  <si>
    <t>4.5" HWHG</t>
  </si>
  <si>
    <t xml:space="preserve">36" RIM </t>
  </si>
  <si>
    <t xml:space="preserve">36" MORT </t>
  </si>
  <si>
    <t xml:space="preserve">36" SVR </t>
  </si>
  <si>
    <t>48" SVR</t>
  </si>
  <si>
    <t>ESCUTCHEON LEVER TRIM</t>
  </si>
  <si>
    <t>2300 MPANIC</t>
  </si>
  <si>
    <t>2100 RPANIC</t>
  </si>
  <si>
    <t>2200 SVRPANIC</t>
  </si>
  <si>
    <t>3/0 PUSH RIM PANIC</t>
  </si>
  <si>
    <t>STAINLESS STEEL</t>
  </si>
  <si>
    <t>2000</t>
  </si>
  <si>
    <t>STAINLESS</t>
  </si>
  <si>
    <t>KEY X THUMB PULL</t>
  </si>
  <si>
    <t>LEVER TRIM</t>
  </si>
  <si>
    <t>DISC</t>
  </si>
  <si>
    <t>VEND</t>
  </si>
  <si>
    <t>DELA</t>
  </si>
  <si>
    <t>RIM</t>
  </si>
  <si>
    <t>NOT RATED</t>
  </si>
  <si>
    <t>FIRE</t>
  </si>
  <si>
    <t>KD</t>
  </si>
  <si>
    <t>PHG</t>
  </si>
  <si>
    <t>48" MORTISE PANIC</t>
  </si>
  <si>
    <t>CYLINDRICAL LEVER</t>
  </si>
  <si>
    <t>PLATED SATIN CHROME</t>
  </si>
  <si>
    <t>F9800</t>
  </si>
  <si>
    <t>PHG  GOOD</t>
  </si>
  <si>
    <t>900ETL</t>
  </si>
  <si>
    <t>DON JO</t>
  </si>
  <si>
    <t>FIRE RATED LITE KIT: VISION SHIPPED LOOSE</t>
  </si>
  <si>
    <t>KIT + FPROTECT</t>
  </si>
  <si>
    <t>4.00" MAS_SGL RAB</t>
  </si>
  <si>
    <t xml:space="preserve">LIST  </t>
  </si>
  <si>
    <t>WIND</t>
  </si>
  <si>
    <t>GALV:  CUTOUT AND INSTALL WIND  RATED GLASS KIT</t>
  </si>
  <si>
    <t>ACCESS CONTROL</t>
  </si>
  <si>
    <t>POWER SUPPLY</t>
  </si>
  <si>
    <t>CARD READER</t>
  </si>
  <si>
    <t>MOTORIZED LATCH RETRACTION</t>
  </si>
  <si>
    <t>ELECTRIFIED HINGES</t>
  </si>
  <si>
    <t>CONVERSION STANDARD WINDSTORM TO MOTORIZED LATCH RETRACTION FOR ACCESS ENTRY</t>
  </si>
  <si>
    <t>POWER TRANSFER HINGES  4.5 X 4.5 HW SS</t>
  </si>
  <si>
    <t>HOLLOW METAL DOORS AND FRAMES: EXTERIOR PAIRED OPENING #1  TX WIND  ACCESS CONTROL</t>
  </si>
  <si>
    <t>LENEL S2 CARD READER SPEC'D   QUOTED HID PROX READER</t>
  </si>
  <si>
    <t>TRANSOM PANEL</t>
  </si>
  <si>
    <t>TRANSOM PANEL 16 GALV</t>
  </si>
  <si>
    <t>REMOVABLE FOR EQUIPMENT ACCESS</t>
  </si>
  <si>
    <t>RIM PANIC</t>
  </si>
  <si>
    <t>LE 08</t>
  </si>
  <si>
    <t>4/0 PUSH RIM PANIC</t>
  </si>
  <si>
    <t>4/0 PUSH RIM PANIC_FIRE</t>
  </si>
  <si>
    <t>LE 08 SS</t>
  </si>
  <si>
    <t>CUSTOMER PINSET</t>
  </si>
  <si>
    <t>NARROW VISION LITE KIT: WIRED GLASS</t>
  </si>
  <si>
    <t>KIT + WIRE</t>
  </si>
  <si>
    <t>KICK PLATE</t>
  </si>
  <si>
    <t>DOD LESS 2"</t>
  </si>
  <si>
    <t>ROCKWOOD</t>
  </si>
  <si>
    <t>10" KICK PLAT</t>
  </si>
  <si>
    <t>1000</t>
  </si>
  <si>
    <t>HD GRADE 1</t>
  </si>
  <si>
    <t>DORMA</t>
  </si>
  <si>
    <t>8616 DST</t>
  </si>
  <si>
    <t>FIBREBOND</t>
  </si>
  <si>
    <t>LCN CLOSER:  NON HOLD OPEN</t>
  </si>
  <si>
    <t>LCN</t>
  </si>
  <si>
    <t>4111 EDA</t>
  </si>
  <si>
    <t>VON DURPIN</t>
  </si>
  <si>
    <t>SECLOCK</t>
  </si>
  <si>
    <t>VD 996L-NL-06-R/V-26D</t>
  </si>
  <si>
    <t>VD 99EO F 4  26D</t>
  </si>
  <si>
    <t xml:space="preserve">3/0 PUSH RIM PANIC </t>
  </si>
  <si>
    <t>VON DUPRIN 22</t>
  </si>
  <si>
    <t>VON DURPIN 99</t>
  </si>
  <si>
    <t>SP28</t>
  </si>
  <si>
    <t>22 EO F 3 689</t>
  </si>
  <si>
    <t>230 L 06  689  LHR</t>
  </si>
  <si>
    <t>4111EDA</t>
  </si>
  <si>
    <t>REESE 202C</t>
  </si>
  <si>
    <t>REESE 203C</t>
  </si>
  <si>
    <t>INTERIOR PULL</t>
  </si>
  <si>
    <t xml:space="preserve">STAINLESS STEEL   </t>
  </si>
  <si>
    <t>ALUMINUM</t>
  </si>
  <si>
    <t>6 SCREW SURFACE PULL</t>
  </si>
  <si>
    <t>SURFACE PULL HANDLE ONLY</t>
  </si>
  <si>
    <t xml:space="preserve">STAINLESS ROUND X 6" </t>
  </si>
  <si>
    <t>SURFACE PUSH PULL PLATE w HANDLE</t>
  </si>
  <si>
    <t>MACHINE CYLINDER HOLES</t>
  </si>
  <si>
    <t>SURFACE PULL PLATE &amp; HANDLE</t>
  </si>
  <si>
    <t xml:space="preserve">STAINLESS ROUND  </t>
  </si>
  <si>
    <t>STAINLESSS FLAT</t>
  </si>
  <si>
    <t>3.5 X 15 BACKER PLATE</t>
  </si>
  <si>
    <t>125 X 70B 3.5 X 15</t>
  </si>
  <si>
    <t>SEC</t>
  </si>
  <si>
    <t>MORTISE PANIC</t>
  </si>
  <si>
    <t xml:space="preserve">MORTISE PANIC: </t>
  </si>
  <si>
    <t>5020 TPE</t>
  </si>
  <si>
    <t>DOOR POSITION SWITCH</t>
  </si>
  <si>
    <t>DPS-M-GY</t>
  </si>
  <si>
    <t>VISION</t>
  </si>
  <si>
    <t>WELDED</t>
  </si>
  <si>
    <t>LANCE WALKER</t>
  </si>
  <si>
    <t>3680 5040C FINNED .25" x .50"</t>
  </si>
  <si>
    <t>PIONEER DOOR FORM</t>
  </si>
  <si>
    <t>Tel: (201) 933-1900</t>
  </si>
  <si>
    <t>PURCHASE ORDER / NON-STOCKED ENGINEERED DOORS</t>
  </si>
  <si>
    <t>Fax: (201) 933-9580</t>
  </si>
  <si>
    <t>Job#</t>
  </si>
  <si>
    <t>Discount</t>
  </si>
  <si>
    <t>Sold To:</t>
  </si>
  <si>
    <t>Ship:</t>
  </si>
  <si>
    <t>&lt;Enter Job Here&gt;</t>
  </si>
  <si>
    <t>INFO ON PO</t>
  </si>
  <si>
    <t>Customer Code:</t>
  </si>
  <si>
    <t>Page</t>
  </si>
  <si>
    <t>Shipping Code:</t>
  </si>
  <si>
    <t>Authorized By: (Signature):</t>
  </si>
  <si>
    <t>Customer PO#:</t>
  </si>
  <si>
    <t>37203_PIO</t>
  </si>
  <si>
    <t>Date:</t>
  </si>
  <si>
    <t>6.28.23</t>
  </si>
  <si>
    <t>THIS IS AN OFFICIAL ORDER</t>
  </si>
  <si>
    <t>Date Entered:</t>
  </si>
  <si>
    <t>Order Notes
Shipping Instructions</t>
  </si>
  <si>
    <t>ONE THOUHT IS TO Do a table like this.  each row would represent a category.  we'd have three rows, and we would pick all the hardware from this list and we would have one list for doors/frame, one for hardware, one for accessoreis.    this form would change and have a row for each tabulated data range.  Cell 16d might read hinges, 16e locks, 16f, panics…. Each would go to the lookup table associated   this would allow us to pick components from the list and carry them to the quote form</t>
  </si>
  <si>
    <t>DOOR ORDER</t>
  </si>
  <si>
    <t>Line</t>
  </si>
  <si>
    <t>hinges</t>
  </si>
  <si>
    <t>locks</t>
  </si>
  <si>
    <t>panics</t>
  </si>
  <si>
    <t>panic trim</t>
  </si>
  <si>
    <t>.Active or Inactive</t>
  </si>
  <si>
    <t>Astragal</t>
  </si>
  <si>
    <t>Elev</t>
  </si>
  <si>
    <t>Width</t>
  </si>
  <si>
    <t>Height</t>
  </si>
  <si>
    <t>UnderC</t>
  </si>
  <si>
    <t>Lock</t>
  </si>
  <si>
    <t>Lock Location</t>
  </si>
  <si>
    <t>2nd Lock</t>
  </si>
  <si>
    <t>Hand</t>
  </si>
  <si>
    <t>Label</t>
  </si>
  <si>
    <t>Top and/or 
Bottom Cap</t>
  </si>
  <si>
    <t xml:space="preserve">Hinge </t>
  </si>
  <si>
    <t>Hg Qty</t>
  </si>
  <si>
    <t>Hinge Location</t>
  </si>
  <si>
    <t>Bolt</t>
  </si>
  <si>
    <t>Additonal</t>
  </si>
  <si>
    <t>List</t>
  </si>
  <si>
    <t>H</t>
  </si>
  <si>
    <t>G</t>
  </si>
  <si>
    <t>1-3/4</t>
  </si>
  <si>
    <t>A</t>
  </si>
  <si>
    <t>FS</t>
  </si>
  <si>
    <t>F</t>
  </si>
  <si>
    <t>3/8</t>
  </si>
  <si>
    <t>MP</t>
  </si>
  <si>
    <t>STE</t>
  </si>
  <si>
    <t>NONE</t>
  </si>
  <si>
    <t>L</t>
  </si>
  <si>
    <t>STS</t>
  </si>
  <si>
    <t>450HW</t>
  </si>
  <si>
    <t>PAC</t>
  </si>
  <si>
    <t>Thickness</t>
  </si>
  <si>
    <t>Elevation Dwg#</t>
  </si>
  <si>
    <t>Type</t>
  </si>
  <si>
    <t>UC</t>
  </si>
  <si>
    <t>2nd Location</t>
  </si>
  <si>
    <t>Agency</t>
  </si>
  <si>
    <t>Rating</t>
  </si>
  <si>
    <t>Material</t>
  </si>
  <si>
    <t>Hinge 1</t>
  </si>
  <si>
    <t>Hinge 2</t>
  </si>
  <si>
    <t>Hinge 3</t>
  </si>
  <si>
    <t>Hinge 4</t>
  </si>
  <si>
    <t>Hinge 5</t>
  </si>
  <si>
    <t>PAIR</t>
  </si>
  <si>
    <t>(P)</t>
  </si>
  <si>
    <t>48"</t>
  </si>
  <si>
    <t>UL</t>
  </si>
  <si>
    <t>MET</t>
  </si>
  <si>
    <t>Dim Type ►</t>
  </si>
  <si>
    <t>NET(IN)</t>
  </si>
  <si>
    <t xml:space="preserve">NET </t>
  </si>
  <si>
    <t>NOMINAL</t>
  </si>
  <si>
    <t>TtoC</t>
  </si>
  <si>
    <t>AffC</t>
  </si>
  <si>
    <t>Optional Label Information</t>
  </si>
  <si>
    <t>Special Hinge Locations are Top of Door to Top of Hinge</t>
  </si>
  <si>
    <t>Tag / Mark #'s:</t>
  </si>
  <si>
    <t>MARK JOB NUMBER MSC 4146 &amp; PO 37203</t>
  </si>
  <si>
    <t>TEMPLATE
▼ INFO ▼</t>
  </si>
  <si>
    <t>Lock/Mfg</t>
  </si>
  <si>
    <t>Edge Type</t>
  </si>
  <si>
    <t>SQRE</t>
  </si>
  <si>
    <t>Device</t>
  </si>
  <si>
    <t xml:space="preserve">MORTISE PANIC </t>
  </si>
  <si>
    <t>Hinge</t>
  </si>
  <si>
    <t>Trim</t>
  </si>
  <si>
    <t>LEVER</t>
  </si>
  <si>
    <t>Mullion</t>
  </si>
  <si>
    <t>TEMPLATE PROVIDED</t>
  </si>
  <si>
    <t>Series</t>
  </si>
  <si>
    <t>Gage</t>
  </si>
  <si>
    <t>Thk</t>
  </si>
  <si>
    <t>2</t>
  </si>
  <si>
    <t>LW</t>
  </si>
  <si>
    <t>I</t>
  </si>
  <si>
    <t>N</t>
  </si>
  <si>
    <t>LHR</t>
  </si>
  <si>
    <t>SBR</t>
  </si>
  <si>
    <t>Single or 
Part of Pair</t>
  </si>
  <si>
    <t>Special ►
Dimensions</t>
  </si>
  <si>
    <t>89"</t>
  </si>
  <si>
    <t>SNGL</t>
  </si>
  <si>
    <t>CORBIN DBOLT</t>
  </si>
  <si>
    <t>MARK JOB NUMBER 10261-1  CONCESSION</t>
  </si>
  <si>
    <t>Order_Forms (FRAMES 7-18-19).xlsx</t>
  </si>
  <si>
    <t>Accessories</t>
  </si>
  <si>
    <t>DESCRIPTION</t>
  </si>
  <si>
    <t>VENDOR</t>
  </si>
  <si>
    <t>DC_16A</t>
  </si>
  <si>
    <t>ALUMINUM DRIP CAP  2'4</t>
  </si>
  <si>
    <t>16A_ALMINUM DRIP CAP  2'4</t>
  </si>
  <si>
    <t>16A</t>
  </si>
  <si>
    <t>TH_8135N</t>
  </si>
  <si>
    <t>2'4 LOWER PROFILE PANIC STOP .5" X 3.75"</t>
  </si>
  <si>
    <t>8135N_PANIC STOP_2'4</t>
  </si>
  <si>
    <t>8135N</t>
  </si>
  <si>
    <t>DS_C627A</t>
  </si>
  <si>
    <t xml:space="preserve">2'4 ALUMINUM NYLON BRUSH SEAL OR SWEEP </t>
  </si>
  <si>
    <t>C627A_2'4</t>
  </si>
  <si>
    <t>WS_5050C</t>
  </si>
  <si>
    <t>300' ADH SILCONE FIRE AND SMOKE SEAL</t>
  </si>
  <si>
    <t xml:space="preserve">5050C_300' </t>
  </si>
  <si>
    <t>5050C</t>
  </si>
  <si>
    <t>GLASS_GT_114</t>
  </si>
  <si>
    <t>3/8" WIDE X 1/4" THICK - 50'</t>
  </si>
  <si>
    <t>GT-114_50'</t>
  </si>
  <si>
    <t>L-GT-114</t>
  </si>
  <si>
    <t>ALUMINUM DRIP CAP  2'6</t>
  </si>
  <si>
    <t>16A_ALMINUM DRIP CAP  2'6</t>
  </si>
  <si>
    <t>2'6 LOWER PROFILE PANIC STOP .5" X 3.75"</t>
  </si>
  <si>
    <t>8135N_PANIC STOP_2'6</t>
  </si>
  <si>
    <t>2'6 ALUMINUM NYLON BRUSH SEAL OR SWEEP</t>
  </si>
  <si>
    <t>C627A_2'6</t>
  </si>
  <si>
    <t>17' ADH SILCONE FIRE AND SMOKE SEAL</t>
  </si>
  <si>
    <t>5050C_17'</t>
  </si>
  <si>
    <t>GLASS_GT_116</t>
  </si>
  <si>
    <t>3/8" WIDE X 1/16" THICK - 200'</t>
  </si>
  <si>
    <t>GT-116_200'</t>
  </si>
  <si>
    <t>L-GT-116</t>
  </si>
  <si>
    <t>ALUMINUM DRIP CAP  2'8</t>
  </si>
  <si>
    <t>16A_ALMINUM DRIP CAP  2'8</t>
  </si>
  <si>
    <t>2'8 LOWER PROFILE PANIC STOP .5" X 3.75"</t>
  </si>
  <si>
    <t>8135N_PANIC STOP_2'8</t>
  </si>
  <si>
    <t>2'8 ALUMINUM NYLON BRUSH SEAL OR SWEEP</t>
  </si>
  <si>
    <t>C627A_2'8</t>
  </si>
  <si>
    <t>20' ADH SILCONE FIRE AND SMOKE SEAL</t>
  </si>
  <si>
    <t>5050C_20'</t>
  </si>
  <si>
    <t>GLASS_GT_118</t>
  </si>
  <si>
    <t>3/8" WIDE X 1/8" THICK - 100'</t>
  </si>
  <si>
    <t>GT-118_100'</t>
  </si>
  <si>
    <t>L-GT-118</t>
  </si>
  <si>
    <t>ALUMINUM DRIP CAP  3'0</t>
  </si>
  <si>
    <t>16A_ALMINUM DRIP CAP  3'0</t>
  </si>
  <si>
    <t>3'0 LOWER PROFILE PANIC STOP .5" X 3.75"</t>
  </si>
  <si>
    <t>8135N_PANIC STOP_3'0</t>
  </si>
  <si>
    <t>3'0 ALUMINUM NYLON BRUSH SEAL OR SWEEP</t>
  </si>
  <si>
    <t>C627A_3'0</t>
  </si>
  <si>
    <t>21' ADH SILCONE FIRE AND SMOKE SEAL</t>
  </si>
  <si>
    <t>5050C_21'</t>
  </si>
  <si>
    <t>GLASS_GT_132</t>
  </si>
  <si>
    <t>3/8" WIDE X 1/32" THICK - 200'</t>
  </si>
  <si>
    <t>GT-132_200'</t>
  </si>
  <si>
    <t>L-GT-132</t>
  </si>
  <si>
    <t>ALUMINUM DRIP CAP  3'4</t>
  </si>
  <si>
    <t>16A_ALMINUM DRIP CAP  3'4</t>
  </si>
  <si>
    <t>3'4 LOWER PROFILE PANIC STOP .5" X 3.75"</t>
  </si>
  <si>
    <t>8135N_PANIC STOP_3'4</t>
  </si>
  <si>
    <t>3'4 ALUMINUM NYLON BRUSH SEAL OR SWEEP</t>
  </si>
  <si>
    <t>C627A_3'4</t>
  </si>
  <si>
    <t>25' ADH SILCONE FIRE AND SMOKE SEAL</t>
  </si>
  <si>
    <t>5050C_25'</t>
  </si>
  <si>
    <t>GLASS_GT_316</t>
  </si>
  <si>
    <t>3/8" WIDE X 3/16" THICK - 50'</t>
  </si>
  <si>
    <t>GT-316_50'</t>
  </si>
  <si>
    <t>L-GT-316</t>
  </si>
  <si>
    <t>ALUMINUM DRIP CAP  3'6</t>
  </si>
  <si>
    <t>16A_ALMINUM DRIP CAP  3'6</t>
  </si>
  <si>
    <t>3'6 LOWER PROFILE PANIC STOP .5" X 3.75"</t>
  </si>
  <si>
    <t>8135N_PANIC STOP_3'6</t>
  </si>
  <si>
    <t>3'6 ALUMINUM NYLON BRUSH SEAL OR SWEEP</t>
  </si>
  <si>
    <t>C627A_3'6</t>
  </si>
  <si>
    <t>ADH SILCONE FIRE AND SMOKE SEAL BY FOOT</t>
  </si>
  <si>
    <t>5050C_BY FOOT</t>
  </si>
  <si>
    <t>GLASS_GT_16</t>
  </si>
  <si>
    <t>3/8" WIDE X 1/16" THICK - BUTYL RUBBER - 50'</t>
  </si>
  <si>
    <t>GT-16_50'</t>
  </si>
  <si>
    <t>L-GT-16</t>
  </si>
  <si>
    <t>ALUMINUM DRIP CAP  3'8</t>
  </si>
  <si>
    <t>16A_ALMINUM DRIP CAP  3'8</t>
  </si>
  <si>
    <t>3'8 LOWER PROFILE PANIC STOP .5" X 3.75"</t>
  </si>
  <si>
    <t>8135N_PANIC STOP_3'8</t>
  </si>
  <si>
    <t>3'8 ALUMINUM NYLON BRUSH SEAL OR SWEEP</t>
  </si>
  <si>
    <t>C627A_3'8</t>
  </si>
  <si>
    <t>WS_5050B</t>
  </si>
  <si>
    <t xml:space="preserve">5050B_300' </t>
  </si>
  <si>
    <t>5050B</t>
  </si>
  <si>
    <t>ALUMINUM DRIP CAP  4'0</t>
  </si>
  <si>
    <t>16A_ALMINUM DRIP CAP  4'0</t>
  </si>
  <si>
    <t>4'0 LOWER PROFILE PANIC STOP .5" X 3.75"</t>
  </si>
  <si>
    <t>8135N_PANIC STOP_4'0</t>
  </si>
  <si>
    <t>4'0 ALUMINUM NYLON BRUSH SEAL OR SWEEP</t>
  </si>
  <si>
    <t>C627A_4'0</t>
  </si>
  <si>
    <t>5050B_17'</t>
  </si>
  <si>
    <t>ALUMINUM DRIP CAP  4'6</t>
  </si>
  <si>
    <t>16A_ALMINUM DRIP CAP  4'6</t>
  </si>
  <si>
    <t>4'6 LOWER PROFILE PANIC STOP .5" X 3.75"</t>
  </si>
  <si>
    <t>8135N_PANIC STOP_4'6</t>
  </si>
  <si>
    <t>4'6 ALUMINUM NYLON BRUSH SEAL OR SWEEP</t>
  </si>
  <si>
    <t>C627A_4'6</t>
  </si>
  <si>
    <t>5050B_20'</t>
  </si>
  <si>
    <t>ALUMINUM DRIP CAP  5'0</t>
  </si>
  <si>
    <t>16A_ALMINUM DRIP CAP  5'0</t>
  </si>
  <si>
    <t>5'0 LOWER PROFILE PANIC STOP .5" X 3.75"</t>
  </si>
  <si>
    <t>8135N_PANIC STOP_5'0</t>
  </si>
  <si>
    <t>5'0 ALUMINUM NYLON BRUSH SEAL OR SWEEP</t>
  </si>
  <si>
    <t>C627A_5'0</t>
  </si>
  <si>
    <t>5050B_21'</t>
  </si>
  <si>
    <t>ALUMINUM DRIP CAP  6'0</t>
  </si>
  <si>
    <t>16A_ALMINUM DRIP CAP  6'0</t>
  </si>
  <si>
    <t>6'0 LOWER PROFILE PANIC STOP .5" X 3.75"</t>
  </si>
  <si>
    <t>8135N_PANIC STOP_6'0</t>
  </si>
  <si>
    <t>6'0 ALUMINUM NYLON BRUSH SEAL OR SWEEP</t>
  </si>
  <si>
    <t>C627A_6'0</t>
  </si>
  <si>
    <t>5050B_25'</t>
  </si>
  <si>
    <t>ALUMINUM DRIP CAP  7'0</t>
  </si>
  <si>
    <t>16A_ALMINUM DRIP CAP  7'0</t>
  </si>
  <si>
    <t>7'0 LOWER PROFILE PANIC STOP .5" X 3.75"</t>
  </si>
  <si>
    <t>8135N_PANIC STOP_7'0</t>
  </si>
  <si>
    <t>DS_699A</t>
  </si>
  <si>
    <t>2'4 NYLON BRUSH SWEEP W/ EPDM RUBBER INSERT</t>
  </si>
  <si>
    <t>C699A_2'4</t>
  </si>
  <si>
    <t>5050B_BY FOOT</t>
  </si>
  <si>
    <t>ALUMINUM DRIP CAP  8'0</t>
  </si>
  <si>
    <t>16A_ALMINUM DRIP CAP  8'0</t>
  </si>
  <si>
    <t>8'0 LOWER PROFILE PANIC STOP .5" X 3.75"</t>
  </si>
  <si>
    <t>8135N_PANIC STOP_8'0</t>
  </si>
  <si>
    <t>2'6 NYLON BRUSH SWEEP W/ EPDM RUBBER INSERT</t>
  </si>
  <si>
    <t>C699A_2'6</t>
  </si>
  <si>
    <t>WS_5050W</t>
  </si>
  <si>
    <t xml:space="preserve">5050W_300' </t>
  </si>
  <si>
    <t>5050W</t>
  </si>
  <si>
    <t>ALUMINUM DRIP CAP  9'0</t>
  </si>
  <si>
    <t>16A_ALMINUM DRIP CAP  9'0</t>
  </si>
  <si>
    <t>9'0 LOWER PROFILE PANIC STOP .5" X 3.75"</t>
  </si>
  <si>
    <t>8135N_PANIC STOP_9'0</t>
  </si>
  <si>
    <t>2'8 NYLON BRUSH SWEEP W/ EPDM RUBBER INSERT</t>
  </si>
  <si>
    <t>C699A_2'8</t>
  </si>
  <si>
    <t>5050W_17'</t>
  </si>
  <si>
    <t>TH_897N</t>
  </si>
  <si>
    <t>2'4 RAISED STOP 1" X 4" NEOPRENE BUMPER</t>
  </si>
  <si>
    <t>897N_RAISED STOP_2'4</t>
  </si>
  <si>
    <t>897N</t>
  </si>
  <si>
    <t>3'0 NYLON BRUSH SWEEP W/ EPDM RUBBER INSERT</t>
  </si>
  <si>
    <t>C699A_3'0</t>
  </si>
  <si>
    <t>5050W_20'</t>
  </si>
  <si>
    <t>2'6 RAISED STOP 1" X 4" NEOPRENE BUMPER</t>
  </si>
  <si>
    <t>897N_RAISED STOP_2'6</t>
  </si>
  <si>
    <t>3'4 NYLON BRUSH SWEEP W/ EPDM RUBBER INSERT</t>
  </si>
  <si>
    <t>C699A_3'4</t>
  </si>
  <si>
    <t>5050W_21'</t>
  </si>
  <si>
    <t>2'8 RAISED STOP 1" X 4" NEOPRENE BUMPER</t>
  </si>
  <si>
    <t>897N_RAISED STOP_2'8</t>
  </si>
  <si>
    <t>3'6 NYLON BRUSH SWEEP W/ EPDM RUBBER INSERT</t>
  </si>
  <si>
    <t>C699A_3'6</t>
  </si>
  <si>
    <t>5050W_25'</t>
  </si>
  <si>
    <t>3'0 RAISED STOP 1" X 4" NEOPRENE BUMPER</t>
  </si>
  <si>
    <t>897N_RAISED STOP_3'0</t>
  </si>
  <si>
    <t>3'8 NYLON BRUSH SWEEP W/ EPDM RUBBER INSERT</t>
  </si>
  <si>
    <t>C699A_3'8</t>
  </si>
  <si>
    <t>5050W_BY FOOT</t>
  </si>
  <si>
    <t>3'4 RAISED STOP 1" X 4" NEOPRENE BUMPER</t>
  </si>
  <si>
    <t>897N_RAISED STOP_3'4</t>
  </si>
  <si>
    <t>4'0 NYLON BRUSH SWEEP W/ EPDM RUBBER INSERT</t>
  </si>
  <si>
    <t>C699A_4'0</t>
  </si>
  <si>
    <t>WS_5040B</t>
  </si>
  <si>
    <t xml:space="preserve">5040B_300' </t>
  </si>
  <si>
    <t>5040B</t>
  </si>
  <si>
    <t>3'6 RAISED STOP 1" X 4" NEOPRENE BUMPER</t>
  </si>
  <si>
    <t>897N_RAISED STOP_3'6</t>
  </si>
  <si>
    <t>4'6 NYLON BRUSH SWEEP W/ EPDM RUBBER INSERT</t>
  </si>
  <si>
    <t>C699A_4'6</t>
  </si>
  <si>
    <t>5040B_17'</t>
  </si>
  <si>
    <t>3'8 RAISED STOP 1" X 4" NEOPRENE BUMPER</t>
  </si>
  <si>
    <t>897N_RAISED STOP_3'8</t>
  </si>
  <si>
    <t>5'0 NYLON BRUSH SWEEP W/ EPDM RUBBER INSERT</t>
  </si>
  <si>
    <t>C699A_5'0</t>
  </si>
  <si>
    <t>5040B_20'</t>
  </si>
  <si>
    <t>4'0 RAISED STOP 1" X 4" NEOPRENE BUMPER</t>
  </si>
  <si>
    <t>897N_RAISED STOP_4'0</t>
  </si>
  <si>
    <t>6'0 NYLON BRUSH SWEEP W/ EPDM RUBBER INSERT</t>
  </si>
  <si>
    <t>C699A_6'0</t>
  </si>
  <si>
    <t>5040B_21'</t>
  </si>
  <si>
    <t>4'6 RAISED STOP 1" X 4" NEOPRENE BUMPER</t>
  </si>
  <si>
    <t>897N_RAISED STOP_4'6</t>
  </si>
  <si>
    <t>DS_200NA</t>
  </si>
  <si>
    <t xml:space="preserve">2'4 ALUMINUM NEOPRENE DOOR SWEEP </t>
  </si>
  <si>
    <t>200NA_2'4</t>
  </si>
  <si>
    <t>5040B_25'</t>
  </si>
  <si>
    <t>5'0 RAISED STOP 1" X 4" NEOPRENE BUMPER</t>
  </si>
  <si>
    <t>897N_RAISED STOP_5'0</t>
  </si>
  <si>
    <t xml:space="preserve">2'6 ALUMINUM NEOPRENE DOOR SWEEP </t>
  </si>
  <si>
    <t>200NA_2'6</t>
  </si>
  <si>
    <t>5040B_BY FOOT</t>
  </si>
  <si>
    <t>6'0 RAISED STOP 1" X 4" NEOPRENE BUMPER</t>
  </si>
  <si>
    <t>897N_RAISED STOP_6'0</t>
  </si>
  <si>
    <t xml:space="preserve">2'8 ALUMINUM NEOPRENE DOOR SWEEP </t>
  </si>
  <si>
    <t>200NA_2'8</t>
  </si>
  <si>
    <t>WS_110NA</t>
  </si>
  <si>
    <t>AL NEOPRENE SPONGE SEAL BY FOOT</t>
  </si>
  <si>
    <t>110NA_BY FOOT</t>
  </si>
  <si>
    <t>110NA</t>
  </si>
  <si>
    <t>7'0 RAISED STOP 1" X 4" NEOPRENE BUMPER</t>
  </si>
  <si>
    <t>897N_RAISED STOP_7'0</t>
  </si>
  <si>
    <t xml:space="preserve">3'0 ALUMINUM NEOPRENE DOOR SWEEP </t>
  </si>
  <si>
    <t>200NA_3'0</t>
  </si>
  <si>
    <t>WS_120NA</t>
  </si>
  <si>
    <t>120NA_BY FOOT</t>
  </si>
  <si>
    <t>120NA</t>
  </si>
  <si>
    <t>8'0 RAISED STOP 1" X 4" NEOPRENE BUMPER</t>
  </si>
  <si>
    <t>897N_RAISED STOP_8'0</t>
  </si>
  <si>
    <t xml:space="preserve">3'4 ALUMINUM NEOPRENE DOOR SWEEP </t>
  </si>
  <si>
    <t>200NA_3'4</t>
  </si>
  <si>
    <t>WS_120NSS</t>
  </si>
  <si>
    <t>SS NEOPRENE PERIMETER SEAL BY FOOT</t>
  </si>
  <si>
    <t>120NSS_BY FOOT</t>
  </si>
  <si>
    <t>120NSS</t>
  </si>
  <si>
    <t>9'0 RAISED STOP 1" X 4" NEOPRENE BUMPER</t>
  </si>
  <si>
    <t>897N_RAISED STOP_9'0</t>
  </si>
  <si>
    <t xml:space="preserve">3'6 ALUMINUM NEOPRENE DOOR SWEEP </t>
  </si>
  <si>
    <t>200NA_3'6</t>
  </si>
  <si>
    <t>WS_102VA</t>
  </si>
  <si>
    <t>AL VINYL DOOR SWEEP BY FOOT</t>
  </si>
  <si>
    <t>102VA_BY FOOT</t>
  </si>
  <si>
    <t>102VA</t>
  </si>
  <si>
    <t>TH_897V</t>
  </si>
  <si>
    <t>2'4 RAISED STOP 1" X 4" VINYL BUMPER</t>
  </si>
  <si>
    <t>897V_RAISED STOP_2'4</t>
  </si>
  <si>
    <t>897V</t>
  </si>
  <si>
    <t xml:space="preserve">3'8 ALUMINUM NEOPRENE DOOR SWEEP </t>
  </si>
  <si>
    <t>200NA_3'8</t>
  </si>
  <si>
    <t>WS_115NA</t>
  </si>
  <si>
    <t>AL ASTRAGAL W/ EPDM SEAL BY FOOT</t>
  </si>
  <si>
    <t>115NA_BY FOOT</t>
  </si>
  <si>
    <t>115NA</t>
  </si>
  <si>
    <t>2'6 RAISED STOP 1" X 4" VINYL  BUMPER</t>
  </si>
  <si>
    <t>897V_RAISED STOP_2'6</t>
  </si>
  <si>
    <t xml:space="preserve">4'0 ALUMINUM NEOPRENE DOOR SWEEP </t>
  </si>
  <si>
    <t>200NA_4'0</t>
  </si>
  <si>
    <t>WS_127NA</t>
  </si>
  <si>
    <t>127NA_BY FOOT</t>
  </si>
  <si>
    <t>127NA</t>
  </si>
  <si>
    <t>2'8 RAISED STOP 1" X 4" VINYL  BUMPER</t>
  </si>
  <si>
    <t>897V_RAISED STOP_2'8</t>
  </si>
  <si>
    <t xml:space="preserve">4'6 ALUMINUM NEOPRENE DOOR SWEEP </t>
  </si>
  <si>
    <t>200NA_4'6</t>
  </si>
  <si>
    <t>WS_127NDKB</t>
  </si>
  <si>
    <t xml:space="preserve">DARK BRONZE AL NEOPRENE SPONGE SEAL BY FOOT </t>
  </si>
  <si>
    <t>127NDKB_BY FOOT</t>
  </si>
  <si>
    <t>127NDKB</t>
  </si>
  <si>
    <t>3'0 RAISED STOP 1" X 4" VINYL  BUMPER</t>
  </si>
  <si>
    <t>897V_RAISED STOP_3'0</t>
  </si>
  <si>
    <t xml:space="preserve">5'0 ALUMINUM NEOPRENE DOOR SWEEP </t>
  </si>
  <si>
    <t>200NA_5'0</t>
  </si>
  <si>
    <t>WS_129NSS</t>
  </si>
  <si>
    <t>129NSS_BY FOOT</t>
  </si>
  <si>
    <t>129NSS</t>
  </si>
  <si>
    <t>3'4 RAISED STOP 1" X 4" VINYL  BUMPER</t>
  </si>
  <si>
    <t>897V_RAISED STOP_3'4</t>
  </si>
  <si>
    <t xml:space="preserve">6'0 ALUMINUM NEOPRENE DOOR SWEEP </t>
  </si>
  <si>
    <t>200NA_6'0</t>
  </si>
  <si>
    <t>WS_130NA</t>
  </si>
  <si>
    <t>130NA_BY FOOT</t>
  </si>
  <si>
    <t>130NA</t>
  </si>
  <si>
    <t>3'6 RAISED STOP 1" X 4" VINYL  BUMPER</t>
  </si>
  <si>
    <t>897V_RAISED STOP_3'6</t>
  </si>
  <si>
    <t>WS_137NA</t>
  </si>
  <si>
    <t>AL NEOPRENE BULB PERIMETER SEAL BY FOOT</t>
  </si>
  <si>
    <t>137NA_BY FOOT</t>
  </si>
  <si>
    <t>137NA</t>
  </si>
  <si>
    <t>3'8 RAISED STOP 1" X 4" VINYL  BUMPER</t>
  </si>
  <si>
    <t>897V_RAISED STOP_3'8</t>
  </si>
  <si>
    <t>WS_137SA</t>
  </si>
  <si>
    <t>AL SILICONE DENSE BULB PERIMETER SEAL BY FOOT</t>
  </si>
  <si>
    <t>137SA_BY FOOT</t>
  </si>
  <si>
    <t>137SA</t>
  </si>
  <si>
    <t>4'0 RAISED STOP 1" X 4" VINYL  BUMPER</t>
  </si>
  <si>
    <t>897V_RAISED STOP_4'0</t>
  </si>
  <si>
    <t>WS_137SA(S)</t>
  </si>
  <si>
    <t>AL SILICONE SMOKE RATED ASTRAGAL BY FOOT</t>
  </si>
  <si>
    <t>137SA(S)_BY FOOT</t>
  </si>
  <si>
    <t>137SA(S)</t>
  </si>
  <si>
    <t>4'6 RAISED STOP 1" X 4" VINYL  BUMPER</t>
  </si>
  <si>
    <t>897V_RAISED STOP_4'6</t>
  </si>
  <si>
    <t>WS_152S</t>
  </si>
  <si>
    <t>MILL AL SILICONE DENSE BULB PERIMETER SEAL BY FOOT</t>
  </si>
  <si>
    <t>152S_BY FOOT</t>
  </si>
  <si>
    <t>152S</t>
  </si>
  <si>
    <t>5'0 RAISED STOP 1" X 4" VINYL  BUMPER</t>
  </si>
  <si>
    <t>897V_RAISED STOP_5'0</t>
  </si>
  <si>
    <t>WS_152V</t>
  </si>
  <si>
    <t>MILL AL VINYL PERIMETER SEAL BY FOOT</t>
  </si>
  <si>
    <t>152V_BY FOOT</t>
  </si>
  <si>
    <t>152V</t>
  </si>
  <si>
    <t>6'0 RAISED STOP 1" X 4" VINYL  BUMPER</t>
  </si>
  <si>
    <t>897V_RAISED STOP_6'0</t>
  </si>
  <si>
    <t>WS_164V</t>
  </si>
  <si>
    <t xml:space="preserve">DARK BRONZE AL VINYL PERIMETER SEAL BY FOOT </t>
  </si>
  <si>
    <t>164V_BY FOOT</t>
  </si>
  <si>
    <t>164V</t>
  </si>
  <si>
    <t>7'0 RAISED STOP 1" X 4" VINYL  BUMPER</t>
  </si>
  <si>
    <t>897V_RAISED STOP_7'0</t>
  </si>
  <si>
    <t>WS_160SA</t>
  </si>
  <si>
    <t>160SA_BY FOOT</t>
  </si>
  <si>
    <t>160SA</t>
  </si>
  <si>
    <t>8'0 RAISED STOP 1" X 4" VINYL  BUMPER</t>
  </si>
  <si>
    <t>897V_RAISED STOP_8'0</t>
  </si>
  <si>
    <t>WS_160VA</t>
  </si>
  <si>
    <t>AL VINYL PERIMETER SEAL BY FOOT</t>
  </si>
  <si>
    <t>160VA_BY FOOT</t>
  </si>
  <si>
    <t>160VA</t>
  </si>
  <si>
    <t>9'0 RAISED STOP 1" X 4" VINYL  BUMPER</t>
  </si>
  <si>
    <t>897V_RAISED STOP_9'0</t>
  </si>
  <si>
    <t>WS_162SA</t>
  </si>
  <si>
    <t>162SA_BY FOOT</t>
  </si>
  <si>
    <t>162SA</t>
  </si>
  <si>
    <t>TH_424</t>
  </si>
  <si>
    <t>2'4 FLAT SADDLE MILL ALUMINUM .5" X 4"</t>
  </si>
  <si>
    <t>424_FLAT SADDLE_2'4</t>
  </si>
  <si>
    <t>WS_602A</t>
  </si>
  <si>
    <t xml:space="preserve">AL NYLON BRUSH SEAL </t>
  </si>
  <si>
    <t>602A_BRUSH SEAL</t>
  </si>
  <si>
    <t>602A</t>
  </si>
  <si>
    <t>2'6 FLAT SADDLE MILL ALUMINUM .5" X 4"</t>
  </si>
  <si>
    <t>424_FLAT SADDLE_2'6</t>
  </si>
  <si>
    <t>WS_A605A</t>
  </si>
  <si>
    <t>AL NYLON BRUSH SEAL OR SWEEP BY FOOT</t>
  </si>
  <si>
    <t>A605A_BY FOOT</t>
  </si>
  <si>
    <t>A605A</t>
  </si>
  <si>
    <t>2'8 FLAT SADDLE MILL ALUMINUM .5" X 4"</t>
  </si>
  <si>
    <t>424_FLAT SADDLE_2'8</t>
  </si>
  <si>
    <t>WS_A626A</t>
  </si>
  <si>
    <t>AL NYLON BRUSH SEAL BY FOOT</t>
  </si>
  <si>
    <t>A626A_BY FOOT</t>
  </si>
  <si>
    <t>A626A</t>
  </si>
  <si>
    <t>3'0 FLAT SADDLE MILL ALUMINUM .5" X 4"</t>
  </si>
  <si>
    <t>424_FLAT SADDLE_3'0</t>
  </si>
  <si>
    <t>WS_700S</t>
  </si>
  <si>
    <t>MILL AL SILICONE PERIMETER SEAL BY FOOT</t>
  </si>
  <si>
    <t>700S_BY FOOT</t>
  </si>
  <si>
    <t>700S</t>
  </si>
  <si>
    <t>3'4 FLAT SADDLE MILL ALUMINUM .5" X 4"</t>
  </si>
  <si>
    <t>424_FLAT SADDLE_3'4</t>
  </si>
  <si>
    <t>WS_700SA</t>
  </si>
  <si>
    <t>AL SILICONE PERIMETER SEAL BY FOOT</t>
  </si>
  <si>
    <t>700SA_BY FOOT</t>
  </si>
  <si>
    <t>700SA</t>
  </si>
  <si>
    <t>3'6 FLAT SADDLE MILL ALUMINUM .5" X 4"</t>
  </si>
  <si>
    <t>424_FLAT SADDLE_3'6</t>
  </si>
  <si>
    <t>WS_5060B</t>
  </si>
  <si>
    <t>17' ADH POS PRESSURE SILICONE FIN SMOKE SEAL</t>
  </si>
  <si>
    <t>5060B_17'</t>
  </si>
  <si>
    <t>5060B</t>
  </si>
  <si>
    <t>3'8 FLAT SADDLE MILL ALUMINUM .5" X 4"</t>
  </si>
  <si>
    <t>424_FLAT SADDLE_3'8</t>
  </si>
  <si>
    <t>20' ADH POS PRESSURE SILICONE FIN SMOKE SEAL</t>
  </si>
  <si>
    <t>5060B_20'</t>
  </si>
  <si>
    <t>4'0 FLAT SADDLE MILL ALUMINUM .5" X 4"</t>
  </si>
  <si>
    <t>424_FLAT SADDLE_4'0</t>
  </si>
  <si>
    <t>21' ADH POS PRESSURE SILICONE FIN SMOKE SEAL</t>
  </si>
  <si>
    <t>5060B_21'</t>
  </si>
  <si>
    <t>4'6 FLAT SADDLE MILL ALUMINUM .5" X 4"</t>
  </si>
  <si>
    <t>424_FLAT SADDLE_4'6</t>
  </si>
  <si>
    <t>ADH POS PRESSURE SILICONE FIN SMOKE SEAL BY FOOT</t>
  </si>
  <si>
    <t>5060B_BY FOOT</t>
  </si>
  <si>
    <t>5'0 FLAT SADDLE MILL ALUMINUM .5" X 4"</t>
  </si>
  <si>
    <t>424_FLAT SADDLE_5'0</t>
  </si>
  <si>
    <t>WS_5075B</t>
  </si>
  <si>
    <t>300' ADH SILCONE TRIPLE FIN SMOKE SEAL</t>
  </si>
  <si>
    <t xml:space="preserve">5075B_300' </t>
  </si>
  <si>
    <t>5075B</t>
  </si>
  <si>
    <t>6'0 FLAT SADDLE MILL ALUMINUM .5" X 4"</t>
  </si>
  <si>
    <t>424_FLAT SADDLE_6'0</t>
  </si>
  <si>
    <t>17' ADH SILCONE TRIPLE FIN SMOKE SEAL</t>
  </si>
  <si>
    <t>5075B_17'</t>
  </si>
  <si>
    <t>7'0 FLAT SADDLE MILL ALUMINUM .5" X 4"</t>
  </si>
  <si>
    <t>424_FLAT SADDLE_7'0</t>
  </si>
  <si>
    <t>20' ADH SILCONE TRIPLE FIN SMOKE SEAL</t>
  </si>
  <si>
    <t>5075B_20'</t>
  </si>
  <si>
    <t>8'0 FLAT SADDLE MILL ALUMINUM .5" X 4"</t>
  </si>
  <si>
    <t>424_FLAT SADDLE_8'0</t>
  </si>
  <si>
    <t>21' ADH SILCONE TRIPLE FIN SMOKE SEAL</t>
  </si>
  <si>
    <t>5075B_21'</t>
  </si>
  <si>
    <t>9'0 FLAT SADDLE MILL ALUMINUM .5" X 4"</t>
  </si>
  <si>
    <t>424_FLAT SADDLE_9'0</t>
  </si>
  <si>
    <t>25' ADH SILCONE TRIPLE FIN SMOKE SEAL</t>
  </si>
  <si>
    <t>5075B_25'</t>
  </si>
  <si>
    <t>TH_424E</t>
  </si>
  <si>
    <t>424E_FLAT SADDLE_2'4</t>
  </si>
  <si>
    <t>424E</t>
  </si>
  <si>
    <t>ADH SILCONE TRIPLE FIN SMOKE SEAL BY FOOT</t>
  </si>
  <si>
    <t>5075B_BY FOOT</t>
  </si>
  <si>
    <t>424E_FLAT SADDLE_2'6</t>
  </si>
  <si>
    <t>WS_159MA</t>
  </si>
  <si>
    <t>AL MAGNETIC SEAL BY FOOT</t>
  </si>
  <si>
    <t>159MA_BY FOOT</t>
  </si>
  <si>
    <t>159MA</t>
  </si>
  <si>
    <t>424E_FLAT SADDLE_2'8</t>
  </si>
  <si>
    <t>424E_FLAT SADDLE_3'0</t>
  </si>
  <si>
    <t>424E_FLAT SADDLE_3'4</t>
  </si>
  <si>
    <t>424E_FLAT SADDLE_3'6</t>
  </si>
  <si>
    <t>424E_FLAT SADDLE_3'8</t>
  </si>
  <si>
    <t>424E_FLAT SADDLE_4'0</t>
  </si>
  <si>
    <t>424E_FLAT SADDLE_4'6</t>
  </si>
  <si>
    <t>424E_FLAT SADDLE_5'0</t>
  </si>
  <si>
    <t>424E_FLAT SADDLE_6'0</t>
  </si>
  <si>
    <t>424E_FLAT SADDLE_7'0</t>
  </si>
  <si>
    <t>424E_FLAT SADDLE_8'0</t>
  </si>
  <si>
    <t>424E_FLAT SADDLE_9'0</t>
  </si>
  <si>
    <t>NON-STOCKED ENGINEERED DOORS</t>
  </si>
  <si>
    <t>JOB</t>
  </si>
  <si>
    <t>ORDER</t>
  </si>
  <si>
    <t>5</t>
  </si>
  <si>
    <t>HP</t>
  </si>
  <si>
    <t>5/8</t>
  </si>
  <si>
    <t>MST1</t>
  </si>
  <si>
    <t>MARK 23464</t>
  </si>
  <si>
    <t>DORMA MORTISE LOCK 9956</t>
  </si>
  <si>
    <t>6</t>
  </si>
  <si>
    <t>FL</t>
  </si>
  <si>
    <t>hg 4.5</t>
  </si>
  <si>
    <r>
      <t xml:space="preserve">MANUFACTURING DESCRIPTION  </t>
    </r>
    <r>
      <rPr>
        <sz val="10"/>
        <color rgb="FFFF0000"/>
        <rFont val="Verdana Pro Cond"/>
        <family val="2"/>
      </rPr>
      <t>THIS IS FOR QUICK BOOKDS AND PURCHASING</t>
    </r>
  </si>
  <si>
    <t>VENDOR INFO</t>
  </si>
  <si>
    <t>PRICING</t>
  </si>
  <si>
    <t>customer mark up group : best customer lower multipler, smalles est customer higher muliplier/mark up</t>
  </si>
  <si>
    <t>PROFIT</t>
  </si>
  <si>
    <r>
      <t xml:space="preserve">SALES DESCRIPTION  </t>
    </r>
    <r>
      <rPr>
        <sz val="10"/>
        <color rgb="FFFF0000"/>
        <rFont val="Verdana Pro Cond"/>
        <family val="2"/>
      </rPr>
      <t>THIS PRINTS ON QUOTE</t>
    </r>
  </si>
  <si>
    <t>sell price</t>
  </si>
  <si>
    <t>last update</t>
  </si>
  <si>
    <t>% GROSS MARGIN</t>
  </si>
  <si>
    <t>GROSS MARGIN</t>
  </si>
  <si>
    <t>4.5 HWSS</t>
  </si>
  <si>
    <t>4.5" x 4.5"  BALL BEARING NON REMOVABLE PIN HINGES HEAVY WEIGHT (.180")  304 STAINLESS</t>
  </si>
  <si>
    <t>4.5x4.5_BBNRP_HW_304 SS</t>
  </si>
  <si>
    <t>78000505 - BB5-HW NRP  4.5 x 4.5</t>
  </si>
  <si>
    <t>9.1.24</t>
  </si>
  <si>
    <t>b</t>
  </si>
  <si>
    <t>REXIT</t>
  </si>
  <si>
    <t>RP-DH_SS NR-3'</t>
  </si>
  <si>
    <t>GRADE 1 RIM EXIT DEVICE  NON RATED _ 3'0 DOORS STAINLESS STEEL</t>
  </si>
  <si>
    <t>2000 SERIES RIM 3' 304</t>
  </si>
  <si>
    <t>FROM ORDER FORM</t>
  </si>
  <si>
    <t>4.5 SWSS</t>
  </si>
  <si>
    <t>4.5" x 4.5"  BALL BEARING NON REMOVABLE PIN HINGES STANDARD WEIGHT (.134")  304 STAINLESS</t>
  </si>
  <si>
    <t>4.5x4.5_BBNRP_SW_304 SS</t>
  </si>
  <si>
    <t>78000526 - BB5 NRP 4.5 x 4.5</t>
  </si>
  <si>
    <t>RP-DH_SS NR-4'</t>
  </si>
  <si>
    <t>GRADE 1 RIM EXIT DEVICE  NON RATED _ 4'0 DOORS STAINLESS STEEL</t>
  </si>
  <si>
    <t>2000 SERIES RIM 4' 304</t>
  </si>
  <si>
    <t>5.0" x 4.5"  BALL BEARING NON REMOVABLE PIN HINGES HEAVY WEIGHT (.180")  304 STAINLESS</t>
  </si>
  <si>
    <t>78000507 - BB5-HW NRP  5 x 4.5</t>
  </si>
  <si>
    <t xml:space="preserve">REXIT </t>
  </si>
  <si>
    <t>RP-DH_SS F-3'</t>
  </si>
  <si>
    <t>GRADE 1 RIM EXIT DEVICE  FIRE RATED _ 3'0 DOORS STAINLESS STEEL</t>
  </si>
  <si>
    <t>F2000 SERIES RIM 3' 304</t>
  </si>
  <si>
    <t>5.0" x 5.0"  BALL BEARING NON REMOVABLE PIN HINGES HEAVY WEIGHT (.180")  304 STAINLESS</t>
  </si>
  <si>
    <t>5.0"x5.0"_BBNRP_hW_304 SS</t>
  </si>
  <si>
    <t>RP-DH_SS F-4'</t>
  </si>
  <si>
    <t>GRADE 1 RIM EXIT DEVICE  FIRE RATED _ 4'0 DOORS STAINLESS STEEL</t>
  </si>
  <si>
    <t>F2000 SERIES RIM 4' 304</t>
  </si>
  <si>
    <t>RP-DH_PC NR-3'</t>
  </si>
  <si>
    <t xml:space="preserve">GRADE 1 RIM EXIT DEVICE  NON RATED _ 3'0 DOORS POWDER COATED ALUMINUM FINISH </t>
  </si>
  <si>
    <t>2000 SERIES RIM 3' PC_689</t>
  </si>
  <si>
    <t>RP-DH_PC NR-4'</t>
  </si>
  <si>
    <t xml:space="preserve">GRADE 1 RIM EXIT DEVICE  NON RATED _ 4'0 DOORS POWDER COATED ALUMINUM FINISH </t>
  </si>
  <si>
    <t>2000 SERIES RIM 4' PC_689</t>
  </si>
  <si>
    <t>RP-DH_PC F-3'</t>
  </si>
  <si>
    <t xml:space="preserve">GRADE 1 RIM EXIT DEVICE  FIRE RATED _ 3'0 DOORS POWDER COATED ALUMINUM FINISH </t>
  </si>
  <si>
    <t>F2000 SERIES RIM 3' PC_689</t>
  </si>
  <si>
    <t>spring std wt ss</t>
  </si>
  <si>
    <t xml:space="preserve">GRADE 1 RIM EXIT DEVICE  FIRE RATED _ 4'0 DOORS POWDER COATED ALUMINUM FINISH </t>
  </si>
  <si>
    <t>F2000 SERIES RIM 4' PC_689</t>
  </si>
  <si>
    <t>electrified 4.5 hw</t>
  </si>
  <si>
    <t>electrified 5.0 hw</t>
  </si>
  <si>
    <t>RP-PHG_SS NR-3'</t>
  </si>
  <si>
    <t>RP-PHG_SS NR-4'</t>
  </si>
  <si>
    <t>RP-PHG_SS F-3'</t>
  </si>
  <si>
    <t>RP-PHG_SS F-4'</t>
  </si>
  <si>
    <t>RP-PHG_SS W-3'</t>
  </si>
  <si>
    <t>GRADE 1 RIM EXIT DEVICE  WIND RATED _ 3'0 DOORS STAINLESS STEEL</t>
  </si>
  <si>
    <t>a</t>
  </si>
  <si>
    <t>RP-PHG_SS W-4'</t>
  </si>
  <si>
    <t>GRADE 1 RIM EXIT DEVICE  WIND RATED _ 4'0 DOORS STAINLESS STEEL</t>
  </si>
  <si>
    <t>RP-PHG_SS FW-3'</t>
  </si>
  <si>
    <t>GRADE 1 RIM EXIT DEVICE  FIRE + WIND RATED _ 3'0 DOORS STAINLESS STEEL</t>
  </si>
  <si>
    <t>RP-PHG_SS FW-4'</t>
  </si>
  <si>
    <t>GRADE 1 RIM EXIT DEVICE  FIRE + WIND RATED _ 4'0 DOORS STAINLESS STEEL</t>
  </si>
  <si>
    <t>RP-PHG_PC NR-3'</t>
  </si>
  <si>
    <t>RP-PHG_PC NR-4'</t>
  </si>
  <si>
    <t>RP-PHG_PC F-3'</t>
  </si>
  <si>
    <t>RP-PHG_PC F-4'</t>
  </si>
  <si>
    <t>RP-PHG_PC W-3'</t>
  </si>
  <si>
    <t xml:space="preserve">GRADE 1 RIM EXIT DEVICE  WIND RATED _ 3'0 DOORS POWDER COATED ALUMINUM FINISH </t>
  </si>
  <si>
    <t>RP-PHG_PC W-4'</t>
  </si>
  <si>
    <t xml:space="preserve">GRADE 1 RIM EXIT DEVICE  WIND RATED _ 4'0 DOORS POWDER COATED ALUMINUM FINISH </t>
  </si>
  <si>
    <t>RP-PHG_PC FW-3'</t>
  </si>
  <si>
    <t>GRADE 1 RIM EXIT DEVICE  FIRE + WIND RATED _ 3'0 DOORS POWDER COATED ALUMINUM FINISH</t>
  </si>
  <si>
    <r>
      <t>RP-</t>
    </r>
    <r>
      <rPr>
        <sz val="10"/>
        <color rgb="FFFF0000"/>
        <rFont val="Verdana Pro Cond"/>
        <family val="2"/>
      </rPr>
      <t>PHG</t>
    </r>
    <r>
      <rPr>
        <sz val="10"/>
        <color theme="1"/>
        <rFont val="Verdana Pro Cond"/>
        <family val="2"/>
      </rPr>
      <t>_PC FW-4'</t>
    </r>
  </si>
  <si>
    <t>GRADE 1 RIM EXIT DEVICE  FIRE + WIND RATED _ 4'0 DOORS POWDER COATED ALUMINUM FINISH</t>
  </si>
  <si>
    <r>
      <t>RP-</t>
    </r>
    <r>
      <rPr>
        <sz val="10"/>
        <color rgb="FFFF0000"/>
        <rFont val="Verdana Pro Cond"/>
        <family val="2"/>
      </rPr>
      <t>PHI</t>
    </r>
    <r>
      <rPr>
        <sz val="10"/>
        <color theme="1"/>
        <rFont val="Verdana Pro Cond"/>
        <family val="2"/>
      </rPr>
      <t>_SS NR-3'</t>
    </r>
  </si>
  <si>
    <t>RP-PHI_SS NR-4'</t>
  </si>
  <si>
    <t>RP-PHI_SS F-3'</t>
  </si>
  <si>
    <t xml:space="preserve">c  </t>
  </si>
  <si>
    <t>RP-PHI_SS F-4'</t>
  </si>
  <si>
    <t>c</t>
  </si>
  <si>
    <t>RP-PHI_SS W-3'</t>
  </si>
  <si>
    <t>RP-PHI_SS W-4'</t>
  </si>
  <si>
    <t>RP-PHI_SS FW-3'</t>
  </si>
  <si>
    <t>RP-PHI_SS FW-4'</t>
  </si>
  <si>
    <t>RP-PHI_PC NR-3'</t>
  </si>
  <si>
    <t>RP-PHI_PC NR-4'</t>
  </si>
  <si>
    <t>PANIC TRIM</t>
  </si>
  <si>
    <t>RP-DH-LVR</t>
  </si>
  <si>
    <t>RP-PHI_PC F-3'</t>
  </si>
  <si>
    <t>RP-DH-ESC</t>
  </si>
  <si>
    <t>RP-PHI_PC F-4'</t>
  </si>
  <si>
    <t>RP-DH-TPP</t>
  </si>
  <si>
    <t>RP-PHI_PC W-3'</t>
  </si>
  <si>
    <t>RP-PHI_PC W-4'</t>
  </si>
  <si>
    <t>RP-PHI_PC FW-3'</t>
  </si>
  <si>
    <t>RP-PHI_PC FW-4'</t>
  </si>
  <si>
    <t>MEXIT</t>
  </si>
  <si>
    <t>MP-PHG_SS NR-3'</t>
  </si>
  <si>
    <t>GRADE 1 MORTISE EXIT DEVICE  NON RATED _ 3'0 DOORS STAINLESS STEEL</t>
  </si>
  <si>
    <t>MP-PHG_SS NR-4'</t>
  </si>
  <si>
    <t>GRADE 1 MORTISE EXIT DEVICE  NON RATED _ 4'0 DOORS STAINLESS STEEL</t>
  </si>
  <si>
    <t xml:space="preserve">MEXIT </t>
  </si>
  <si>
    <t>MP-PHG_SS F-3'</t>
  </si>
  <si>
    <t>GRADE 1 MORTISE EXIT DEVICE  FIRE RATED _ 3'0 DOORS STAINLESS STEEL</t>
  </si>
  <si>
    <t>MP-PHG_SS F-4'</t>
  </si>
  <si>
    <t>GRADE 1 MORTISE EXIT DEVICE  FIRE RATED _ 4'0 DOORS STAINLESS STEEL</t>
  </si>
  <si>
    <t>MP-PHG_SS W-3'</t>
  </si>
  <si>
    <t>GRADE 1 MORTISE EXIT DEVICE  WIND RATED _ 3'0 DOORS STAINLESS STEEL</t>
  </si>
  <si>
    <t>MP-PHG_SS W-4'</t>
  </si>
  <si>
    <t>GRADE 1 MORTISE EXIT DEVICE  WIND RATED _ 4'0 DOORS STAINLESS STEEL</t>
  </si>
  <si>
    <t>MP-PHG_SS FW-3'</t>
  </si>
  <si>
    <t>GRADE 1 MORTISE EXIT DEVICE  FIRE + WIND RATED _ 3'0 DOORS STAINLESS STEEL</t>
  </si>
  <si>
    <t>MP-PHG_SS FW-4'</t>
  </si>
  <si>
    <t>GRADE 1 MORTISE EXIT DEVICE  FIRE + WIND RATED _ 4'0 DOORS STAINLESS STEEL</t>
  </si>
  <si>
    <t>MP-PHG_PC NR-3'</t>
  </si>
  <si>
    <t xml:space="preserve">GRADE 1 MORTISE EXIT DEVICE  NON RATED _ 3'0 DOORS POWDER COATED ALUMINUM FINISH </t>
  </si>
  <si>
    <t>MP-PHG_PC NR-4'</t>
  </si>
  <si>
    <t xml:space="preserve">GRADE 1 MORTISE EXIT DEVICE  NON RATED _ 4'0 DOORS POWDER COATED ALUMINUM FINISH </t>
  </si>
  <si>
    <t>MP-PHG_PC F-3'</t>
  </si>
  <si>
    <t xml:space="preserve">GRADE 1 MORTISE EXIT DEVICE  FIRE RATED _ 3'0 DOORS POWDER COATED ALUMINUM FINISH </t>
  </si>
  <si>
    <t>MP-PHG_PC F-4'</t>
  </si>
  <si>
    <t xml:space="preserve">GRADE 1 MORTISE EXIT DEVICE  FIRE RATED _ 4'0 DOORS POWDER COATED ALUMINUM FINISH </t>
  </si>
  <si>
    <t>MP-PHG_PC W-3'</t>
  </si>
  <si>
    <t xml:space="preserve">GRADE 1 MORTISE EXIT DEVICE  WIND RATED _ 3'0 DOORS POWDER COATED ALUMINUM FINISH </t>
  </si>
  <si>
    <t>MP-PHG_PC W-4'</t>
  </si>
  <si>
    <t xml:space="preserve">GRADE 1 MORTISE EXIT DEVICE  WIND RATED _ 4'0 DOORS POWDER COATED ALUMINUM FINISH </t>
  </si>
  <si>
    <t>Locks Needing Templates</t>
  </si>
  <si>
    <t>MP-PHG_PC FW-3'</t>
  </si>
  <si>
    <t>GRADE 1 MORTISE EXIT DEVICE  FIRE + WIND RATED _ 3'0 DOORS POWDER COATED ALUMINUM FINISH</t>
  </si>
  <si>
    <t>MP-PHG_PC FW-4'</t>
  </si>
  <si>
    <t>GRADE 1 MORTISE EXIT DEVICE  FIRE + WIND RATED _ 4'0 DOORS POWDER COATED ALUMINUM FINISH</t>
  </si>
  <si>
    <t>MP-PHI_SS NR-3'</t>
  </si>
  <si>
    <t>MP-PHI_SS NR-4'</t>
  </si>
  <si>
    <t>MP-PHI_SS F-3'</t>
  </si>
  <si>
    <t>MP-PHI_SS F-4'</t>
  </si>
  <si>
    <t>MP-PHI_SS W-3'</t>
  </si>
  <si>
    <t>MP-PHI_SS W-4'</t>
  </si>
  <si>
    <t>MP-PHI_SS FW-3'</t>
  </si>
  <si>
    <t>MP-PHI_SS FW-4'</t>
  </si>
  <si>
    <t>MP-PHI_PC NR-3'</t>
  </si>
  <si>
    <t>MP-PHI_PC NR-4'</t>
  </si>
  <si>
    <t>MP-PHI_PC F-3'</t>
  </si>
  <si>
    <t>MP-PHI_PC F-4'</t>
  </si>
  <si>
    <t>MP-PHI_PC W-3'</t>
  </si>
  <si>
    <t>MP-PHI_PC W-4'</t>
  </si>
  <si>
    <t>MP-PHI_PC FW-3'</t>
  </si>
  <si>
    <t>MP-PHI_PC FW-4'</t>
  </si>
  <si>
    <t>VREXIT</t>
  </si>
  <si>
    <t>SVR-DH_SS NR-3'</t>
  </si>
  <si>
    <t>GRADE 1 SURFACE VERTICAL ROD  EXIT DEVICE  NON RATED _ 3'0 DOORS STAINLESS STEEL</t>
  </si>
  <si>
    <t>SVR-DH_SS NR-4'</t>
  </si>
  <si>
    <t>GRADE 1 SURFACE VERTICAL ROD  EXIT DEVICE  NON RATED _ 4'0 DOORS STAINLESS STEEL</t>
  </si>
  <si>
    <t xml:space="preserve">VREXIT </t>
  </si>
  <si>
    <t>SVR-DH_SS F-3'</t>
  </si>
  <si>
    <t>GRADE 1 SURFACE VERTICAL ROD  EXIT DEVICE  FIRE RATED _ 3'0 DOORS STAINLESS STEEL</t>
  </si>
  <si>
    <t>SVR-DH_SS F-4'</t>
  </si>
  <si>
    <t>GRADE 1 SURFACE VERTICAL ROD  EXIT DEVICE  FIRE RATED _ 4'0 DOORS STAINLESS STEEL</t>
  </si>
  <si>
    <t>SVR-DH_PC NR-3'</t>
  </si>
  <si>
    <t xml:space="preserve">GRADE 1 SURFACE VERTICAL ROD  EXIT DEVICE  NON RATED _ 3'0 DOORS POWDER COATED ALUMINUM FINISH </t>
  </si>
  <si>
    <t>SVR-DH_PC NR-4'</t>
  </si>
  <si>
    <t xml:space="preserve">GRADE 1 SURFACE VERTICAL ROD  EXIT DEVICE  NON RATED _ 4'0 DOORS POWDER COATED ALUMINUM FINISH </t>
  </si>
  <si>
    <t>SVR-DH_PC F-3'</t>
  </si>
  <si>
    <t xml:space="preserve">GRADE 1 SURFACE VERTICAL ROD  EXIT DEVICE  FIRE RATED _ 3'0 DOORS POWDER COATED ALUMINUM FINISH </t>
  </si>
  <si>
    <t>SVR-DH_PC F-4'</t>
  </si>
  <si>
    <t xml:space="preserve">GRADE 1 SURFACE VERTICAL ROD  EXIT DEVICE  FIRE RATED _ 4'0 DOORS POWDER COATED ALUMINUM FINISH </t>
  </si>
  <si>
    <t>SVR-DH-TR 8'</t>
  </si>
  <si>
    <t>GRADE 1 SURFACE VERTICAL ROD  EXIT DEVICE  TOP ROD FOR 8'0 DOORS</t>
  </si>
  <si>
    <t>SVR-DH-TR 10'</t>
  </si>
  <si>
    <t>GRADE 1 SURFACE VERTICAL ROD  EXIT DEVICE  TOP ROD FOR 10'0 DOORS</t>
  </si>
  <si>
    <t>SVR-PHG_SS NR-3'</t>
  </si>
  <si>
    <t>GRADE 1 SURFACE VERTICAL ROD EXIT DEVICE  NON RATED _ 3'0 DOORS STAINLESS STEEL</t>
  </si>
  <si>
    <t>SVR-PHG_SS NR-4'</t>
  </si>
  <si>
    <t>GRADE 1 SURFACE VERTICAL ROD EXIT DEVICE  NON RATED _ 4'0 DOORS STAINLESS STEEL</t>
  </si>
  <si>
    <t>SVR-PHG_SS F-3'</t>
  </si>
  <si>
    <t>GRADE 1 SURFACE VERTICAL ROD EXIT DEVICE  FIRE RATED _ 3'0 DOORS STAINLESS STEEL</t>
  </si>
  <si>
    <t>SVR-PHG_SS F-4'</t>
  </si>
  <si>
    <t>GRADE 1 SURFACE VERTICAL ROD EXIT DEVICE  FIRE RATED _ 4'0 DOORS STAINLESS STEEL</t>
  </si>
  <si>
    <t>SVR-PHG_SS W-3'</t>
  </si>
  <si>
    <t>GRADE 1 SURFACE VERTICAL ROD EXIT DEVICE  WIND RATED _ 3'0 DOORS STAINLESS STEEL</t>
  </si>
  <si>
    <t>SVR-PHG_SS W-4'</t>
  </si>
  <si>
    <t>GRADE 1 SURFACE VERTICAL ROD EXIT DEVICE  WIND RATED _ 4'0 DOORS STAINLESS STEEL</t>
  </si>
  <si>
    <t>SVR-PHG_SS FW-3'</t>
  </si>
  <si>
    <t>GRADE 1 SURFACE VERTICAL ROD EXIT DEVICE  FIRE + WIND RATED _ 3'0 DOORS STAINLESS STEEL</t>
  </si>
  <si>
    <t>SVR-PHG_SS FW-4'</t>
  </si>
  <si>
    <t>GRADE 1 SURFACE VERTICAL ROD EXIT DEVICE  FIRE + WIND RATED _ 4'0 DOORS STAINLESS STEEL</t>
  </si>
  <si>
    <t>SVR-PHG_PC NR-3'</t>
  </si>
  <si>
    <t xml:space="preserve">GRADE 1 SURFACE VERTICAL ROD EXIT DEVICE  NON RATED _ 3'0 DOORS POWDER COATED ALUMINUM FINISH </t>
  </si>
  <si>
    <t>SVR-PHG_PC NR-4'</t>
  </si>
  <si>
    <t xml:space="preserve">GRADE 1 SURFACE VERTICAL ROD EXIT DEVICE  NON RATED _ 4'0 DOORS POWDER COATED ALUMINUM FINISH </t>
  </si>
  <si>
    <t>SVR-PHG_PC F-3'</t>
  </si>
  <si>
    <t xml:space="preserve">GRADE 1 SURFACE VERTICAL ROD EXIT DEVICE  FIRE RATED _ 3'0 DOORS POWDER COATED ALUMINUM FINISH </t>
  </si>
  <si>
    <t>SVR-PHG_PC F-4'</t>
  </si>
  <si>
    <t xml:space="preserve">GRADE 1 SURFACE VERTICAL ROD EXIT DEVICE  FIRE RATED _ 4'0 DOORS POWDER COATED ALUMINUM FINISH </t>
  </si>
  <si>
    <t>SVR-PHG_PC W-3'</t>
  </si>
  <si>
    <t xml:space="preserve">GRADE 1 SURFACE VERTICAL ROD EXIT DEVICE  WIND RATED _ 3'0 DOORS POWDER COATED ALUMINUM FINISH </t>
  </si>
  <si>
    <t>SVR-PHG_PC W-4'</t>
  </si>
  <si>
    <t xml:space="preserve">GRADE 1 SURFACE VERTICAL ROD EXIT DEVICE  WIND RATED _ 4'0 DOORS POWDER COATED ALUMINUM FINISH </t>
  </si>
  <si>
    <t>SVR-PHG_PC FW-3'</t>
  </si>
  <si>
    <t>GRADE 1 SURFACE VERTICAL ROD EXIT DEVICE  FIRE + WIND RATED _ 3'0 DOORS POWDER COATED ALUMINUM FINISH</t>
  </si>
  <si>
    <t>SVR-PHG_PC FW-4'</t>
  </si>
  <si>
    <t>GRADE 1 SURFACE VERTICAL ROD EXIT DEVICE  FIRE + WIND RATED _ 4'0 DOORS POWDER COATED ALUMINUM FINISH</t>
  </si>
  <si>
    <t>SVR-PHG-TR 8'</t>
  </si>
  <si>
    <t>SVR-PHG-TR 10'</t>
  </si>
  <si>
    <t>SVR-PHI_SS NR-3'</t>
  </si>
  <si>
    <t>SVR-PHI_SS NR-4'</t>
  </si>
  <si>
    <t>SVR-PHI_SS F-3'</t>
  </si>
  <si>
    <t>SVR-PHI_SS F-4'</t>
  </si>
  <si>
    <t>SVR-PHI_SS W-3'</t>
  </si>
  <si>
    <t>SVR-PHI_SS W-4'</t>
  </si>
  <si>
    <t>NOLP</t>
  </si>
  <si>
    <t>SVR-PHI_SS FW-3'</t>
  </si>
  <si>
    <t>SVR-PHI_SS FW-4'</t>
  </si>
  <si>
    <t>MST</t>
  </si>
  <si>
    <t>*</t>
  </si>
  <si>
    <t>SVR-PHI_PC NR-3'</t>
  </si>
  <si>
    <t>CYL</t>
  </si>
  <si>
    <t>SVR-PHI_PC NR-4'</t>
  </si>
  <si>
    <t>CBF</t>
  </si>
  <si>
    <t>SVR-PHI_PC F-3'</t>
  </si>
  <si>
    <t>CBE</t>
  </si>
  <si>
    <t>SVR-PHI_PC F-4'</t>
  </si>
  <si>
    <t>T</t>
  </si>
  <si>
    <t>SVR-PHI_PC W-3'</t>
  </si>
  <si>
    <t>SVR-PHI_PC W-4'</t>
  </si>
  <si>
    <t>CRLP</t>
  </si>
  <si>
    <t>SVR-PHI_PC FW-3'</t>
  </si>
  <si>
    <t>&lt;&gt;</t>
  </si>
  <si>
    <t>SVR-PHI_PC FW-4'</t>
  </si>
  <si>
    <t>RP</t>
  </si>
  <si>
    <t>SVR-PHI-TR 8'</t>
  </si>
  <si>
    <t>SVR-PHI-TR 10'</t>
  </si>
  <si>
    <t>RBA</t>
  </si>
  <si>
    <t>RBI</t>
  </si>
  <si>
    <t>VRNP</t>
  </si>
  <si>
    <t>MPAN</t>
  </si>
  <si>
    <t>RMP</t>
  </si>
  <si>
    <t>PP</t>
  </si>
  <si>
    <t>FP</t>
  </si>
  <si>
    <t>RPP</t>
  </si>
  <si>
    <t>SVRP</t>
  </si>
  <si>
    <t>CVR</t>
  </si>
  <si>
    <t>DTRP</t>
  </si>
  <si>
    <t>MPNP</t>
  </si>
  <si>
    <t>RED</t>
  </si>
  <si>
    <t>478N</t>
  </si>
  <si>
    <t>234N</t>
  </si>
  <si>
    <t>NO</t>
  </si>
  <si>
    <t>ESTK</t>
  </si>
  <si>
    <t xml:space="preserve">EMDL </t>
  </si>
  <si>
    <t>OBS</t>
  </si>
  <si>
    <t>RSTK</t>
  </si>
  <si>
    <t>SPL</t>
  </si>
  <si>
    <t>90U</t>
  </si>
  <si>
    <t>PADL</t>
  </si>
  <si>
    <t>SPKL</t>
  </si>
  <si>
    <t>3PTL</t>
  </si>
  <si>
    <t>ICL2</t>
  </si>
  <si>
    <t>ICS2</t>
  </si>
  <si>
    <t>SVR2</t>
  </si>
  <si>
    <t>SVR3</t>
  </si>
  <si>
    <t>CVR3</t>
  </si>
  <si>
    <t>SVR4</t>
  </si>
  <si>
    <t>SVR5</t>
  </si>
  <si>
    <t>Type:</t>
  </si>
  <si>
    <t>Glass Thickness:</t>
  </si>
  <si>
    <t>Dimensions:</t>
  </si>
  <si>
    <t>B</t>
  </si>
  <si>
    <t>C</t>
  </si>
  <si>
    <t>D</t>
  </si>
  <si>
    <t>E</t>
  </si>
  <si>
    <t>*For D / G Dimensions</t>
  </si>
  <si>
    <t>Enter "EQ" if centered in Door</t>
  </si>
  <si>
    <t>RP-DH_PC F-4'</t>
  </si>
  <si>
    <t>1000 SERIES RIM 3' 304</t>
  </si>
  <si>
    <t>1000 SERIES RIM 4' 304</t>
  </si>
  <si>
    <t>F1000 SERIES RIM 3' 304</t>
  </si>
  <si>
    <t>F1000 SERIES RIM 4' 304</t>
  </si>
  <si>
    <t>1000 SERIES RIM 3' PC_689</t>
  </si>
  <si>
    <t>1000 SERIES RIM 4' PC_689</t>
  </si>
  <si>
    <t>F1000 SERIES RIM 3' PC_689</t>
  </si>
  <si>
    <t>F1000 SERIES RIM 4' PC_689</t>
  </si>
  <si>
    <t>Integrated Entry Estimating forms</t>
  </si>
  <si>
    <t xml:space="preserve">Commercial door hardware </t>
  </si>
  <si>
    <t xml:space="preserve">THIS IS THE DROP DOWN TABLE THAT WILL DRIVE THE LOOKUPS BELOW..  </t>
  </si>
  <si>
    <t>THIS TABLE WILL HAVE A DROP DOWN FOR SELECTION OF FEATURE AND OPTION REQUIRED FOR THE QUOTATION</t>
  </si>
  <si>
    <t xml:space="preserve">LEFT TO RIGHT ORGANIZATION AND SEGMENTS WILL BE HEADINGS ON SPREADHEET BELOW AND THE PROGRESSION LEFT TO RIGHT WILL FOLLOW THE DIVISION 8 ORDER OF COMPONENTS COMMONLY ACCEPTED BY THE ARCHITECTURAL COMMUNITY. </t>
  </si>
  <si>
    <t>EXIT DEVICES</t>
  </si>
  <si>
    <t>LOCKSETS AND ACCESSORIES</t>
  </si>
  <si>
    <t>CLOSERS</t>
  </si>
  <si>
    <t>PAIRED OPENING HARDWARE</t>
  </si>
  <si>
    <t>LINE #</t>
  </si>
  <si>
    <t>QTY</t>
  </si>
  <si>
    <t xml:space="preserve">     BUTT HINGES</t>
  </si>
  <si>
    <t>CONTINUOUS HINGES</t>
  </si>
  <si>
    <t>RIM EXIT</t>
  </si>
  <si>
    <t xml:space="preserve">SURFACE VERTICAL ROD       </t>
  </si>
  <si>
    <t>MORTISE     EXIT</t>
  </si>
  <si>
    <t>EXIT DEVICE TRIM</t>
  </si>
  <si>
    <t>AUXILLIARY TRIM</t>
  </si>
  <si>
    <t>CYLINDRICAL   LOCKS</t>
  </si>
  <si>
    <t>DEAD BOLTS</t>
  </si>
  <si>
    <t>PULL HANDLES</t>
  </si>
  <si>
    <t>MORTISE   LOCKS</t>
  </si>
  <si>
    <t>LATCH GUARDS</t>
  </si>
  <si>
    <t>DOOR   CLOSER</t>
  </si>
  <si>
    <t>AUXILIARY ARMS</t>
  </si>
  <si>
    <t>HOLD OPEN ARMS &amp; WALL STOPS</t>
  </si>
  <si>
    <t>DOOR COORDINATORS</t>
  </si>
  <si>
    <t>PANICS</t>
  </si>
  <si>
    <t xml:space="preserve">PANIC TRIM  </t>
  </si>
  <si>
    <t>LOCKS</t>
  </si>
  <si>
    <t>CYLINDRICAL</t>
  </si>
  <si>
    <t>SB STANDARD</t>
  </si>
  <si>
    <t>CLASSROOM</t>
  </si>
  <si>
    <t>MORTISE</t>
  </si>
  <si>
    <t>SB WIND</t>
  </si>
  <si>
    <t>FB STD</t>
  </si>
  <si>
    <t>PDQ</t>
  </si>
  <si>
    <t>FB WIND</t>
  </si>
  <si>
    <t>SLIDE TRACK</t>
  </si>
  <si>
    <t>GRADE 2</t>
  </si>
  <si>
    <t>AUTO FLUSH BOLT</t>
  </si>
  <si>
    <t>DOOR COORDINATOR</t>
  </si>
  <si>
    <t>DUST PROOF STRIKE</t>
  </si>
  <si>
    <t>PULL</t>
  </si>
  <si>
    <t>opening 1</t>
  </si>
  <si>
    <t>BUTT HINGES</t>
  </si>
  <si>
    <t>EXIT DEVICE</t>
  </si>
  <si>
    <t>SERIES</t>
  </si>
  <si>
    <t xml:space="preserve">FUNCTION </t>
  </si>
  <si>
    <t>FINISH</t>
  </si>
  <si>
    <t>TRIM</t>
  </si>
  <si>
    <t>PRODUCT</t>
  </si>
  <si>
    <t>FUNCTION</t>
  </si>
  <si>
    <t>OPENING TYPE</t>
  </si>
  <si>
    <t>DOOR TYPE/ELEVATION</t>
  </si>
  <si>
    <t>EDGE</t>
  </si>
  <si>
    <t>WIDTH</t>
  </si>
  <si>
    <t>HEIGHT</t>
  </si>
  <si>
    <t>Undercut</t>
  </si>
  <si>
    <t>MATERIAL</t>
  </si>
  <si>
    <t>CORE</t>
  </si>
  <si>
    <t>LOCATION</t>
  </si>
  <si>
    <t>LOCK</t>
  </si>
  <si>
    <t>AUX LOCK</t>
  </si>
  <si>
    <t>BOLT</t>
  </si>
  <si>
    <t xml:space="preserve">CAP </t>
  </si>
  <si>
    <t>HAND</t>
  </si>
  <si>
    <t>Adds</t>
  </si>
  <si>
    <t>SINGLE</t>
  </si>
  <si>
    <t>F-    FLUSH DOOR</t>
  </si>
  <si>
    <t>LOCK SEAM</t>
  </si>
  <si>
    <t>20    2'0" NOMINAL WIDTH</t>
  </si>
  <si>
    <t>68    6'8" NOMINAL HEIGHT</t>
  </si>
  <si>
    <t>5/8    5/8" UNDERCUT</t>
  </si>
  <si>
    <t>18    18 GA. CONSTRUCTION</t>
  </si>
  <si>
    <t>A40</t>
  </si>
  <si>
    <t>A40 GALVANIZED</t>
  </si>
  <si>
    <t>HP-    POLYSTYRENE CORE FULL FLUSH</t>
  </si>
  <si>
    <t>STE    STEEL CRAFT LOCATION</t>
  </si>
  <si>
    <t>SINGLE FIRE</t>
  </si>
  <si>
    <t>V</t>
  </si>
  <si>
    <t>V-    VISION DOOR</t>
  </si>
  <si>
    <t>STITCH WELD</t>
  </si>
  <si>
    <t>24    2'4" NOMINAL WIDTH</t>
  </si>
  <si>
    <t>70    7'0" NOMINAL HEIGHT</t>
  </si>
  <si>
    <t>3/8    3/8" UNDERCUT</t>
  </si>
  <si>
    <t>16    16 GA. CONSTRUCTION</t>
  </si>
  <si>
    <t>A60</t>
  </si>
  <si>
    <t>A60 GALVANIZED</t>
  </si>
  <si>
    <t>HPF</t>
  </si>
  <si>
    <t>HPF    POLYSTYRENE CORE SEAMLESS</t>
  </si>
  <si>
    <t>CEC</t>
  </si>
  <si>
    <t>CEC    CECO LOCATION</t>
  </si>
  <si>
    <t>SINGLE WIND</t>
  </si>
  <si>
    <t>G68</t>
  </si>
  <si>
    <t>G68    HALF GLASS 22x30</t>
  </si>
  <si>
    <t>SEAM FILLED</t>
  </si>
  <si>
    <t>26    2'6" NOMINAL WIDTH</t>
  </si>
  <si>
    <t>72    7'2" NOMINAL HEIGHT</t>
  </si>
  <si>
    <t>3/4</t>
  </si>
  <si>
    <t>3/4    3/4" UNDERCUT</t>
  </si>
  <si>
    <t>14    14 GA. CONSTRUCTION</t>
  </si>
  <si>
    <t>G90</t>
  </si>
  <si>
    <t>G90 GALVANIZED</t>
  </si>
  <si>
    <t>CHP</t>
  </si>
  <si>
    <t>CHP-    POLYSTYRENE CORE FULL WELD</t>
  </si>
  <si>
    <t>PIO</t>
  </si>
  <si>
    <t>PIO    PIONEER LOCATION</t>
  </si>
  <si>
    <t>SINGLE FIRE/WIND</t>
  </si>
  <si>
    <t>G70</t>
  </si>
  <si>
    <t>G70    HALF GLASS 22x34</t>
  </si>
  <si>
    <t>28    2'8" NOMINAL WIDTH</t>
  </si>
  <si>
    <t>7'-10"</t>
  </si>
  <si>
    <t>710    7'10" NOMINAL HEIGHT</t>
  </si>
  <si>
    <t>Special UC</t>
  </si>
  <si>
    <t>12    12 GA. CONSTRUCTION</t>
  </si>
  <si>
    <t>304 STAINLESS STEEL</t>
  </si>
  <si>
    <t>H--    HONEYCOMB CORE FULL FLUSH</t>
  </si>
  <si>
    <t>AMW</t>
  </si>
  <si>
    <t>AMW    AMWELD LOCATION</t>
  </si>
  <si>
    <t>SINGLE TRANSOM</t>
  </si>
  <si>
    <t>N3</t>
  </si>
  <si>
    <t>N3    N 3x33 DOOR</t>
  </si>
  <si>
    <t>2'-10"</t>
  </si>
  <si>
    <t>210    2'10" NOMINAL WIDTH</t>
  </si>
  <si>
    <t>80    8'0" NOMINAL HEIGHT</t>
  </si>
  <si>
    <t>316 STAINLESS STEEL</t>
  </si>
  <si>
    <t>HF</t>
  </si>
  <si>
    <t>HF-   HONEYCOMB CORE DOOR SEAMLESS</t>
  </si>
  <si>
    <t>MES</t>
  </si>
  <si>
    <t>MES    MESKER LOCATION</t>
  </si>
  <si>
    <t>SINGLE TRANSOM FIRE CONTRUCTION</t>
  </si>
  <si>
    <t>N4</t>
  </si>
  <si>
    <t>N4    N 4x25 DOOR</t>
  </si>
  <si>
    <t>30    3'0" NOMINAL WIDTH</t>
  </si>
  <si>
    <t>9'0"</t>
  </si>
  <si>
    <t>90    9'0" NOMINAL HEIGHT</t>
  </si>
  <si>
    <t>CH</t>
  </si>
  <si>
    <t>CH-    HONEYCOMB CORE FULL WELD</t>
  </si>
  <si>
    <t>CUR</t>
  </si>
  <si>
    <t>CUR    CURRIES LOCATION</t>
  </si>
  <si>
    <t>SINGLE TRANSOM WIND CONSTRUCTION</t>
  </si>
  <si>
    <t>N5</t>
  </si>
  <si>
    <t>N5    N 5x20 DOOR</t>
  </si>
  <si>
    <t>34    3'4" NOMINAL WIDTH</t>
  </si>
  <si>
    <t>SH</t>
  </si>
  <si>
    <t>SH    SPECIAL HEIGHT</t>
  </si>
  <si>
    <t>C--    STEEL STIFFENED SEAMLESS WE</t>
  </si>
  <si>
    <t>R15</t>
  </si>
  <si>
    <t>REPUBLIC 2015 PUBLISHED LOCATIONS</t>
  </si>
  <si>
    <t>SINGLE TRANSOM FIRE/WIND CONSTRUCTION</t>
  </si>
  <si>
    <t>NG68</t>
  </si>
  <si>
    <t>NG68    N G 6x30</t>
  </si>
  <si>
    <t>36    3'6" NOMINAL WIDTH</t>
  </si>
  <si>
    <t>LW-    STEEL STIFFENED FULL FLUSH</t>
  </si>
  <si>
    <t>SPL    SPL LOCATIONS  (TOP TO TOP)</t>
  </si>
  <si>
    <t>NG70</t>
  </si>
  <si>
    <t>NG70    N G 6x34</t>
  </si>
  <si>
    <t>38    3'8" NOMINAL WIDTH</t>
  </si>
  <si>
    <t>LWF</t>
  </si>
  <si>
    <t>LWF    STEEL STIFFENED SEAMLESS</t>
  </si>
  <si>
    <t>PAIR FIRE</t>
  </si>
  <si>
    <t>L1</t>
  </si>
  <si>
    <t>L1    LOUVER 12x12</t>
  </si>
  <si>
    <t>3'-10"</t>
  </si>
  <si>
    <t>310    3'10" NOMINAL WIDTH</t>
  </si>
  <si>
    <t>HT</t>
  </si>
  <si>
    <t>HT-    URETHANE CORE FULL FLUSH</t>
  </si>
  <si>
    <t>PAIR WIND</t>
  </si>
  <si>
    <t>L2</t>
  </si>
  <si>
    <t>L2    LOUVER 24x12</t>
  </si>
  <si>
    <t>40    4'0" NOMINAL WIDTH</t>
  </si>
  <si>
    <t>HTF</t>
  </si>
  <si>
    <t>HTF    URETHANE CORE SEAMLESS</t>
  </si>
  <si>
    <t>PAIR FIRE/WIND</t>
  </si>
  <si>
    <t>L3</t>
  </si>
  <si>
    <t>L3    LOUVER 24x24</t>
  </si>
  <si>
    <t>4'6</t>
  </si>
  <si>
    <t>46   4'6"  NOMINAL WIDTH</t>
  </si>
  <si>
    <t>CHT</t>
  </si>
  <si>
    <t>CHT    URETHANE CORE FULL WELD</t>
  </si>
  <si>
    <t>PAIR TRANSOM</t>
  </si>
  <si>
    <t>TP</t>
  </si>
  <si>
    <t>TP    TRANSOM PANEL</t>
  </si>
  <si>
    <t>W50</t>
  </si>
  <si>
    <t>W50   PIOCANE POLY CORE FULL FLUSH +/-50</t>
  </si>
  <si>
    <t>PAIR TRANSOM FIRE CONTRUCTION</t>
  </si>
  <si>
    <t>W50F</t>
  </si>
  <si>
    <t>W50F   PIOCANE POLY CORE SEAMLESS +/-50</t>
  </si>
  <si>
    <t>PAIR TRANSOM WIND CONSTRUCTION</t>
  </si>
  <si>
    <t>W70</t>
  </si>
  <si>
    <t>W70   PIOCANE POLY CORE FULL FLUSH +/-70</t>
  </si>
  <si>
    <t>PAIR TRANSOM FIRE/WIND CONSTRUCTION</t>
  </si>
  <si>
    <t>W70F</t>
  </si>
  <si>
    <t>W70F   PIOCANE POLY CORE SEAMLESS +/-70</t>
  </si>
  <si>
    <t>STC</t>
  </si>
  <si>
    <t>STC    SOUND RATED DOOR</t>
  </si>
  <si>
    <t>SBR    BLAST DOOR (LOW PRESSURE)</t>
  </si>
  <si>
    <t>FEMA</t>
  </si>
  <si>
    <t>C SERIES - FEMA 361 DOOR</t>
  </si>
  <si>
    <t>Single/Pair</t>
  </si>
  <si>
    <t>Active</t>
  </si>
  <si>
    <t>Lock1</t>
  </si>
  <si>
    <t>Lock2</t>
  </si>
  <si>
    <t>Cap</t>
  </si>
  <si>
    <t>Edge</t>
  </si>
  <si>
    <t>Dimensions</t>
  </si>
  <si>
    <t>SNGL    SINGLE DOOR LEAF</t>
  </si>
  <si>
    <t>A    ACTIVE DOOR</t>
  </si>
  <si>
    <t>NOLP    NO LOCK PREP OR REINF (BLANK)</t>
  </si>
  <si>
    <t>NONE    NO SECONDARY LOCK or STRIKE</t>
  </si>
  <si>
    <t>RH</t>
  </si>
  <si>
    <t>RH    RIGHT HAND</t>
  </si>
  <si>
    <t>NO LABEL REQUIRED(N)</t>
  </si>
  <si>
    <t>STS    STEEL TOP CAP SCREWED ON</t>
  </si>
  <si>
    <t>450--    4-1/2" HINGE REG WT</t>
  </si>
  <si>
    <t>STD</t>
  </si>
  <si>
    <t>STD    REGULAR ARM CLOSER REINF [#101]</t>
  </si>
  <si>
    <t>NOFB</t>
  </si>
  <si>
    <t>NOFB    NO FLUSH BOLT NEEDED</t>
  </si>
  <si>
    <t>SQRE    SQUARE EDGE - LOCK &amp; HINGE (STANDARD)</t>
  </si>
  <si>
    <t>DTCH:DUTCH DOOR (Not Labeled)</t>
  </si>
  <si>
    <t>Nominal Size in Feet and Inch</t>
  </si>
  <si>
    <t>PAIR    DOOR LEAF IN PAIR</t>
  </si>
  <si>
    <t>I    INACTIVE DOOR</t>
  </si>
  <si>
    <t>MP--    MORTISED LOCK - BLANK PANEL</t>
  </si>
  <si>
    <t>CDL</t>
  </si>
  <si>
    <t>CDL    DEADLOCK (CYLINDRICAL)</t>
  </si>
  <si>
    <t>RHR    RIGHT HAND REVERSE</t>
  </si>
  <si>
    <t>LABEL REDUIRED(L)</t>
  </si>
  <si>
    <t>STW</t>
  </si>
  <si>
    <t>STW    STEEL TOP CAP TACK WELDED ON</t>
  </si>
  <si>
    <t>500--    5" HINGE REG WT.</t>
  </si>
  <si>
    <t>PAC    REGULAR or PARALLEL ARM CLOSER REINF [#103]</t>
  </si>
  <si>
    <t>FB</t>
  </si>
  <si>
    <t>FB    FLUSH BOLT PREP ANSI 115.4</t>
  </si>
  <si>
    <t>BVLD(B)</t>
  </si>
  <si>
    <t>BVLD(B)    BEVELED DOOR EDGES - LOCK &amp; HINGE EDGE</t>
  </si>
  <si>
    <t>DTCH:DUTCH DOOR with (UL) Label</t>
  </si>
  <si>
    <t>Net Size in Inches</t>
  </si>
  <si>
    <t>DBLE</t>
  </si>
  <si>
    <t>DBLE    DOOR LEAF IN DBL EGRESS PAIR</t>
  </si>
  <si>
    <t>AP</t>
  </si>
  <si>
    <t>AP    ACTIVE IN PAIR (SPLIT SIZE)</t>
  </si>
  <si>
    <t>LAM</t>
  </si>
  <si>
    <t>LAMINATED TRANSOM or SIDELITE PANEL</t>
  </si>
  <si>
    <t>MST-    MORTISED LOCK SECTIONAL TRIM</t>
  </si>
  <si>
    <t xml:space="preserve">SPL    SPL DEADLOCK </t>
  </si>
  <si>
    <t>LH</t>
  </si>
  <si>
    <t>LH    LEFT HAND</t>
  </si>
  <si>
    <t>STF</t>
  </si>
  <si>
    <t>STF    STEEL TOP WELDED ON AND FILLED</t>
  </si>
  <si>
    <t>450HW    4-1/2" HEAVY DUTY WT HINGE</t>
  </si>
  <si>
    <t>SOH</t>
  </si>
  <si>
    <t>SOH    SURFACE OVERHEAD HOLDER /STOP [#102]</t>
  </si>
  <si>
    <t>AFB</t>
  </si>
  <si>
    <t>AFB    AUTO FB PREP ANSI 115.4 (12"TOP)</t>
  </si>
  <si>
    <t>BVLD(L)</t>
  </si>
  <si>
    <t>BVLD(L)    BEVELED LOCK EDGE ONLY</t>
  </si>
  <si>
    <t>IP</t>
  </si>
  <si>
    <t>IP    INACTIVE IN PAIR (SPLIT SIZE)</t>
  </si>
  <si>
    <t>CYL-    CYLINDRICAL LOCK</t>
  </si>
  <si>
    <t>478N    4-7/8" STANDARD (NO LIPPED)</t>
  </si>
  <si>
    <t>LHR    LEFT HAND REVERSE</t>
  </si>
  <si>
    <t>WH</t>
  </si>
  <si>
    <t>WH    (WHI) WARNOCK HERSEY - INTERTEK</t>
  </si>
  <si>
    <t>STBS</t>
  </si>
  <si>
    <t>STBS    STEEL TOP AND BOTTOM CAP SCREWED ON</t>
  </si>
  <si>
    <t>500HW</t>
  </si>
  <si>
    <t>500HW    5" HEAVY DUTY WT HINGE</t>
  </si>
  <si>
    <t>MOH</t>
  </si>
  <si>
    <t>MOH    MORTISED OVERHEAD HOLDER /STOP</t>
  </si>
  <si>
    <t>AFSP</t>
  </si>
  <si>
    <t>AFSP    AUTO FB AT SPECIAL LOCATION</t>
  </si>
  <si>
    <t>BLN(B)</t>
  </si>
  <si>
    <t>BLN(B)    BULL NOSE EDGE - LOCK &amp; HINGE EDGE</t>
  </si>
  <si>
    <t>DTS:Dutch Door Shelf - Snap on</t>
  </si>
  <si>
    <t>N    NO ASTRAGAL</t>
  </si>
  <si>
    <t>CBF-    CYLINDRICAL LOCK EDGE / BLANK FACE</t>
  </si>
  <si>
    <t xml:space="preserve">234N    2-3/4" STANDARD (NO LIPPED) </t>
  </si>
  <si>
    <t>NH</t>
  </si>
  <si>
    <t>NH    NON HANDED / REVERSIBLE</t>
  </si>
  <si>
    <t>UL    (UL) UNDERWRITERS LABORATORIES</t>
  </si>
  <si>
    <t>STBW</t>
  </si>
  <si>
    <t>STBW    STEEL TOP AND BOTTOM CAP TACK WELDED ON</t>
  </si>
  <si>
    <t>CONH</t>
  </si>
  <si>
    <t>CONH-    CONT HINGE W/ STRIP</t>
  </si>
  <si>
    <t>COC</t>
  </si>
  <si>
    <t>COC    CONCEALED OVERHEAD CLOSER</t>
  </si>
  <si>
    <t>SBR    SURFACE BOLT REINFORCE [#107]</t>
  </si>
  <si>
    <t>RSA</t>
  </si>
  <si>
    <t>RSA    RABBETTED STILE (TYPE A - MIDPOINT)</t>
  </si>
  <si>
    <t>DTS(W):Dutch Door Shelf - Welded on</t>
  </si>
  <si>
    <t>ZS</t>
  </si>
  <si>
    <t>ZS    Z ASTRAGAL (SCREW APPLIED)</t>
  </si>
  <si>
    <t>CBE-    CYLINDRICAL LOCK HOLE / BLANK EDGE</t>
  </si>
  <si>
    <t>478</t>
  </si>
  <si>
    <t xml:space="preserve">478    4-7/8" STANDARD (LIPPED) STRIKE </t>
  </si>
  <si>
    <t>DA</t>
  </si>
  <si>
    <t>DA    DOUBLE ACTING / CENTER-HUNG</t>
  </si>
  <si>
    <t>LC</t>
  </si>
  <si>
    <t>LC    LABELED CONSTRUCTION</t>
  </si>
  <si>
    <t>STBF</t>
  </si>
  <si>
    <t>STBF    STEEL TOP AND BOTTOM WELDED ON AND FILLED</t>
  </si>
  <si>
    <t>PIVOT</t>
  </si>
  <si>
    <t>PIVOT    SINGLE OR DBL ACTING PIVOT HINGE</t>
  </si>
  <si>
    <t>SCC</t>
  </si>
  <si>
    <t>SCC    SMOK CHECK TYPE CLOSER REINF [#103]</t>
  </si>
  <si>
    <t>VR</t>
  </si>
  <si>
    <t>VR    VERTICAL ROD STRIKE (TRANSOM PANELS)</t>
  </si>
  <si>
    <t>RSB</t>
  </si>
  <si>
    <t>RSB    RABBETTED STILE (TYPE B - EDGE TYPE)</t>
  </si>
  <si>
    <t xml:space="preserve">DTS2:Dutch Shelf Projected Two Sides </t>
  </si>
  <si>
    <t>ZW</t>
  </si>
  <si>
    <t>ZW    Z ASTRAGAL (WELDED ON)</t>
  </si>
  <si>
    <t>T---    UNIVERSAL LEVER LOCK PREP / TURTLE</t>
  </si>
  <si>
    <t>234</t>
  </si>
  <si>
    <t xml:space="preserve">234    2-3/4" STANDARD (LIPPED) STRIKE </t>
  </si>
  <si>
    <t>VIN</t>
  </si>
  <si>
    <t>VIN    VINYL TOP CAP</t>
  </si>
  <si>
    <t>NOHNG</t>
  </si>
  <si>
    <t>NOHNG    NO HINGE PREP</t>
  </si>
  <si>
    <t>NCL</t>
  </si>
  <si>
    <t>NCL    NO CLOSER REINF NEEDED</t>
  </si>
  <si>
    <t>SLB</t>
  </si>
  <si>
    <t>SLB    FEMA - SLIDE BOLT REINF (3/4x12)</t>
  </si>
  <si>
    <t>RTA</t>
  </si>
  <si>
    <t>RTA    RABBETTED TOP OR BOTTOM (TYP A - MIDPOINT)</t>
  </si>
  <si>
    <t>DTSPL:Up to 10" Shelf</t>
  </si>
  <si>
    <t>ZL</t>
  </si>
  <si>
    <t>ZL    Z ASTRAGAL (LOOSE)</t>
  </si>
  <si>
    <t>L---    CYLINDRICAL WITH THRU BOLTS(LEVER,CTB)</t>
  </si>
  <si>
    <t>MDL</t>
  </si>
  <si>
    <t>MDL    DEADLOCK(MORTISED)</t>
  </si>
  <si>
    <t>A    A LABEL / 3HR RATING</t>
  </si>
  <si>
    <t>NOCAP</t>
  </si>
  <si>
    <t>NOCAP    NO CAP NEEDED</t>
  </si>
  <si>
    <t>POCKT</t>
  </si>
  <si>
    <t>POCKT    POCKET TYPE PIVOT HINGE</t>
  </si>
  <si>
    <t>EMH</t>
  </si>
  <si>
    <t>ELECTRO-MAGNETIC HOLD REINF (WS)</t>
  </si>
  <si>
    <t>RTB</t>
  </si>
  <si>
    <t>RTB    RABBETTED TOP OR BOTTOM (TYP B - EDGE TYPE)</t>
  </si>
  <si>
    <t>Special Locations</t>
  </si>
  <si>
    <t>FS    FLAT ASTRAGAL (SCREW APPLIED)</t>
  </si>
  <si>
    <t>CRLP    CARD READER LOCK PREP</t>
  </si>
  <si>
    <t>MED3</t>
  </si>
  <si>
    <t>MED3    FEMA - 3 x MEDECO DEADLOCKS</t>
  </si>
  <si>
    <t>B    B LABEL / 1.5HR RATING</t>
  </si>
  <si>
    <t>SBS</t>
  </si>
  <si>
    <t>SBS    STEEL BOTTOM CAP SCREWED ON</t>
  </si>
  <si>
    <t>ANCHR</t>
  </si>
  <si>
    <t>ANCHR    ANCHOR HINGE PREP</t>
  </si>
  <si>
    <t>AFBT</t>
  </si>
  <si>
    <t>AFBT    AUTO FB TOP ONLY (ANSI/12")</t>
  </si>
  <si>
    <t>BLN(H)</t>
  </si>
  <si>
    <t>BLN(H)    BULL NOSE EDGE - HINGE EDGE ONLY</t>
  </si>
  <si>
    <t>MNO=</t>
  </si>
  <si>
    <t>MNO:Mono Rail Cutout (Per Leaf) -Gasket not included</t>
  </si>
  <si>
    <t>TtoT</t>
  </si>
  <si>
    <r>
      <t xml:space="preserve">TtoT    Top of Door to Top of Hardware </t>
    </r>
    <r>
      <rPr>
        <sz val="11"/>
        <color rgb="FFFF0000"/>
        <rFont val="Calibri"/>
        <family val="2"/>
        <scheme val="minor"/>
      </rPr>
      <t>(SPL)</t>
    </r>
  </si>
  <si>
    <t>FW</t>
  </si>
  <si>
    <t>FW    FLAT ASTRAGAL (WELDED)</t>
  </si>
  <si>
    <t>RP--    RIM PANIC REINF ONLY [#104]</t>
  </si>
  <si>
    <t>C160</t>
  </si>
  <si>
    <t>C160    CYL DEADLOCK WITH 1" EDGE</t>
  </si>
  <si>
    <t>C    C LABEL / 45MIN (3/4HR)</t>
  </si>
  <si>
    <t>SBW</t>
  </si>
  <si>
    <t>SBW    STEEL BOTTOM CAP TACK WELDED ON</t>
  </si>
  <si>
    <t>L5THG</t>
  </si>
  <si>
    <t>L5THG    NONSTD TEMPLATE HG &lt; 5"</t>
  </si>
  <si>
    <t>FBT</t>
  </si>
  <si>
    <t>FBT    FB TOP ONLY (ANSI)</t>
  </si>
  <si>
    <t>BLN(L)</t>
  </si>
  <si>
    <t>BLN(L)    BULL NOSE EDGE - LOCK EDGE ONLY</t>
  </si>
  <si>
    <r>
      <t xml:space="preserve">TtoC    Top of Door to Centerline of Hardware </t>
    </r>
    <r>
      <rPr>
        <sz val="11"/>
        <color rgb="FFFF0000"/>
        <rFont val="Calibri"/>
        <family val="2"/>
        <scheme val="minor"/>
      </rPr>
      <t>(SPLT)</t>
    </r>
  </si>
  <si>
    <t>FL    FLAT ASTRAGAL (LOOSE)</t>
  </si>
  <si>
    <t>SVR    SURF VERT ROD REINF ONLY [#105]AP</t>
  </si>
  <si>
    <t>SPL-</t>
  </si>
  <si>
    <t>SPL-    SPL DEADLOCK STRIKE</t>
  </si>
  <si>
    <t>20</t>
  </si>
  <si>
    <t>20    20 MINUTE</t>
  </si>
  <si>
    <t>SBF</t>
  </si>
  <si>
    <t>SBF    STEEL BOTTOM WELDED ON AND FILLED</t>
  </si>
  <si>
    <t>DM67H</t>
  </si>
  <si>
    <t>DM67H    DBL MORTISED 6" OR 7" TEMPLATE HINGE</t>
  </si>
  <si>
    <t>LLD:Lead Lined (1/16" Thk Lead)</t>
  </si>
  <si>
    <t>BtoC</t>
  </si>
  <si>
    <r>
      <t xml:space="preserve">BtoC    Botom of Door to Centerline of Hardware </t>
    </r>
    <r>
      <rPr>
        <sz val="11"/>
        <color rgb="FFFF0000"/>
        <rFont val="Calibri"/>
        <family val="2"/>
        <scheme val="minor"/>
      </rPr>
      <t>(SPLB)</t>
    </r>
  </si>
  <si>
    <t>ZO</t>
  </si>
  <si>
    <t>ZO    Z ASTRAGAL (BY OTHERS)</t>
  </si>
  <si>
    <t>RBA    REINFORCE BLANK ACTIVE [#105]A</t>
  </si>
  <si>
    <t>350N</t>
  </si>
  <si>
    <t>350N    3-1/2" DEADLOCK STRIKE</t>
  </si>
  <si>
    <t>TR</t>
  </si>
  <si>
    <t>TR    TEMP RISE</t>
  </si>
  <si>
    <t>RNDCH</t>
  </si>
  <si>
    <t xml:space="preserve">RNDCH    ROUND CORNER HINGE </t>
  </si>
  <si>
    <r>
      <t xml:space="preserve">AffC    Above Finished Floor to Centerline of Hardware </t>
    </r>
    <r>
      <rPr>
        <sz val="11"/>
        <color rgb="FFFF0000"/>
        <rFont val="Calibri"/>
        <family val="2"/>
        <scheme val="minor"/>
      </rPr>
      <t>(SPLA)</t>
    </r>
  </si>
  <si>
    <t>RBI    REINFORCE BLANK INACTIVE [#105]I</t>
  </si>
  <si>
    <t xml:space="preserve">RSTK    RIM STRIKE REINF </t>
  </si>
  <si>
    <t>SASPH</t>
  </si>
  <si>
    <t>SASPH    SINGLE ACTING SPRING HINGE (NON TEMP)</t>
  </si>
  <si>
    <t>LLA:Lead Lined Flat Astragal - Installed</t>
  </si>
  <si>
    <t>VRNP    GENERIC VERT ROD (NO FACE PREP)</t>
  </si>
  <si>
    <t>OBS    OPENBACK STRIKE PREPARATION</t>
  </si>
  <si>
    <t>MYL</t>
  </si>
  <si>
    <t>MYL    MYLAR LABEL</t>
  </si>
  <si>
    <t>DASPH</t>
  </si>
  <si>
    <t>DASPH    DBL ACTING SPRING HINGE (NON TEMP)</t>
  </si>
  <si>
    <t>ELH=</t>
  </si>
  <si>
    <t>ELH:Electric / Security Hinge Prep</t>
  </si>
  <si>
    <t>MPAN    MORTISED PANIC DEVICE REINF [#104]</t>
  </si>
  <si>
    <t>MET    METAL LABEL</t>
  </si>
  <si>
    <t>SOSSH</t>
  </si>
  <si>
    <t xml:space="preserve">SOSSH    SOSS INVISIBLE HINGE PREP </t>
  </si>
  <si>
    <t>HFH:High Frequency Hinge Reinf.</t>
  </si>
  <si>
    <t>RMP-:MULTI (WORKS W/ M,SVR, OR RP) [#105]</t>
  </si>
  <si>
    <t>EMB</t>
  </si>
  <si>
    <t>EMB    EMBOSSED LABEL</t>
  </si>
  <si>
    <t>CONN</t>
  </si>
  <si>
    <t>CONN-    CONT HINGE NO REINF.</t>
  </si>
  <si>
    <t>IPV=</t>
  </si>
  <si>
    <t>IPV:Intermediate Pivot Hinge</t>
  </si>
  <si>
    <t>Miter Point to Top of Hinge</t>
  </si>
  <si>
    <t>PP--    PUSH PULL  REINFORCE ONLY [#106]</t>
  </si>
  <si>
    <t>350--    3-1/2" TEMPLATE HINGE</t>
  </si>
  <si>
    <t>FP--    FLUSH PULL  PREPARATION</t>
  </si>
  <si>
    <t>400--    4" TEMPLATE HINGE</t>
  </si>
  <si>
    <t>PTP=</t>
  </si>
  <si>
    <t>PTP:Power Transfer Prep</t>
  </si>
  <si>
    <t>RPP-    RIM PANIC - PREP FOR DEVICE [#104]</t>
  </si>
  <si>
    <t>CND:Conduit Thru Door</t>
  </si>
  <si>
    <t>SVRP    SURF VERT ROD - PREP FOR DEVICE [#105]</t>
  </si>
  <si>
    <t>MAG=</t>
  </si>
  <si>
    <t>MAG:Magnetic Switch (Hole Type)</t>
  </si>
  <si>
    <t>CVR-    CONC VERT ROD - PREP FOR DEVICE [#105]</t>
  </si>
  <si>
    <t>DPS=</t>
  </si>
  <si>
    <t>DPS:Door Position Switch</t>
  </si>
  <si>
    <t>DTRP    DUMMY TRIM MNTG HOLES [#104]</t>
  </si>
  <si>
    <t>MPNP    MORTISED PANIC - PREP FOR DEVICE [#104]</t>
  </si>
  <si>
    <t>BSS:Non Std Lock Backset</t>
  </si>
  <si>
    <t>RED-    RECESSED EXIT DEVICE [#105]</t>
  </si>
  <si>
    <t>PP:Push / Pull Reinforcement</t>
  </si>
  <si>
    <t>478-    4-7/8" STANDARD (LIPPED) STRIKE</t>
  </si>
  <si>
    <t>FP=</t>
  </si>
  <si>
    <t>FP:Mortised Flush Pull</t>
  </si>
  <si>
    <t>478N   4-7/8" STANDARD (NO LIPPED) STRIKE</t>
  </si>
  <si>
    <t>EP=</t>
  </si>
  <si>
    <t>EP:Edge Pull (Pocket Door Edge)</t>
  </si>
  <si>
    <t>234-    2-3/4" STANDARD (LIPPED) STRIKE</t>
  </si>
  <si>
    <t>Templates Needed</t>
  </si>
  <si>
    <t>234N    2-3/4" STANDARD (NO LIPPED) STRIKE</t>
  </si>
  <si>
    <t>AOP=</t>
  </si>
  <si>
    <t>AOP:Automatic Operator</t>
  </si>
  <si>
    <t>NO--    NO STRIKE PREP</t>
  </si>
  <si>
    <t>RSB:Reinforce for Spring Bumpers</t>
  </si>
  <si>
    <t>ESTK    ELECTRIC STRIKE PREP</t>
  </si>
  <si>
    <t>MS=</t>
  </si>
  <si>
    <t xml:space="preserve">MS:Mail Slot </t>
  </si>
  <si>
    <t xml:space="preserve">EMDL     EMERGENCY RELEASE / DBL LIPPED </t>
  </si>
  <si>
    <t>VW=</t>
  </si>
  <si>
    <t>VW:Interviewer Prep</t>
  </si>
  <si>
    <t>VW2=</t>
  </si>
  <si>
    <t>VW2:(2x) Interviewer Preps</t>
  </si>
  <si>
    <t>HL=</t>
  </si>
  <si>
    <t xml:space="preserve">HL:Hospital Lock/Latch </t>
  </si>
  <si>
    <t>SPL    SPECIAL STRIKE</t>
  </si>
  <si>
    <t>RL=</t>
  </si>
  <si>
    <t>RL:Roller Latch Preparation</t>
  </si>
  <si>
    <t>90U-    GOV'T 90 UNIT LOCK PREP</t>
  </si>
  <si>
    <t>FL=</t>
  </si>
  <si>
    <t>FL:Fire Latch / Fire Bolt</t>
  </si>
  <si>
    <t>PADL    PADLOCK REINFORCEMENT</t>
  </si>
  <si>
    <t>SPKL    SECURITY POCK LOCK</t>
  </si>
  <si>
    <t>MDB=</t>
  </si>
  <si>
    <t>MDB:Mortised Door Bottom</t>
  </si>
  <si>
    <t xml:space="preserve">3PTL    3 POINT LOCK </t>
  </si>
  <si>
    <t>SDB:Surface Applied Door Bottom</t>
  </si>
  <si>
    <t>ICL2    INTERCONNECTED CYLINDRICAL LOCKS (2xCYL)</t>
  </si>
  <si>
    <t>RBC=</t>
  </si>
  <si>
    <t>RBC:Recessed Bottom Channel for Device*</t>
  </si>
  <si>
    <t>ICS2    INTERCONNECTED STRIKES (2x2-3/4")</t>
  </si>
  <si>
    <t>MST1    MST1    FEMA - MORTISED SECTIONAL TRIM FOR PDQ</t>
  </si>
  <si>
    <t>SVR2    SVR2    FEMA - SVR SECURITECH 5311-F13-IHD-HVL</t>
  </si>
  <si>
    <t>SVR3    SVR3    FEMA - SVR SECURITECH 8VT45-G1-SBD</t>
  </si>
  <si>
    <t>SURFH</t>
  </si>
  <si>
    <t>CVR3    CVR3    FEMA - CVR SECURITECH 8VT45-G1-IHD</t>
  </si>
  <si>
    <t>SURF4</t>
  </si>
  <si>
    <t>SVR4    SVR4    FEMA - SVR VON DUPRIN WS 9927(SINGLE DOOR)</t>
  </si>
  <si>
    <t>SURF2</t>
  </si>
  <si>
    <t>SVR5    SVR5    FEMA - SVR VON DUPRIN WS 9927(ACTIVE IN PAIR)</t>
  </si>
  <si>
    <t>SPL    SPECIAL LOCK</t>
  </si>
  <si>
    <t>Matl</t>
  </si>
  <si>
    <t>Thick</t>
  </si>
  <si>
    <t>Rab</t>
  </si>
  <si>
    <t>Depth</t>
  </si>
  <si>
    <t>Strike1</t>
  </si>
  <si>
    <t>Loca</t>
  </si>
  <si>
    <t>Strike2</t>
  </si>
  <si>
    <t>Profile</t>
  </si>
  <si>
    <t>Assy</t>
  </si>
  <si>
    <t>Anchor</t>
  </si>
  <si>
    <t>(Requeted Short Version)</t>
  </si>
  <si>
    <t>F--    F SERIES(MASONRY) FRAME OR COMPONENT</t>
  </si>
  <si>
    <t>C    CRS (COLD ROLLED STEEL)</t>
  </si>
  <si>
    <t>4    1-3/4" THICK DOOR</t>
  </si>
  <si>
    <t>ER</t>
  </si>
  <si>
    <t>ER    EQUAL RABBET</t>
  </si>
  <si>
    <t>3S</t>
  </si>
  <si>
    <t>3S-    3 SIDED FRAME SNGL (H/HJ/SJ)</t>
  </si>
  <si>
    <t>4.25    (4-1/4")</t>
  </si>
  <si>
    <t>SW    SPECIAL WIDTH</t>
  </si>
  <si>
    <t>SH    SPECIAL JAMB OPENING HEIGHT</t>
  </si>
  <si>
    <t>NONE    NO SECONDARY LOCK</t>
  </si>
  <si>
    <t>2H2J</t>
  </si>
  <si>
    <t>2H2J    2" FACE HEAD / 2" FACE JAMBS</t>
  </si>
  <si>
    <t>KD    KNOCKED DOWN</t>
  </si>
  <si>
    <t>NANC</t>
  </si>
  <si>
    <t>NANC    NO ANCHOR PREP NEEDED</t>
  </si>
  <si>
    <t>450--    4-1/2" HINGE STD WT</t>
  </si>
  <si>
    <t>NOCL</t>
  </si>
  <si>
    <t>NOCL    NO CLOSER REINFORCEMENT</t>
  </si>
  <si>
    <t xml:space="preserve">NOFB    NO FLUSH BOLT NEEDED </t>
  </si>
  <si>
    <t>DRTN:Double Return (F Series Frame)</t>
  </si>
  <si>
    <t>Jamb Opening (Ft/In)</t>
  </si>
  <si>
    <t>DW</t>
  </si>
  <si>
    <t>DW-    DW SERIES(DRYWALL) FRAME OR COMPONENT</t>
  </si>
  <si>
    <t>G    GALV (GALVANNEALED)</t>
  </si>
  <si>
    <t>1-3/8</t>
  </si>
  <si>
    <t>8    1-3/8" THICK DOOR</t>
  </si>
  <si>
    <t>UR</t>
  </si>
  <si>
    <t>UR    UNEQUAL RABBET</t>
  </si>
  <si>
    <t>3P</t>
  </si>
  <si>
    <t>3P-    3 SIDED FRAME PAIR (PH/HJ/HJ)</t>
  </si>
  <si>
    <t>4.50    (4-1/2")</t>
  </si>
  <si>
    <t>20    2'0" JAMB OPENING WIDTH</t>
  </si>
  <si>
    <t>26    2'6" JAMB OPENING HEIGHT</t>
  </si>
  <si>
    <t>S</t>
  </si>
  <si>
    <t>S--    S TYPE LOCATION</t>
  </si>
  <si>
    <t>234N    2-3/4" STD NO LIPPED STRIKE</t>
  </si>
  <si>
    <t>RHA</t>
  </si>
  <si>
    <t>RHA    RIGHT HAND ACTIVE (PAIR)</t>
  </si>
  <si>
    <t>4H2J</t>
  </si>
  <si>
    <t>4H2J    4" FACE HEAD / 2" FACE JAMBS</t>
  </si>
  <si>
    <t xml:space="preserve">FW    FACE WELDED FRAME </t>
  </si>
  <si>
    <t>WELD-IN \ PREP ANCHOR SELECTION</t>
  </si>
  <si>
    <t>500--    5" HINGE STD WT.</t>
  </si>
  <si>
    <t>FRNC</t>
  </si>
  <si>
    <t>FRNC    FIRE RATED FRAME w/ NO CLOSER REINF.</t>
  </si>
  <si>
    <t>FBU</t>
  </si>
  <si>
    <t xml:space="preserve">FB    UNIVERSAL FB MORTISED STRIKE </t>
  </si>
  <si>
    <t>THRM:Thermal Break</t>
  </si>
  <si>
    <t>Jamb Opening (Inches)</t>
  </si>
  <si>
    <t>T2    SPL    DOOR THICKNESS (TO 2-1/2")</t>
  </si>
  <si>
    <t>SR</t>
  </si>
  <si>
    <t>SR    SINGLE RABBET</t>
  </si>
  <si>
    <t>3C</t>
  </si>
  <si>
    <t>3C-    3 SIDED COMMUNICATING FRAME</t>
  </si>
  <si>
    <t>4.625    (4-5/8")</t>
  </si>
  <si>
    <t>24    2'4" JAMB OPENING WIDTH</t>
  </si>
  <si>
    <t>28    2'8" JAMB OPENING HEIGHT</t>
  </si>
  <si>
    <t>478N    4-7/8" STD NO LIPPED STRIKE</t>
  </si>
  <si>
    <t>6H2J</t>
  </si>
  <si>
    <t>6H2J    6" FACE HEAD / 2" FACE JAMBS</t>
  </si>
  <si>
    <t>CW</t>
  </si>
  <si>
    <t>CW    CONTINUOUS WELDED FRAME</t>
  </si>
  <si>
    <t>MAS</t>
  </si>
  <si>
    <t>MAS    MASONRY ANCHOR</t>
  </si>
  <si>
    <t>450HW    4-1/2" HEAVY WT HINGE</t>
  </si>
  <si>
    <t>REG</t>
  </si>
  <si>
    <t>REG    REGULAR ARM - CLOSER REINFORCEMENT</t>
  </si>
  <si>
    <t>FBKO</t>
  </si>
  <si>
    <t xml:space="preserve">FBKO    FB KNOCKOUT ONLY </t>
  </si>
  <si>
    <t>WF:Uniseal / Kerf Frame</t>
  </si>
  <si>
    <t>SPF</t>
  </si>
  <si>
    <t>SPF    SPLIT STYLE FRAME OR COMPONENT</t>
  </si>
  <si>
    <t>CO</t>
  </si>
  <si>
    <t>CO    CASED OPENING</t>
  </si>
  <si>
    <t>H--    SINGLE HEADER COMPONENT</t>
  </si>
  <si>
    <t>4.6875    (4-11/16") SPLIT FRAME HDWE</t>
  </si>
  <si>
    <t>26    2'6" JAMB OPENING WIDTH</t>
  </si>
  <si>
    <t>210    2'10" JAMB OPENING HEIGHT</t>
  </si>
  <si>
    <t>350N    3-1/2" STD NO LIPPED STRIKE</t>
  </si>
  <si>
    <t>LHA</t>
  </si>
  <si>
    <t>LHA    LEFT HAND ACTIVE (PAIR)</t>
  </si>
  <si>
    <t>2FC</t>
  </si>
  <si>
    <t>2FC    2" FACE COMPONENT</t>
  </si>
  <si>
    <t>KDC</t>
  </si>
  <si>
    <t>KDC    KNOCKED DOWN / CUSTOMER TO WELD</t>
  </si>
  <si>
    <t xml:space="preserve">WS    WOOD STUD ANCHOR </t>
  </si>
  <si>
    <t>500HW    5" HEAVY WT HINGE</t>
  </si>
  <si>
    <t>PAC    PARALLEL ARM - CLOSER REINFORCEMENT</t>
  </si>
  <si>
    <t>FBM</t>
  </si>
  <si>
    <t xml:space="preserve">FBM    MORTISED FB STRIKE </t>
  </si>
  <si>
    <t>HOSP:Hospital (Cut-Off) Stops</t>
  </si>
  <si>
    <t>HOSP=</t>
  </si>
  <si>
    <t>STK</t>
  </si>
  <si>
    <t>STK    STICK TYPE FRAME COMPONENTS</t>
  </si>
  <si>
    <t>DE</t>
  </si>
  <si>
    <t>DE    DOUBLE EGRESS</t>
  </si>
  <si>
    <t>PH</t>
  </si>
  <si>
    <t>PH-    PAIRED OPNG HEADER COMPONENT</t>
  </si>
  <si>
    <t>4.75    (4-3/4")</t>
  </si>
  <si>
    <t>28    2'8" JAMB OPENING WIDTH</t>
  </si>
  <si>
    <t>30    3'0" JAMB OPENING HEIGHT</t>
  </si>
  <si>
    <t>SASR</t>
  </si>
  <si>
    <t>SASR    STOP APPLIED STK REINF (#10)</t>
  </si>
  <si>
    <t>COP</t>
  </si>
  <si>
    <t>COP    COPCO LOCATION</t>
  </si>
  <si>
    <t>234-    2-3/4" STD -LIPPED STRIKE</t>
  </si>
  <si>
    <t xml:space="preserve">NH    NON HANDED </t>
  </si>
  <si>
    <t>4FC</t>
  </si>
  <si>
    <t>4FC    4" FACE HEAD (USE W/ 2" FACE JAMBS)</t>
  </si>
  <si>
    <t>STS   STEEL(METAL) STUD ANCHOR</t>
  </si>
  <si>
    <t>CONH-    CONTINUOUS HINGE REINFORCEMENT</t>
  </si>
  <si>
    <t>RPC</t>
  </si>
  <si>
    <t>RPC    REGULAR AND PARALLEL - CLOSER REINFS</t>
  </si>
  <si>
    <t>FBSP</t>
  </si>
  <si>
    <t>FBSP    FLUSH BOLT (SPECIAL)</t>
  </si>
  <si>
    <t>LLFC:Lead Lined Frame</t>
  </si>
  <si>
    <t>F50</t>
  </si>
  <si>
    <t>F50    PIOCANE +/-50 PSF (DP) FRAMES</t>
  </si>
  <si>
    <t>HJ</t>
  </si>
  <si>
    <t>HJ-    HINGE JAMB COMPONENT</t>
  </si>
  <si>
    <t>5.5    (5-1/2")</t>
  </si>
  <si>
    <t>210    2'10" JAMB OPENING WIDTH</t>
  </si>
  <si>
    <t>34    3'4" JAMB OPENING HEIGHT</t>
  </si>
  <si>
    <t>478-    4-7/8" STD -LIPPED STRIKE</t>
  </si>
  <si>
    <t>6FC</t>
  </si>
  <si>
    <t>6FC    6" FACE HEAD (USE W/ 2" FACE JAMBS)</t>
  </si>
  <si>
    <t>EO</t>
  </si>
  <si>
    <t>EO    EXISTING OPENING</t>
  </si>
  <si>
    <t>PIVOT    MORTISED PIVOT SET / HEAD &amp; JAMB</t>
  </si>
  <si>
    <t>TJC</t>
  </si>
  <si>
    <t>TJC    TOP JAMB CLOSER REINFORCEMENT</t>
  </si>
  <si>
    <t>AFBR</t>
  </si>
  <si>
    <t xml:space="preserve">AFBR    DEVICE SPECIFIC MORT AFB STRIKE </t>
  </si>
  <si>
    <t>CLST:Ceiling Struts</t>
  </si>
  <si>
    <t>F70</t>
  </si>
  <si>
    <t>F70    PIOCANE +/-70 PSF (DP) FRAMES</t>
  </si>
  <si>
    <t>SJ</t>
  </si>
  <si>
    <t>SJ-    STRIKE JAMB COMPONENT</t>
  </si>
  <si>
    <t>5.625    (5-5/8")</t>
  </si>
  <si>
    <t>30    3'0" JAMB OPENING WIDTH</t>
  </si>
  <si>
    <t>36    3'6" JAMB OPENING HEIGHT</t>
  </si>
  <si>
    <t>ICS2    INTERCONNECTING STRIKE (2x2-3/4)</t>
  </si>
  <si>
    <t>DEA</t>
  </si>
  <si>
    <t>DEA    DEANSTEEL LOCATION</t>
  </si>
  <si>
    <t>UF6</t>
  </si>
  <si>
    <t>UF6    UNI-FRAME 5/8" STOP COMPONENT</t>
  </si>
  <si>
    <t>SF</t>
  </si>
  <si>
    <t>SF    SPL FRAME UNIT ASSY SPECIFIC</t>
  </si>
  <si>
    <t>P&amp;D</t>
  </si>
  <si>
    <t>P&amp;D    PUNCH AND DIMPLE (ONLY)</t>
  </si>
  <si>
    <t>CLSL</t>
  </si>
  <si>
    <t>CLSL    CLOSER SLEEVE REINFORCEMENT (12")</t>
  </si>
  <si>
    <t>SBRF</t>
  </si>
  <si>
    <t xml:space="preserve">SBRF    SURFACE BOLT REINFORCE IN FACE </t>
  </si>
  <si>
    <t>LLCO:Lead Lined Clips ONLY</t>
  </si>
  <si>
    <t>FST</t>
  </si>
  <si>
    <t>FST    PIOSONIC STC FRAME</t>
  </si>
  <si>
    <t>BJ</t>
  </si>
  <si>
    <t>BJ-    BLANK JAMB COMPONENT</t>
  </si>
  <si>
    <t>5.75    (5-3/4")</t>
  </si>
  <si>
    <t>34    3'4" JAMB OPENING WIDTH</t>
  </si>
  <si>
    <t>38    3'8" JAMB OPENING HEIGHT</t>
  </si>
  <si>
    <t>234N    2-3/4" STANDARD (NO LIP) STRIKE</t>
  </si>
  <si>
    <t>KEW</t>
  </si>
  <si>
    <t>KEW    KEWANEE LOCATION</t>
  </si>
  <si>
    <t>SPL    SPL DEADLOCK</t>
  </si>
  <si>
    <t>SPL    SPECIAL PROFILE</t>
  </si>
  <si>
    <t>DWCS</t>
  </si>
  <si>
    <t>DWCS    DRYWALL COMPRESSION W/ SILL STRAPS</t>
  </si>
  <si>
    <t>CLFW</t>
  </si>
  <si>
    <t>CLFW    REG ARM CLOSER REINF. FULL WIDTH (FACE)</t>
  </si>
  <si>
    <t>SBRS</t>
  </si>
  <si>
    <t xml:space="preserve">SBRS    SURFACE BOLT (SVR) REINF IN SOFFET </t>
  </si>
  <si>
    <t>REVMIT: Use DW Miter on F Series</t>
  </si>
  <si>
    <t>FEMA    F SERIES FEMA 361 FRAME</t>
  </si>
  <si>
    <t>CJ</t>
  </si>
  <si>
    <t>CJ-    COMMUNICATING JAMB</t>
  </si>
  <si>
    <t>5.875    (5-7/8")</t>
  </si>
  <si>
    <t>36    3'6" JAMB OPENING WIDTH</t>
  </si>
  <si>
    <t>80    8'0" JAMB OPENING HEIGHT</t>
  </si>
  <si>
    <t>478N    4-7/8" STANDARD ( NO LIP) STRIKE</t>
  </si>
  <si>
    <t>DWBH</t>
  </si>
  <si>
    <t>DWBH    DRYWALL COMPRESSION W/ BASE HOLES</t>
  </si>
  <si>
    <t>RNDCH    ROUND CORNER HINGE</t>
  </si>
  <si>
    <t>PAFW</t>
  </si>
  <si>
    <t>PAFW    PARALLEL ARM REINF. FULL WIDTH (STOP)</t>
  </si>
  <si>
    <t>SBRR</t>
  </si>
  <si>
    <t xml:space="preserve">SBRR    BOLT REINFORCE IN RABBET </t>
  </si>
  <si>
    <t>SILL:Add Sill Section (2" or 4" Face)</t>
  </si>
  <si>
    <t>SILL=</t>
  </si>
  <si>
    <t>SPL: Miter Pt / Top Strike Prep</t>
  </si>
  <si>
    <t>4S</t>
  </si>
  <si>
    <t>4S-    4 SIDED BORROWED LITE (COMPLETE)</t>
  </si>
  <si>
    <t>6    (6")</t>
  </si>
  <si>
    <t>38    3'8" JAMB OPENING WIDTH</t>
  </si>
  <si>
    <t>710    7'10" JAMB OPENING HEIGHT</t>
  </si>
  <si>
    <t>350N    3-1/2" STANDARD (NO LIP) STRIKE</t>
  </si>
  <si>
    <t>R05</t>
  </si>
  <si>
    <t>REPUBLIC 2005 LOCATIONS</t>
  </si>
  <si>
    <t>DE16</t>
  </si>
  <si>
    <t>DE16    DBL EGRESS 16 GA CHANNEL</t>
  </si>
  <si>
    <t>INVHG</t>
  </si>
  <si>
    <t>INVHG    INVISIBLE HINGE PREP</t>
  </si>
  <si>
    <t>SOHS</t>
  </si>
  <si>
    <t>SOHS    SURFACE OVERHEAD CLOSER / STOP REINF.</t>
  </si>
  <si>
    <t>CVRS1</t>
  </si>
  <si>
    <t xml:space="preserve">CVRS1    QTY 1 CVR MORT STRIKE </t>
  </si>
  <si>
    <t>SSS:Stainless Steel Spats</t>
  </si>
  <si>
    <t>SPLT: Miter Pt/CL Strike</t>
  </si>
  <si>
    <t>This Page has been intentionally locked.</t>
  </si>
  <si>
    <t>BLH</t>
  </si>
  <si>
    <t>BLH    BORROWED LITE HEADER</t>
  </si>
  <si>
    <t>6.625    (6-5/8")</t>
  </si>
  <si>
    <t>310    3'10" JAMB OPENING WIDTH</t>
  </si>
  <si>
    <t>72    7'2" JAMB OPENING HEIGHT</t>
  </si>
  <si>
    <t>R14</t>
  </si>
  <si>
    <t>REPUBLIC 2014 (SDI) LOCATIONS</t>
  </si>
  <si>
    <t>DE12</t>
  </si>
  <si>
    <t>DE12    DBL EGRESS 12 GA CHANNEL</t>
  </si>
  <si>
    <t>MOHS</t>
  </si>
  <si>
    <t>MOHS    MORTISED OVERHEAD CLOSER / STOP PREP</t>
  </si>
  <si>
    <t>CVRS2</t>
  </si>
  <si>
    <t xml:space="preserve">CVRS2    QTY 2 CVR MORT STRIKE </t>
  </si>
  <si>
    <t>CND-:Counduit for Elec Hdwe</t>
  </si>
  <si>
    <t>SPLB: Bot Frame/CL Strike</t>
  </si>
  <si>
    <t>Unlock Password = Pioneer</t>
  </si>
  <si>
    <t>BLJ</t>
  </si>
  <si>
    <t xml:space="preserve">BLJ    BORROWED LITE JAMB </t>
  </si>
  <si>
    <t>6.75    (6-3/4")</t>
  </si>
  <si>
    <t>40    4'0" JAMB OPENING WIDTH</t>
  </si>
  <si>
    <t>70    7'0" JAMB OPENING HEIGHT</t>
  </si>
  <si>
    <t>TASR</t>
  </si>
  <si>
    <t>TRSR    TRIM APPLIED STK REINF (#9)</t>
  </si>
  <si>
    <t>LWIRE</t>
  </si>
  <si>
    <t>(LWIRE) LOOSE Masonry WIRE ANCHOR</t>
  </si>
  <si>
    <t>COHS</t>
  </si>
  <si>
    <t>COHS    CONCEALED OVERHEAD CLOSER PREPARATION</t>
  </si>
  <si>
    <t>RLMS2</t>
  </si>
  <si>
    <t xml:space="preserve">RLMS2    QTY 2 ROLLER LATCH MORTISED STRIKE REINF </t>
  </si>
  <si>
    <t>PTP-:Power Transfer (EPT)</t>
  </si>
  <si>
    <t>SPLA: CL Stk AFF</t>
  </si>
  <si>
    <t>BLS</t>
  </si>
  <si>
    <t>BLS    BORROWED LITE SILL</t>
  </si>
  <si>
    <t>7    (7")</t>
  </si>
  <si>
    <t>48    4'8" JAMB OPENING WIDTH</t>
  </si>
  <si>
    <t>68    6'8" JAMB OPENING HEIGHT</t>
  </si>
  <si>
    <t>HL</t>
  </si>
  <si>
    <t>HL    HURRICANE / WINDSTORM LABEL</t>
  </si>
  <si>
    <t>LTANC</t>
  </si>
  <si>
    <t>(LTANC) LOOSE Masonry "T" ANCHOR</t>
  </si>
  <si>
    <t>350--    3-1/2" HINGE PREPARATION</t>
  </si>
  <si>
    <t>BRKT</t>
  </si>
  <si>
    <t>BRKT    CORNER BRACKET CLOSER REINF</t>
  </si>
  <si>
    <t>RLMS1</t>
  </si>
  <si>
    <t xml:space="preserve">RLMS1    QTY 1 ROLLER LATCH MORTISED STRIKE REINF </t>
  </si>
  <si>
    <t>ELH-:Electric Hinge Prep</t>
  </si>
  <si>
    <t>CNN</t>
  </si>
  <si>
    <t>CNN    COMPLETE UNIT (CUT &amp; NOTCH ONLY)</t>
  </si>
  <si>
    <t>7.125    (7-1/8")</t>
  </si>
  <si>
    <t xml:space="preserve">50    5'0" JAMB OPENING WIDTH </t>
  </si>
  <si>
    <t>60    6'0" JAMB OPENING HEIGHT</t>
  </si>
  <si>
    <t>SPL    SPECIAL LOCATIONS (Define Below)</t>
  </si>
  <si>
    <t>6LT</t>
  </si>
  <si>
    <t xml:space="preserve">6LT    UL SIDELITE/TRANSOM </t>
  </si>
  <si>
    <t>LWSAD</t>
  </si>
  <si>
    <t>(LWSAD) LOOSE ADJUSTABLE WOOD STUD ANCHOR</t>
  </si>
  <si>
    <t>400--    4" HINGE PREPARATION</t>
  </si>
  <si>
    <t>RPTJ</t>
  </si>
  <si>
    <t>RPTJ    REG, PAC, AND TOP JAMB REINF</t>
  </si>
  <si>
    <t>MAGS:Magnetic Switch (Hole Type)</t>
  </si>
  <si>
    <t>SUA</t>
  </si>
  <si>
    <t>SUA    SPECIAL UNIT (WELDED)</t>
  </si>
  <si>
    <t>7.75    (7-3/4")</t>
  </si>
  <si>
    <t>54    5'4" JAMB OPENING WIDTH</t>
  </si>
  <si>
    <t>50    5'0" JAMB OPENING HEIGHT</t>
  </si>
  <si>
    <t>---</t>
  </si>
  <si>
    <t>---    DEVICE SPECIFIC LOCATION(STD PER MFG)</t>
  </si>
  <si>
    <t>6LW</t>
  </si>
  <si>
    <t xml:space="preserve">6LW    UL WINDOW FRAME </t>
  </si>
  <si>
    <t>LSSAD</t>
  </si>
  <si>
    <t>(LSSAD) LOOSE STEEL STUD ADJUSTABLE ANCHOR</t>
  </si>
  <si>
    <t>DD45</t>
  </si>
  <si>
    <t>DD45    DOUBLE DEPTH 4-1/2" HINGE</t>
  </si>
  <si>
    <t>TJFW</t>
  </si>
  <si>
    <t>TJFW    AUTO OPER. REINF FULL WIDTH</t>
  </si>
  <si>
    <t>CJ2:CJ-Strike (2 Strikes)</t>
  </si>
  <si>
    <t>FBJ</t>
  </si>
  <si>
    <t>FBJ    FAB BLANK JAMB</t>
  </si>
  <si>
    <t>8.25    (8-1/4")</t>
  </si>
  <si>
    <t>58    5'8" JAMB OPENING WIDTH</t>
  </si>
  <si>
    <t>54    5'4" JAMB OPENING HEIGHT</t>
  </si>
  <si>
    <t>FEN</t>
  </si>
  <si>
    <t>FEN    FENESTRA LOCATION</t>
  </si>
  <si>
    <t>5PF</t>
  </si>
  <si>
    <t xml:space="preserve">5PF    UL PANEL FRAME </t>
  </si>
  <si>
    <t>LCMBO</t>
  </si>
  <si>
    <t>(LCMBO) LOOSE COMBINATION ANCHOR</t>
  </si>
  <si>
    <t>DD50</t>
  </si>
  <si>
    <t>DD50    DOUBLE DEPTH 5" HINGE</t>
  </si>
  <si>
    <t>CORF</t>
  </si>
  <si>
    <t>CORF    COORDINATOR @ CL REINF IN FACE</t>
  </si>
  <si>
    <t>CJ6:CJ-Hinge (6 HInges)</t>
  </si>
  <si>
    <t>FHJ</t>
  </si>
  <si>
    <t>FHJ    FAB HINGE JAMB</t>
  </si>
  <si>
    <t>8.75    (8-3/4")</t>
  </si>
  <si>
    <t>60    6'0" JAMB OPENING WIDTH</t>
  </si>
  <si>
    <t>48    4'8" JAMB OPENING HEIGHT</t>
  </si>
  <si>
    <t>C18</t>
  </si>
  <si>
    <t>C18    CONSTRUCTION LABEL (#18)</t>
  </si>
  <si>
    <t>LEOBF</t>
  </si>
  <si>
    <t>(LEOBF) LOOSE EO BUTTERFLY ANCHOR</t>
  </si>
  <si>
    <t>SOSSH    SOSS or SIMONSWERKS INVISIBLE HINGE PREP</t>
  </si>
  <si>
    <t>CORS</t>
  </si>
  <si>
    <t>CORS    COORDINATOR @ FULL WIDTH SOFFET</t>
  </si>
  <si>
    <t>DTCH2:DTCH-Strike (2 Strikes)</t>
  </si>
  <si>
    <t>FSJ</t>
  </si>
  <si>
    <t>FSJ    FAB STRIKE JAMB</t>
  </si>
  <si>
    <t>SPJD</t>
  </si>
  <si>
    <t>SPJD    Special Jamb Depth</t>
  </si>
  <si>
    <t>68    6'8" JAMB OPENING WIDTH</t>
  </si>
  <si>
    <t>40    4'0" JAMB OPENING HEIGHT</t>
  </si>
  <si>
    <t>LC    LABELED CONSTRUCTION - GENERIC (#1G)</t>
  </si>
  <si>
    <t>ELIAS</t>
  </si>
  <si>
    <t>ELIAS    ELIASON REINFORCING</t>
  </si>
  <si>
    <t>DTCH4:DTCH-Hinge (4 HInges)</t>
  </si>
  <si>
    <t>FM2</t>
  </si>
  <si>
    <t>FM2    FAB BLANK MULLION (2")</t>
  </si>
  <si>
    <t>70    7'0" JAMB OPENING WIDTH</t>
  </si>
  <si>
    <t>310    3'10" JAMB OPENING HEIGHT</t>
  </si>
  <si>
    <t>20U</t>
  </si>
  <si>
    <t>20U    20 MIN WINDOW / NO HOSE UL METAL (#4M)</t>
  </si>
  <si>
    <t>NOHNG     NO HINGE PREP</t>
  </si>
  <si>
    <t>FWHR:Full Width Hinge Reinforcement</t>
  </si>
  <si>
    <t>FM4</t>
  </si>
  <si>
    <t>FM4    FAB BLANK MULLION (4")</t>
  </si>
  <si>
    <t>74    7'4" JAMB OPENING WIDTH</t>
  </si>
  <si>
    <t>58    5'8" JAMB OPENING HEIGHT</t>
  </si>
  <si>
    <t>CONN     CONTINUOUS HINGE (NO REINF)</t>
  </si>
  <si>
    <t>FHHR:Full Height Hinge Reinforcement</t>
  </si>
  <si>
    <t>SHM</t>
  </si>
  <si>
    <t>SHM    MULLION (SINGLE HINGE)</t>
  </si>
  <si>
    <t>78    7'8" JAMB OPENING WIDTH</t>
  </si>
  <si>
    <t>NA</t>
  </si>
  <si>
    <t>NA    HEIGHT NOT APPLICABLE</t>
  </si>
  <si>
    <t>INPV:Intermediate Pivot</t>
  </si>
  <si>
    <t>INPV=</t>
  </si>
  <si>
    <t>SSM</t>
  </si>
  <si>
    <t>SSM    MULLION (SINGLE STRIKE)</t>
  </si>
  <si>
    <t>80    8'0" JAMB OPENING WIDTH</t>
  </si>
  <si>
    <t>100    10' STICK MATERIAL</t>
  </si>
  <si>
    <t>MET    METAL LABEL(SPOTWELDED)</t>
  </si>
  <si>
    <t xml:space="preserve">HFH:Hi Frequency Hinge </t>
  </si>
  <si>
    <t>DHM</t>
  </si>
  <si>
    <t>DHM    MULLION (DBL HINGE)</t>
  </si>
  <si>
    <t>NA    WIDTH NOT APPLICABLE</t>
  </si>
  <si>
    <t>RIV</t>
  </si>
  <si>
    <t>RIV    RIVETED LABEL</t>
  </si>
  <si>
    <t>SHDR:PAIR: 1" x 1-1/2" x 1/8" Angle</t>
  </si>
  <si>
    <t>Angle'=</t>
  </si>
  <si>
    <t>DSM</t>
  </si>
  <si>
    <t>DSM    MULLION (DBL STRIKE)</t>
  </si>
  <si>
    <t>SHDR:FULL WIDTH 12 Ga Channel (to 6" Depth)</t>
  </si>
  <si>
    <t>Chan'=</t>
  </si>
  <si>
    <t>HSM</t>
  </si>
  <si>
    <t>HSM    MULLION (HINGE &amp; STRIKE)</t>
  </si>
  <si>
    <t xml:space="preserve">RASW:18Ga Reinforce for Applied </t>
  </si>
  <si>
    <t>FPS</t>
  </si>
  <si>
    <t>FPS    FILLER PLATE W/ STOP</t>
  </si>
  <si>
    <t>RFRM:Reinf for Removable Mullion</t>
  </si>
  <si>
    <t>FPN</t>
  </si>
  <si>
    <t>FPN    FILLER PLATE NO STOP</t>
  </si>
  <si>
    <t>RFHM:Reinf for Hardware Mullion</t>
  </si>
  <si>
    <t>HM=</t>
  </si>
  <si>
    <t>FCP</t>
  </si>
  <si>
    <t>FCP    COVER PLATE</t>
  </si>
  <si>
    <t>BJ4</t>
  </si>
  <si>
    <t>BJ4    4" FACE SECTION</t>
  </si>
  <si>
    <t>Template Needed</t>
  </si>
  <si>
    <t xml:space="preserve">NAIL:Nail on Frames </t>
  </si>
  <si>
    <t>BJ6</t>
  </si>
  <si>
    <t>BJ6    6" FACE SECTION</t>
  </si>
  <si>
    <t>16BA:16Ga Floor Anchor (on Stick Mat'l)</t>
  </si>
  <si>
    <t>BJ8</t>
  </si>
  <si>
    <t>BJ8    8" FACE SECTION</t>
  </si>
  <si>
    <t>ADJA:Adjustable Base Anchor</t>
  </si>
  <si>
    <t>SS4</t>
  </si>
  <si>
    <t>SS4    4" SILL SECTION</t>
  </si>
  <si>
    <t>UNFA:Uniframe Floor Anchor Attached</t>
  </si>
  <si>
    <t>SS6</t>
  </si>
  <si>
    <t>SS6    6.62" SILL SECTION</t>
  </si>
  <si>
    <t>NOS:No Silencer Holes</t>
  </si>
  <si>
    <t>SS8</t>
  </si>
  <si>
    <t>SS8    8.62" SILL SECTION</t>
  </si>
  <si>
    <t>BHA:Base Holes (of F Series)</t>
  </si>
  <si>
    <t>FSC</t>
  </si>
  <si>
    <t>FSC    SILL CHANNEL</t>
  </si>
  <si>
    <t>RFLA:Reversed(Inverted) Floor Anchors</t>
  </si>
  <si>
    <t>CP2</t>
  </si>
  <si>
    <t>CP2    CORNER POST (2 WAY)</t>
  </si>
  <si>
    <t>Full Anchor List</t>
  </si>
  <si>
    <t>BDL:Segregate by Floor</t>
  </si>
  <si>
    <t>CP3</t>
  </si>
  <si>
    <t>CP3    CORNER POST (3 WAY)</t>
  </si>
  <si>
    <t>SPLP:Non-Standard Color / Finish</t>
  </si>
  <si>
    <t>CLR=</t>
  </si>
  <si>
    <t>C45</t>
  </si>
  <si>
    <t>C45    CORNER POST 45 DEGREE</t>
  </si>
  <si>
    <t>____</t>
  </si>
  <si>
    <t>12GC:12Ga Closer Reinf.</t>
  </si>
  <si>
    <t>HJT</t>
  </si>
  <si>
    <t>HJT    UNIFRAME HINGE JAMB TRIM</t>
  </si>
  <si>
    <t>SJT</t>
  </si>
  <si>
    <t>SJT    UNIFRAME STRIKE JAMB TRIM</t>
  </si>
  <si>
    <t>BJT</t>
  </si>
  <si>
    <t>BJT    UNIFRAME BLANK JAMB TRIM</t>
  </si>
  <si>
    <t>SRS</t>
  </si>
  <si>
    <t>SRS    UNIFRAME SINGLE RABBET STOP</t>
  </si>
  <si>
    <t>UJS</t>
  </si>
  <si>
    <t>UJS    UNIFRAME JAMB STOP</t>
  </si>
  <si>
    <t>HT-    UNIFRAME HEAD TRIM</t>
  </si>
  <si>
    <t>HT4</t>
  </si>
  <si>
    <t>HT4    UNIFRAME 4" HEAD TRIM</t>
  </si>
  <si>
    <t>SRH</t>
  </si>
  <si>
    <t>SRH    UNIFRAME SR HEAD STOP</t>
  </si>
  <si>
    <t>UHS</t>
  </si>
  <si>
    <t>UHS    UNIFRAME HEAD STOP</t>
  </si>
  <si>
    <t>BLT</t>
  </si>
  <si>
    <t>BLT    UNIFRAME BL JAMB TRIM</t>
  </si>
  <si>
    <t>NAIL</t>
  </si>
  <si>
    <t>NAIL    NAIL HOLES IN FRAME FACE FOR DIRECT ATTACHMENT</t>
  </si>
  <si>
    <t>MBT</t>
  </si>
  <si>
    <t>MBT    UNIFRAME MULLION TRIM</t>
  </si>
  <si>
    <t>ANCHOR OVERRIDE (CONSULT ENGINEERING)</t>
  </si>
  <si>
    <t>UMH</t>
  </si>
  <si>
    <t>UMH    UNIFRAME MULLION HDWE</t>
  </si>
  <si>
    <t>Y&amp;S</t>
  </si>
  <si>
    <t>Y&amp;S    YOKE AND STRAP</t>
  </si>
  <si>
    <t>HJC</t>
  </si>
  <si>
    <t>HJC    HINGE JAMB COMPONENT</t>
  </si>
  <si>
    <t>WSSA</t>
  </si>
  <si>
    <t>WSSA    WOOD STUD STRAP ANCHOR</t>
  </si>
  <si>
    <t>SJC</t>
  </si>
  <si>
    <t>SJC    STRIKE JAMB COMPONENT</t>
  </si>
  <si>
    <t>ZCLIP</t>
  </si>
  <si>
    <t>ZCLIP    Z CLIP ANCHOR</t>
  </si>
  <si>
    <t>VJC</t>
  </si>
  <si>
    <t>VJC    VARIABLE JAMB COMPONENT</t>
  </si>
  <si>
    <t>2EB</t>
  </si>
  <si>
    <t>2EB    2" EXPANSION BOLT HAT ANCHORS</t>
  </si>
  <si>
    <t>HC</t>
  </si>
  <si>
    <t>HC    HEADER COMPONENT</t>
  </si>
  <si>
    <t>EOPP</t>
  </si>
  <si>
    <t>EOPP    PUNCH &amp; DIMPLE EXISTING OPENING PIPE &amp; PLATE</t>
  </si>
  <si>
    <t>VHC</t>
  </si>
  <si>
    <t>VHC    VARIABLE HDR COMPONENT</t>
  </si>
  <si>
    <t>CHPP</t>
  </si>
  <si>
    <t>CHPP    P&amp;D EO PIPE/CHAN &amp; PLATE (SPL FACE)</t>
  </si>
  <si>
    <t>Fi2</t>
  </si>
  <si>
    <t>Fi2    BLANK INTER. MULLION (2")</t>
  </si>
  <si>
    <t>PDR</t>
  </si>
  <si>
    <t>PDR    P&amp;D(ONLY) IN RABBET OF FRAME</t>
  </si>
  <si>
    <t>SHi</t>
  </si>
  <si>
    <t>SHi   INTER. MULLION (SINGLE HINGE)</t>
  </si>
  <si>
    <t>LFAN    |- SHOW LOOSE ANCHOR SELECTION -|</t>
  </si>
  <si>
    <t>SSi</t>
  </si>
  <si>
    <t>SSi    INTER. MULLION (SINGLE STRIKE)</t>
  </si>
  <si>
    <t>Masonry Loose</t>
  </si>
  <si>
    <t>DHi</t>
  </si>
  <si>
    <t>DHi    INTER. MULLION (DBL HINGE)</t>
  </si>
  <si>
    <t>(LWIRE) LOOSE WIRE ANCHOR</t>
  </si>
  <si>
    <t>DSi</t>
  </si>
  <si>
    <t>DSi    INTER. MULLION (DBL STRIKE)</t>
  </si>
  <si>
    <t>(LTANC) LOOSE "T" ANCHOR</t>
  </si>
  <si>
    <t>HSi</t>
  </si>
  <si>
    <t>HSi    INTER. MULLION (HINGE &amp; STRIKE)</t>
  </si>
  <si>
    <t>Wood Stud Loose</t>
  </si>
  <si>
    <t>Steel Stud Loose</t>
  </si>
  <si>
    <t>Combination Anchor</t>
  </si>
  <si>
    <t>Existing Opening Anchor</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</si>
  <si>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</si>
  <si>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</si>
  <si>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</si>
  <si>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</si>
  <si>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</si>
  <si>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</si>
  <si>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</si>
  <si>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</si>
  <si>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</si>
  <si>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</si>
  <si>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</si>
  <si>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</si>
  <si>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</si>
  <si>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</si>
  <si>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</si>
  <si>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</si>
  <si>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</si>
  <si>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</si>
  <si>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</si>
  <si>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</si>
  <si>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</si>
  <si>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</si>
  <si>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</si>
  <si>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</si>
  <si>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</si>
  <si>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</si>
  <si>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</si>
  <si>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</si>
  <si>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</si>
  <si>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PIONEER FRAME FORM</t>
  </si>
  <si>
    <t>PURCHASE ORDER / NON-STOCKED ENGINEERED FRAME</t>
  </si>
  <si>
    <t>Ship To:</t>
  </si>
  <si>
    <t>SEE PO</t>
  </si>
  <si>
    <t>2401_PIO</t>
  </si>
  <si>
    <t>MARK PO 2401 ON SHIPPING PAPERWORK    KD DW FRAMES GALV  NO PAINT</t>
  </si>
  <si>
    <t>FRAME ORDER</t>
  </si>
  <si>
    <t>Rev. 12-3-2020</t>
  </si>
  <si>
    <t>Rabbet</t>
  </si>
  <si>
    <t>Jamb Depth</t>
  </si>
  <si>
    <t>Strike</t>
  </si>
  <si>
    <t>Strike Location</t>
  </si>
  <si>
    <t>2nd 
Strike</t>
  </si>
  <si>
    <t>Ass'y</t>
  </si>
  <si>
    <t>Hg Qty
Per Jmb</t>
  </si>
  <si>
    <t>25</t>
  </si>
  <si>
    <t>Spl Width</t>
  </si>
  <si>
    <t>Spl Height</t>
  </si>
  <si>
    <t>Dwg#</t>
  </si>
  <si>
    <t>J.O. WIDTH</t>
  </si>
  <si>
    <t>J.O. HEIGHT</t>
  </si>
  <si>
    <r>
      <rPr>
        <b/>
        <i/>
        <sz val="9"/>
        <color theme="0"/>
        <rFont val="Arial Narrow"/>
        <family val="2"/>
      </rPr>
      <t>*Optional</t>
    </r>
    <r>
      <rPr>
        <i/>
        <sz val="9"/>
        <color theme="0"/>
        <rFont val="Arial Narrow"/>
        <family val="2"/>
      </rPr>
      <t xml:space="preserve"> - Label Information</t>
    </r>
  </si>
  <si>
    <t>Top of Door to Top of Hinge</t>
  </si>
  <si>
    <t>2nd Strike</t>
  </si>
  <si>
    <t>MARK JOB 2352</t>
  </si>
  <si>
    <t>2nd Closer</t>
  </si>
  <si>
    <t>Notes:</t>
  </si>
  <si>
    <t>NO PAINT</t>
  </si>
  <si>
    <t>STC 52</t>
  </si>
  <si>
    <t>Bolt / Strike</t>
  </si>
  <si>
    <t>P</t>
  </si>
  <si>
    <t>PF</t>
  </si>
  <si>
    <t>PW</t>
  </si>
  <si>
    <t>PT</t>
  </si>
  <si>
    <t>SFW</t>
  </si>
  <si>
    <t>STP</t>
  </si>
  <si>
    <t>STP FC</t>
  </si>
  <si>
    <t>STP WC</t>
  </si>
  <si>
    <t>STP FWC</t>
  </si>
  <si>
    <t>FRW</t>
  </si>
  <si>
    <t>PT FWC</t>
  </si>
  <si>
    <t>PT FC</t>
  </si>
  <si>
    <t>PT WC</t>
  </si>
  <si>
    <t>gauge</t>
  </si>
  <si>
    <t>Base door A40 galv, styrene, welded top cap, closer, hwhg, exp seam</t>
  </si>
  <si>
    <t>Base door galvanized, styrene, welded top cap, closer reinforced</t>
  </si>
  <si>
    <t>n/a</t>
  </si>
  <si>
    <t>PANIC FH</t>
  </si>
  <si>
    <t>galv +poly+clos</t>
  </si>
  <si>
    <t>RECALC BASE PRICING DELA TO INCLUDE FH @ 16 + HINGES @ 3X6, CLOSER AT $45 AND FWC @ 30</t>
  </si>
  <si>
    <t>NEXT DOOR</t>
  </si>
  <si>
    <t xml:space="preserve">4'0x11'0 </t>
  </si>
  <si>
    <t>POPULAR ADDERS</t>
  </si>
  <si>
    <t>LIST OPTION ADDER</t>
  </si>
  <si>
    <t>Door construction</t>
  </si>
  <si>
    <t>TOP CAP SEALED</t>
  </si>
  <si>
    <t>WIND LABEL</t>
  </si>
  <si>
    <t>SURFACE VERT ROD</t>
  </si>
  <si>
    <t>FB/ASA</t>
  </si>
  <si>
    <t>Door Elevation</t>
  </si>
  <si>
    <t>LITE CUTOUT NON FIRE</t>
  </si>
  <si>
    <t>FLUSH</t>
  </si>
  <si>
    <t>LITE KIT w FIRE RATED</t>
  </si>
  <si>
    <t>RACEWAY/CHASE</t>
  </si>
  <si>
    <t>LITE KIT w WIND RATED</t>
  </si>
  <si>
    <t>EL HINGES</t>
  </si>
  <si>
    <t>LITE KIT w WIND X FIRE RATED</t>
  </si>
  <si>
    <t>LOUVER CUTOUT</t>
  </si>
  <si>
    <t>POLYURETHANE</t>
  </si>
  <si>
    <t>HONEYCOMB</t>
  </si>
  <si>
    <t>TOP PIVOT</t>
  </si>
  <si>
    <t>Hardware preparations</t>
  </si>
  <si>
    <t>SEALED TOP CAP</t>
  </si>
  <si>
    <t>ASTRAGALS &lt;8</t>
  </si>
  <si>
    <t>ASTRAGALS &gt;8</t>
  </si>
  <si>
    <t>FUNCTION HOLES</t>
  </si>
  <si>
    <t>Core Materials</t>
  </si>
  <si>
    <t>Supplemental hardware</t>
  </si>
  <si>
    <t xml:space="preserve">SUBTOTAL FEATURES &amp; OPTIONS ACTIVE DOOR: </t>
  </si>
  <si>
    <t>FEATURE &amp; OPTION PRICING BY NEXT DOOR</t>
  </si>
  <si>
    <t>REBBED WELDED</t>
  </si>
  <si>
    <t>CUSTOMER</t>
  </si>
  <si>
    <t>STREET ADDRESS</t>
  </si>
  <si>
    <t>STATE</t>
  </si>
  <si>
    <t>ZIP</t>
  </si>
  <si>
    <t>EUGENE SARTOR</t>
  </si>
  <si>
    <t>CLINTON LEE</t>
  </si>
  <si>
    <t>COURTNEY MALLORY</t>
  </si>
  <si>
    <t>KALAN SMITH</t>
  </si>
  <si>
    <t>AMBER MARTIN</t>
  </si>
  <si>
    <t>DENA CONTEREZ</t>
  </si>
  <si>
    <t>SMITH MIDLAND</t>
  </si>
  <si>
    <t>GEORGE SHIRAKIS</t>
  </si>
  <si>
    <t>CODY WILLIAMS</t>
  </si>
  <si>
    <t>ROBERTO GONZALES</t>
  </si>
  <si>
    <t>SMITH COLUMBIA</t>
  </si>
  <si>
    <t>SHEA</t>
  </si>
  <si>
    <t>PARKLINE WV</t>
  </si>
  <si>
    <t>PARKLINE TX</t>
  </si>
  <si>
    <t>EBTECH</t>
  </si>
  <si>
    <t>MODULE X</t>
  </si>
  <si>
    <t>STARFLITE</t>
  </si>
  <si>
    <t>MTN WEST</t>
  </si>
  <si>
    <t>JENSEN</t>
  </si>
  <si>
    <t>POLYSTAR</t>
  </si>
  <si>
    <t>MCCANN</t>
  </si>
  <si>
    <t>US CHEMICAL</t>
  </si>
  <si>
    <t>BEST/SECLOCK</t>
  </si>
  <si>
    <t>LATCH GUARD  CYL</t>
  </si>
  <si>
    <t>LATCH GUARD MORT</t>
  </si>
  <si>
    <t xml:space="preserve">3" X 11"  </t>
  </si>
  <si>
    <t>MLP-111-630</t>
  </si>
  <si>
    <t>LP-111-630</t>
  </si>
  <si>
    <t>MORTISE LOCKSET</t>
  </si>
  <si>
    <t>BEST BRAND MORTISE LOCK w DEADBOLT</t>
  </si>
  <si>
    <t>47H7D15M630</t>
  </si>
  <si>
    <t>ELECTRIC STRIKE</t>
  </si>
  <si>
    <t>ASA + DEADBOLT</t>
  </si>
  <si>
    <t>1006CAS-630</t>
  </si>
  <si>
    <t>5235 DELANY ROAD</t>
  </si>
  <si>
    <t>HITCHCOCK, TX  77563</t>
  </si>
  <si>
    <t>409-935-5743</t>
  </si>
  <si>
    <t>OPENING SIZE</t>
  </si>
  <si>
    <t>TYPE</t>
  </si>
  <si>
    <t>GA DOOR/FRAME</t>
  </si>
  <si>
    <t>DOOR ELEVATION</t>
  </si>
  <si>
    <t xml:space="preserve">FRAME ELEVATION </t>
  </si>
  <si>
    <t>LABEL DOOR</t>
  </si>
  <si>
    <t>LABEL FRAME</t>
  </si>
  <si>
    <t>CONFIGURATION</t>
  </si>
  <si>
    <t>14-14</t>
  </si>
  <si>
    <t>TP-24</t>
  </si>
  <si>
    <r>
      <rPr>
        <b/>
        <sz val="10"/>
        <color theme="1"/>
        <rFont val="Verdana"/>
        <family val="2"/>
      </rPr>
      <t>S</t>
    </r>
    <r>
      <rPr>
        <sz val="10"/>
        <color theme="1"/>
        <rFont val="Verdana"/>
        <family val="2"/>
      </rPr>
      <t xml:space="preserve"> SINGLE </t>
    </r>
  </si>
  <si>
    <r>
      <rPr>
        <b/>
        <sz val="10"/>
        <color theme="1"/>
        <rFont val="Verdana"/>
        <family val="2"/>
      </rPr>
      <t>UP</t>
    </r>
    <r>
      <rPr>
        <sz val="10"/>
        <color theme="1"/>
        <rFont val="Verdana"/>
        <family val="2"/>
      </rPr>
      <t xml:space="preserve"> UNEQUAL PAIR</t>
    </r>
  </si>
  <si>
    <r>
      <rPr>
        <b/>
        <sz val="10"/>
        <color theme="1"/>
        <rFont val="Verdana"/>
        <family val="2"/>
      </rPr>
      <t>EP</t>
    </r>
    <r>
      <rPr>
        <sz val="10"/>
        <color theme="1"/>
        <rFont val="Verdana"/>
        <family val="2"/>
      </rPr>
      <t xml:space="preserve"> EQUAL PAIR</t>
    </r>
  </si>
  <si>
    <t>LABEL DOOR/FRAME</t>
  </si>
  <si>
    <t>FRAME PROFILE/TYPE</t>
  </si>
  <si>
    <r>
      <rPr>
        <b/>
        <sz val="10"/>
        <color theme="1"/>
        <rFont val="Verdana"/>
        <family val="2"/>
      </rPr>
      <t>PT</t>
    </r>
    <r>
      <rPr>
        <sz val="10"/>
        <color theme="1"/>
        <rFont val="Verdana"/>
        <family val="2"/>
      </rPr>
      <t xml:space="preserve"> PAIRED TP</t>
    </r>
  </si>
  <si>
    <r>
      <rPr>
        <b/>
        <sz val="10"/>
        <color theme="1"/>
        <rFont val="Verdana"/>
        <family val="2"/>
      </rPr>
      <t>ST</t>
    </r>
    <r>
      <rPr>
        <sz val="10"/>
        <color theme="1"/>
        <rFont val="Verdana"/>
        <family val="2"/>
      </rPr>
      <t xml:space="preserve"> SINGLE TP</t>
    </r>
  </si>
  <si>
    <t>HDWE</t>
  </si>
  <si>
    <t>NO-NO</t>
  </si>
  <si>
    <t>PANIC</t>
  </si>
  <si>
    <t>VISION WIRE NO LABEL</t>
  </si>
  <si>
    <t>3080AV 14GA</t>
  </si>
  <si>
    <t>3080IAV 14GA</t>
  </si>
  <si>
    <t>6010 14GA</t>
  </si>
  <si>
    <t>72*24"</t>
  </si>
  <si>
    <t>ASA_SURFACE BOLT</t>
  </si>
  <si>
    <t>PAIRED TRANSOM PANEL H/M DOOR/FRAME</t>
  </si>
  <si>
    <t>PREP REMOVABLE TP</t>
  </si>
  <si>
    <t>GAUGE D/F</t>
  </si>
  <si>
    <t>SIZE TYPE CORE</t>
  </si>
  <si>
    <t>6010-PT STYRENE</t>
  </si>
  <si>
    <t>SINGLE FRAME</t>
  </si>
  <si>
    <t>4"   KD</t>
  </si>
  <si>
    <t>PT FRAME</t>
  </si>
  <si>
    <t>ACTIVE  DOOR STYRENE</t>
  </si>
  <si>
    <t>18-16</t>
  </si>
  <si>
    <t>16-16</t>
  </si>
  <si>
    <t>16-14</t>
  </si>
  <si>
    <r>
      <rPr>
        <b/>
        <sz val="10"/>
        <color theme="1"/>
        <rFont val="Verdana"/>
        <family val="2"/>
      </rPr>
      <t xml:space="preserve">F </t>
    </r>
    <r>
      <rPr>
        <sz val="10"/>
        <color theme="1"/>
        <rFont val="Verdana"/>
        <family val="2"/>
      </rPr>
      <t>FLUSH</t>
    </r>
  </si>
  <si>
    <r>
      <rPr>
        <b/>
        <sz val="10"/>
        <color theme="1"/>
        <rFont val="Verdana"/>
        <family val="2"/>
      </rPr>
      <t xml:space="preserve">N </t>
    </r>
    <r>
      <rPr>
        <sz val="10"/>
        <color theme="1"/>
        <rFont val="Verdana"/>
        <family val="2"/>
      </rPr>
      <t>NARROW LITE</t>
    </r>
  </si>
  <si>
    <r>
      <rPr>
        <b/>
        <sz val="10"/>
        <color theme="1"/>
        <rFont val="Verdana"/>
        <family val="2"/>
      </rPr>
      <t>G</t>
    </r>
    <r>
      <rPr>
        <sz val="10"/>
        <color theme="1"/>
        <rFont val="Verdana"/>
        <family val="2"/>
      </rPr>
      <t xml:space="preserve"> 1/2 GLASS</t>
    </r>
  </si>
  <si>
    <r>
      <rPr>
        <b/>
        <sz val="10"/>
        <color theme="1"/>
        <rFont val="Verdana"/>
        <family val="2"/>
      </rPr>
      <t>V</t>
    </r>
    <r>
      <rPr>
        <sz val="10"/>
        <color theme="1"/>
        <rFont val="Verdana"/>
        <family val="2"/>
      </rPr>
      <t xml:space="preserve"> VISION (1)</t>
    </r>
  </si>
  <si>
    <r>
      <rPr>
        <b/>
        <sz val="10"/>
        <color theme="1"/>
        <rFont val="Verdana"/>
        <family val="2"/>
      </rPr>
      <t>V</t>
    </r>
    <r>
      <rPr>
        <sz val="10"/>
        <color theme="1"/>
        <rFont val="Verdana"/>
        <family val="2"/>
      </rPr>
      <t xml:space="preserve"> VISION (2)</t>
    </r>
  </si>
  <si>
    <t>FIBREBOND CORP.</t>
  </si>
  <si>
    <t>Q24124898  VD</t>
  </si>
  <si>
    <t>1300 DAVENPORT DR.</t>
  </si>
  <si>
    <t>12.12.24</t>
  </si>
  <si>
    <t>MINDEN, LA 71055</t>
  </si>
  <si>
    <t xml:space="preserve">318.371.6394                              800-824-2614 </t>
  </si>
  <si>
    <t xml:space="preserve">318.371.6394                                800-824-2614 </t>
  </si>
  <si>
    <t>SMITH-MIDLAND</t>
  </si>
  <si>
    <t>PURE WATER</t>
  </si>
  <si>
    <t>5119 CATLETT RD</t>
  </si>
  <si>
    <t>MIDLAND, VA 22728</t>
  </si>
  <si>
    <t>12.19.24</t>
  </si>
  <si>
    <t>seclock_hes</t>
  </si>
  <si>
    <t>9600-630 rim</t>
  </si>
  <si>
    <t>32D BURGLARY &amp; W/S RESISTANT</t>
  </si>
  <si>
    <t xml:space="preserve">RIM PANIC: </t>
  </si>
  <si>
    <t>HIDDEN DATA</t>
  </si>
  <si>
    <t>NDC S/C</t>
  </si>
  <si>
    <t>RIM EXIT DEVICE</t>
  </si>
  <si>
    <t>CORBIN RUSSWIN</t>
  </si>
  <si>
    <t xml:space="preserve">ESCUTCHEON LEVER </t>
  </si>
  <si>
    <t>PROJECT SPECIFIC  KEYWAY</t>
  </si>
  <si>
    <t>ED5200S</t>
  </si>
  <si>
    <t>N957ET</t>
  </si>
  <si>
    <t>EDGE SEAM</t>
  </si>
  <si>
    <t>WIND RATED</t>
  </si>
  <si>
    <t>WIND X FIRE</t>
  </si>
  <si>
    <t>116</t>
  </si>
  <si>
    <t>SFIC</t>
  </si>
  <si>
    <t>ROSE LEVER TRIM</t>
  </si>
  <si>
    <t>IVES</t>
  </si>
  <si>
    <t>SECURITY STUD</t>
  </si>
  <si>
    <t>LFIC</t>
  </si>
  <si>
    <t>STD KEYWAY</t>
  </si>
  <si>
    <t xml:space="preserve">BBNRP  </t>
  </si>
  <si>
    <t>24" x 18"</t>
  </si>
  <si>
    <t>24" x 24"</t>
  </si>
  <si>
    <t>18" x 12"</t>
  </si>
  <si>
    <t>18" x 18"</t>
  </si>
  <si>
    <t>EL</t>
  </si>
  <si>
    <t>GROUP</t>
  </si>
  <si>
    <t>CATEGORY</t>
  </si>
  <si>
    <t>THUMB PULL</t>
  </si>
  <si>
    <t>FRAME_PAIR</t>
  </si>
  <si>
    <t>36" RIM PANIC</t>
  </si>
  <si>
    <t>48" RIM PANIC</t>
  </si>
  <si>
    <t>VON DURPIN 99 QEL</t>
  </si>
  <si>
    <t>seCLOCK</t>
  </si>
  <si>
    <t>RIM 99 QEL</t>
  </si>
  <si>
    <t>HM</t>
  </si>
  <si>
    <t>HM DOOR &amp; FRAME</t>
  </si>
  <si>
    <t>F_3070 16/A40</t>
  </si>
  <si>
    <t>HINGE</t>
  </si>
  <si>
    <t>INACTIVE DOOR_STY</t>
  </si>
  <si>
    <t>12" x 12"</t>
  </si>
  <si>
    <t>SFIC CONSTRUCTION CORE</t>
  </si>
  <si>
    <t>L-700-RX  12*12</t>
  </si>
  <si>
    <t>L-700-RX  18*18</t>
  </si>
  <si>
    <t>L-700-RX  18*12</t>
  </si>
  <si>
    <t>L-700-RX  24*18</t>
  </si>
  <si>
    <t>L-700-RX  24*24</t>
  </si>
  <si>
    <t>L-700-RX  24*12</t>
  </si>
  <si>
    <t>SARGENT</t>
  </si>
  <si>
    <t>SARGENT 12-8963G</t>
  </si>
  <si>
    <t xml:space="preserve">48"  </t>
  </si>
  <si>
    <t>PULL NO THUMB</t>
  </si>
  <si>
    <t>N/L</t>
  </si>
  <si>
    <t>SARGENT PTB TRIM</t>
  </si>
  <si>
    <t>NDC LIST</t>
  </si>
  <si>
    <t>DELA LIST</t>
  </si>
  <si>
    <t>PIO LIST</t>
  </si>
  <si>
    <t>NDC NET</t>
  </si>
  <si>
    <t>DELA NET</t>
  </si>
  <si>
    <t>PIO NET</t>
  </si>
  <si>
    <t>DEFAULT AVG W HIGH LOW</t>
  </si>
  <si>
    <t>RPS</t>
  </si>
  <si>
    <t>ESCUTCHEON LEVER TRIM ELECTRIFIED</t>
  </si>
  <si>
    <t>PHI 2200 EL</t>
  </si>
  <si>
    <t>E2103 X 4908A</t>
  </si>
  <si>
    <t>REX PANIC BAR ADD</t>
  </si>
  <si>
    <t>LDS = LBM</t>
  </si>
  <si>
    <t>FLAT SADDLE  4"</t>
  </si>
  <si>
    <t>KEY TO CUSTOMER STANDARD BIT SCHEDULE</t>
  </si>
  <si>
    <t>2100 RPANIC ELT</t>
  </si>
  <si>
    <t>customer mulitplier table</t>
  </si>
  <si>
    <t>name</t>
  </si>
  <si>
    <t>multiplier</t>
  </si>
  <si>
    <t>PANIC BAR STANDARD</t>
  </si>
  <si>
    <t xml:space="preserve">PANIC BAR SPECIAL </t>
  </si>
  <si>
    <t>INTEGRATED ENTRY SOLUTIONS</t>
  </si>
  <si>
    <t>440-522-3342</t>
  </si>
  <si>
    <t>SALES@INTENTRY.COM</t>
  </si>
  <si>
    <t>ACCTG@INTENTRY.COM</t>
  </si>
  <si>
    <t>ORDERS@INTENTRY.COM</t>
  </si>
  <si>
    <t xml:space="preserve"> H/METAL DOORS GRAY</t>
  </si>
  <si>
    <t>36" RIM_EL</t>
  </si>
  <si>
    <t>36" MORTISE_EL</t>
  </si>
  <si>
    <t>SECURITRON DIGITAL ACCESS CONTROL EXTERIOR</t>
  </si>
  <si>
    <t>DK-16</t>
  </si>
  <si>
    <t>Base door galvanized, styrene, welded top cap, closer, hwhg, exposed seam</t>
  </si>
  <si>
    <t>door build sequence</t>
  </si>
  <si>
    <t>size</t>
  </si>
  <si>
    <t>elevation</t>
  </si>
  <si>
    <t>label</t>
  </si>
  <si>
    <t>core</t>
  </si>
  <si>
    <t>frame build sequence</t>
  </si>
  <si>
    <t>construction</t>
  </si>
  <si>
    <t>single or pair</t>
  </si>
  <si>
    <t>single we wil build one door, pair we will build two doors</t>
  </si>
  <si>
    <t xml:space="preserve">often gauge and elevation are the same for each door of a paired opening </t>
  </si>
  <si>
    <t>swing</t>
  </si>
  <si>
    <t>Right hand reverse RHR</t>
  </si>
  <si>
    <t>Left hand reverse  LHR</t>
  </si>
  <si>
    <t>paired opening accepts two doors</t>
  </si>
  <si>
    <t>single frame accepts one door</t>
  </si>
  <si>
    <t>profile (frame dimension inside to outside face of frame)</t>
  </si>
  <si>
    <t>LCN 4040XP</t>
  </si>
  <si>
    <t>4040XP-RW/PA</t>
  </si>
  <si>
    <t>PASSAGE FUNCTION</t>
  </si>
  <si>
    <t>12 X 12</t>
  </si>
  <si>
    <t>8 X 22</t>
  </si>
  <si>
    <t>24 X 24</t>
  </si>
  <si>
    <t>24 X 36</t>
  </si>
  <si>
    <t>8 X 32</t>
  </si>
  <si>
    <t>CORBIN 5200630</t>
  </si>
  <si>
    <t>CORBIN ED5600</t>
  </si>
  <si>
    <t>CORBIN T34 TRIM</t>
  </si>
  <si>
    <t>PULL TRIM</t>
  </si>
  <si>
    <t xml:space="preserve">36"  </t>
  </si>
  <si>
    <t>AKRON</t>
  </si>
  <si>
    <t>FRAME  MASONRY</t>
  </si>
  <si>
    <t>FRAME MASONRY</t>
  </si>
  <si>
    <t>107 x 70C  4*16</t>
  </si>
  <si>
    <t>SNAP TYPE LIMIT SWITCH</t>
  </si>
  <si>
    <t>SUPPLY HOUSE</t>
  </si>
  <si>
    <t>9007C54B2</t>
  </si>
  <si>
    <t>14_A60</t>
  </si>
  <si>
    <t xml:space="preserve">SARGENT RIM CYLINDER </t>
  </si>
  <si>
    <t>BEST SMALL FORMAT</t>
  </si>
  <si>
    <t>CORBIN SFIC CYL</t>
  </si>
  <si>
    <t>SPEC'D EVERY DOOR</t>
  </si>
  <si>
    <t>VON DUPRIN</t>
  </si>
  <si>
    <t>9875 TP RX</t>
  </si>
  <si>
    <t>VD 98</t>
  </si>
  <si>
    <t>630 FINISH</t>
  </si>
  <si>
    <t>2100 RPANIC F90</t>
  </si>
  <si>
    <t>PHI  TPP</t>
  </si>
  <si>
    <t>SARGENT CLOSER:  NON HOLD OPEN</t>
  </si>
  <si>
    <t>351-P10 TB EN</t>
  </si>
  <si>
    <t>689 COVER</t>
  </si>
  <si>
    <t>DOOR CONTACT ALARM</t>
  </si>
  <si>
    <t>OMRON</t>
  </si>
  <si>
    <t xml:space="preserve">ZE-NA2-2S </t>
  </si>
  <si>
    <t>MOUSER .COM</t>
  </si>
  <si>
    <t>ZE-NA2-2S</t>
  </si>
  <si>
    <t>ZE SERIES</t>
  </si>
  <si>
    <t>COMPANY</t>
  </si>
  <si>
    <t>ADDRESS 1</t>
  </si>
  <si>
    <t>ADDRESS 2</t>
  </si>
  <si>
    <t>PROJECT/QUOTE</t>
  </si>
  <si>
    <t>DATE</t>
  </si>
  <si>
    <t>CONTACT</t>
  </si>
  <si>
    <t>OFFICE</t>
  </si>
  <si>
    <t>CELL</t>
  </si>
  <si>
    <t>INVENT</t>
  </si>
  <si>
    <t>HITCHCOCK, TX</t>
  </si>
  <si>
    <t>4080 DOORS / 11620</t>
  </si>
  <si>
    <t>MELVIN DAVID</t>
  </si>
  <si>
    <t>RAYMOND DAVID</t>
  </si>
  <si>
    <t>BILLY MAY</t>
  </si>
  <si>
    <t>NICK SMITH</t>
  </si>
  <si>
    <t>JEREMY BROCK</t>
  </si>
  <si>
    <t>MOUNTAIN WEST</t>
  </si>
  <si>
    <t>QUOTE--PROJECT:</t>
  </si>
  <si>
    <t>D2S</t>
  </si>
  <si>
    <t>FLAIR PFC48</t>
  </si>
  <si>
    <t>CARD READER CONTACTLESS</t>
  </si>
  <si>
    <t>SIGNO 40TKS</t>
  </si>
  <si>
    <t>AMAZON</t>
  </si>
  <si>
    <t>HID SIGNO 40TKS-T2-008YNM</t>
  </si>
  <si>
    <t>HES 9600</t>
  </si>
  <si>
    <t>CONCEALED ELECTRICAL POWER TRANSFER</t>
  </si>
  <si>
    <t>SECURITRON</t>
  </si>
  <si>
    <t>5" 180 DEGREE SRAD</t>
  </si>
  <si>
    <t>SECTRON EPT</t>
  </si>
  <si>
    <t>VD   EPT10</t>
  </si>
  <si>
    <t>GRAY</t>
  </si>
  <si>
    <t>DOOR POSITION SWITCH H/METAL DOORS</t>
  </si>
  <si>
    <t>BLK</t>
  </si>
  <si>
    <t>1300 CATLETT RD</t>
  </si>
  <si>
    <t>F_3070AV  16/A40</t>
  </si>
  <si>
    <t>ACTIVE DOOR-STYRENE</t>
  </si>
  <si>
    <t>INACTIVE DOOR-STYRENE</t>
  </si>
  <si>
    <t>3070_IAF_16/A40</t>
  </si>
  <si>
    <t>DOORS 102F  102G  102 H</t>
  </si>
  <si>
    <t>RP STK</t>
  </si>
  <si>
    <t>M_PANIC</t>
  </si>
  <si>
    <t>ASA_SBOLT</t>
  </si>
  <si>
    <t>BOLT IN</t>
  </si>
  <si>
    <t>RIM PANIC-F90</t>
  </si>
  <si>
    <t>4" KD  F90</t>
  </si>
  <si>
    <t>HWHG_PAC</t>
  </si>
  <si>
    <t>PAIR FRAME-RTP</t>
  </si>
  <si>
    <t>TRANSOM PANEL-STYRENE</t>
  </si>
  <si>
    <t>TP: REMOVABLE</t>
  </si>
  <si>
    <t>KD  6070 DOD</t>
  </si>
  <si>
    <t xml:space="preserve">KD  </t>
  </si>
  <si>
    <t>PAIR FRAME</t>
  </si>
  <si>
    <t>F9800 MPANIC-48</t>
  </si>
  <si>
    <t>F9800 MPANIC-36</t>
  </si>
  <si>
    <t>F9500 RPANIC-36</t>
  </si>
  <si>
    <t xml:space="preserve">DJ </t>
  </si>
  <si>
    <t>flow chart</t>
  </si>
  <si>
    <t>CITY/STATE/ZIP</t>
  </si>
  <si>
    <t>PROJECT NAME/TYPE</t>
  </si>
  <si>
    <t>SALES PERSON</t>
  </si>
  <si>
    <t>HM M/UP</t>
  </si>
  <si>
    <t>HDWE ACCESSORY M/UP</t>
  </si>
  <si>
    <t>COMPANY PHONE #</t>
  </si>
  <si>
    <t>SALESMAN PHONE #</t>
  </si>
  <si>
    <t xml:space="preserve">ANY DETAIL HERE COULD DRIVE COMPANY NAME, SALESMAN NAME, PREVIOUS QUOTE NUMBERS/NAME,  NAME COULD OR QUOTE NUMBER COULD DRIVE THE FILL IN FIELD.     </t>
  </si>
  <si>
    <t>123-456-7891</t>
  </si>
  <si>
    <t>GEORGE SHARIKAS</t>
  </si>
  <si>
    <t>W/STRIP</t>
  </si>
  <si>
    <t>MIDLAND VA  12346</t>
  </si>
  <si>
    <t>MIDLAND VA  12347</t>
  </si>
  <si>
    <t>INACTIVE HDW</t>
  </si>
  <si>
    <t>COORDINATOR</t>
  </si>
  <si>
    <t xml:space="preserve">DRIP </t>
  </si>
  <si>
    <t>SWEEP</t>
  </si>
  <si>
    <t>WSTRIP</t>
  </si>
  <si>
    <t>LITE KITS/ LOUVERS</t>
  </si>
  <si>
    <t>BH</t>
  </si>
  <si>
    <t>BHA</t>
  </si>
  <si>
    <t>LK</t>
  </si>
  <si>
    <t>BH1</t>
  </si>
  <si>
    <t>CUSTOM HARDWARE MU LOCKIN6</t>
  </si>
  <si>
    <t>SS</t>
  </si>
  <si>
    <t>FRP</t>
  </si>
  <si>
    <t>AL</t>
  </si>
  <si>
    <t>STD HDW M/UP  LOCKING</t>
  </si>
  <si>
    <t>DRIVES HEADING</t>
  </si>
  <si>
    <t>EBTECH INDUSTRIAL</t>
  </si>
  <si>
    <t>CONNELLSVILLE, PA  23456</t>
  </si>
  <si>
    <t>ROBERT BROOKS</t>
  </si>
  <si>
    <t>JOSEPH PAVLIC</t>
  </si>
  <si>
    <t>JUSTIN WILLS</t>
  </si>
  <si>
    <t>JOSHUA MONKEYFEET</t>
  </si>
  <si>
    <t>DERICK CARR</t>
  </si>
  <si>
    <t>Metal Plug-In Oiltight Limit Switch  Catalog #: 802T-ALP1</t>
  </si>
  <si>
    <t>802MC Limit Switch Actuator  Catalog #: 802MC-W3C</t>
  </si>
  <si>
    <t>https://www.rockwellautomation.com/en-us/products/details.802MC-W3C.html</t>
  </si>
  <si>
    <t>3.25.25</t>
  </si>
  <si>
    <t>https://www.grainger.com/product/TELEMECANIQUE-SENSORS-Plug-In-Limit-Switch-Metallic-5B087?opr=Compare</t>
  </si>
  <si>
    <t>A/B  ROCKER LIMIT SWITCH w 802T-ALP LOW TORQUE LIMIT SWITCH w W3C ROD ARM:  NYLON</t>
  </si>
  <si>
    <t>EPT SECURTRON</t>
  </si>
  <si>
    <t xml:space="preserve">ALUMINUM BILLET W-STRIP </t>
  </si>
  <si>
    <t>3.25.26</t>
  </si>
  <si>
    <t>SENTROL 151</t>
  </si>
  <si>
    <t>Edwards Signaling 151-17Z-06K </t>
  </si>
  <si>
    <t>151 RE 250V N.O. MAG Z 18/2 SJ</t>
  </si>
  <si>
    <t>HID 40 NKS-T2000000</t>
  </si>
  <si>
    <t>48" RIM EXIT</t>
  </si>
  <si>
    <t>WELD</t>
  </si>
  <si>
    <t>ROLLED UP COST</t>
  </si>
  <si>
    <t xml:space="preserve">STD 1.65 </t>
  </si>
  <si>
    <t>PIO MULT</t>
  </si>
  <si>
    <t>OFFICE:</t>
  </si>
  <si>
    <t>CELL:</t>
  </si>
  <si>
    <t>PEMKO</t>
  </si>
  <si>
    <t>"L NOTCH THRESHOLD BOTH SIDES</t>
  </si>
  <si>
    <t>185AT</t>
  </si>
  <si>
    <t>SILICONE GASKETING</t>
  </si>
  <si>
    <t>CLEAR ALUMINUM</t>
  </si>
  <si>
    <t>355CS 96"</t>
  </si>
  <si>
    <t xml:space="preserve">PRECISION </t>
  </si>
  <si>
    <t>MORTISE PANIC X FIRE</t>
  </si>
  <si>
    <t>3.5" DEPTH</t>
  </si>
  <si>
    <t>NOLAN</t>
  </si>
  <si>
    <t>L NOTCH /THOLD</t>
  </si>
  <si>
    <t>"U NOTCH AROUND STOP  BOTH SIDES</t>
  </si>
  <si>
    <t>U NOTCH/THOLD</t>
  </si>
  <si>
    <t>FABRICATION CHARGE</t>
  </si>
  <si>
    <t>FAB</t>
  </si>
  <si>
    <t>NOLAN W S/C</t>
  </si>
  <si>
    <t>S/B</t>
  </si>
  <si>
    <t>8916 DST</t>
  </si>
  <si>
    <t>AUTO FLUSH BOLTS</t>
  </si>
  <si>
    <t>72"</t>
  </si>
  <si>
    <t xml:space="preserve">ESCUTCHEON LEVER TRIM </t>
  </si>
  <si>
    <t>NO CHARGE DPS  IN HEADER</t>
  </si>
  <si>
    <t>4040 XP HCUSH EDA</t>
  </si>
  <si>
    <t xml:space="preserve">LCN CLOSER: HOLD OPEN </t>
  </si>
  <si>
    <t>DORMA 8600</t>
  </si>
  <si>
    <t>DST</t>
  </si>
  <si>
    <t>DS</t>
  </si>
  <si>
    <t>DORMA 8900</t>
  </si>
  <si>
    <t>24V</t>
  </si>
  <si>
    <t>VD 6112  FSE</t>
  </si>
  <si>
    <t>Grade 1 Electric Strike, Fail Secure (Electrically Unlocked) 24 VDC, 9" x 1-5/8" Faceplate, Fire Rated, For use with Rim Exit Devices on Single Doors, Hollow Metal, Aluminum, or Wood Frame, Satin Stainless Steel Finish</t>
  </si>
  <si>
    <t>seclock_VD</t>
  </si>
  <si>
    <t>6112  FSE</t>
  </si>
  <si>
    <t>NIGHT LATCH</t>
  </si>
  <si>
    <t>SECLOCK   VD</t>
  </si>
  <si>
    <t>PULL TRIM NO THUMB</t>
  </si>
  <si>
    <t>3.75" DEPTH</t>
  </si>
  <si>
    <t>1855AT</t>
  </si>
  <si>
    <t>8135</t>
  </si>
  <si>
    <t>LOW PRO PANIC</t>
  </si>
  <si>
    <t>HI-PRO PANIC</t>
  </si>
  <si>
    <t>DRIP BRUSH SWEEP W  EPDM INSERT</t>
  </si>
  <si>
    <t>LATCHING PANIC .875"</t>
  </si>
  <si>
    <t>VD 98EO  4 32D</t>
  </si>
  <si>
    <t xml:space="preserve">LCN 4040XP  HCUSH  </t>
  </si>
  <si>
    <t>ASA</t>
  </si>
  <si>
    <t>131-RKW-628</t>
  </si>
  <si>
    <t>131-RKW-630</t>
  </si>
  <si>
    <t>SIL</t>
  </si>
  <si>
    <t xml:space="preserve">AL ROUND X 6" </t>
  </si>
  <si>
    <t>FACE SCREW</t>
  </si>
  <si>
    <t>137 NA_ASTRAGAL</t>
  </si>
  <si>
    <t>SCREW ON BULB GASKETING: NEOPRENE</t>
  </si>
  <si>
    <t>ALNEO</t>
  </si>
  <si>
    <t xml:space="preserve">10" HEIGHT </t>
  </si>
  <si>
    <t>MORTISE PANIC: NR</t>
  </si>
  <si>
    <t>RIM PANIC: NR</t>
  </si>
  <si>
    <t>PANIC RATED ONLY</t>
  </si>
  <si>
    <t xml:space="preserve">.050"  KICK PLATE </t>
  </si>
  <si>
    <t>• Meets CPSC 16CFR 1201 Cat. I &amp; II impact safety requirements</t>
  </si>
  <si>
    <t>200NSS</t>
  </si>
  <si>
    <t>FAST</t>
  </si>
  <si>
    <t>32D FINISH</t>
  </si>
  <si>
    <t>DB600</t>
  </si>
  <si>
    <t>CONFIRM PRICING</t>
  </si>
  <si>
    <t>897</t>
  </si>
  <si>
    <t>ZN</t>
  </si>
  <si>
    <t>LVR</t>
  </si>
  <si>
    <t>ELECTRIFIED HINGE</t>
  </si>
  <si>
    <t xml:space="preserve">SPST </t>
  </si>
  <si>
    <t>316 SS</t>
  </si>
  <si>
    <t>IDEM Z RANGE</t>
  </si>
  <si>
    <t>HS-SS-Z-RH-352003</t>
  </si>
  <si>
    <t>OSSD OUTPUT SAFETY SWITCH</t>
  </si>
  <si>
    <t>WINDSTORM</t>
  </si>
  <si>
    <t>12*12</t>
  </si>
  <si>
    <t>HOLLOW METAL DOORS &amp; FRAMES:</t>
  </si>
  <si>
    <t xml:space="preserve">BASE </t>
  </si>
  <si>
    <t>ADD ON</t>
  </si>
  <si>
    <t>BASE ITEM</t>
  </si>
  <si>
    <t>CUTOUT AND INSTALL WIND X FIRE RATED GLASS KIT</t>
  </si>
  <si>
    <t>CUTOUT AND INSTALL FIRE RATED LITE KIT</t>
  </si>
  <si>
    <t>GLV</t>
  </si>
  <si>
    <t>INTERIOR</t>
  </si>
  <si>
    <t>COMPANY NAME</t>
  </si>
  <si>
    <t>ADDRESS</t>
  </si>
  <si>
    <t>PHONE</t>
  </si>
  <si>
    <t>VA</t>
  </si>
  <si>
    <t>1300 DAVENPORT DRIVE</t>
  </si>
  <si>
    <t>LA</t>
  </si>
  <si>
    <t>CITY, STATE ZIP</t>
  </si>
  <si>
    <t>MIIDLAND, VA  22728</t>
  </si>
  <si>
    <t>MINDEN, LA   71055</t>
  </si>
  <si>
    <t>ASA_S_BOLT</t>
  </si>
  <si>
    <t>R_PANIC</t>
  </si>
  <si>
    <t xml:space="preserve">DORMITORY </t>
  </si>
  <si>
    <t xml:space="preserve">CLASSROOM </t>
  </si>
  <si>
    <t>26D</t>
  </si>
  <si>
    <t xml:space="preserve">STOREROOM </t>
  </si>
  <si>
    <t>DORMITORY</t>
  </si>
  <si>
    <t>CLR</t>
  </si>
  <si>
    <t>16_A40</t>
  </si>
  <si>
    <t>22 SERIES PULL TRIM  SP28  06 CLASSROOM FUNCTION</t>
  </si>
  <si>
    <t>VON DUPRIN 230 PT</t>
  </si>
  <si>
    <t>PAINTED ALUMINUM</t>
  </si>
  <si>
    <t>22 SERIES  230TP SP28</t>
  </si>
  <si>
    <t>VON DUPRIN     230 PT</t>
  </si>
  <si>
    <t>THUMB PIECE PULL TRIM</t>
  </si>
  <si>
    <t>PULL TRIM NO THUMB w CYLINDER</t>
  </si>
  <si>
    <t>VD 990TP_26D</t>
  </si>
  <si>
    <t>990_TPP</t>
  </si>
  <si>
    <t>990 PULL NO TP</t>
  </si>
  <si>
    <t>LFIC CONSTRUCTION CORE</t>
  </si>
  <si>
    <t>SCHLAGE FORMAT</t>
  </si>
  <si>
    <t>VON DUPRIN 99</t>
  </si>
  <si>
    <t>LFIC CYLINDER HOUSING</t>
  </si>
  <si>
    <t>4"</t>
  </si>
  <si>
    <t>WLD</t>
  </si>
  <si>
    <t>INTERIOR F90</t>
  </si>
  <si>
    <t>"EL TRIM"</t>
  </si>
  <si>
    <t>PHI 2200 STD</t>
  </si>
  <si>
    <t>SC</t>
  </si>
  <si>
    <t>EXTERIOR : TP</t>
  </si>
  <si>
    <t>EXTERIOR TP PAIR</t>
  </si>
  <si>
    <t>6010 16/A40</t>
  </si>
  <si>
    <t>ASA + S/BOLT</t>
  </si>
  <si>
    <t>6020-N  18/A40</t>
  </si>
  <si>
    <t>4020-N</t>
  </si>
  <si>
    <t>4080_AF_18/A40</t>
  </si>
  <si>
    <t>3080_AF_18/A40</t>
  </si>
  <si>
    <t>3080_IAF_18/A40</t>
  </si>
  <si>
    <t>S/BOLT</t>
  </si>
  <si>
    <t xml:space="preserve">4.75" _KD </t>
  </si>
  <si>
    <t xml:space="preserve">RIM PANIC </t>
  </si>
  <si>
    <t>ADD             ON</t>
  </si>
  <si>
    <t>ELHINGE</t>
  </si>
  <si>
    <t>ALSIL</t>
  </si>
  <si>
    <t>4010TP</t>
  </si>
  <si>
    <t>-FIRE -WIND</t>
  </si>
  <si>
    <t>SCREW ON BULB GASKETING: SILICONE</t>
  </si>
  <si>
    <t>PIONEER 1</t>
  </si>
  <si>
    <t>DELA 1.1</t>
  </si>
  <si>
    <t>NDC 1</t>
  </si>
  <si>
    <t>KEY X KEY</t>
  </si>
  <si>
    <t>BEST 8T</t>
  </si>
  <si>
    <t>8727mstk626</t>
  </si>
  <si>
    <t>03 FN</t>
  </si>
  <si>
    <t>VD 98EO F 3  26D</t>
  </si>
  <si>
    <t>165N</t>
  </si>
  <si>
    <t>4080 AF</t>
  </si>
  <si>
    <t>REESE</t>
  </si>
  <si>
    <t>1/2 ADA RAISED STOP</t>
  </si>
  <si>
    <t>3.75"</t>
  </si>
  <si>
    <t>7/8 LATCHING</t>
  </si>
  <si>
    <t>3070 5040C FINNED .25" x .50"</t>
  </si>
  <si>
    <t>4080 5040C FINNED .25" x .50"</t>
  </si>
  <si>
    <t>ADH</t>
  </si>
  <si>
    <t xml:space="preserve">PHG  </t>
  </si>
  <si>
    <t>16 A60</t>
  </si>
  <si>
    <t>NO WIND F90</t>
  </si>
  <si>
    <t>R-7.8</t>
  </si>
  <si>
    <t>SARGENT 8906</t>
  </si>
  <si>
    <t>W-TRIM</t>
  </si>
  <si>
    <t>GRI</t>
  </si>
  <si>
    <t>MAG CONTACT</t>
  </si>
  <si>
    <t>HES</t>
  </si>
  <si>
    <t>4500C</t>
  </si>
  <si>
    <t>S248A (8135)</t>
  </si>
  <si>
    <t>S484A (1855)</t>
  </si>
  <si>
    <t>S484A(1855)</t>
  </si>
  <si>
    <t>MATT HEY</t>
  </si>
  <si>
    <t>NYC   FRP</t>
  </si>
  <si>
    <t>FRP DOORS &amp; FRAMES:</t>
  </si>
  <si>
    <t>FRP DOORS &amp; FRAMES</t>
  </si>
  <si>
    <t>4072_IAF_16/A40</t>
  </si>
  <si>
    <t>4072_AF</t>
  </si>
  <si>
    <t>3072 ACT</t>
  </si>
  <si>
    <t>307 VISION</t>
  </si>
  <si>
    <t>FRP DOORS AND FRAMES</t>
  </si>
  <si>
    <t xml:space="preserve">ONE FLOOR </t>
  </si>
  <si>
    <t>ONE FLOOR</t>
  </si>
  <si>
    <t>N_LITE</t>
  </si>
  <si>
    <t>FRP COLOR</t>
  </si>
  <si>
    <t>ASA_FBOLT</t>
  </si>
  <si>
    <t>ASA FB</t>
  </si>
  <si>
    <t>MULTI FLOOR</t>
  </si>
  <si>
    <t>307'10_AF</t>
  </si>
  <si>
    <t>307'10_IAF</t>
  </si>
  <si>
    <t>3072_IAF</t>
  </si>
  <si>
    <t>3072_AF</t>
  </si>
  <si>
    <t>F_AST</t>
  </si>
  <si>
    <t>3072 ACT_NL</t>
  </si>
  <si>
    <t>COA</t>
  </si>
  <si>
    <t>JAMO</t>
  </si>
  <si>
    <t xml:space="preserve">8"   </t>
  </si>
  <si>
    <t>RW 555</t>
  </si>
  <si>
    <t xml:space="preserve">KEYED ALIKE </t>
  </si>
  <si>
    <t>STAINLESS EACH</t>
  </si>
  <si>
    <t>ABH 1815TB</t>
  </si>
  <si>
    <t>INNOVATIVE BUILDING SOLUTIONS</t>
  </si>
  <si>
    <t>6.25.25</t>
  </si>
  <si>
    <t>412.213.2500</t>
  </si>
  <si>
    <t>724.272.9894</t>
  </si>
  <si>
    <t>4364 GIBSONIA ROAD</t>
  </si>
  <si>
    <t>GIBSONIA, PA  15044</t>
  </si>
  <si>
    <t>3072 M COA</t>
  </si>
  <si>
    <t>8072 M COA</t>
  </si>
  <si>
    <t>6072 M COA</t>
  </si>
  <si>
    <t>607'10  M COA</t>
  </si>
  <si>
    <t>409.751.2830</t>
  </si>
  <si>
    <t>NVENT</t>
  </si>
  <si>
    <t xml:space="preserve">VISION LITE KIT: POLY </t>
  </si>
  <si>
    <t>LOOSE</t>
  </si>
  <si>
    <t>INDIVIDUAL</t>
  </si>
  <si>
    <t>PAIR PRICING</t>
  </si>
  <si>
    <t xml:space="preserve">90 PSF WIND </t>
  </si>
  <si>
    <t>NO FIRE</t>
  </si>
  <si>
    <t>F9700 SVR-36</t>
  </si>
  <si>
    <t>NON LABELED</t>
  </si>
  <si>
    <t>9700 SVR-36</t>
  </si>
  <si>
    <t>F9700 SVR-48</t>
  </si>
  <si>
    <t>SVR : FIRE RATED</t>
  </si>
  <si>
    <t>SVR : NOT RATED</t>
  </si>
  <si>
    <t>ESCUTCHEON LEVER TRIM MORTISE</t>
  </si>
  <si>
    <t>ESCUTCHEON LEVER TRIM RIM/SVR</t>
  </si>
  <si>
    <t>DH</t>
  </si>
  <si>
    <t>ADV</t>
  </si>
  <si>
    <t>FLAT</t>
  </si>
  <si>
    <t>VERTICAL ROD</t>
  </si>
  <si>
    <t>WS S/BOLT</t>
  </si>
  <si>
    <t>S/B + SVR REINF</t>
  </si>
  <si>
    <t>4080AF</t>
  </si>
  <si>
    <t>18 A40</t>
  </si>
  <si>
    <t>R-PAN</t>
  </si>
  <si>
    <t>LCN CLOSER:  HD HOLD OPEN</t>
  </si>
  <si>
    <r>
      <t xml:space="preserve">LCN4111 HEDA </t>
    </r>
    <r>
      <rPr>
        <sz val="10"/>
        <color rgb="FFFF0000"/>
        <rFont val="Verdana Pro Cond Light"/>
        <family val="2"/>
      </rPr>
      <t>HANDED</t>
    </r>
  </si>
  <si>
    <r>
      <t xml:space="preserve">LCN4111 EDA </t>
    </r>
    <r>
      <rPr>
        <sz val="10"/>
        <color rgb="FFFF0000"/>
        <rFont val="Verdana Pro Cond Light"/>
        <family val="2"/>
      </rPr>
      <t xml:space="preserve"> HANDED</t>
    </r>
  </si>
  <si>
    <t xml:space="preserve">4/0 PUSH RIM PANIC </t>
  </si>
  <si>
    <t>22 EO F 4 689</t>
  </si>
  <si>
    <t>22 EO 3 689</t>
  </si>
  <si>
    <t>22 EO 4 689</t>
  </si>
  <si>
    <t>4070 5020C TPE BATWING .25" x .50"</t>
  </si>
  <si>
    <t>4111 HEDA</t>
  </si>
  <si>
    <t>PAINTED AL</t>
  </si>
  <si>
    <t>SGL</t>
  </si>
  <si>
    <t>4010 5020C TPE BATWING .25" x .50"</t>
  </si>
  <si>
    <t>HES 9400</t>
  </si>
  <si>
    <t>12/24V</t>
  </si>
  <si>
    <t>9400-630 rim</t>
  </si>
  <si>
    <t>16 A40</t>
  </si>
  <si>
    <t>18_A40</t>
  </si>
  <si>
    <t>DOOR_ACTIVE</t>
  </si>
  <si>
    <t>DOOR_INACTIVE</t>
  </si>
  <si>
    <t>FRAME_SINGLE</t>
  </si>
  <si>
    <t>WIND_NO</t>
  </si>
  <si>
    <t>p/dimple</t>
  </si>
  <si>
    <t>Base frame up to 5.75 A40 galv, kd, closer, rim exit, hwhg</t>
  </si>
  <si>
    <t>sbs and fbs same price</t>
  </si>
  <si>
    <t>P/D</t>
  </si>
  <si>
    <t>AST_F</t>
  </si>
  <si>
    <t>PANIC_M</t>
  </si>
  <si>
    <t>BOLT_S</t>
  </si>
  <si>
    <t>AL-SIL</t>
  </si>
  <si>
    <t>RIM PANIC: F</t>
  </si>
  <si>
    <t>SVR W</t>
  </si>
  <si>
    <t>VD: RIM PANIC</t>
  </si>
  <si>
    <t>VD: RIM PANIC F</t>
  </si>
  <si>
    <t>VD: RIM PANIC:</t>
  </si>
  <si>
    <t>QEL</t>
  </si>
  <si>
    <t>SVR : F-W</t>
  </si>
  <si>
    <t>SVR : W</t>
  </si>
  <si>
    <t>SVR : NR</t>
  </si>
  <si>
    <t>POWDER COAT</t>
  </si>
  <si>
    <t>DOUBLE DOOR STRIKE</t>
  </si>
  <si>
    <t>78002412</t>
  </si>
  <si>
    <t>FIRE_NO</t>
  </si>
  <si>
    <t>HDW</t>
  </si>
  <si>
    <t>-</t>
  </si>
  <si>
    <t>AST. OVERLAPPING</t>
  </si>
  <si>
    <t>CORBIN ED5200S</t>
  </si>
  <si>
    <t>FIRE X WIND</t>
  </si>
  <si>
    <t>PULL PLATE</t>
  </si>
  <si>
    <t>KB  25-07-C61A</t>
  </si>
  <si>
    <t>ELEVATION</t>
  </si>
  <si>
    <t>36" SVR</t>
  </si>
  <si>
    <t>IVES 360</t>
  </si>
  <si>
    <t>F_0/WIND150</t>
  </si>
  <si>
    <t>MAG LOCK</t>
  </si>
  <si>
    <t>SECLOCK/SECURITRON</t>
  </si>
  <si>
    <t>3068AF</t>
  </si>
  <si>
    <t>16-A40</t>
  </si>
  <si>
    <t>6080 16/A40</t>
  </si>
  <si>
    <t>DBOLT</t>
  </si>
  <si>
    <t>3"</t>
  </si>
  <si>
    <t>18/A40</t>
  </si>
  <si>
    <t>16/A40</t>
  </si>
  <si>
    <t>4.5 HWHG_PAC</t>
  </si>
  <si>
    <t>EXTERIOR PAIR</t>
  </si>
  <si>
    <t>3080 IA</t>
  </si>
  <si>
    <t>HINGES:SPRING</t>
  </si>
  <si>
    <t>CHASE</t>
  </si>
  <si>
    <t>DESIGN Z</t>
  </si>
  <si>
    <t>DESIGN X</t>
  </si>
  <si>
    <t>78001852</t>
  </si>
  <si>
    <t>78001777</t>
  </si>
  <si>
    <t>24*30</t>
  </si>
  <si>
    <t>RHRA</t>
  </si>
  <si>
    <t xml:space="preserve">GLITE  KIT :FIRE RATED </t>
  </si>
  <si>
    <t>1000-316</t>
  </si>
  <si>
    <t>sc</t>
  </si>
  <si>
    <t>5 X 4.5</t>
  </si>
  <si>
    <t>78000531   630</t>
  </si>
  <si>
    <t>STORM PRO</t>
  </si>
  <si>
    <t>8*8</t>
  </si>
  <si>
    <t>R/UP w S/C</t>
  </si>
  <si>
    <t>WELDED WIRE GLASS KIT IMPACT RATED</t>
  </si>
  <si>
    <t>SVR: WIND RATED</t>
  </si>
  <si>
    <t>SPECIAL TOP ROD</t>
  </si>
  <si>
    <t>8'0</t>
  </si>
  <si>
    <t>ENTRANCE</t>
  </si>
  <si>
    <t>3068 AG</t>
  </si>
  <si>
    <t>SB</t>
  </si>
  <si>
    <t>3068 IAG</t>
  </si>
  <si>
    <t>24 X 30</t>
  </si>
  <si>
    <t>KIT + SAFETY</t>
  </si>
  <si>
    <t>G LITE SAFETY RATED GLASS</t>
  </si>
  <si>
    <t>HALF GLASS LITE</t>
  </si>
  <si>
    <t>MORTISE LOCK w DEADBOLT</t>
  </si>
  <si>
    <t>PHILADELPHIA</t>
  </si>
  <si>
    <t>FLAT SADDLE  8"</t>
  </si>
  <si>
    <t>8.00" DEPTH</t>
  </si>
  <si>
    <t>428</t>
  </si>
  <si>
    <t xml:space="preserve">FIRE BARRIER </t>
  </si>
  <si>
    <t>2241 INDUSTRIAL DR. SUITE A</t>
  </si>
  <si>
    <t>CONNELLSVILLE, PA</t>
  </si>
  <si>
    <t>JOSHUA FOLMAN</t>
  </si>
  <si>
    <t>G LITE INSULATED GLASS</t>
  </si>
  <si>
    <t>KIT +INSULATED</t>
  </si>
  <si>
    <t>SQ FT</t>
  </si>
  <si>
    <t>G LITE w LAMINATED GLASS</t>
  </si>
  <si>
    <t>QUOTE:</t>
  </si>
  <si>
    <t>NO W_F</t>
  </si>
  <si>
    <t>EXTERIOR</t>
  </si>
  <si>
    <t>F90</t>
  </si>
  <si>
    <t>3070 AF</t>
  </si>
  <si>
    <t>3 X 15"  STAINLESS PLATE</t>
  </si>
  <si>
    <t>von dupin escutcheon lever trim</t>
  </si>
  <si>
    <t>VON DUPRIN EXIT DEVICE TRIM  26D   (996L-06 26D)</t>
  </si>
  <si>
    <t>von duprin interior exit device</t>
  </si>
  <si>
    <t>von dupin interior lever trim</t>
  </si>
  <si>
    <t>VON DUPRIN 22 EXIT DEVICE , EXIT ONLY  689 (22 EO 3 689)</t>
  </si>
  <si>
    <t>VON DUPRIN 22 EXIT DEVICE TRIM,    689 (230L 06 689)</t>
  </si>
  <si>
    <t>12 GA SS THRU BOLTED LATCH PROTECTOR : MORTISE LOCK</t>
  </si>
  <si>
    <t>12 GA SS THRU BOLTED LATCH PROTECTOR: CYLINDRICAL LOCK</t>
  </si>
  <si>
    <t>3080_AV</t>
  </si>
  <si>
    <t>3080_IAV</t>
  </si>
  <si>
    <t>HF-1499</t>
  </si>
  <si>
    <t>MFG #</t>
  </si>
  <si>
    <t>FB PART #</t>
  </si>
  <si>
    <t>846-</t>
  </si>
  <si>
    <t>847-00649</t>
  </si>
  <si>
    <t>HWBB5NRP-4.5*4.5_630</t>
  </si>
  <si>
    <t>MFG NUMBER</t>
  </si>
  <si>
    <t>UNIT</t>
  </si>
  <si>
    <t>TOTAL</t>
  </si>
  <si>
    <t>MANUFACT</t>
  </si>
  <si>
    <t>4.5*4.5 HW HINGES_BBNNP</t>
  </si>
  <si>
    <t>SMART PART</t>
  </si>
  <si>
    <t>CUST PART #</t>
  </si>
  <si>
    <t>847-00942</t>
  </si>
  <si>
    <t>847-00948</t>
  </si>
  <si>
    <t>847-00940</t>
  </si>
  <si>
    <t>847-00955</t>
  </si>
  <si>
    <t>VON DUPRIN 98/99</t>
  </si>
  <si>
    <t>90 PSF</t>
  </si>
  <si>
    <t>E SERIES</t>
  </si>
  <si>
    <t>G2</t>
  </si>
  <si>
    <t>F SERIES</t>
  </si>
  <si>
    <t>G1</t>
  </si>
  <si>
    <t>847-00954</t>
  </si>
  <si>
    <t>VD: TRIM</t>
  </si>
  <si>
    <t>RE:DRIP CAP SEAL 202C</t>
  </si>
  <si>
    <t>RE: DRIP CAP SEAL 202C</t>
  </si>
  <si>
    <t>RE: DRIP CAP SEAL 203</t>
  </si>
  <si>
    <t>NG:WEATHERSTRIP</t>
  </si>
  <si>
    <t>NG: DOOR SWEEP</t>
  </si>
  <si>
    <t xml:space="preserve">NG:THRESHOLD </t>
  </si>
  <si>
    <t xml:space="preserve">RE:THRESHOLD </t>
  </si>
  <si>
    <t xml:space="preserve">PK: THRESHOLD </t>
  </si>
  <si>
    <t>847-00946</t>
  </si>
  <si>
    <t>847-00951</t>
  </si>
  <si>
    <t>847-00943</t>
  </si>
  <si>
    <t>847-00944</t>
  </si>
  <si>
    <t>847-00949</t>
  </si>
  <si>
    <t>847-00950</t>
  </si>
  <si>
    <t>NG: LITE KIT</t>
  </si>
  <si>
    <t>NDC: LITE KIT</t>
  </si>
  <si>
    <t>NG: LOUVER</t>
  </si>
  <si>
    <t xml:space="preserve">   </t>
  </si>
  <si>
    <t>LCN: CLOSER</t>
  </si>
  <si>
    <t>847-01357</t>
  </si>
  <si>
    <t>847-00952</t>
  </si>
  <si>
    <t>847-00945</t>
  </si>
  <si>
    <t>847-00958</t>
  </si>
  <si>
    <t>4111_EDA-HND-689</t>
  </si>
  <si>
    <t>LCN 4000 w EXTRA DUTY ARM</t>
  </si>
  <si>
    <t>HANDED</t>
  </si>
  <si>
    <t>VD22 ESCUTCHEON LEVER TRIM</t>
  </si>
  <si>
    <t xml:space="preserve">3*15 SURFACE PULL + PLATE </t>
  </si>
  <si>
    <t>VD 22 RIM PANIC FIRE RATED</t>
  </si>
  <si>
    <t>VD 99 3/0 RIM PANIC</t>
  </si>
  <si>
    <t>VD 99 4/0 RIM PANIC</t>
  </si>
  <si>
    <t>DK: HINGES</t>
  </si>
  <si>
    <t>SFIC MORTISE HOUSING:  (-)CORE</t>
  </si>
  <si>
    <t>RW: INTERIOR PULL</t>
  </si>
  <si>
    <t>VD 230 L  689</t>
  </si>
  <si>
    <t>0700 S</t>
  </si>
  <si>
    <t>VD 996L-06 26D</t>
  </si>
  <si>
    <t>INTERLOCK  HEAD WATER SEAL</t>
  </si>
  <si>
    <t>INTERLOCK DOOR WATER SEAL</t>
  </si>
  <si>
    <t>202C X LENGTH</t>
  </si>
  <si>
    <t>203C X LENGTH</t>
  </si>
  <si>
    <t>C627A X DOOR WIDTH</t>
  </si>
  <si>
    <t>LOW PRO PANIC: NEO  8135  3.75</t>
  </si>
  <si>
    <t>8135 X DOOR WIDTH</t>
  </si>
  <si>
    <t xml:space="preserve">IN </t>
  </si>
  <si>
    <t>KSP RIM HOUSING # 308+26D</t>
  </si>
  <si>
    <t>Y:KEYING</t>
  </si>
  <si>
    <t>VD 22 EO-F 3  689</t>
  </si>
  <si>
    <t>VD 99-EO F3 26D</t>
  </si>
  <si>
    <t>VD 99-EO F4 26D</t>
  </si>
  <si>
    <t>308-26D KSP</t>
  </si>
  <si>
    <t>847-00956</t>
  </si>
  <si>
    <t>pick a vendor???</t>
  </si>
  <si>
    <t>OTHER</t>
  </si>
  <si>
    <t>8" 3-2-3</t>
  </si>
  <si>
    <t>NL 6*36</t>
  </si>
  <si>
    <t>FRAME_PAIR w REM HEAD</t>
  </si>
  <si>
    <t>3070 NL</t>
  </si>
  <si>
    <t>NARROW  LITE</t>
  </si>
  <si>
    <t>6*36</t>
  </si>
  <si>
    <t>BOT LVR</t>
  </si>
  <si>
    <t>CYL LOCK</t>
  </si>
  <si>
    <t>DH:LOCKSET</t>
  </si>
  <si>
    <t>DH:CLOSER</t>
  </si>
  <si>
    <t>LENEL LNL-MT15-485 MULTI-TECH SINGLE GANG READER</t>
  </si>
  <si>
    <t>LNL-MT15-485 SINGLE GANG</t>
  </si>
  <si>
    <t>PANEL ENCLOSURE</t>
  </si>
  <si>
    <t>LNL-AL4000ULX</t>
  </si>
  <si>
    <t>AL-600ULXB</t>
  </si>
  <si>
    <t xml:space="preserve">CONTROL PANEL :  </t>
  </si>
  <si>
    <t>LNL-X2220</t>
  </si>
  <si>
    <t>DUAL READER INTERFACE MODULE</t>
  </si>
  <si>
    <t>LNL-1320</t>
  </si>
  <si>
    <t>INDUSTRIAL BOX TYPE</t>
  </si>
  <si>
    <t>SALESMAN:</t>
  </si>
  <si>
    <t>QUOTE--PROJECT NAME:</t>
  </si>
  <si>
    <t>COR/PROFILE</t>
  </si>
  <si>
    <t>METAL DOORS &amp; FRAMES:</t>
  </si>
  <si>
    <t>HANDING</t>
  </si>
  <si>
    <t xml:space="preserve">GRADE 2 DEADBOLT </t>
  </si>
  <si>
    <t xml:space="preserve">416 CAST IRON BODY DOOR CLOSER  </t>
  </si>
  <si>
    <t xml:space="preserve">DH: CLOSER ARM </t>
  </si>
  <si>
    <t>78000738</t>
  </si>
  <si>
    <t>78000717</t>
  </si>
  <si>
    <t>78000721</t>
  </si>
  <si>
    <t>ADJUSTABLE HOLD OPEN ARM     CAST BODY</t>
  </si>
  <si>
    <t>ADJUSTABLE HOLD OPEN ARM    CAST BODY</t>
  </si>
  <si>
    <t>DEAD STOP HOLD OPEN ARM 416</t>
  </si>
  <si>
    <t>ADJUSTABLE  HOLD OPEN ARM 416</t>
  </si>
  <si>
    <t>78000759</t>
  </si>
  <si>
    <t>7800767</t>
  </si>
  <si>
    <t>78000015</t>
  </si>
  <si>
    <t>DK: CLOSER</t>
  </si>
  <si>
    <t>8916_DST</t>
  </si>
  <si>
    <t>8616_DS</t>
  </si>
  <si>
    <t>8616_DST</t>
  </si>
  <si>
    <t>8916_DS</t>
  </si>
  <si>
    <t xml:space="preserve">DH:CLOSER </t>
  </si>
  <si>
    <t>WIND RATED LITE KIT: VISION SHIPPED LOOSE</t>
  </si>
  <si>
    <t>BORED DEADBOLT</t>
  </si>
  <si>
    <t>18-A40</t>
  </si>
  <si>
    <t>HDWE PREP</t>
  </si>
  <si>
    <t>HOLLOW METAL : PAIR</t>
  </si>
  <si>
    <t>HOLLOW METAL : SGL</t>
  </si>
  <si>
    <t>AB: CLOSER</t>
  </si>
  <si>
    <t>ABH  11.25</t>
  </si>
  <si>
    <t>9014</t>
  </si>
  <si>
    <t>DJ: H/O STOP</t>
  </si>
  <si>
    <t>SPECIAL INFO</t>
  </si>
  <si>
    <t>NG: DRIP CAP</t>
  </si>
  <si>
    <t>DJ: PUSH / PULL PLATE</t>
  </si>
  <si>
    <t>DJ: INACTIVE HARDWARE</t>
  </si>
  <si>
    <t>DH: DEADBOLT</t>
  </si>
  <si>
    <t>STD SINGLE PACKAGE</t>
  </si>
  <si>
    <t>DESIGN 78002621</t>
  </si>
  <si>
    <t>2000   32D</t>
  </si>
  <si>
    <t>DESIGN    78002493                          7</t>
  </si>
  <si>
    <t xml:space="preserve">DH: RIM PANIC:  </t>
  </si>
  <si>
    <t>HEAVY WEIGHT</t>
  </si>
  <si>
    <t>RH/LH</t>
  </si>
  <si>
    <t>RIM STRIKE</t>
  </si>
  <si>
    <t>SINGLE  FRAME</t>
  </si>
  <si>
    <t xml:space="preserve">Description    </t>
  </si>
  <si>
    <t>FIXED LOUVER</t>
  </si>
  <si>
    <t>GLITE  KIT :1/2" POLYCARBONATE IMPACT GLAZING</t>
  </si>
  <si>
    <t>KIT + IMPACT</t>
  </si>
  <si>
    <t>Category Pricing</t>
  </si>
  <si>
    <t>HYDRAULIC CLOSER NO/HO</t>
  </si>
  <si>
    <t>H/O ARM  ADJUSTABLE      LONG BODY</t>
  </si>
  <si>
    <t>H/O ARM DEAD STOP     LONG BODY</t>
  </si>
  <si>
    <t>ADJ H/O  116/316</t>
  </si>
  <si>
    <t>PRIVACY</t>
  </si>
  <si>
    <t>PRIVACY DB</t>
  </si>
  <si>
    <t>ASA STRIKE</t>
  </si>
  <si>
    <t>E-SET</t>
  </si>
  <si>
    <t>45H7TH630  # 14/15 trim only</t>
  </si>
  <si>
    <t>50/55</t>
  </si>
  <si>
    <t>DK: KEYING</t>
  </si>
  <si>
    <t>DJ: BORED DB PULL</t>
  </si>
  <si>
    <t>DJ # 1875</t>
  </si>
  <si>
    <t>1875-630</t>
  </si>
  <si>
    <t xml:space="preserve">BORED DEADBOLT PULL TRIM   </t>
  </si>
  <si>
    <t>PHONE :</t>
  </si>
  <si>
    <t>1LHR-1RHR</t>
  </si>
  <si>
    <t>3070AG</t>
  </si>
  <si>
    <t>WINDOWS SIZED AS 24 X 30"  LEXAN PLEXI-GLASS, TOP DOWN TO WINDOW @ 6"</t>
  </si>
  <si>
    <t>ABS KIT + LEXI</t>
  </si>
  <si>
    <t>**ABS GLITE  KIT :1/4" LEXAN PLEXI-GLASS</t>
  </si>
  <si>
    <t>3070AF</t>
  </si>
  <si>
    <t>FLUSH  FAST</t>
  </si>
  <si>
    <t>cheat</t>
  </si>
  <si>
    <t>rp/svr/mp + tc</t>
  </si>
  <si>
    <t>asa/sb + tc</t>
  </si>
  <si>
    <t>flatast</t>
  </si>
  <si>
    <t>c/o window</t>
  </si>
  <si>
    <t>cyl/mort + tc</t>
  </si>
  <si>
    <t>PANIC RATED</t>
  </si>
  <si>
    <t>GAUGE.MTL</t>
  </si>
  <si>
    <t>.053"</t>
  </si>
  <si>
    <t>ROUND PULL</t>
  </si>
  <si>
    <t>HOLLOW METAL : PAIR w PANEL</t>
  </si>
  <si>
    <t>BEBCO</t>
  </si>
  <si>
    <t>AV</t>
  </si>
  <si>
    <t>IAV</t>
  </si>
  <si>
    <t>RP FIRE</t>
  </si>
  <si>
    <t>ASA/SB</t>
  </si>
  <si>
    <t>TBD</t>
  </si>
  <si>
    <t>90 MINUTE</t>
  </si>
  <si>
    <t>NG: LITE KIT: F</t>
  </si>
  <si>
    <t>12*12 WIRE</t>
  </si>
  <si>
    <t>DOOR WIDTH</t>
  </si>
  <si>
    <t>SI BULB</t>
  </si>
  <si>
    <t xml:space="preserve">S_BOLT </t>
  </si>
  <si>
    <t>Per Item Sell</t>
  </si>
  <si>
    <t>5"</t>
  </si>
  <si>
    <t>18 A60</t>
  </si>
  <si>
    <t>PUNCH/DIMPLE</t>
  </si>
  <si>
    <t>ONE TIME</t>
  </si>
  <si>
    <t>SFIC KEYING</t>
  </si>
  <si>
    <t>OPTION KEYED ALIKE AS NEEDED</t>
  </si>
  <si>
    <t>DH: HINGES: 304 SS</t>
  </si>
  <si>
    <t>STD SINGLE PACKAGE: ENTRY</t>
  </si>
  <si>
    <t xml:space="preserve">1-2 AMP POWER SUPPLY </t>
  </si>
  <si>
    <t>EBAY</t>
  </si>
  <si>
    <t>SCH/VON DUPRIN</t>
  </si>
  <si>
    <t>E-POWER TRANSFER</t>
  </si>
  <si>
    <t>BORG</t>
  </si>
  <si>
    <t>TA 4075 QUARTZ</t>
  </si>
  <si>
    <t>ELECTRO MECHANICAL TIMER</t>
  </si>
  <si>
    <t>CAPTIVE TRIPPER TIMER --DIP SWITCH</t>
  </si>
  <si>
    <t>STOREROOM</t>
  </si>
  <si>
    <t>BURGLARY  RESIST</t>
  </si>
  <si>
    <t>RR_E-STRIKE</t>
  </si>
  <si>
    <t>LHRA</t>
  </si>
  <si>
    <t>REMOVABLE MULLION</t>
  </si>
  <si>
    <t>STANDARD TO 8'0</t>
  </si>
  <si>
    <t>HURRICANE TO 8'0</t>
  </si>
  <si>
    <t>PRIMER</t>
  </si>
  <si>
    <t>822</t>
  </si>
  <si>
    <t>HC822</t>
  </si>
  <si>
    <t>FIRE + WIND</t>
  </si>
  <si>
    <t>FIRE &amp; WIND</t>
  </si>
  <si>
    <t>9500F RPANIC</t>
  </si>
  <si>
    <t>9500 RPANIC</t>
  </si>
  <si>
    <t>TARIFF GUESS</t>
  </si>
  <si>
    <t>6070 5050C BULB .25" x .50"</t>
  </si>
  <si>
    <t>SPECIAL LITE DOORS &amp; FRAMES</t>
  </si>
  <si>
    <t>SL-16_SMOOTH</t>
  </si>
  <si>
    <t xml:space="preserve">4"  </t>
  </si>
  <si>
    <t>S LITE</t>
  </si>
  <si>
    <t>24*36</t>
  </si>
  <si>
    <t>3080 AG</t>
  </si>
  <si>
    <t>GALV KIT,GLASS, AND GASKETING</t>
  </si>
  <si>
    <t>78001220-KIL</t>
  </si>
  <si>
    <t>78001221-KILSFIC</t>
  </si>
  <si>
    <t>GRADE 1 SS</t>
  </si>
  <si>
    <t>KIT + TG</t>
  </si>
  <si>
    <t>150 PSF</t>
  </si>
  <si>
    <t>BEBCO HW</t>
  </si>
  <si>
    <t>AF</t>
  </si>
  <si>
    <t>3 POINT</t>
  </si>
  <si>
    <t>ASSA SB</t>
  </si>
  <si>
    <t>FM 7100</t>
  </si>
  <si>
    <t>SARG  FM/7100</t>
  </si>
  <si>
    <t>BANNER ADAM</t>
  </si>
  <si>
    <t xml:space="preserve">LEVER HANDLE X 2  DB ON LOCK </t>
  </si>
  <si>
    <t>YALE</t>
  </si>
  <si>
    <t>YALE 988Y</t>
  </si>
  <si>
    <t>IV: INACTIVE HARDWARE</t>
  </si>
  <si>
    <t>POST ANCHOR</t>
  </si>
  <si>
    <t>POST ANC</t>
  </si>
  <si>
    <t>150 PSF MULTILATCH LOCK</t>
  </si>
  <si>
    <t>150+ PSF</t>
  </si>
  <si>
    <t>DELIVERY</t>
  </si>
  <si>
    <t>YA: INACTIVE S/BOLT</t>
  </si>
  <si>
    <t>SA:THREE POINT LOCK</t>
  </si>
  <si>
    <t>HDW &amp; ACCESSORIES</t>
  </si>
  <si>
    <t>STYRENE S-LESS</t>
  </si>
  <si>
    <t xml:space="preserve">PROJECT IS DESIGNED TO 75 PSF STANDARDS.   </t>
  </si>
  <si>
    <t>2000 689</t>
  </si>
  <si>
    <t xml:space="preserve">HOLLOW METAL : PAIR </t>
  </si>
  <si>
    <t>HEIGHT AS REQUIRED FOR HEIGHT OF DOOR</t>
  </si>
  <si>
    <t>DELTANA</t>
  </si>
  <si>
    <t>DELTANA  24EXTROD-24</t>
  </si>
  <si>
    <t>DT: EXTENSION RODS</t>
  </si>
  <si>
    <t>DT</t>
  </si>
  <si>
    <t>Y</t>
  </si>
  <si>
    <t>CR</t>
  </si>
  <si>
    <t>BS</t>
  </si>
  <si>
    <t>BANNER SUPPLY</t>
  </si>
  <si>
    <t>SCH</t>
  </si>
  <si>
    <t>SCHLAGE</t>
  </si>
  <si>
    <t>VD</t>
  </si>
  <si>
    <t>DESIGN HARDWARE</t>
  </si>
  <si>
    <t>NG</t>
  </si>
  <si>
    <t>NATIONAL GUARD</t>
  </si>
  <si>
    <t>CCO</t>
  </si>
  <si>
    <t>CECO</t>
  </si>
  <si>
    <t>CCE</t>
  </si>
  <si>
    <t>KOLOVICH</t>
  </si>
  <si>
    <t>RWK</t>
  </si>
  <si>
    <t>ABH</t>
  </si>
  <si>
    <t>DK</t>
  </si>
  <si>
    <t>DORMA KABA (LESS DH)</t>
  </si>
  <si>
    <t>IV</t>
  </si>
  <si>
    <t>3090AF</t>
  </si>
  <si>
    <t xml:space="preserve">DH: EL_HINGES: 304 </t>
  </si>
  <si>
    <t>HWBB5NRP-4.5*4.5_4  WIRE*28</t>
  </si>
  <si>
    <t>ALTRONIX: 12/24 VDC POWER SUPPLY</t>
  </si>
  <si>
    <t>SCHLAGE OR EQUAL</t>
  </si>
  <si>
    <t>24"</t>
  </si>
  <si>
    <t>5" BUMPER SEAL</t>
  </si>
  <si>
    <t>5.00" DEPTH</t>
  </si>
  <si>
    <t>WIND RATED 90 PSF SURFACE VERTICAL ROD</t>
  </si>
  <si>
    <t>STD UTILITY PACKAGE-6/8</t>
  </si>
  <si>
    <t>5/8 uc</t>
  </si>
  <si>
    <t>5/8 ic</t>
  </si>
  <si>
    <t>3/4 UC</t>
  </si>
  <si>
    <t xml:space="preserve">PHONE: </t>
  </si>
  <si>
    <t>RIM/ SVR</t>
  </si>
  <si>
    <t>PC: TRIM</t>
  </si>
  <si>
    <t>DH: HINGES: 316 SS</t>
  </si>
  <si>
    <t>3080 AF</t>
  </si>
  <si>
    <t>3080IAF</t>
  </si>
  <si>
    <t>4.0"</t>
  </si>
  <si>
    <t>4.5"</t>
  </si>
  <si>
    <t>9K LEVER</t>
  </si>
  <si>
    <r>
      <rPr>
        <sz val="10"/>
        <rFont val="Verdana Pro Cond"/>
        <family val="2"/>
      </rPr>
      <t>MECHANICAL SLIDE T</t>
    </r>
    <r>
      <rPr>
        <sz val="9"/>
        <rFont val="Verdana Pro Cond"/>
        <family val="2"/>
      </rPr>
      <t>RACK H/OPEN</t>
    </r>
  </si>
  <si>
    <t>B: KEYING</t>
  </si>
  <si>
    <t>CORMAX CORES</t>
  </si>
  <si>
    <t>PAIR FRAME-</t>
  </si>
  <si>
    <t>HOLLOW METAIL</t>
  </si>
  <si>
    <t xml:space="preserve">3080AF  </t>
  </si>
  <si>
    <t>3080 IAF</t>
  </si>
  <si>
    <t>14 GA GALV  KD</t>
  </si>
  <si>
    <t>DARK BRONZE</t>
  </si>
  <si>
    <t>MORTISE LOCK</t>
  </si>
  <si>
    <t>ASA F_BOLT</t>
  </si>
  <si>
    <t>KD  8"</t>
  </si>
  <si>
    <t>3068AF-FAST</t>
  </si>
  <si>
    <t>3068IAF-FB</t>
  </si>
  <si>
    <t>6068-FB</t>
  </si>
  <si>
    <t>F_BOLT</t>
  </si>
  <si>
    <t>HG: HINGES</t>
  </si>
  <si>
    <t>HAGER BB4 4.5" HW</t>
  </si>
  <si>
    <t>5BB1HW 4.5X4.5 630 NRP</t>
  </si>
  <si>
    <t>4040 XP</t>
  </si>
  <si>
    <t>DOORS &amp; FRAMES</t>
  </si>
  <si>
    <t>PAIR FRAME (STEEL)</t>
  </si>
  <si>
    <t>3080_AF</t>
  </si>
  <si>
    <t>3080_IAF</t>
  </si>
  <si>
    <t>6080 M COA</t>
  </si>
  <si>
    <t>14 GALV WELDED</t>
  </si>
  <si>
    <t>PAINT ON SITE</t>
  </si>
  <si>
    <t>FULL ESCUTCHEON</t>
  </si>
  <si>
    <t>NEED COLOR</t>
  </si>
  <si>
    <t>hmf</t>
  </si>
  <si>
    <t>MPANIC</t>
  </si>
  <si>
    <t>exit only</t>
  </si>
  <si>
    <t xml:space="preserve">VD: MORTISE PANIC: </t>
  </si>
  <si>
    <t>VD: TRIM_MORTISE EXIT</t>
  </si>
  <si>
    <t>ELECTRIFIED TRIM</t>
  </si>
  <si>
    <t>CLASSROOM FUNCTION w ESCUTCHEON</t>
  </si>
  <si>
    <t>VD 9975</t>
  </si>
  <si>
    <t>VD E996L-06</t>
  </si>
  <si>
    <t>3070 5050C BULB .25" x .50"</t>
  </si>
  <si>
    <t>AC: PROJECT KEYING</t>
  </si>
  <si>
    <t>KD: DOOR LOOP</t>
  </si>
  <si>
    <t>CUSTOMER APPLIED : SURFACE FRAME TO SURFACE DOOR</t>
  </si>
  <si>
    <t>DOOR LOOP 24"</t>
  </si>
  <si>
    <t>K-DL_24"</t>
  </si>
  <si>
    <t>#35: AL</t>
  </si>
  <si>
    <t>#35: SS</t>
  </si>
  <si>
    <t>ALIUMINUM</t>
  </si>
  <si>
    <t>35-360</t>
  </si>
  <si>
    <t>35-628</t>
  </si>
  <si>
    <t>P/D w ANC</t>
  </si>
  <si>
    <t>4090AF</t>
  </si>
  <si>
    <t>CORWORTH</t>
  </si>
  <si>
    <t>5.75" MASONRY</t>
  </si>
  <si>
    <t>C HINGE</t>
  </si>
  <si>
    <t>3070 PD x WTUBE</t>
  </si>
  <si>
    <t>ABH A120HD 2.16.26</t>
  </si>
  <si>
    <t>AB: CONTINUOUS HINGE</t>
  </si>
  <si>
    <t>FULL MORTISE C/ANOD</t>
  </si>
  <si>
    <t>EASY INTALL</t>
  </si>
  <si>
    <t>NGP HD2400</t>
  </si>
  <si>
    <t>NG: CONTINUOUS HINGE</t>
  </si>
  <si>
    <t>FLAT SADDLE  5"</t>
  </si>
  <si>
    <t>SCREW ON BULB GASKETING: VINYL</t>
  </si>
  <si>
    <t>160V</t>
  </si>
  <si>
    <t>425E</t>
  </si>
  <si>
    <t>5/8 UC</t>
  </si>
  <si>
    <t>LATCHING PANIC 1.0"</t>
  </si>
  <si>
    <t>NARROW STOP</t>
  </si>
  <si>
    <t>NGP 160V-3070</t>
  </si>
  <si>
    <t>B660P GR1</t>
  </si>
  <si>
    <t>D1S</t>
  </si>
  <si>
    <t>G1 LT</t>
  </si>
  <si>
    <t>G1 3 Y</t>
  </si>
  <si>
    <t>CLEAR ANOD</t>
  </si>
  <si>
    <t>NG: DOOR SHOE</t>
  </si>
  <si>
    <t>.625" DOOR BOTTOM W VINYL INSERT</t>
  </si>
  <si>
    <r>
      <t xml:space="preserve">78000426 - </t>
    </r>
    <r>
      <rPr>
        <b/>
        <sz val="9"/>
        <rFont val="Calibri"/>
        <family val="2"/>
      </rPr>
      <t>TH5-36" x 5" x 1/2" - Saddle Threshold</t>
    </r>
  </si>
  <si>
    <t>DK: 78000426</t>
  </si>
  <si>
    <t>TH5-36*5*.5 SAD</t>
  </si>
  <si>
    <t xml:space="preserve">DH:THRESHOLD </t>
  </si>
  <si>
    <t>DJ CFK7015*CFK710</t>
  </si>
  <si>
    <t xml:space="preserve">PUSH PULL PLATE W 6" CAST PULL </t>
  </si>
  <si>
    <t>base</t>
  </si>
  <si>
    <t>c hinge</t>
  </si>
  <si>
    <t>e330</t>
  </si>
  <si>
    <t>20+22+55+60+52+52</t>
  </si>
  <si>
    <t>MSK</t>
  </si>
  <si>
    <t>74+22</t>
  </si>
  <si>
    <t>ACTIVE DOOR  E330</t>
  </si>
  <si>
    <t>mesker</t>
  </si>
  <si>
    <t>.42/.49 d/f</t>
  </si>
  <si>
    <t>NG:DOOR SHOE</t>
  </si>
  <si>
    <t>PK: DOOR SHOE</t>
  </si>
  <si>
    <t>DOOR SHOE 1/2" FINNED</t>
  </si>
  <si>
    <t>36EV</t>
  </si>
  <si>
    <t>EQ 217AV</t>
  </si>
  <si>
    <t>2.22.25</t>
  </si>
  <si>
    <t xml:space="preserve">JOB # </t>
  </si>
  <si>
    <t>BRIEF DESC</t>
  </si>
  <si>
    <t>4080AF  90 MIN 125 MPH</t>
  </si>
  <si>
    <t>SALESMAN</t>
  </si>
  <si>
    <t>DOOR1</t>
  </si>
  <si>
    <t>DOOR 1</t>
  </si>
  <si>
    <t>ceco   .44</t>
  </si>
  <si>
    <t>ceco .43</t>
  </si>
  <si>
    <t>PANIC ONLY</t>
  </si>
  <si>
    <t>NGP  2026</t>
  </si>
  <si>
    <t>4" EWA P/D 16 GA FIRE</t>
  </si>
  <si>
    <t>BEST</t>
  </si>
  <si>
    <t>4" PD EWA</t>
  </si>
  <si>
    <t xml:space="preserve">4080     F90  </t>
  </si>
  <si>
    <t>DK: TRIM</t>
  </si>
  <si>
    <t>8300 RIM PANIC TRIM</t>
  </si>
  <si>
    <t>8300 CYL 8R</t>
  </si>
  <si>
    <t>EDGE FILLER PLATE: 161</t>
  </si>
  <si>
    <t>STRIKE FILLER PLATE: ASA</t>
  </si>
  <si>
    <t>EF 161</t>
  </si>
  <si>
    <t>BS 161 630</t>
  </si>
  <si>
    <t>DJ: ACCESSORIES</t>
  </si>
  <si>
    <t>SMITH-COLUMBIA</t>
  </si>
  <si>
    <t>9790 GARNERS FERRY RD</t>
  </si>
  <si>
    <t>HOPKINS, SC  29061</t>
  </si>
  <si>
    <t>E-SET std ut</t>
  </si>
  <si>
    <t>HES 5000C</t>
  </si>
  <si>
    <t>hes 5000c  1.26</t>
  </si>
  <si>
    <t>3070_IAF</t>
  </si>
  <si>
    <t>16_304</t>
  </si>
  <si>
    <t>EXP SEAM</t>
  </si>
  <si>
    <t>FACE WELD</t>
  </si>
  <si>
    <t>NDC  SS304</t>
  </si>
  <si>
    <t>S/BOLTS</t>
  </si>
  <si>
    <t>STAINLESS : PAIR</t>
  </si>
  <si>
    <t>890</t>
  </si>
  <si>
    <t>90 psf approved</t>
  </si>
  <si>
    <t>RIM/CVR</t>
  </si>
  <si>
    <t>NOTES:    SS W/STORM SVROD.  OPEN SEAM, FACE WELD.  90 PSF</t>
  </si>
  <si>
    <t xml:space="preserve">5" MAS </t>
  </si>
  <si>
    <t>BECKER-GLOBAL</t>
  </si>
  <si>
    <t>14660 INDUSTRIAL PARK ROAD.  BRISTOL, VA  24201</t>
  </si>
  <si>
    <t>276-285-3841</t>
  </si>
  <si>
    <t>https://www.beckersmcusa.com/product/e-houses</t>
  </si>
  <si>
    <t>https://www.youtube.com/watch?v=8deWkAQwxkU</t>
  </si>
  <si>
    <t>GREG SANDERS CEO</t>
  </si>
  <si>
    <t>RICHARD MOSER</t>
  </si>
  <si>
    <t>DAVID WHITT</t>
  </si>
  <si>
    <t>JASON PLYMAL</t>
  </si>
  <si>
    <t>ROY ARCHER</t>
  </si>
  <si>
    <t>MECHANICAL DESIGN</t>
  </si>
  <si>
    <t>ENGINEERING MANAGERE</t>
  </si>
  <si>
    <t xml:space="preserve">KENNETH PERRY </t>
  </si>
  <si>
    <t xml:space="preserve"> MATERIALS AND PURCHASING</t>
  </si>
  <si>
    <t>CTO  PINEY FLATS TN</t>
  </si>
  <si>
    <t>JUSTIN TIDD</t>
  </si>
  <si>
    <t>CHIEF SALES OFFICER</t>
  </si>
  <si>
    <t>MARTIN ENERGY</t>
  </si>
  <si>
    <t>EHOUSE  MO, PA, QUE</t>
  </si>
  <si>
    <t>ISG</t>
  </si>
  <si>
    <t>VANCOUVER</t>
  </si>
  <si>
    <t>ISGPCM.COM</t>
  </si>
  <si>
    <t>3601 COLUMBIA WAY  BLDG 51 VANCOUVER, WA 98661</t>
  </si>
  <si>
    <t>SOUTH OF SEATTLE</t>
  </si>
  <si>
    <t>list</t>
  </si>
  <si>
    <t>disc</t>
  </si>
  <si>
    <t>DH: RIM PANIC: F</t>
  </si>
  <si>
    <t>2000R</t>
  </si>
  <si>
    <t>DESIGN 78002659</t>
  </si>
  <si>
    <t>KIL_78001220</t>
  </si>
  <si>
    <t>DESIGN KIL_78001220</t>
  </si>
  <si>
    <t>VISION LITE TEMPERED</t>
  </si>
  <si>
    <t>R PANIC</t>
  </si>
  <si>
    <t>AV  ELEC</t>
  </si>
  <si>
    <t>WLD_ELEC</t>
  </si>
  <si>
    <t>XB</t>
  </si>
  <si>
    <t>NDC .61</t>
  </si>
  <si>
    <t>NDC.61x</t>
  </si>
  <si>
    <t>MPANIC FAST</t>
  </si>
  <si>
    <t>4" C/P ANCH</t>
  </si>
  <si>
    <t>WINDSTORM 70</t>
  </si>
  <si>
    <t>GLASS, KIT, GLAZING</t>
  </si>
  <si>
    <t>PH:TRIM  W-EL RP</t>
  </si>
  <si>
    <t>PH:TRIM  W-EL MP</t>
  </si>
  <si>
    <t>IAF  ELEC</t>
  </si>
  <si>
    <t>48" RIM_EL</t>
  </si>
  <si>
    <t>PHI:M-PANIC: F</t>
  </si>
  <si>
    <t>PHI:M-PANIC: NR</t>
  </si>
  <si>
    <t>PHI:M-PANIC: W</t>
  </si>
  <si>
    <t>PHI:M-PANIC: F+W</t>
  </si>
  <si>
    <t xml:space="preserve">48" MORT </t>
  </si>
  <si>
    <t>PHI:M-PANIC: F+W_EL</t>
  </si>
  <si>
    <t>VERIFY</t>
  </si>
  <si>
    <t>PHI:R-PANIC: NR</t>
  </si>
  <si>
    <t>PHI:R-PANIC: F</t>
  </si>
  <si>
    <t>PHI:R-PANIC: W</t>
  </si>
  <si>
    <t>PHI:R-PANIC: F+W</t>
  </si>
  <si>
    <t>PHI:R-PANIC: F+W_EL</t>
  </si>
  <si>
    <t>36" RIM EXIT</t>
  </si>
  <si>
    <t xml:space="preserve">36" RIM EXIT </t>
  </si>
  <si>
    <t xml:space="preserve">48" RIM EXIT </t>
  </si>
  <si>
    <t xml:space="preserve">RPANIC </t>
  </si>
  <si>
    <t xml:space="preserve">MPANIC </t>
  </si>
  <si>
    <t>PHI:RIM PANIC: NR +EL</t>
  </si>
  <si>
    <t>6080 5050C BULB .25" x .50"</t>
  </si>
  <si>
    <t xml:space="preserve">36" MORTISE EXIT </t>
  </si>
  <si>
    <t>SPECIAL PREP CHARGES--EST FREIGHT / PACKAGING:</t>
  </si>
  <si>
    <t>3070AF_F90 TDI</t>
  </si>
  <si>
    <t>3070IAF_F90 TDI</t>
  </si>
  <si>
    <t>6070 F90_TDI</t>
  </si>
  <si>
    <t>WS-TDI</t>
  </si>
  <si>
    <t>PHG: INACTIVE HARDWARE</t>
  </si>
  <si>
    <t>M PANIC</t>
  </si>
  <si>
    <t>PHG M PANIC</t>
  </si>
  <si>
    <t>PHG:LOCKSET</t>
  </si>
  <si>
    <t>PHG: LOCKSET</t>
  </si>
  <si>
    <t>PHG: MORTISE PANIC: P</t>
  </si>
  <si>
    <t>PHG: MORTISE PANIC: F</t>
  </si>
  <si>
    <t>PHG: MORT PANIC: FIRE</t>
  </si>
  <si>
    <t>PHG: RIM PANIC: FIRE</t>
  </si>
  <si>
    <t>PHG: RIM PANIC: F</t>
  </si>
  <si>
    <t>PHG: RIM PANIC: NR</t>
  </si>
  <si>
    <t>PHG: RIM PANIC: W</t>
  </si>
  <si>
    <t>PHG: RIM PANIC: F/W</t>
  </si>
  <si>
    <t>PHG: TRIM</t>
  </si>
  <si>
    <t>PHG: SVR FIRE + WIND</t>
  </si>
  <si>
    <t>PHG: SVR FIRE</t>
  </si>
  <si>
    <t>PHG: SVR: NON LABELED</t>
  </si>
  <si>
    <t>PHG: SVR : WIND</t>
  </si>
  <si>
    <t>PHG: SVR : NOT RATED</t>
  </si>
  <si>
    <t>DH:DEADBOLT</t>
  </si>
  <si>
    <t xml:space="preserve">DH: DH: RIM PANIC:  </t>
  </si>
  <si>
    <t>DH: DH: RIM PANIC:  FIRE</t>
  </si>
  <si>
    <t>DH: DH: RIM PANIC: ACC</t>
  </si>
  <si>
    <t>DH: TRIM</t>
  </si>
  <si>
    <t>DH: TUHMB PULLDH: TRIM</t>
  </si>
  <si>
    <t>DH: KEY X THUMB PULL</t>
  </si>
  <si>
    <t>PHI:TRIM</t>
  </si>
  <si>
    <t>3'</t>
  </si>
  <si>
    <t>4'</t>
  </si>
  <si>
    <t>OK</t>
  </si>
  <si>
    <t>3.10.26</t>
  </si>
  <si>
    <t>14660 INDUSTRIAL PARK RD</t>
  </si>
  <si>
    <t>BRISTOL, VA.  24202</t>
  </si>
  <si>
    <t>423.956.8735</t>
  </si>
  <si>
    <t xml:space="preserve">4080  1/4 UC </t>
  </si>
  <si>
    <t>4080 FULL WELD</t>
  </si>
  <si>
    <t xml:space="preserve">3070  1/4 UC </t>
  </si>
  <si>
    <t>3070 FULL WELD</t>
  </si>
  <si>
    <t xml:space="preserve">2460  1/4 UC </t>
  </si>
  <si>
    <t>2460 FULL WELD</t>
  </si>
  <si>
    <t>16 _316 SS</t>
  </si>
  <si>
    <t>SINGLE FRAME  4S</t>
  </si>
  <si>
    <t>3"  XB ANCHOR</t>
  </si>
  <si>
    <t>VISION x WG</t>
  </si>
  <si>
    <t>INSTALLED</t>
  </si>
  <si>
    <t>APPLIED GASKETING: NEOPRENE</t>
  </si>
  <si>
    <t>NOTES:     USED STAINLESS STEEL PULL HANDLE SIMILAR TO THAT SEEN IN PICS</t>
  </si>
  <si>
    <t>NOTES:     DUAL W STRIPPING, BULB IN DOOR/FRAME GAPS, SURFACE  APPLIED BULB TO FRAME STOP ALL FOUR SIDES</t>
  </si>
  <si>
    <t>4 SIDE FACE H</t>
  </si>
  <si>
    <t>NOTES:    FRAMES AND DOORS PREPARED FOR ALL HARDWARE, BUT HARDWARE WILL NOT BE INSTALLED, DOORS WILL NOT BE PREHUNG. THE ALUMINUM GUYS HAVE NOT YET RESPONDED TO THE QUOTE REQUEST.</t>
  </si>
  <si>
    <t>NOTES:     I HAVE THE SHORT DOOR WITH A DEADBOLT AND PULL HANDLE, WE CAN DO IT WITH A CYLINDRICAL LOCK AS WELL.   I FELT, YOUR CALL THAT THE SHORT OPENING WOULD BE USED FOR EXTERIOR ACCESS, NOT AS AN EGRESS POINT</t>
  </si>
  <si>
    <t>BG1</t>
  </si>
  <si>
    <t>SPECIAL LITE</t>
  </si>
  <si>
    <t>3070_AV</t>
  </si>
  <si>
    <t>3070_IAV</t>
  </si>
  <si>
    <t>2 x 4" BOXED EXT</t>
  </si>
  <si>
    <t>KITS INCLUDED</t>
  </si>
  <si>
    <t>MORT PANIC</t>
  </si>
  <si>
    <t>* KEY TO CUSTOMER STANDARD BIT SCHEDULE : NVENT</t>
  </si>
  <si>
    <t>2100 R PANIC</t>
  </si>
  <si>
    <t>PHI 2026</t>
  </si>
  <si>
    <t>TOTAL:</t>
  </si>
  <si>
    <t>3070_  WS 70</t>
  </si>
  <si>
    <t>3070AF_WS 70</t>
  </si>
  <si>
    <t>14-A40</t>
  </si>
  <si>
    <t>SUMMARY</t>
  </si>
  <si>
    <t xml:space="preserve">PER ITEM  </t>
  </si>
  <si>
    <t>S/BOLT_WS</t>
  </si>
  <si>
    <t xml:space="preserve">3" </t>
  </si>
  <si>
    <t>sc 1.61</t>
  </si>
  <si>
    <t>SVR PANIC</t>
  </si>
  <si>
    <t>w ASTRAGAL</t>
  </si>
  <si>
    <t>3080AF_WS 70</t>
  </si>
  <si>
    <t>3080IAF_WS 70</t>
  </si>
  <si>
    <t>6080  WS_70</t>
  </si>
  <si>
    <t>closer</t>
  </si>
  <si>
    <t>deadbolt</t>
  </si>
  <si>
    <t>pull trim</t>
  </si>
  <si>
    <t>cyl lock</t>
  </si>
  <si>
    <t>mort lock</t>
  </si>
  <si>
    <t>door stop</t>
  </si>
  <si>
    <t>lever trim</t>
  </si>
  <si>
    <t>flush bolt</t>
  </si>
  <si>
    <t>afbolt</t>
  </si>
  <si>
    <t>coordinator</t>
  </si>
  <si>
    <t>surf bolt</t>
  </si>
  <si>
    <t>hdw mull</t>
  </si>
  <si>
    <t>int pull</t>
  </si>
  <si>
    <t>kick</t>
  </si>
  <si>
    <t>latch grd</t>
  </si>
  <si>
    <t>lite kit</t>
  </si>
  <si>
    <t>louver</t>
  </si>
  <si>
    <t>m panic</t>
  </si>
  <si>
    <t>rim panic</t>
  </si>
  <si>
    <t>pull plate</t>
  </si>
  <si>
    <t>multipoint</t>
  </si>
  <si>
    <t>trim</t>
  </si>
  <si>
    <t>mort panic</t>
  </si>
  <si>
    <t>svr</t>
  </si>
  <si>
    <t>drip</t>
  </si>
  <si>
    <t>ast</t>
  </si>
  <si>
    <t>gasket</t>
  </si>
  <si>
    <t>shoe</t>
  </si>
  <si>
    <t>sweep</t>
  </si>
  <si>
    <t>thold</t>
  </si>
  <si>
    <t>keying</t>
  </si>
  <si>
    <t>filler plate</t>
  </si>
  <si>
    <t>c_hinges</t>
  </si>
  <si>
    <t>e_hinge</t>
  </si>
  <si>
    <t>acc control</t>
  </si>
  <si>
    <t>PAIRED FRAME FRAME</t>
  </si>
  <si>
    <t>4080AV WS-120</t>
  </si>
  <si>
    <t>4080    WS-120</t>
  </si>
  <si>
    <t xml:space="preserve">S/B </t>
  </si>
  <si>
    <t>S/B_WS</t>
  </si>
  <si>
    <t>4080IAV  WS-120</t>
  </si>
  <si>
    <r>
      <t xml:space="preserve">HOLLOW METAL </t>
    </r>
    <r>
      <rPr>
        <b/>
        <sz val="10"/>
        <color theme="2" tint="-9.9978637043366805E-2"/>
        <rFont val="Verdana Pro Cond Semibold"/>
        <family val="2"/>
      </rPr>
      <t>: SGL</t>
    </r>
    <r>
      <rPr>
        <b/>
        <sz val="10"/>
        <rFont val="Verdana Pro Cond Semibold"/>
        <family val="2"/>
      </rPr>
      <t>/PAIR</t>
    </r>
  </si>
  <si>
    <r>
      <rPr>
        <sz val="10"/>
        <color rgb="FFFFFFFF"/>
        <rFont val="Verdana Pro Cond"/>
        <family val="2"/>
      </rPr>
      <t xml:space="preserve">FIRE AND </t>
    </r>
    <r>
      <rPr>
        <sz val="10"/>
        <color indexed="8"/>
        <rFont val="Verdana Pro Cond"/>
        <family val="2"/>
      </rPr>
      <t>WIND RATED (TDI)</t>
    </r>
  </si>
  <si>
    <t>8080 5050C BULB .25" x .50"</t>
  </si>
  <si>
    <t>THANK YOU FOR TRUSTING US TO QUOTE YOUR PROJECT REQUIREMENTS.</t>
  </si>
  <si>
    <t>3070AF-FAST</t>
  </si>
  <si>
    <t>3070IAF-FB</t>
  </si>
  <si>
    <t>S_BOLT</t>
  </si>
  <si>
    <t>ASA S_BOLT</t>
  </si>
  <si>
    <t>E-SET std ut 1.55</t>
  </si>
  <si>
    <t>E-SET 1.55</t>
  </si>
  <si>
    <t>6'</t>
  </si>
  <si>
    <t>STD SINGLE PACKAGE: 7/0</t>
  </si>
  <si>
    <t>STD UTILITY PACKAGE: 7/0</t>
  </si>
  <si>
    <t>PHI  2026</t>
  </si>
  <si>
    <t>6070-SB</t>
  </si>
  <si>
    <t>6"</t>
  </si>
  <si>
    <r>
      <t xml:space="preserve">ACTIVE DOOR </t>
    </r>
    <r>
      <rPr>
        <sz val="10"/>
        <color rgb="FFFF0000"/>
        <rFont val="Verdana Pro Cond"/>
        <family val="2"/>
      </rPr>
      <t xml:space="preserve"> F90</t>
    </r>
  </si>
  <si>
    <t>DEMISING WAL</t>
  </si>
  <si>
    <t>DH: RIM PANIC:  FIRE</t>
  </si>
  <si>
    <t>SARA VARGAS</t>
  </si>
  <si>
    <t>4.1.26</t>
  </si>
  <si>
    <t>PANELMATIC</t>
  </si>
  <si>
    <t>6882 PARKWAY DRIVE</t>
  </si>
  <si>
    <t>BROOKFIELD, OH  44403</t>
  </si>
  <si>
    <t>888.757.1957</t>
  </si>
  <si>
    <t>RFQ: 4.1.26_3070-3080</t>
  </si>
  <si>
    <t>CAL ROYAL 801 DOOR CLOSER</t>
  </si>
  <si>
    <t xml:space="preserve">cr 9800  </t>
  </si>
  <si>
    <t>medium duty</t>
  </si>
  <si>
    <t>heavy duty</t>
  </si>
  <si>
    <t>tru door sell $</t>
  </si>
  <si>
    <t>design model</t>
  </si>
  <si>
    <t>net</t>
  </si>
  <si>
    <t>pmatic</t>
  </si>
  <si>
    <t>14_A40</t>
  </si>
  <si>
    <t>RTP: 12"</t>
  </si>
  <si>
    <t>FRAME_SGL w REM HEAD</t>
  </si>
  <si>
    <t>NOTES:    spec calls for 3070 door and removable transom panel.  We quoted both door and panel as well as 8'0 door.  They are looking for 96" clearance, a removable panel is a lot more $ than needed</t>
  </si>
  <si>
    <t>OPTION TO T-PANEL</t>
  </si>
  <si>
    <t>11383 SIEMENS</t>
  </si>
  <si>
    <t>713.545.8092</t>
  </si>
  <si>
    <t>MR. BILLY MAY</t>
  </si>
  <si>
    <t>4.6.26</t>
  </si>
  <si>
    <t>3070AV F90</t>
  </si>
  <si>
    <t>3070AV_F90</t>
  </si>
  <si>
    <t>3070IAV_F90</t>
  </si>
  <si>
    <t>6070_F90</t>
  </si>
  <si>
    <t>RW:INTERIOR PULL</t>
  </si>
  <si>
    <t>ESCUTCHEON LEVER TRIM: MORTISE PANIC</t>
  </si>
  <si>
    <t>ESCUTCHEON LEVER TRIM : RIM / SVR PANIC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</si>
</sst>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7" formatCode="&quot;$&quot;#,##0.00_);\(&quot;$&quot;#,##0.00\)"/>
    <numFmt numFmtId="44" formatCode="_(&quot;$&quot;* #,##0.00_);_(&quot;$&quot;* \(#,##0.00\);_(&quot;$&quot;* &quot;-&quot;??_);_(@_)"/>
    <numFmt numFmtId="43" formatCode="_(* #,##0.00_);_(* \(#,##0.00\);_(* &quot;-&quot;??_);_(@_)"/>
    <numFmt numFmtId="164" formatCode="_(&quot;$&quot;* #,##0_);_(&quot;$&quot;* \(#,##0\);_(&quot;$&quot;* &quot;-&quot;??_);_(@_)"/>
    <numFmt numFmtId="165" formatCode="&quot;$&quot;#,##0.00"/>
    <numFmt numFmtId="166" formatCode="&quot;$&quot;#,##0"/>
    <numFmt numFmtId="167" formatCode="&quot;$&quot;#,##0.000"/>
    <numFmt numFmtId="168" formatCode="_(&quot;$&quot;* #,##0.0000_);_(&quot;$&quot;* \(#,##0.0000\);_(&quot;$&quot;* &quot;-&quot;??_);_(@_)"/>
    <numFmt numFmtId="169" formatCode="#\'\-#\ ##/##\'\'"/>
    <numFmt numFmtId="170" formatCode="_(* #,##0_);_(* \(#,##0\);_(* &quot;-&quot;??_);_(@_)"/>
    <numFmt numFmtId="171" formatCode="0.0%"/>
    <numFmt numFmtId="172" formatCode="_(&quot;$&quot;* #,##0.0_);_(&quot;$&quot;* \(#,##0.0\);_(&quot;$&quot;* &quot;-&quot;??_);_(@_)"/>
    <numFmt numFmtId="173" formatCode="_([$$-409]* #,##0.00_);_([$$-409]* \(#,##0.00\);_([$$-409]* &quot;-&quot;??_);_(@_)"/>
  </numFmts>
  <fonts count="271" x14ac:knownFonts="1">
    <font>
      <sz val="10"/>
      <color theme="1"/>
      <name val="Verdana"/>
      <family val="2"/>
    </font>
    <font>
      <sz val="11"/>
      <color theme="1"/>
      <name val="Verdana Pro Cond"/>
      <family val="2"/>
    </font>
    <font>
      <sz val="11"/>
      <color theme="1"/>
      <name val="Verdana Pro Cond"/>
      <family val="2"/>
    </font>
    <font>
      <sz val="10"/>
      <color theme="1"/>
      <name val="Verdana"/>
      <family val="2"/>
    </font>
    <font>
      <b/>
      <sz val="24"/>
      <color indexed="56"/>
      <name val="Bookman Old Style"/>
      <family val="1"/>
    </font>
    <font>
      <b/>
      <sz val="10"/>
      <color indexed="56"/>
      <name val="Bookman Old Style"/>
      <family val="1"/>
    </font>
    <font>
      <sz val="10"/>
      <name val="Bookman Old Style"/>
      <family val="1"/>
    </font>
    <font>
      <b/>
      <i/>
      <sz val="18"/>
      <color indexed="56"/>
      <name val="Bookman Old Style"/>
      <family val="1"/>
    </font>
    <font>
      <b/>
      <i/>
      <sz val="18"/>
      <color rgb="FF1F4C83"/>
      <name val="Bookman Old Style"/>
      <family val="1"/>
    </font>
    <font>
      <sz val="10"/>
      <color indexed="8"/>
      <name val="Bookman Old Style"/>
      <family val="1"/>
    </font>
    <font>
      <b/>
      <sz val="10"/>
      <color indexed="53"/>
      <name val="Bookman Old Style"/>
      <family val="1"/>
    </font>
    <font>
      <b/>
      <sz val="11"/>
      <color indexed="18"/>
      <name val="Bookman Old Style"/>
      <family val="1"/>
    </font>
    <font>
      <b/>
      <sz val="10"/>
      <name val="Bookman Old Style"/>
      <family val="1"/>
    </font>
    <font>
      <i/>
      <sz val="10"/>
      <color indexed="55"/>
      <name val="Bookman Old Style"/>
      <family val="1"/>
    </font>
    <font>
      <i/>
      <sz val="10"/>
      <color indexed="22"/>
      <name val="Bookman Old Style"/>
      <family val="1"/>
    </font>
    <font>
      <sz val="12"/>
      <name val="Verdana Pro Cond"/>
      <family val="2"/>
    </font>
    <font>
      <sz val="10"/>
      <color indexed="8"/>
      <name val="Verdana Pro Cond"/>
      <family val="2"/>
    </font>
    <font>
      <sz val="10"/>
      <name val="Verdana Pro Cond"/>
      <family val="2"/>
    </font>
    <font>
      <b/>
      <sz val="10"/>
      <color indexed="8"/>
      <name val="Verdana Pro Cond"/>
      <family val="2"/>
    </font>
    <font>
      <sz val="10"/>
      <color indexed="8"/>
      <name val="Verdana Pro Cond Light"/>
      <family val="2"/>
    </font>
    <font>
      <sz val="10"/>
      <name val="Verdana Pro Cond Light"/>
      <family val="2"/>
    </font>
    <font>
      <sz val="8"/>
      <name val="Verdana"/>
      <family val="2"/>
    </font>
    <font>
      <sz val="10"/>
      <color theme="1"/>
      <name val="Verdana Pro Cond"/>
      <family val="2"/>
    </font>
    <font>
      <b/>
      <sz val="10"/>
      <color rgb="FFFF0000"/>
      <name val="Verdana Pro Cond Light"/>
      <family val="2"/>
    </font>
    <font>
      <b/>
      <sz val="10"/>
      <color rgb="FF165A7A"/>
      <name val="Verdana Pro Cond"/>
      <family val="2"/>
    </font>
    <font>
      <b/>
      <sz val="8"/>
      <color rgb="FF165A7A"/>
      <name val="Verdana Pro Cond"/>
      <family val="2"/>
    </font>
    <font>
      <b/>
      <sz val="10"/>
      <color theme="4" tint="-0.499984740745262"/>
      <name val="Verdana Pro Cond"/>
      <family val="2"/>
    </font>
    <font>
      <b/>
      <sz val="8"/>
      <color theme="4" tint="-0.499984740745262"/>
      <name val="Verdana Pro Cond"/>
      <family val="2"/>
    </font>
    <font>
      <b/>
      <sz val="24"/>
      <color rgb="FF165A7A"/>
      <name val="Brush Script MT"/>
      <family val="4"/>
    </font>
    <font>
      <u/>
      <sz val="10"/>
      <color indexed="8"/>
      <name val="Verdana Pro Cond Light"/>
      <family val="2"/>
    </font>
    <font>
      <b/>
      <sz val="10"/>
      <color rgb="FF165A7A"/>
      <name val="Times New Roman"/>
      <family val="1"/>
    </font>
    <font>
      <b/>
      <sz val="10"/>
      <color indexed="53"/>
      <name val="Verdana Pro"/>
      <family val="2"/>
    </font>
    <font>
      <b/>
      <sz val="12"/>
      <color rgb="FF165A7A"/>
      <name val="Verdana Pro Cond"/>
      <family val="2"/>
    </font>
    <font>
      <sz val="10"/>
      <color rgb="FF165A7A"/>
      <name val="Verdana Pro Cond Light"/>
      <family val="2"/>
    </font>
    <font>
      <b/>
      <sz val="10"/>
      <name val="Verdana Pro Cond"/>
      <family val="2"/>
    </font>
    <font>
      <b/>
      <sz val="8"/>
      <name val="Verdana Pro Cond"/>
      <family val="2"/>
    </font>
    <font>
      <b/>
      <sz val="11"/>
      <color rgb="FFFF0000"/>
      <name val="Calibri"/>
      <family val="2"/>
      <scheme val="minor"/>
    </font>
    <font>
      <b/>
      <sz val="11"/>
      <color theme="1"/>
      <name val="Calibri"/>
      <family val="2"/>
      <scheme val="minor"/>
    </font>
    <font>
      <sz val="11"/>
      <color rgb="FFFF0000"/>
      <name val="Calibri"/>
      <family val="2"/>
      <scheme val="minor"/>
    </font>
    <font>
      <sz val="9"/>
      <color theme="1"/>
      <name val="Calibri"/>
      <family val="2"/>
      <scheme val="minor"/>
    </font>
    <font>
      <b/>
      <sz val="11"/>
      <color theme="9" tint="-0.249977111117893"/>
      <name val="Calibri"/>
      <family val="2"/>
      <scheme val="minor"/>
    </font>
    <font>
      <sz val="9"/>
      <color rgb="FFFF0000"/>
      <name val="Verdana Pro Cond"/>
      <family val="2"/>
    </font>
    <font>
      <sz val="11"/>
      <color theme="1"/>
      <name val="Verdana"/>
      <family val="2"/>
    </font>
    <font>
      <sz val="8"/>
      <name val="Verdana Pro Cond"/>
      <family val="2"/>
    </font>
    <font>
      <b/>
      <sz val="10"/>
      <color rgb="FF7030A0"/>
      <name val="Verdana Pro Cond Light"/>
      <family val="2"/>
    </font>
    <font>
      <b/>
      <sz val="10"/>
      <name val="Verdana Pro Cond Light"/>
      <family val="2"/>
    </font>
    <font>
      <b/>
      <sz val="10"/>
      <color rgb="FFFF0000"/>
      <name val="Verdana Pro Cond"/>
      <family val="2"/>
    </font>
    <font>
      <sz val="10"/>
      <color rgb="FFFF0000"/>
      <name val="Verdana Pro Cond Light"/>
      <family val="2"/>
    </font>
    <font>
      <u/>
      <sz val="10"/>
      <color theme="10"/>
      <name val="Verdana"/>
      <family val="2"/>
    </font>
    <font>
      <sz val="9"/>
      <color indexed="8"/>
      <name val="Verdana Pro Cond Light"/>
      <family val="2"/>
    </font>
    <font>
      <b/>
      <sz val="10"/>
      <color indexed="8"/>
      <name val="Verdana Pro Cond Light"/>
      <family val="2"/>
    </font>
    <font>
      <b/>
      <sz val="10"/>
      <color rgb="FF25282A"/>
      <name val="Arial"/>
      <family val="2"/>
    </font>
    <font>
      <sz val="10"/>
      <color theme="1"/>
      <name val="Verdana Pro Cond Light"/>
      <family val="2"/>
    </font>
    <font>
      <b/>
      <i/>
      <sz val="24"/>
      <color theme="1"/>
      <name val="Calibri"/>
      <family val="2"/>
      <scheme val="minor"/>
    </font>
    <font>
      <sz val="11"/>
      <color theme="0"/>
      <name val="Calibri"/>
      <family val="2"/>
      <scheme val="minor"/>
    </font>
    <font>
      <sz val="11"/>
      <name val="Calibri"/>
      <family val="2"/>
      <scheme val="minor"/>
    </font>
    <font>
      <i/>
      <sz val="11"/>
      <name val="Calibri"/>
      <family val="2"/>
      <scheme val="minor"/>
    </font>
    <font>
      <sz val="18"/>
      <color theme="1"/>
      <name val="Calibri"/>
      <family val="2"/>
      <scheme val="minor"/>
    </font>
    <font>
      <sz val="16"/>
      <color theme="1"/>
      <name val="Calibri"/>
      <family val="2"/>
      <scheme val="minor"/>
    </font>
    <font>
      <sz val="9"/>
      <name val="Calibri"/>
      <family val="2"/>
      <scheme val="minor"/>
    </font>
    <font>
      <b/>
      <i/>
      <sz val="11"/>
      <color rgb="FFFF0000"/>
      <name val="Calibri"/>
      <family val="2"/>
      <scheme val="minor"/>
    </font>
    <font>
      <b/>
      <sz val="11"/>
      <name val="Calibri"/>
      <family val="2"/>
      <scheme val="minor"/>
    </font>
    <font>
      <b/>
      <sz val="12"/>
      <color theme="1"/>
      <name val="Calibri"/>
      <family val="2"/>
      <scheme val="minor"/>
    </font>
    <font>
      <sz val="9"/>
      <name val="Arial Narrow"/>
      <family val="2"/>
    </font>
    <font>
      <sz val="9"/>
      <color rgb="FFFF0000"/>
      <name val="Arial Narrow"/>
      <family val="2"/>
    </font>
    <font>
      <sz val="9"/>
      <color theme="0"/>
      <name val="Arial Narrow"/>
      <family val="2"/>
    </font>
    <font>
      <sz val="9"/>
      <color theme="1"/>
      <name val="Arial Narrow"/>
      <family val="2"/>
    </font>
    <font>
      <b/>
      <sz val="13"/>
      <color theme="1"/>
      <name val="Arial Narrow"/>
      <family val="2"/>
    </font>
    <font>
      <sz val="11"/>
      <color theme="1"/>
      <name val="Arial Narrow"/>
      <family val="2"/>
    </font>
    <font>
      <sz val="13"/>
      <color theme="1"/>
      <name val="Arial Narrow"/>
      <family val="2"/>
    </font>
    <font>
      <b/>
      <sz val="13"/>
      <color theme="0"/>
      <name val="Calibri"/>
      <family val="2"/>
      <scheme val="minor"/>
    </font>
    <font>
      <b/>
      <sz val="13"/>
      <color theme="1"/>
      <name val="Calibri"/>
      <family val="2"/>
      <scheme val="minor"/>
    </font>
    <font>
      <b/>
      <sz val="9"/>
      <color theme="1"/>
      <name val="Arial Narrow"/>
      <family val="2"/>
    </font>
    <font>
      <b/>
      <sz val="12"/>
      <color theme="0"/>
      <name val="Calibri"/>
      <family val="2"/>
      <scheme val="minor"/>
    </font>
    <font>
      <b/>
      <sz val="13"/>
      <name val="Arial Narrow"/>
      <family val="2"/>
    </font>
    <font>
      <b/>
      <sz val="9"/>
      <color rgb="FFFF0000"/>
      <name val="Arial Narrow"/>
      <family val="2"/>
    </font>
    <font>
      <b/>
      <i/>
      <sz val="14"/>
      <color theme="0"/>
      <name val="Calibri"/>
      <family val="2"/>
      <scheme val="minor"/>
    </font>
    <font>
      <i/>
      <sz val="11"/>
      <color theme="1"/>
      <name val="Calibri"/>
      <family val="2"/>
      <scheme val="minor"/>
    </font>
    <font>
      <b/>
      <i/>
      <sz val="11"/>
      <color theme="9" tint="-0.249977111117893"/>
      <name val="Calibri"/>
      <family val="2"/>
      <scheme val="minor"/>
    </font>
    <font>
      <i/>
      <sz val="9"/>
      <name val="Arial Narrow"/>
      <family val="2"/>
    </font>
    <font>
      <i/>
      <sz val="9"/>
      <color theme="1" tint="0.34998626667073579"/>
      <name val="Arial Narrow"/>
      <family val="2"/>
    </font>
    <font>
      <i/>
      <sz val="9"/>
      <color theme="1"/>
      <name val="Arial Narrow"/>
      <family val="2"/>
    </font>
    <font>
      <b/>
      <sz val="12"/>
      <color theme="1"/>
      <name val="Arial Narrow"/>
      <family val="2"/>
    </font>
    <font>
      <b/>
      <sz val="9"/>
      <color indexed="81"/>
      <name val="Tahoma"/>
      <family val="2"/>
    </font>
    <font>
      <u/>
      <sz val="9"/>
      <color indexed="81"/>
      <name val="Tahoma"/>
      <family val="2"/>
    </font>
    <font>
      <b/>
      <u/>
      <sz val="9"/>
      <color indexed="81"/>
      <name val="Tahoma"/>
      <family val="2"/>
    </font>
    <font>
      <sz val="9"/>
      <color indexed="81"/>
      <name val="Tahoma"/>
      <family val="2"/>
    </font>
    <font>
      <i/>
      <sz val="9"/>
      <color indexed="81"/>
      <name val="Tahoma"/>
      <family val="2"/>
    </font>
    <font>
      <b/>
      <sz val="13"/>
      <color theme="0"/>
      <name val="Arial Narrow"/>
      <family val="2"/>
    </font>
    <font>
      <b/>
      <i/>
      <sz val="11"/>
      <color theme="0"/>
      <name val="Calibri"/>
      <family val="2"/>
      <scheme val="minor"/>
    </font>
    <font>
      <b/>
      <sz val="14"/>
      <color rgb="FFFFFF00"/>
      <name val="Calibri"/>
      <family val="2"/>
      <scheme val="minor"/>
    </font>
    <font>
      <sz val="10"/>
      <color theme="1"/>
      <name val="Arial Narrow"/>
      <family val="2"/>
    </font>
    <font>
      <b/>
      <sz val="10"/>
      <color theme="1"/>
      <name val="Arial Narrow"/>
      <family val="2"/>
    </font>
    <font>
      <b/>
      <i/>
      <sz val="10"/>
      <color theme="1"/>
      <name val="Arial Narrow"/>
      <family val="2"/>
    </font>
    <font>
      <sz val="10"/>
      <color rgb="FFFFFF00"/>
      <name val="Verdana Pro Cond"/>
      <family val="2"/>
    </font>
    <font>
      <sz val="10"/>
      <color rgb="FFFF0000"/>
      <name val="Verdana Pro Cond"/>
      <family val="2"/>
    </font>
    <font>
      <sz val="10"/>
      <color theme="0"/>
      <name val="Verdana Pro Cond"/>
      <family val="2"/>
    </font>
    <font>
      <sz val="9"/>
      <name val="Calibri"/>
      <family val="2"/>
    </font>
    <font>
      <b/>
      <sz val="10"/>
      <color theme="1"/>
      <name val="Verdana Pro Cond"/>
      <family val="2"/>
    </font>
    <font>
      <b/>
      <sz val="11"/>
      <color theme="0"/>
      <name val="Calibri"/>
      <family val="2"/>
      <scheme val="minor"/>
    </font>
    <font>
      <b/>
      <i/>
      <sz val="11"/>
      <color theme="1"/>
      <name val="Calibri"/>
      <family val="2"/>
      <scheme val="minor"/>
    </font>
    <font>
      <i/>
      <sz val="11"/>
      <color theme="1"/>
      <name val="Arial Narrow"/>
      <family val="2"/>
    </font>
    <font>
      <b/>
      <sz val="12"/>
      <color theme="0"/>
      <name val="Arial Narrow"/>
      <family val="2"/>
    </font>
    <font>
      <b/>
      <i/>
      <sz val="14"/>
      <color theme="0"/>
      <name val="Arial Narrow"/>
      <family val="2"/>
    </font>
    <font>
      <sz val="11"/>
      <color theme="0"/>
      <name val="Arial Narrow"/>
      <family val="2"/>
    </font>
    <font>
      <b/>
      <sz val="11"/>
      <color theme="1"/>
      <name val="Verdana Pro Cond"/>
      <family val="2"/>
    </font>
    <font>
      <i/>
      <sz val="9"/>
      <color theme="0"/>
      <name val="Arial Narrow"/>
      <family val="2"/>
    </font>
    <font>
      <sz val="9"/>
      <color theme="0" tint="-4.9989318521683403E-2"/>
      <name val="Arial Narrow"/>
      <family val="2"/>
    </font>
    <font>
      <b/>
      <sz val="10"/>
      <color theme="1"/>
      <name val="Verdana Pro"/>
      <family val="2"/>
    </font>
    <font>
      <b/>
      <i/>
      <sz val="24"/>
      <color theme="5"/>
      <name val="Calibri"/>
      <family val="2"/>
      <scheme val="minor"/>
    </font>
    <font>
      <sz val="10"/>
      <color indexed="8"/>
      <name val="Arial"/>
      <family val="2"/>
    </font>
    <font>
      <sz val="11"/>
      <color indexed="8"/>
      <name val="Calibri"/>
      <family val="2"/>
    </font>
    <font>
      <b/>
      <sz val="8"/>
      <color theme="1"/>
      <name val="Arial"/>
      <family val="2"/>
    </font>
    <font>
      <sz val="11"/>
      <color rgb="FF000000"/>
      <name val="Calibri"/>
      <family val="2"/>
      <scheme val="minor"/>
    </font>
    <font>
      <sz val="11"/>
      <color rgb="FF000000"/>
      <name val="Calibri"/>
      <family val="2"/>
    </font>
    <font>
      <sz val="7"/>
      <color theme="2" tint="-0.499984740745262"/>
      <name val="Arial Narrow"/>
      <family val="2"/>
    </font>
    <font>
      <sz val="7"/>
      <color theme="2" tint="-0.499984740745262"/>
      <name val="Calibri"/>
      <family val="2"/>
      <scheme val="minor"/>
    </font>
    <font>
      <sz val="7"/>
      <color theme="0"/>
      <name val="Calibri"/>
      <family val="2"/>
      <scheme val="minor"/>
    </font>
    <font>
      <i/>
      <sz val="18"/>
      <name val="Calibri"/>
      <family val="2"/>
      <scheme val="minor"/>
    </font>
    <font>
      <b/>
      <i/>
      <sz val="14"/>
      <color theme="1"/>
      <name val="Calibri"/>
      <family val="2"/>
      <scheme val="minor"/>
    </font>
    <font>
      <sz val="13"/>
      <color theme="1"/>
      <name val="Calibri"/>
      <family val="2"/>
      <scheme val="minor"/>
    </font>
    <font>
      <b/>
      <sz val="14"/>
      <color theme="1"/>
      <name val="Arial Narrow"/>
      <family val="2"/>
    </font>
    <font>
      <b/>
      <sz val="12"/>
      <name val="Arial Narrow"/>
      <family val="2"/>
    </font>
    <font>
      <b/>
      <i/>
      <sz val="9"/>
      <color theme="1"/>
      <name val="Arial Narrow"/>
      <family val="2"/>
    </font>
    <font>
      <b/>
      <i/>
      <sz val="9"/>
      <color theme="0"/>
      <name val="Arial Narrow"/>
      <family val="2"/>
    </font>
    <font>
      <b/>
      <sz val="9"/>
      <color indexed="81"/>
      <name val="Calibri"/>
      <family val="2"/>
      <scheme val="minor"/>
    </font>
    <font>
      <b/>
      <i/>
      <sz val="9"/>
      <color indexed="81"/>
      <name val="Tahoma"/>
      <family val="2"/>
    </font>
    <font>
      <b/>
      <sz val="9"/>
      <color indexed="16"/>
      <name val="Tahoma"/>
      <family val="2"/>
    </font>
    <font>
      <sz val="9"/>
      <color theme="1"/>
      <name val="Verdana Pro"/>
      <family val="2"/>
    </font>
    <font>
      <b/>
      <sz val="11"/>
      <color rgb="FFFF0000"/>
      <name val="Verdana Pro"/>
      <family val="2"/>
    </font>
    <font>
      <sz val="10"/>
      <name val="Verdana Pro"/>
      <family val="2"/>
    </font>
    <font>
      <sz val="9"/>
      <name val="Verdana Pro"/>
      <family val="2"/>
    </font>
    <font>
      <sz val="11"/>
      <name val="Verdana Pro"/>
      <family val="2"/>
    </font>
    <font>
      <b/>
      <sz val="11"/>
      <color rgb="FFC00000"/>
      <name val="Verdana Pro"/>
      <family val="2"/>
    </font>
    <font>
      <sz val="11"/>
      <color theme="0" tint="-4.9989318521683403E-2"/>
      <name val="Verdana Pro"/>
      <family val="2"/>
    </font>
    <font>
      <sz val="11"/>
      <color theme="0" tint="-0.14999847407452621"/>
      <name val="Verdana Pro"/>
      <family val="2"/>
    </font>
    <font>
      <sz val="11"/>
      <color theme="3" tint="0.499984740745262"/>
      <name val="Verdana Pro"/>
      <family val="2"/>
    </font>
    <font>
      <sz val="11"/>
      <color theme="4" tint="0.39997558519241921"/>
      <name val="Verdana Pro"/>
      <family val="2"/>
    </font>
    <font>
      <sz val="11"/>
      <color theme="5" tint="-0.249977111117893"/>
      <name val="Verdana Pro"/>
      <family val="2"/>
    </font>
    <font>
      <sz val="9"/>
      <color theme="5" tint="-0.249977111117893"/>
      <name val="Verdana Pro"/>
      <family val="2"/>
    </font>
    <font>
      <sz val="11"/>
      <color theme="7" tint="0.39997558519241921"/>
      <name val="Verdana Pro"/>
      <family val="2"/>
    </font>
    <font>
      <sz val="11"/>
      <color rgb="FFFF0000"/>
      <name val="Verdana Pro"/>
      <family val="2"/>
    </font>
    <font>
      <sz val="11"/>
      <color theme="8" tint="0.39997558519241921"/>
      <name val="Verdana Pro"/>
      <family val="2"/>
    </font>
    <font>
      <sz val="9"/>
      <color theme="8" tint="0.39997558519241921"/>
      <name val="Verdana Pro"/>
      <family val="2"/>
    </font>
    <font>
      <sz val="11"/>
      <color rgb="FFC00000"/>
      <name val="Verdana Pro"/>
      <family val="2"/>
    </font>
    <font>
      <b/>
      <sz val="11"/>
      <color theme="1"/>
      <name val="Verdana Pro"/>
      <family val="2"/>
    </font>
    <font>
      <b/>
      <sz val="9"/>
      <color theme="1"/>
      <name val="Verdana Pro"/>
      <family val="2"/>
    </font>
    <font>
      <sz val="10"/>
      <color theme="1"/>
      <name val="Verdana Pro Cond Semibold"/>
      <family val="2"/>
    </font>
    <font>
      <b/>
      <sz val="10"/>
      <color theme="1"/>
      <name val="Verdana"/>
      <family val="2"/>
    </font>
    <font>
      <b/>
      <sz val="12"/>
      <color rgb="FF165A7A"/>
      <name val="Verdana Pro Semibold"/>
      <family val="2"/>
    </font>
    <font>
      <sz val="11"/>
      <name val="Verdana Pro Cond"/>
      <family val="2"/>
    </font>
    <font>
      <sz val="12"/>
      <color theme="4" tint="-0.499984740745262"/>
      <name val="Verdana Pro"/>
      <family val="2"/>
    </font>
    <font>
      <sz val="12"/>
      <color theme="4" tint="-0.499984740745262"/>
      <name val="Verdana Pro Cond Semibold"/>
      <family val="2"/>
    </font>
    <font>
      <b/>
      <sz val="11"/>
      <name val="Verdana Pro Cond Light"/>
      <family val="2"/>
    </font>
    <font>
      <b/>
      <sz val="11"/>
      <color rgb="FF165A7A"/>
      <name val="Verdana Pro Cond"/>
      <family val="2"/>
    </font>
    <font>
      <b/>
      <sz val="8"/>
      <color rgb="FFFF0000"/>
      <name val="Verdana Pro Cond"/>
      <family val="2"/>
    </font>
    <font>
      <sz val="9"/>
      <color rgb="FFFF0000"/>
      <name val="Verdana Pro Cond Light"/>
      <family val="2"/>
    </font>
    <font>
      <sz val="11"/>
      <name val="Verdana Pro Cond Light"/>
      <family val="2"/>
    </font>
    <font>
      <sz val="11"/>
      <color indexed="8"/>
      <name val="Verdana Pro Cond Light"/>
      <family val="2"/>
    </font>
    <font>
      <sz val="12"/>
      <color rgb="FF165A7A"/>
      <name val="Verdana Pro Cond"/>
      <family val="2"/>
    </font>
    <font>
      <sz val="12"/>
      <color theme="1"/>
      <name val="Verdana Pro Cond"/>
      <family val="2"/>
    </font>
    <font>
      <sz val="10"/>
      <color theme="4" tint="-0.499984740745262"/>
      <name val="Verdana Pro Cond"/>
      <family val="2"/>
    </font>
    <font>
      <sz val="8"/>
      <color indexed="8"/>
      <name val="Verdana Pro Cond Light"/>
      <family val="2"/>
    </font>
    <font>
      <sz val="10"/>
      <color theme="0"/>
      <name val="Verdana Pro Cond Light"/>
      <family val="2"/>
    </font>
    <font>
      <b/>
      <sz val="8"/>
      <color indexed="8"/>
      <name val="Verdana Pro Cond Light"/>
      <family val="2"/>
    </font>
    <font>
      <b/>
      <u/>
      <sz val="10"/>
      <color rgb="FFFFFFFF"/>
      <name val="Verdana Pro Cond Light"/>
      <family val="2"/>
    </font>
    <font>
      <b/>
      <sz val="10"/>
      <color rgb="FFFFFFFF"/>
      <name val="Verdana Pro Cond Light"/>
      <family val="2"/>
    </font>
    <font>
      <sz val="10"/>
      <color rgb="FFC00000"/>
      <name val="Verdana Pro Cond Light"/>
      <family val="2"/>
    </font>
    <font>
      <b/>
      <sz val="10"/>
      <color rgb="FFC00000"/>
      <name val="Verdana Pro Cond Light"/>
      <family val="2"/>
    </font>
    <font>
      <b/>
      <sz val="14"/>
      <color theme="4"/>
      <name val="Verdana Pro Cond Light"/>
      <family val="2"/>
    </font>
    <font>
      <sz val="8"/>
      <color rgb="FF165A7A"/>
      <name val="Verdana Pro Cond Light"/>
      <family val="2"/>
    </font>
    <font>
      <b/>
      <sz val="11"/>
      <color rgb="FF165A7A"/>
      <name val="Times New Roman"/>
      <family val="1"/>
    </font>
    <font>
      <sz val="10"/>
      <color rgb="FFFF0000"/>
      <name val="Verdana"/>
      <family val="2"/>
    </font>
    <font>
      <sz val="10"/>
      <name val="Verdana Pro Cond Light"/>
      <family val="2"/>
    </font>
    <font>
      <sz val="11"/>
      <color rgb="FF2D2D2D"/>
      <name val="Arial"/>
      <family val="2"/>
    </font>
    <font>
      <sz val="14"/>
      <color rgb="FF2D2D2D"/>
      <name val="Arial"/>
      <family val="2"/>
    </font>
    <font>
      <sz val="9"/>
      <color rgb="FF165A7A"/>
      <name val="Verdana Pro Cond Light"/>
      <family val="2"/>
    </font>
    <font>
      <b/>
      <sz val="18"/>
      <name val="Arial"/>
      <family val="2"/>
    </font>
    <font>
      <sz val="8"/>
      <name val="Verdana Pro Cond Light"/>
      <family val="2"/>
    </font>
    <font>
      <b/>
      <sz val="10"/>
      <color theme="9" tint="-0.249977111117893"/>
      <name val="Verdana Pro Cond Light"/>
      <family val="2"/>
    </font>
    <font>
      <sz val="11"/>
      <color rgb="FF63666A"/>
      <name val="Arial"/>
      <family val="2"/>
    </font>
    <font>
      <sz val="9"/>
      <color theme="1"/>
      <name val="Verdana Pro Cond Light"/>
      <family val="2"/>
    </font>
    <font>
      <sz val="8"/>
      <color theme="1"/>
      <name val="Verdana"/>
      <family val="2"/>
    </font>
    <font>
      <sz val="10"/>
      <color rgb="FF7030A0"/>
      <name val="Verdana Pro Cond Light"/>
      <family val="2"/>
    </font>
    <font>
      <b/>
      <sz val="10"/>
      <color rgb="FF165A7A"/>
      <name val="Brush Script MT"/>
      <family val="4"/>
    </font>
    <font>
      <sz val="12"/>
      <color theme="1"/>
      <name val="Verdana Pro"/>
      <family val="2"/>
    </font>
    <font>
      <sz val="12"/>
      <name val="Verdana Pro"/>
      <family val="2"/>
    </font>
    <font>
      <sz val="11"/>
      <color rgb="FFFF0000"/>
      <name val="Verdana Pro Cond Light"/>
      <family val="2"/>
    </font>
    <font>
      <sz val="11"/>
      <color rgb="FF165A7A"/>
      <name val="Verdana Pro Cond"/>
      <family val="2"/>
    </font>
    <font>
      <sz val="8"/>
      <color rgb="FF165A7A"/>
      <name val="Verdana Pro Cond"/>
      <family val="2"/>
    </font>
    <font>
      <sz val="9"/>
      <color theme="6" tint="-0.499984740745262"/>
      <name val="Verdana Pro Cond"/>
      <family val="2"/>
    </font>
    <font>
      <b/>
      <sz val="9"/>
      <color theme="1"/>
      <name val="Arial"/>
      <family val="2"/>
    </font>
    <font>
      <sz val="10"/>
      <color theme="4" tint="-0.499984740745262"/>
      <name val="Verdana Pro Cond Light"/>
      <family val="2"/>
    </font>
    <font>
      <b/>
      <sz val="10"/>
      <color theme="4" tint="-0.499984740745262"/>
      <name val="Verdana Pro Cond Light"/>
      <family val="2"/>
    </font>
    <font>
      <sz val="10"/>
      <color theme="0" tint="-0.14999847407452621"/>
      <name val="Verdana Pro Cond Light"/>
      <family val="2"/>
    </font>
    <font>
      <b/>
      <sz val="10"/>
      <color rgb="FFFF0000"/>
      <name val="Times New Roman"/>
      <family val="1"/>
    </font>
    <font>
      <sz val="10"/>
      <color indexed="8"/>
      <name val="Verdana Pro Light"/>
      <family val="2"/>
    </font>
    <font>
      <sz val="10"/>
      <color theme="4"/>
      <name val="Verdana"/>
      <family val="2"/>
    </font>
    <font>
      <sz val="9"/>
      <color theme="4"/>
      <name val="Verdana Pro"/>
      <family val="2"/>
    </font>
    <font>
      <b/>
      <sz val="11"/>
      <color theme="4"/>
      <name val="Verdana Pro"/>
      <family val="2"/>
    </font>
    <font>
      <sz val="11"/>
      <color rgb="FFEE0000"/>
      <name val="Verdana Pro"/>
      <family val="2"/>
    </font>
    <font>
      <b/>
      <sz val="11"/>
      <color rgb="FFEE0000"/>
      <name val="Verdana Pro"/>
      <family val="2"/>
    </font>
    <font>
      <b/>
      <sz val="11"/>
      <name val="Arial"/>
      <family val="2"/>
    </font>
    <font>
      <b/>
      <sz val="14"/>
      <color rgb="FFFF0000"/>
      <name val="Verdana Pro Cond Light"/>
      <family val="2"/>
    </font>
    <font>
      <sz val="11"/>
      <name val="Times New Roman"/>
      <family val="1"/>
    </font>
    <font>
      <sz val="10"/>
      <name val="Times New Roman"/>
      <family val="1"/>
    </font>
    <font>
      <b/>
      <sz val="10"/>
      <color theme="1"/>
      <name val="Verdana Pro Cond Light"/>
      <family val="2"/>
    </font>
    <font>
      <sz val="11"/>
      <color rgb="FF000000"/>
      <name val="Arial"/>
      <family val="2"/>
    </font>
    <font>
      <sz val="9"/>
      <color rgb="FF4C4441"/>
      <name val="Arial"/>
      <family val="2"/>
    </font>
    <font>
      <b/>
      <sz val="10"/>
      <color theme="1"/>
      <name val="Verdana Pro Cond Semibold"/>
      <family val="2"/>
    </font>
    <font>
      <sz val="10"/>
      <color indexed="8"/>
      <name val="Verdana Pro Cond Semibold"/>
      <family val="2"/>
    </font>
    <font>
      <b/>
      <sz val="11"/>
      <name val="Verdana Pro Cond Semibold"/>
      <family val="2"/>
    </font>
    <font>
      <b/>
      <sz val="10"/>
      <color theme="6" tint="-0.499984740745262"/>
      <name val="Verdana Pro Cond Semibold"/>
      <family val="2"/>
    </font>
    <font>
      <b/>
      <sz val="10"/>
      <color theme="4" tint="-0.499984740745262"/>
      <name val="Verdana Pro Cond Semibold"/>
      <family val="2"/>
    </font>
    <font>
      <b/>
      <sz val="10"/>
      <color rgb="FF165A7A"/>
      <name val="Verdana Pro Cond Semibold"/>
      <family val="2"/>
    </font>
    <font>
      <b/>
      <sz val="10"/>
      <color theme="3" tint="0.79998168889431442"/>
      <name val="Verdana Pro Cond Semibold"/>
      <family val="2"/>
    </font>
    <font>
      <b/>
      <sz val="10"/>
      <name val="Verdana Pro Cond Semibold"/>
      <family val="2"/>
    </font>
    <font>
      <sz val="10"/>
      <name val="Verdana Pro Cond Semibold"/>
      <family val="2"/>
    </font>
    <font>
      <b/>
      <sz val="11"/>
      <color rgb="FF165A7A"/>
      <name val="Verdana Pro Cond Semibold"/>
      <family val="2"/>
    </font>
    <font>
      <sz val="11"/>
      <name val="Verdana Pro Cond Semibold"/>
      <family val="2"/>
    </font>
    <font>
      <b/>
      <sz val="11"/>
      <color theme="4" tint="-0.499984740745262"/>
      <name val="Verdana Pro Cond Semibold"/>
      <family val="2"/>
    </font>
    <font>
      <sz val="10"/>
      <color rgb="FF165A7A"/>
      <name val="Verdana Pro Cond Semibold"/>
      <family val="2"/>
    </font>
    <font>
      <b/>
      <sz val="10"/>
      <color rgb="FFFF0000"/>
      <name val="Verdana Pro Cond Semibold"/>
      <family val="2"/>
    </font>
    <font>
      <b/>
      <sz val="11"/>
      <color rgb="FFFF0000"/>
      <name val="Verdana Pro Cond Semibold"/>
      <family val="2"/>
    </font>
    <font>
      <sz val="10"/>
      <color rgb="FFFF0000"/>
      <name val="Verdana Pro Cond Semibold"/>
      <family val="2"/>
    </font>
    <font>
      <sz val="12"/>
      <name val="Verdana Pro Cond Semibold"/>
      <family val="2"/>
    </font>
    <font>
      <b/>
      <sz val="12"/>
      <color rgb="FF165A7A"/>
      <name val="Verdana Pro Cond Semibold"/>
      <family val="2"/>
    </font>
    <font>
      <sz val="12"/>
      <color theme="1"/>
      <name val="Verdana Pro Cond Semibold"/>
      <family val="2"/>
    </font>
    <font>
      <b/>
      <sz val="9"/>
      <name val="Verdana Pro Cond Semibold"/>
      <family val="2"/>
    </font>
    <font>
      <sz val="11"/>
      <color theme="3" tint="-0.249977111117893"/>
      <name val="Verdana Pro Cond Semibold"/>
      <family val="2"/>
    </font>
    <font>
      <sz val="11"/>
      <color rgb="FF165A7A"/>
      <name val="Verdana Pro Cond Semibold"/>
      <family val="2"/>
    </font>
    <font>
      <sz val="9"/>
      <name val="Verdana Pro Cond Light"/>
      <family val="2"/>
    </font>
    <font>
      <b/>
      <sz val="14"/>
      <name val="Arial"/>
      <family val="2"/>
    </font>
    <font>
      <b/>
      <sz val="9"/>
      <color rgb="FF165A7A"/>
      <name val="Verdana Pro Cond Semibold"/>
      <family val="2"/>
    </font>
    <font>
      <sz val="9"/>
      <color rgb="FF165A7A"/>
      <name val="Verdana Pro Cond Semibold"/>
      <family val="2"/>
    </font>
    <font>
      <sz val="9"/>
      <color indexed="8"/>
      <name val="Verdana Pro Cond"/>
      <family val="2"/>
    </font>
    <font>
      <b/>
      <sz val="11"/>
      <name val="Verdana Pro Cond"/>
      <family val="2"/>
    </font>
    <font>
      <sz val="9"/>
      <color theme="1"/>
      <name val="Verdana Pro Cond"/>
      <family val="2"/>
    </font>
    <font>
      <b/>
      <sz val="9"/>
      <color theme="6" tint="-0.499984740745262"/>
      <name val="Verdana Pro Cond"/>
      <family val="2"/>
    </font>
    <font>
      <b/>
      <sz val="11"/>
      <color rgb="FF165A7A"/>
      <name val="Brush Script MT"/>
      <family val="4"/>
    </font>
    <font>
      <sz val="10"/>
      <color rgb="FF165A7A"/>
      <name val="Verdana Pro Cond"/>
      <family val="2"/>
    </font>
    <font>
      <sz val="10"/>
      <color indexed="8"/>
      <name val="Verdana Pro"/>
      <family val="2"/>
    </font>
    <font>
      <sz val="10"/>
      <color theme="1"/>
      <name val="Verdana Pro"/>
      <family val="2"/>
    </font>
    <font>
      <sz val="9"/>
      <color indexed="8"/>
      <name val="Verdana Pro"/>
      <family val="2"/>
    </font>
    <font>
      <b/>
      <sz val="10"/>
      <name val="Verdana Pro"/>
      <family val="2"/>
    </font>
    <font>
      <b/>
      <sz val="10"/>
      <name val="Times New Roman"/>
      <family val="1"/>
    </font>
    <font>
      <b/>
      <sz val="8"/>
      <name val="Times New Roman"/>
      <family val="1"/>
    </font>
    <font>
      <sz val="11"/>
      <color indexed="8"/>
      <name val="Verdana Pro Cond"/>
      <family val="2"/>
    </font>
    <font>
      <sz val="9"/>
      <color indexed="8"/>
      <name val="Calibri"/>
      <family val="2"/>
    </font>
    <font>
      <sz val="7"/>
      <color indexed="8"/>
      <name val="Calibri"/>
      <family val="2"/>
    </font>
    <font>
      <sz val="10"/>
      <color indexed="8"/>
      <name val="Calibri"/>
      <family val="2"/>
    </font>
    <font>
      <sz val="9"/>
      <name val="Verdana Pro Cond"/>
      <family val="2"/>
    </font>
    <font>
      <sz val="10"/>
      <color theme="1" tint="0.499984740745262"/>
      <name val="Verdana Pro Cond"/>
      <family val="2"/>
    </font>
    <font>
      <b/>
      <sz val="10"/>
      <color theme="0"/>
      <name val="Verdana Pro Cond"/>
      <family val="2"/>
    </font>
    <font>
      <sz val="9"/>
      <color rgb="FFC00000"/>
      <name val="Verdana Pro Cond Light"/>
      <family val="2"/>
    </font>
    <font>
      <b/>
      <sz val="9"/>
      <name val="Calibri"/>
      <family val="2"/>
    </font>
    <font>
      <b/>
      <sz val="20"/>
      <color theme="8" tint="-0.249977111117893"/>
      <name val="Verdana Pro Semibold"/>
      <family val="2"/>
    </font>
    <font>
      <sz val="9"/>
      <color indexed="8"/>
      <name val="Verdana Pro Light"/>
      <family val="2"/>
    </font>
    <font>
      <b/>
      <sz val="8"/>
      <color rgb="FF7030A0"/>
      <name val="Verdana Pro Cond Light"/>
      <family val="2"/>
    </font>
    <font>
      <sz val="10"/>
      <color theme="4" tint="-0.499984740745262"/>
      <name val="Verdana Pro"/>
      <family val="2"/>
    </font>
    <font>
      <b/>
      <sz val="10"/>
      <color theme="0"/>
      <name val="Verdana Pro"/>
      <family val="2"/>
    </font>
    <font>
      <sz val="10"/>
      <color theme="0"/>
      <name val="Verdana Pro"/>
      <family val="2"/>
    </font>
    <font>
      <b/>
      <sz val="9"/>
      <color theme="4" tint="-0.499984740745262"/>
      <name val="Verdana Pro Cond Semibold"/>
      <family val="2"/>
    </font>
    <font>
      <b/>
      <sz val="10"/>
      <color theme="2" tint="-9.9978637043366805E-2"/>
      <name val="Verdana Pro Cond Semibold"/>
      <family val="2"/>
    </font>
    <font>
      <sz val="10"/>
      <color rgb="FFFFFFFF"/>
      <name val="Verdana Pro Cond"/>
      <family val="2"/>
    </font>
    <font>
      <b/>
      <sz val="24"/>
      <color theme="8" tint="-0.249977111117893"/>
      <name val="Vijaya"/>
      <family val="1"/>
    </font>
    <font>
      <b/>
      <sz val="20"/>
      <color theme="8" tint="-0.249977111117893"/>
      <name val="Vijaya"/>
      <family val="1"/>
    </font>
    <font>
      <u/>
      <sz val="10"/>
      <color theme="8" tint="-0.249977111117893"/>
      <name val="Verdana"/>
      <family val="2"/>
    </font>
    <font>
      <b/>
      <sz val="18"/>
      <color theme="8" tint="-0.249977111117893"/>
      <name val="Vijaya"/>
      <family val="1"/>
    </font>
    <font>
      <sz val="11"/>
      <color rgb="FFFF0000"/>
      <name val="Verdana Pro Cond"/>
      <family val="2"/>
    </font>
    <font>
      <sz val="12"/>
      <color theme="1"/>
      <name val="Verdana"/>
      <family val="2"/>
    </font>
  </fonts>
  <fills count="33">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2"/>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4.9989318521683403E-2"/>
        <bgColor indexed="64"/>
      </patternFill>
    </fill>
    <fill>
      <patternFill patternType="solid">
        <fgColor theme="3"/>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8"/>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rgb="FF00B0F0"/>
        <bgColor indexed="64"/>
      </patternFill>
    </fill>
    <fill>
      <patternFill patternType="solid">
        <fgColor theme="8" tint="0.59999389629810485"/>
        <bgColor indexed="64"/>
      </patternFill>
    </fill>
    <fill>
      <patternFill patternType="solid">
        <fgColor theme="0" tint="-9.9978637043366805E-2"/>
        <bgColor indexed="64"/>
      </patternFill>
    </fill>
    <fill>
      <patternFill patternType="solid">
        <fgColor rgb="FFFFC000"/>
        <bgColor indexed="64"/>
      </patternFill>
    </fill>
    <fill>
      <patternFill patternType="solid">
        <fgColor theme="7"/>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92D050"/>
        <bgColor indexed="64"/>
      </patternFill>
    </fill>
    <fill>
      <patternFill patternType="solid">
        <fgColor theme="3" tint="0.89999084444715716"/>
        <bgColor indexed="64"/>
      </patternFill>
    </fill>
  </fills>
  <borders count="161">
    <border>
      <left/>
      <right/>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dotted">
        <color indexed="64"/>
      </bottom>
      <diagonal/>
    </border>
    <border>
      <left style="thin">
        <color indexed="64"/>
      </left>
      <right style="thin">
        <color indexed="64"/>
      </right>
      <top/>
      <bottom style="dashed">
        <color indexed="64"/>
      </bottom>
      <diagonal/>
    </border>
    <border>
      <left/>
      <right/>
      <top style="dotted">
        <color indexed="64"/>
      </top>
      <bottom style="dott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style="thin">
        <color indexed="64"/>
      </left>
      <right/>
      <top style="dotted">
        <color indexed="64"/>
      </top>
      <bottom style="dotted">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style="thin">
        <color indexed="64"/>
      </left>
      <right/>
      <top/>
      <bottom style="dotted">
        <color indexed="64"/>
      </bottom>
      <diagonal/>
    </border>
    <border>
      <left style="medium">
        <color indexed="64"/>
      </left>
      <right style="medium">
        <color indexed="64"/>
      </right>
      <top style="thin">
        <color indexed="64"/>
      </top>
      <bottom style="thin">
        <color indexed="64"/>
      </bottom>
      <diagonal/>
    </border>
    <border>
      <left/>
      <right style="thin">
        <color indexed="64"/>
      </right>
      <top style="dashed">
        <color indexed="64"/>
      </top>
      <bottom/>
      <diagonal/>
    </border>
    <border>
      <left style="thin">
        <color indexed="64"/>
      </left>
      <right style="thin">
        <color indexed="64"/>
      </right>
      <top style="dashed">
        <color indexed="64"/>
      </top>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style="thin">
        <color indexed="64"/>
      </left>
      <right/>
      <top/>
      <bottom style="medium">
        <color indexed="64"/>
      </bottom>
      <diagonal/>
    </border>
    <border>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right/>
      <top/>
      <bottom style="dashed">
        <color indexed="64"/>
      </bottom>
      <diagonal/>
    </border>
    <border>
      <left style="thin">
        <color indexed="64"/>
      </left>
      <right/>
      <top style="thin">
        <color indexed="64"/>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diagonal/>
    </border>
    <border>
      <left/>
      <right style="thin">
        <color rgb="FF2C566F"/>
      </right>
      <top style="thin">
        <color rgb="FF2C566F"/>
      </top>
      <bottom style="thin">
        <color rgb="FF2C566F"/>
      </bottom>
      <diagonal/>
    </border>
    <border>
      <left style="thin">
        <color rgb="FF2C566F"/>
      </left>
      <right/>
      <top style="thin">
        <color rgb="FF2C566F"/>
      </top>
      <bottom/>
      <diagonal/>
    </border>
    <border>
      <left/>
      <right/>
      <top style="thin">
        <color rgb="FF2C566F"/>
      </top>
      <bottom/>
      <diagonal/>
    </border>
    <border>
      <left/>
      <right style="thin">
        <color rgb="FF2C566F"/>
      </right>
      <top style="thin">
        <color rgb="FF2C566F"/>
      </top>
      <bottom/>
      <diagonal/>
    </border>
    <border>
      <left style="thin">
        <color rgb="FF2C566F"/>
      </left>
      <right/>
      <top/>
      <bottom/>
      <diagonal/>
    </border>
    <border>
      <left/>
      <right style="thin">
        <color rgb="FF2C566F"/>
      </right>
      <top/>
      <bottom/>
      <diagonal/>
    </border>
    <border>
      <left style="thin">
        <color rgb="FF2C566F"/>
      </left>
      <right/>
      <top/>
      <bottom style="thin">
        <color rgb="FF2C566F"/>
      </bottom>
      <diagonal/>
    </border>
    <border>
      <left/>
      <right/>
      <top/>
      <bottom style="thin">
        <color rgb="FF2C566F"/>
      </bottom>
      <diagonal/>
    </border>
    <border>
      <left/>
      <right style="thin">
        <color rgb="FF2C566F"/>
      </right>
      <top/>
      <bottom style="thin">
        <color rgb="FF2C566F"/>
      </bottom>
      <diagonal/>
    </border>
    <border>
      <left style="thin">
        <color rgb="FF2C566F"/>
      </left>
      <right/>
      <top style="thin">
        <color rgb="FF2C566F"/>
      </top>
      <bottom style="thin">
        <color rgb="FF2C566F"/>
      </bottom>
      <diagonal/>
    </border>
    <border>
      <left style="thin">
        <color rgb="FF2C566F"/>
      </left>
      <right style="thin">
        <color rgb="FF2C566F"/>
      </right>
      <top style="thin">
        <color rgb="FF2C566F"/>
      </top>
      <bottom style="thin">
        <color rgb="FF2C566F"/>
      </bottom>
      <diagonal/>
    </border>
    <border>
      <left/>
      <right style="thin">
        <color theme="0" tint="-0.34998626667073579"/>
      </right>
      <top/>
      <bottom/>
      <diagonal/>
    </border>
    <border>
      <left style="thin">
        <color theme="0" tint="-0.34998626667073579"/>
      </left>
      <right/>
      <top/>
      <bottom/>
      <diagonal/>
    </border>
    <border>
      <left style="thin">
        <color indexed="64"/>
      </left>
      <right style="thin">
        <color indexed="64"/>
      </right>
      <top style="thin">
        <color indexed="64"/>
      </top>
      <bottom style="medium">
        <color indexed="64"/>
      </bottom>
      <diagonal/>
    </border>
    <border>
      <left/>
      <right style="thin">
        <color theme="0" tint="-0.34998626667073579"/>
      </right>
      <top style="thin">
        <color indexed="64"/>
      </top>
      <bottom style="thin">
        <color indexed="64"/>
      </bottom>
      <diagonal/>
    </border>
    <border>
      <left style="thin">
        <color theme="0" tint="-0.34998626667073579"/>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theme="1" tint="-0.499984740745262"/>
      </top>
      <bottom/>
      <diagonal/>
    </border>
    <border>
      <left/>
      <right/>
      <top/>
      <bottom style="medium">
        <color theme="1" tint="-0.499984740745262"/>
      </bottom>
      <diagonal/>
    </border>
    <border>
      <left/>
      <right style="medium">
        <color theme="1" tint="-0.499984740745262"/>
      </right>
      <top/>
      <bottom/>
      <diagonal/>
    </border>
    <border>
      <left/>
      <right style="medium">
        <color theme="1" tint="-0.499984740745262"/>
      </right>
      <top style="thin">
        <color indexed="64"/>
      </top>
      <bottom/>
      <diagonal/>
    </border>
    <border>
      <left/>
      <right style="medium">
        <color theme="1" tint="-0.499984740745262"/>
      </right>
      <top/>
      <bottom style="medium">
        <color indexed="64"/>
      </bottom>
      <diagonal/>
    </border>
    <border>
      <left style="dashed">
        <color theme="1" tint="-0.499984740745262"/>
      </left>
      <right style="dashed">
        <color theme="1" tint="-0.499984740745262"/>
      </right>
      <top style="dashed">
        <color theme="1" tint="-0.499984740745262"/>
      </top>
      <bottom style="dashed">
        <color theme="1" tint="-0.499984740745262"/>
      </bottom>
      <diagonal/>
    </border>
    <border>
      <left style="dashed">
        <color theme="1" tint="-0.499984740745262"/>
      </left>
      <right style="dashed">
        <color theme="1" tint="-0.499984740745262"/>
      </right>
      <top/>
      <bottom style="dashed">
        <color theme="1" tint="-0.499984740745262"/>
      </bottom>
      <diagonal/>
    </border>
    <border>
      <left/>
      <right/>
      <top/>
      <bottom style="dashed">
        <color theme="1" tint="-0.499984740745262"/>
      </bottom>
      <diagonal/>
    </border>
    <border>
      <left style="dashed">
        <color theme="1" tint="-0.499984740745262"/>
      </left>
      <right style="dashed">
        <color theme="1" tint="-0.499984740745262"/>
      </right>
      <top/>
      <bottom/>
      <diagonal/>
    </border>
    <border>
      <left style="medium">
        <color theme="1" tint="-0.499984740745262"/>
      </left>
      <right style="medium">
        <color theme="1" tint="-0.499984740745262"/>
      </right>
      <top/>
      <bottom/>
      <diagonal/>
    </border>
    <border>
      <left/>
      <right/>
      <top style="medium">
        <color indexed="64"/>
      </top>
      <bottom style="medium">
        <color theme="1" tint="-0.4999847407452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dashed">
        <color theme="1" tint="-0.499984740745262"/>
      </bottom>
      <diagonal/>
    </border>
    <border>
      <left/>
      <right style="thin">
        <color indexed="64"/>
      </right>
      <top/>
      <bottom style="dashed">
        <color theme="1" tint="-0.499984740745262"/>
      </bottom>
      <diagonal/>
    </border>
    <border>
      <left style="dashed">
        <color theme="1" tint="-0.499984740745262"/>
      </left>
      <right style="dashed">
        <color theme="1" tint="-0.499984740745262"/>
      </right>
      <top/>
      <bottom style="medium">
        <color indexed="64"/>
      </bottom>
      <diagonal/>
    </border>
    <border>
      <left style="dashed">
        <color theme="1" tint="-0.499984740745262"/>
      </left>
      <right style="dashed">
        <color theme="1" tint="-0.499984740745262"/>
      </right>
      <top/>
      <bottom style="dashed">
        <color indexed="64"/>
      </bottom>
      <diagonal/>
    </border>
    <border>
      <left/>
      <right/>
      <top style="dotted">
        <color indexed="64"/>
      </top>
      <bottom style="medium">
        <color indexed="64"/>
      </bottom>
      <diagonal/>
    </border>
    <border>
      <left style="thin">
        <color indexed="64"/>
      </left>
      <right/>
      <top style="dotted">
        <color indexed="64"/>
      </top>
      <bottom style="medium">
        <color indexed="64"/>
      </bottom>
      <diagonal/>
    </border>
    <border>
      <left style="dashed">
        <color theme="1" tint="-0.499984740745262"/>
      </left>
      <right style="dashed">
        <color theme="1" tint="-0.499984740745262"/>
      </right>
      <top style="dashed">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theme="1" tint="-0.499984740745262"/>
      </right>
      <top style="dashed">
        <color theme="1" tint="-0.499984740745262"/>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style="dashed">
        <color indexed="64"/>
      </bottom>
      <diagonal/>
    </border>
    <border>
      <left style="thin">
        <color indexed="64"/>
      </left>
      <right/>
      <top style="dashed">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dashed">
        <color theme="1" tint="-0.499984740745262"/>
      </left>
      <right/>
      <top/>
      <bottom/>
      <diagonal/>
    </border>
    <border>
      <left style="dashed">
        <color theme="1" tint="-0.499984740745262"/>
      </left>
      <right/>
      <top/>
      <bottom style="medium">
        <color indexed="64"/>
      </bottom>
      <diagonal/>
    </border>
    <border>
      <left style="thin">
        <color indexed="64"/>
      </left>
      <right/>
      <top style="medium">
        <color indexed="64"/>
      </top>
      <bottom/>
      <diagonal/>
    </border>
    <border>
      <left style="dashed">
        <color theme="1" tint="-0.499984740745262"/>
      </left>
      <right style="dashed">
        <color theme="1" tint="-0.499984740745262"/>
      </right>
      <top/>
      <bottom style="thin">
        <color indexed="64"/>
      </bottom>
      <diagonal/>
    </border>
    <border>
      <left style="dashed">
        <color theme="1" tint="-0.499984740745262"/>
      </left>
      <right style="thin">
        <color indexed="64"/>
      </right>
      <top/>
      <bottom style="medium">
        <color indexed="64"/>
      </bottom>
      <diagonal/>
    </border>
    <border>
      <left/>
      <right style="medium">
        <color theme="1" tint="-0.499984740745262"/>
      </right>
      <top/>
      <bottom style="dashed">
        <color theme="1" tint="-0.499984740745262"/>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style="medium">
        <color indexed="64"/>
      </left>
      <right style="medium">
        <color indexed="64"/>
      </right>
      <top/>
      <bottom style="thin">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dashed">
        <color indexed="64"/>
      </right>
      <top/>
      <bottom style="dashed">
        <color indexed="64"/>
      </bottom>
      <diagonal/>
    </border>
    <border>
      <left style="dashed">
        <color indexed="64"/>
      </left>
      <right style="dashed">
        <color indexed="64"/>
      </right>
      <top/>
      <bottom/>
      <diagonal/>
    </border>
    <border>
      <left/>
      <right/>
      <top style="dashed">
        <color indexed="64"/>
      </top>
      <bottom style="dashed">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dashed">
        <color indexed="64"/>
      </right>
      <top/>
      <bottom style="thin">
        <color indexed="64"/>
      </bottom>
      <diagonal/>
    </border>
    <border>
      <left style="dashed">
        <color indexed="64"/>
      </left>
      <right style="dashed">
        <color indexed="64"/>
      </right>
      <top/>
      <bottom style="medium">
        <color indexed="64"/>
      </bottom>
      <diagonal/>
    </border>
    <border>
      <left/>
      <right style="dashed">
        <color indexed="64"/>
      </right>
      <top style="dashed">
        <color indexed="64"/>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dashed">
        <color theme="1" tint="-0.499984740745262"/>
      </left>
      <right style="dashed">
        <color theme="1" tint="-0.499984740745262"/>
      </right>
      <top style="thin">
        <color indexed="64"/>
      </top>
      <bottom style="thin">
        <color indexed="64"/>
      </bottom>
      <diagonal/>
    </border>
    <border>
      <left style="dashed">
        <color indexed="64"/>
      </left>
      <right/>
      <top/>
      <bottom style="dashed">
        <color indexed="64"/>
      </bottom>
      <diagonal/>
    </border>
    <border>
      <left style="dashed">
        <color indexed="64"/>
      </left>
      <right/>
      <top style="dashed">
        <color indexed="64"/>
      </top>
      <bottom/>
      <diagonal/>
    </border>
    <border>
      <left style="thin">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dashed">
        <color indexed="64"/>
      </top>
      <bottom/>
      <diagonal/>
    </border>
    <border>
      <left style="dashed">
        <color indexed="64"/>
      </left>
      <right/>
      <top/>
      <bottom/>
      <diagonal/>
    </border>
    <border>
      <left style="thin">
        <color indexed="64"/>
      </left>
      <right style="medium">
        <color indexed="64"/>
      </right>
      <top/>
      <bottom/>
      <diagonal/>
    </border>
    <border>
      <left style="dashed">
        <color indexed="64"/>
      </left>
      <right style="dashed">
        <color indexed="64"/>
      </right>
      <top style="dashed">
        <color indexed="64"/>
      </top>
      <bottom style="medium">
        <color indexed="64"/>
      </bottom>
      <diagonal/>
    </border>
    <border>
      <left style="dashed">
        <color indexed="64"/>
      </left>
      <right/>
      <top style="dashed">
        <color indexed="64"/>
      </top>
      <bottom style="medium">
        <color indexed="64"/>
      </bottom>
      <diagonal/>
    </border>
    <border>
      <left style="thin">
        <color indexed="64"/>
      </left>
      <right/>
      <top style="medium">
        <color indexed="64"/>
      </top>
      <bottom style="thin">
        <color indexed="64"/>
      </bottom>
      <diagonal/>
    </border>
    <border>
      <left style="dashed">
        <color indexed="64"/>
      </left>
      <right style="thin">
        <color indexed="64"/>
      </right>
      <top style="dashed">
        <color indexed="64"/>
      </top>
      <bottom style="medium">
        <color indexed="64"/>
      </bottom>
      <diagonal/>
    </border>
    <border>
      <left style="medium">
        <color indexed="64"/>
      </left>
      <right style="thin">
        <color indexed="64"/>
      </right>
      <top/>
      <bottom/>
      <diagonal/>
    </border>
    <border>
      <left/>
      <right style="dashed">
        <color indexed="64"/>
      </right>
      <top/>
      <bottom/>
      <diagonal/>
    </border>
  </borders>
  <cellStyleXfs count="6">
    <xf numFmtId="0" fontId="0" fillId="0" borderId="0"/>
    <xf numFmtId="44" fontId="3" fillId="0" borderId="0" applyFont="0" applyFill="0" applyBorder="0" applyAlignment="0" applyProtection="0"/>
    <xf numFmtId="9" fontId="3" fillId="0" borderId="0" applyFont="0" applyFill="0" applyBorder="0" applyAlignment="0" applyProtection="0"/>
    <xf numFmtId="0" fontId="48" fillId="0" borderId="0" applyNumberFormat="0" applyFill="0" applyBorder="0" applyAlignment="0" applyProtection="0"/>
    <xf numFmtId="43" fontId="3" fillId="0" borderId="0" applyFont="0" applyFill="0" applyBorder="0" applyAlignment="0" applyProtection="0"/>
    <xf numFmtId="0" fontId="110" fillId="0" borderId="0"/>
  </cellStyleXfs>
  <cellXfs count="4231">
    <xf numFmtId="0" fontId="0" fillId="0" borderId="0" xfId="0"/>
    <xf numFmtId="37" fontId="5" fillId="2" borderId="0" xfId="0" applyNumberFormat="1" applyFont="1" applyFill="1"/>
    <xf numFmtId="0" fontId="5" fillId="2" borderId="0" xfId="0" applyFont="1" applyFill="1"/>
    <xf numFmtId="0" fontId="5" fillId="2" borderId="0" xfId="0" applyFont="1" applyFill="1" applyAlignment="1">
      <alignment horizontal="left"/>
    </xf>
    <xf numFmtId="0" fontId="6" fillId="2" borderId="0" xfId="0" applyFont="1" applyFill="1"/>
    <xf numFmtId="44" fontId="9" fillId="2" borderId="0" xfId="1" applyFont="1" applyFill="1"/>
    <xf numFmtId="10" fontId="9" fillId="2" borderId="0" xfId="2" applyNumberFormat="1" applyFont="1" applyFill="1"/>
    <xf numFmtId="0" fontId="9" fillId="2" borderId="0" xfId="0" applyFont="1" applyFill="1" applyAlignment="1">
      <alignment horizontal="left"/>
    </xf>
    <xf numFmtId="37" fontId="10" fillId="2" borderId="0" xfId="0" applyNumberFormat="1" applyFont="1" applyFill="1"/>
    <xf numFmtId="0" fontId="10" fillId="2" borderId="0" xfId="0" applyFont="1" applyFill="1"/>
    <xf numFmtId="0" fontId="6" fillId="2" borderId="0" xfId="0" applyFont="1" applyFill="1" applyAlignment="1">
      <alignment horizontal="left"/>
    </xf>
    <xf numFmtId="0" fontId="10" fillId="2" borderId="0" xfId="0" applyFont="1" applyFill="1" applyAlignment="1">
      <alignment vertical="center"/>
    </xf>
    <xf numFmtId="37" fontId="10" fillId="2" borderId="0" xfId="0" applyNumberFormat="1" applyFont="1" applyFill="1" applyAlignment="1">
      <alignment horizontal="center"/>
    </xf>
    <xf numFmtId="0" fontId="10" fillId="2" borderId="0" xfId="0" applyFont="1" applyFill="1" applyAlignment="1">
      <alignment horizontal="center"/>
    </xf>
    <xf numFmtId="0" fontId="10" fillId="2" borderId="0" xfId="0" applyFont="1" applyFill="1" applyAlignment="1">
      <alignment horizontal="left"/>
    </xf>
    <xf numFmtId="37" fontId="6" fillId="2" borderId="0" xfId="0" applyNumberFormat="1" applyFont="1" applyFill="1"/>
    <xf numFmtId="0" fontId="12" fillId="2" borderId="0" xfId="0" applyFont="1" applyFill="1" applyAlignment="1">
      <alignment horizontal="left"/>
    </xf>
    <xf numFmtId="0" fontId="12" fillId="2" borderId="0" xfId="0" applyFont="1" applyFill="1" applyAlignment="1">
      <alignment horizontal="left" vertical="top" wrapText="1"/>
    </xf>
    <xf numFmtId="0" fontId="13" fillId="2" borderId="0" xfId="0" applyFont="1" applyFill="1"/>
    <xf numFmtId="44" fontId="13" fillId="2" borderId="0" xfId="0" applyNumberFormat="1" applyFont="1" applyFill="1" applyAlignment="1">
      <alignment horizontal="right"/>
    </xf>
    <xf numFmtId="0" fontId="14" fillId="2" borderId="0" xfId="0" applyFont="1" applyFill="1" applyAlignment="1">
      <alignment horizontal="right"/>
    </xf>
    <xf numFmtId="0" fontId="15" fillId="2" borderId="0" xfId="0" applyFont="1" applyFill="1" applyAlignment="1">
      <alignment vertical="center" wrapText="1"/>
    </xf>
    <xf numFmtId="44" fontId="16" fillId="2" borderId="0" xfId="1" applyFont="1" applyFill="1" applyAlignment="1">
      <alignment vertical="center" wrapText="1"/>
    </xf>
    <xf numFmtId="10" fontId="16" fillId="2" borderId="0" xfId="2" applyNumberFormat="1" applyFont="1" applyFill="1" applyAlignment="1">
      <alignment vertical="center" wrapText="1"/>
    </xf>
    <xf numFmtId="0" fontId="16" fillId="2" borderId="0" xfId="0" applyFont="1" applyFill="1" applyAlignment="1">
      <alignment horizontal="left" vertical="center" wrapText="1"/>
    </xf>
    <xf numFmtId="0" fontId="17" fillId="2" borderId="0" xfId="0" applyFont="1" applyFill="1" applyAlignment="1">
      <alignment vertical="center" wrapText="1"/>
    </xf>
    <xf numFmtId="44" fontId="16" fillId="0" borderId="0" xfId="1" applyFont="1" applyAlignment="1">
      <alignment vertical="center" wrapText="1"/>
    </xf>
    <xf numFmtId="10" fontId="16" fillId="0" borderId="0" xfId="2" applyNumberFormat="1" applyFont="1" applyAlignment="1">
      <alignment vertical="center" wrapText="1"/>
    </xf>
    <xf numFmtId="0" fontId="16" fillId="0" borderId="0" xfId="0" applyFont="1" applyAlignment="1" applyProtection="1">
      <alignment vertical="center" wrapText="1"/>
      <protection locked="0"/>
    </xf>
    <xf numFmtId="0" fontId="16" fillId="0" borderId="0" xfId="0" applyFont="1" applyAlignment="1" applyProtection="1">
      <alignment horizontal="center" vertical="center" wrapText="1"/>
      <protection locked="0"/>
    </xf>
    <xf numFmtId="0" fontId="15" fillId="2" borderId="0" xfId="0" applyFont="1" applyFill="1"/>
    <xf numFmtId="44" fontId="16" fillId="2" borderId="0" xfId="1" applyFont="1" applyFill="1"/>
    <xf numFmtId="10" fontId="16" fillId="2" borderId="0" xfId="2" applyNumberFormat="1" applyFont="1" applyFill="1"/>
    <xf numFmtId="0" fontId="16" fillId="2" borderId="0" xfId="0" applyFont="1" applyFill="1" applyAlignment="1">
      <alignment horizontal="left"/>
    </xf>
    <xf numFmtId="0" fontId="17" fillId="2" borderId="0" xfId="0" applyFont="1" applyFill="1"/>
    <xf numFmtId="0" fontId="19" fillId="0" borderId="0" xfId="0" applyFont="1"/>
    <xf numFmtId="0" fontId="19" fillId="3" borderId="0" xfId="0" applyFont="1" applyFill="1"/>
    <xf numFmtId="0" fontId="19" fillId="2" borderId="0" xfId="0" applyFont="1" applyFill="1"/>
    <xf numFmtId="0" fontId="19" fillId="0" borderId="13" xfId="0" applyFont="1" applyBorder="1"/>
    <xf numFmtId="10" fontId="19" fillId="2" borderId="0" xfId="2" applyNumberFormat="1" applyFont="1" applyFill="1"/>
    <xf numFmtId="0" fontId="0" fillId="2" borderId="0" xfId="0" applyFill="1"/>
    <xf numFmtId="10" fontId="0" fillId="0" borderId="0" xfId="2" applyNumberFormat="1" applyFont="1"/>
    <xf numFmtId="44" fontId="19" fillId="3" borderId="20" xfId="1" applyFont="1" applyFill="1" applyBorder="1" applyAlignment="1">
      <alignment vertical="center"/>
    </xf>
    <xf numFmtId="10" fontId="19" fillId="3" borderId="20" xfId="2" applyNumberFormat="1" applyFont="1" applyFill="1" applyBorder="1" applyAlignment="1">
      <alignment vertical="center"/>
    </xf>
    <xf numFmtId="44" fontId="19" fillId="3" borderId="22" xfId="1" applyFont="1" applyFill="1" applyBorder="1" applyAlignment="1">
      <alignment vertical="center"/>
    </xf>
    <xf numFmtId="44" fontId="19" fillId="3" borderId="27" xfId="1" applyFont="1" applyFill="1" applyBorder="1" applyAlignment="1">
      <alignment vertical="center"/>
    </xf>
    <xf numFmtId="10" fontId="19" fillId="3" borderId="27" xfId="2" applyNumberFormat="1" applyFont="1" applyFill="1" applyBorder="1" applyAlignment="1">
      <alignment vertical="center"/>
    </xf>
    <xf numFmtId="9" fontId="19" fillId="3" borderId="27" xfId="2" applyFont="1" applyFill="1" applyBorder="1" applyAlignment="1" applyProtection="1">
      <alignment vertical="center" wrapText="1"/>
      <protection locked="0"/>
    </xf>
    <xf numFmtId="0" fontId="19" fillId="3" borderId="0" xfId="0" applyFont="1" applyFill="1" applyAlignment="1">
      <alignment vertical="center"/>
    </xf>
    <xf numFmtId="0" fontId="19" fillId="3" borderId="22" xfId="0" applyFont="1" applyFill="1" applyBorder="1" applyAlignment="1">
      <alignment horizontal="left" vertical="center"/>
    </xf>
    <xf numFmtId="7" fontId="19" fillId="3" borderId="22" xfId="0" applyNumberFormat="1" applyFont="1" applyFill="1" applyBorder="1" applyAlignment="1">
      <alignment horizontal="left" vertical="center"/>
    </xf>
    <xf numFmtId="0" fontId="20" fillId="3" borderId="21" xfId="0" applyFont="1" applyFill="1" applyBorder="1" applyAlignment="1">
      <alignment vertical="center"/>
    </xf>
    <xf numFmtId="44" fontId="19" fillId="3" borderId="0" xfId="1" applyFont="1" applyFill="1" applyBorder="1"/>
    <xf numFmtId="37" fontId="24" fillId="4" borderId="12" xfId="0" applyNumberFormat="1" applyFont="1" applyFill="1" applyBorder="1" applyAlignment="1">
      <alignment horizontal="left" vertical="center"/>
    </xf>
    <xf numFmtId="0" fontId="24" fillId="4" borderId="13" xfId="0" applyFont="1" applyFill="1" applyBorder="1" applyAlignment="1">
      <alignment vertical="center"/>
    </xf>
    <xf numFmtId="0" fontId="24" fillId="4" borderId="13" xfId="0" applyFont="1" applyFill="1" applyBorder="1"/>
    <xf numFmtId="0" fontId="24" fillId="4" borderId="13" xfId="0" applyFont="1" applyFill="1" applyBorder="1" applyAlignment="1">
      <alignment horizontal="left" vertical="center"/>
    </xf>
    <xf numFmtId="44" fontId="24" fillId="4" borderId="15" xfId="0" applyNumberFormat="1" applyFont="1" applyFill="1" applyBorder="1" applyAlignment="1">
      <alignment horizontal="right" vertical="center"/>
    </xf>
    <xf numFmtId="0" fontId="25" fillId="4" borderId="13" xfId="0" applyFont="1" applyFill="1" applyBorder="1"/>
    <xf numFmtId="10" fontId="26" fillId="4" borderId="12" xfId="2" applyNumberFormat="1" applyFont="1" applyFill="1" applyBorder="1" applyAlignment="1">
      <alignment horizontal="center" vertical="center" wrapText="1"/>
    </xf>
    <xf numFmtId="0" fontId="26" fillId="4" borderId="12" xfId="0" applyFont="1" applyFill="1" applyBorder="1" applyAlignment="1">
      <alignment horizontal="left" vertical="center" wrapText="1"/>
    </xf>
    <xf numFmtId="44" fontId="19" fillId="3" borderId="28" xfId="1" applyFont="1" applyFill="1" applyBorder="1" applyAlignment="1">
      <alignment vertical="center"/>
    </xf>
    <xf numFmtId="44" fontId="20" fillId="3" borderId="25" xfId="0" applyNumberFormat="1" applyFont="1" applyFill="1" applyBorder="1" applyAlignment="1">
      <alignment horizontal="right" vertical="center"/>
    </xf>
    <xf numFmtId="0" fontId="32" fillId="2" borderId="0" xfId="0" applyFont="1" applyFill="1" applyAlignment="1">
      <alignment horizontal="right" vertical="center" wrapText="1"/>
    </xf>
    <xf numFmtId="0" fontId="32" fillId="2" borderId="13" xfId="0" applyFont="1" applyFill="1" applyBorder="1" applyAlignment="1">
      <alignment horizontal="right" vertical="center"/>
    </xf>
    <xf numFmtId="44" fontId="8" fillId="2" borderId="0" xfId="0" applyNumberFormat="1" applyFont="1" applyFill="1" applyAlignment="1">
      <alignment horizontal="center" vertical="center"/>
    </xf>
    <xf numFmtId="0" fontId="11" fillId="2" borderId="8" xfId="0" applyFont="1" applyFill="1" applyBorder="1" applyAlignment="1">
      <alignment horizontal="right"/>
    </xf>
    <xf numFmtId="44" fontId="19" fillId="3" borderId="0" xfId="1" applyFont="1" applyFill="1" applyBorder="1" applyAlignment="1">
      <alignment vertical="center"/>
    </xf>
    <xf numFmtId="9" fontId="19" fillId="3" borderId="22" xfId="2" applyFont="1" applyFill="1" applyBorder="1" applyAlignment="1">
      <alignment vertical="center"/>
    </xf>
    <xf numFmtId="49" fontId="0" fillId="0" borderId="0" xfId="0" applyNumberFormat="1"/>
    <xf numFmtId="9" fontId="0" fillId="0" borderId="0" xfId="2" applyFont="1"/>
    <xf numFmtId="0" fontId="15" fillId="2" borderId="0" xfId="0" applyFont="1" applyFill="1" applyAlignment="1">
      <alignment horizontal="left" vertical="center" wrapText="1"/>
    </xf>
    <xf numFmtId="44" fontId="19" fillId="5" borderId="20" xfId="1" applyFont="1" applyFill="1" applyBorder="1" applyAlignment="1">
      <alignment vertical="center"/>
    </xf>
    <xf numFmtId="44" fontId="19" fillId="3" borderId="0" xfId="0" applyNumberFormat="1" applyFont="1" applyFill="1"/>
    <xf numFmtId="44" fontId="19" fillId="3" borderId="29" xfId="1" applyFont="1" applyFill="1" applyBorder="1" applyAlignment="1">
      <alignment vertical="center"/>
    </xf>
    <xf numFmtId="44" fontId="19" fillId="3" borderId="20" xfId="2" applyNumberFormat="1" applyFont="1" applyFill="1" applyBorder="1" applyAlignment="1" applyProtection="1">
      <alignment vertical="center" wrapText="1"/>
      <protection locked="0"/>
    </xf>
    <xf numFmtId="9" fontId="19" fillId="3" borderId="20" xfId="2" applyFont="1" applyFill="1" applyBorder="1" applyAlignment="1">
      <alignment vertical="center"/>
    </xf>
    <xf numFmtId="9" fontId="19" fillId="3" borderId="20" xfId="2" applyFont="1" applyFill="1" applyBorder="1" applyAlignment="1" applyProtection="1">
      <alignment vertical="center" wrapText="1"/>
      <protection locked="0"/>
    </xf>
    <xf numFmtId="44" fontId="20" fillId="3" borderId="15" xfId="0" applyNumberFormat="1" applyFont="1" applyFill="1" applyBorder="1" applyAlignment="1">
      <alignment horizontal="right" vertical="center"/>
    </xf>
    <xf numFmtId="0" fontId="0" fillId="0" borderId="0" xfId="0" applyAlignment="1">
      <alignment horizontal="right"/>
    </xf>
    <xf numFmtId="0" fontId="0" fillId="0" borderId="0" xfId="0" applyAlignment="1" applyProtection="1">
      <alignment horizontal="center"/>
      <protection hidden="1"/>
    </xf>
    <xf numFmtId="0" fontId="36" fillId="0" borderId="0" xfId="0" applyFont="1" applyAlignment="1">
      <alignment horizontal="left" indent="1"/>
    </xf>
    <xf numFmtId="0" fontId="37" fillId="0" borderId="0" xfId="0" applyFont="1" applyAlignment="1">
      <alignment horizontal="right"/>
    </xf>
    <xf numFmtId="0" fontId="37" fillId="0" borderId="0" xfId="0" applyFont="1" applyProtection="1">
      <protection hidden="1"/>
    </xf>
    <xf numFmtId="0" fontId="37" fillId="0" borderId="0" xfId="0" applyFont="1" applyAlignment="1" applyProtection="1">
      <alignment horizontal="left"/>
      <protection hidden="1"/>
    </xf>
    <xf numFmtId="0" fontId="37" fillId="0" borderId="0" xfId="0" applyFont="1"/>
    <xf numFmtId="0" fontId="0" fillId="0" borderId="0" xfId="0" applyAlignment="1" applyProtection="1">
      <alignment horizontal="center" wrapText="1"/>
      <protection hidden="1"/>
    </xf>
    <xf numFmtId="0" fontId="0" fillId="0" borderId="0" xfId="0" applyProtection="1">
      <protection hidden="1"/>
    </xf>
    <xf numFmtId="166" fontId="0" fillId="0" borderId="0" xfId="0" applyNumberFormat="1" applyAlignment="1" applyProtection="1">
      <alignment horizontal="left"/>
      <protection hidden="1"/>
    </xf>
    <xf numFmtId="166" fontId="0" fillId="0" borderId="0" xfId="0" applyNumberFormat="1" applyAlignment="1">
      <alignment horizontal="right"/>
    </xf>
    <xf numFmtId="166" fontId="0" fillId="0" borderId="0" xfId="0" applyNumberFormat="1" applyAlignment="1">
      <alignment horizontal="left"/>
    </xf>
    <xf numFmtId="167" fontId="38" fillId="0" borderId="0" xfId="0" applyNumberFormat="1" applyFont="1" applyAlignment="1" applyProtection="1">
      <alignment horizontal="left"/>
      <protection hidden="1"/>
    </xf>
    <xf numFmtId="44" fontId="0" fillId="0" borderId="0" xfId="1" applyFont="1" applyAlignment="1" applyProtection="1">
      <alignment horizontal="left"/>
      <protection hidden="1"/>
    </xf>
    <xf numFmtId="166" fontId="0" fillId="0" borderId="0" xfId="0" applyNumberFormat="1"/>
    <xf numFmtId="165" fontId="0" fillId="0" borderId="0" xfId="0" applyNumberFormat="1"/>
    <xf numFmtId="44" fontId="0" fillId="0" borderId="0" xfId="1" applyFont="1"/>
    <xf numFmtId="168" fontId="0" fillId="0" borderId="0" xfId="1" applyNumberFormat="1" applyFont="1" applyAlignment="1" applyProtection="1">
      <alignment horizontal="left"/>
      <protection hidden="1"/>
    </xf>
    <xf numFmtId="9" fontId="0" fillId="0" borderId="0" xfId="2" applyFont="1" applyAlignment="1">
      <alignment horizontal="left"/>
    </xf>
    <xf numFmtId="166" fontId="0" fillId="0" borderId="0" xfId="2" applyNumberFormat="1" applyFont="1" applyAlignment="1" applyProtection="1">
      <alignment horizontal="left"/>
      <protection hidden="1"/>
    </xf>
    <xf numFmtId="0" fontId="36" fillId="0" borderId="0" xfId="0" applyFont="1"/>
    <xf numFmtId="9" fontId="0" fillId="0" borderId="0" xfId="2" applyFont="1" applyAlignment="1" applyProtection="1">
      <alignment horizontal="left"/>
      <protection hidden="1"/>
    </xf>
    <xf numFmtId="0" fontId="0" fillId="0" borderId="0" xfId="0" applyAlignment="1" applyProtection="1">
      <alignment horizontal="left"/>
      <protection hidden="1"/>
    </xf>
    <xf numFmtId="44" fontId="38" fillId="5" borderId="0" xfId="1" applyFont="1" applyFill="1" applyAlignment="1" applyProtection="1">
      <alignment horizontal="right"/>
      <protection hidden="1"/>
    </xf>
    <xf numFmtId="44" fontId="38" fillId="5" borderId="0" xfId="1" applyFont="1" applyFill="1" applyAlignment="1" applyProtection="1">
      <alignment horizontal="left"/>
      <protection hidden="1"/>
    </xf>
    <xf numFmtId="0" fontId="40" fillId="0" borderId="0" xfId="0" applyFont="1" applyAlignment="1">
      <alignment horizontal="right"/>
    </xf>
    <xf numFmtId="166" fontId="40" fillId="0" borderId="0" xfId="0" applyNumberFormat="1" applyFont="1" applyAlignment="1" applyProtection="1">
      <alignment horizontal="left"/>
      <protection hidden="1"/>
    </xf>
    <xf numFmtId="6" fontId="0" fillId="0" borderId="0" xfId="0" applyNumberFormat="1" applyAlignment="1">
      <alignment horizontal="left"/>
    </xf>
    <xf numFmtId="44" fontId="0" fillId="0" borderId="0" xfId="0" applyNumberFormat="1"/>
    <xf numFmtId="0" fontId="0" fillId="5" borderId="0" xfId="0" applyFill="1" applyAlignment="1">
      <alignment horizontal="right"/>
    </xf>
    <xf numFmtId="166" fontId="0" fillId="5" borderId="0" xfId="0" applyNumberFormat="1" applyFill="1" applyAlignment="1" applyProtection="1">
      <alignment horizontal="left"/>
      <protection hidden="1"/>
    </xf>
    <xf numFmtId="166" fontId="38" fillId="0" borderId="0" xfId="0" applyNumberFormat="1" applyFont="1" applyAlignment="1" applyProtection="1">
      <alignment horizontal="left"/>
      <protection hidden="1"/>
    </xf>
    <xf numFmtId="6" fontId="0" fillId="0" borderId="0" xfId="0" applyNumberFormat="1"/>
    <xf numFmtId="166" fontId="0" fillId="6" borderId="0" xfId="0" applyNumberFormat="1" applyFill="1" applyAlignment="1" applyProtection="1">
      <alignment horizontal="left"/>
      <protection hidden="1"/>
    </xf>
    <xf numFmtId="0" fontId="38" fillId="7" borderId="0" xfId="0" quotePrefix="1" applyFont="1" applyFill="1" applyAlignment="1">
      <alignment horizontal="right"/>
    </xf>
    <xf numFmtId="166" fontId="38" fillId="7" borderId="0" xfId="0" applyNumberFormat="1" applyFont="1" applyFill="1" applyAlignment="1" applyProtection="1">
      <alignment horizontal="left"/>
      <protection hidden="1"/>
    </xf>
    <xf numFmtId="0" fontId="0" fillId="0" borderId="0" xfId="0" applyAlignment="1">
      <alignment horizontal="right" wrapText="1"/>
    </xf>
    <xf numFmtId="0" fontId="0" fillId="7" borderId="0" xfId="0" applyFill="1" applyAlignment="1">
      <alignment horizontal="right"/>
    </xf>
    <xf numFmtId="6" fontId="0" fillId="0" borderId="0" xfId="0" applyNumberFormat="1" applyAlignment="1" applyProtection="1">
      <alignment horizontal="left"/>
      <protection hidden="1"/>
    </xf>
    <xf numFmtId="44" fontId="36" fillId="0" borderId="3" xfId="1" applyFont="1" applyBorder="1"/>
    <xf numFmtId="44" fontId="38" fillId="0" borderId="0" xfId="1" applyFont="1"/>
    <xf numFmtId="0" fontId="38" fillId="0" borderId="0" xfId="0" applyFont="1"/>
    <xf numFmtId="0" fontId="37" fillId="0" borderId="36" xfId="0" applyFont="1" applyBorder="1" applyAlignment="1" applyProtection="1">
      <alignment horizontal="center" vertical="center" wrapText="1"/>
      <protection hidden="1"/>
    </xf>
    <xf numFmtId="0" fontId="37" fillId="0" borderId="37" xfId="0" applyFont="1" applyBorder="1" applyAlignment="1" applyProtection="1">
      <alignment horizontal="center" vertical="center" wrapText="1"/>
      <protection hidden="1"/>
    </xf>
    <xf numFmtId="166" fontId="0" fillId="0" borderId="38" xfId="0" applyNumberFormat="1" applyBorder="1" applyAlignment="1" applyProtection="1">
      <alignment horizontal="center" wrapText="1"/>
      <protection hidden="1"/>
    </xf>
    <xf numFmtId="0" fontId="37" fillId="0" borderId="38" xfId="0" applyFont="1" applyBorder="1" applyAlignment="1" applyProtection="1">
      <alignment horizontal="center" vertical="center" wrapText="1"/>
      <protection hidden="1"/>
    </xf>
    <xf numFmtId="0" fontId="37" fillId="0" borderId="1" xfId="0" applyFont="1" applyBorder="1" applyAlignment="1">
      <alignment horizontal="center"/>
    </xf>
    <xf numFmtId="0" fontId="37" fillId="0" borderId="2" xfId="0" applyFont="1" applyBorder="1" applyAlignment="1">
      <alignment horizontal="center"/>
    </xf>
    <xf numFmtId="0" fontId="37" fillId="0" borderId="2" xfId="0" applyFont="1" applyBorder="1" applyAlignment="1" applyProtection="1">
      <alignment horizontal="center" vertical="center" wrapText="1"/>
      <protection hidden="1"/>
    </xf>
    <xf numFmtId="164" fontId="0" fillId="0" borderId="0" xfId="1" applyNumberFormat="1" applyFont="1"/>
    <xf numFmtId="166" fontId="0" fillId="8" borderId="9" xfId="0" applyNumberFormat="1" applyFill="1" applyBorder="1" applyAlignment="1" applyProtection="1">
      <alignment horizontal="center"/>
      <protection hidden="1"/>
    </xf>
    <xf numFmtId="166" fontId="0" fillId="0" borderId="0" xfId="0" applyNumberFormat="1" applyAlignment="1" applyProtection="1">
      <alignment horizontal="center"/>
      <protection hidden="1"/>
    </xf>
    <xf numFmtId="166" fontId="0" fillId="0" borderId="4" xfId="0" applyNumberFormat="1" applyBorder="1" applyAlignment="1" applyProtection="1">
      <alignment horizontal="center"/>
      <protection hidden="1"/>
    </xf>
    <xf numFmtId="166" fontId="0" fillId="8" borderId="9" xfId="0" applyNumberFormat="1" applyFill="1" applyBorder="1" applyAlignment="1">
      <alignment horizontal="center"/>
    </xf>
    <xf numFmtId="0" fontId="0" fillId="9" borderId="0" xfId="0" applyFill="1" applyAlignment="1">
      <alignment horizontal="right"/>
    </xf>
    <xf numFmtId="164" fontId="0" fillId="9" borderId="18" xfId="1" applyNumberFormat="1" applyFont="1" applyFill="1" applyBorder="1" applyAlignment="1">
      <alignment horizontal="left" vertical="center"/>
    </xf>
    <xf numFmtId="9" fontId="0" fillId="9" borderId="18" xfId="2" applyFont="1" applyFill="1" applyBorder="1" applyAlignment="1">
      <alignment horizontal="left" vertical="center"/>
    </xf>
    <xf numFmtId="164" fontId="0" fillId="0" borderId="18" xfId="1" applyNumberFormat="1" applyFont="1" applyFill="1" applyBorder="1" applyAlignment="1">
      <alignment horizontal="left" vertical="center"/>
    </xf>
    <xf numFmtId="166" fontId="0" fillId="0" borderId="0" xfId="0" applyNumberFormat="1" applyAlignment="1">
      <alignment horizontal="center"/>
    </xf>
    <xf numFmtId="166" fontId="0" fillId="8" borderId="7" xfId="0" applyNumberFormat="1" applyFill="1" applyBorder="1" applyAlignment="1" applyProtection="1">
      <alignment horizontal="center"/>
      <protection hidden="1"/>
    </xf>
    <xf numFmtId="166" fontId="0" fillId="0" borderId="6" xfId="0" applyNumberFormat="1" applyBorder="1" applyAlignment="1" applyProtection="1">
      <alignment horizontal="center"/>
      <protection hidden="1"/>
    </xf>
    <xf numFmtId="166" fontId="0" fillId="0" borderId="3" xfId="0" applyNumberFormat="1" applyBorder="1" applyAlignment="1" applyProtection="1">
      <alignment horizontal="center"/>
      <protection hidden="1"/>
    </xf>
    <xf numFmtId="164" fontId="0" fillId="8" borderId="7" xfId="1" applyNumberFormat="1" applyFont="1" applyFill="1" applyBorder="1" applyAlignment="1">
      <alignment horizontal="center"/>
    </xf>
    <xf numFmtId="164" fontId="0" fillId="0" borderId="0" xfId="0" applyNumberFormat="1"/>
    <xf numFmtId="44" fontId="36" fillId="0" borderId="0" xfId="1" applyFont="1"/>
    <xf numFmtId="0" fontId="40" fillId="7" borderId="0" xfId="0" applyFont="1" applyFill="1" applyAlignment="1">
      <alignment horizontal="right"/>
    </xf>
    <xf numFmtId="166" fontId="40" fillId="7" borderId="0" xfId="0" applyNumberFormat="1" applyFont="1" applyFill="1" applyAlignment="1" applyProtection="1">
      <alignment horizontal="left"/>
      <protection hidden="1"/>
    </xf>
    <xf numFmtId="0" fontId="36" fillId="5" borderId="0" xfId="0" applyFont="1" applyFill="1" applyAlignment="1">
      <alignment horizontal="right"/>
    </xf>
    <xf numFmtId="166" fontId="38" fillId="5" borderId="0" xfId="0" applyNumberFormat="1" applyFont="1" applyFill="1" applyAlignment="1" applyProtection="1">
      <alignment horizontal="left"/>
      <protection hidden="1"/>
    </xf>
    <xf numFmtId="0" fontId="0" fillId="5" borderId="0" xfId="0" applyFill="1" applyProtection="1">
      <protection hidden="1"/>
    </xf>
    <xf numFmtId="0" fontId="0" fillId="5" borderId="0" xfId="0" applyFill="1" applyAlignment="1" applyProtection="1">
      <alignment horizontal="left"/>
      <protection hidden="1"/>
    </xf>
    <xf numFmtId="0" fontId="0" fillId="5" borderId="0" xfId="0" applyFill="1"/>
    <xf numFmtId="0" fontId="0" fillId="0" borderId="0" xfId="0" applyAlignment="1" applyProtection="1">
      <alignment wrapText="1"/>
      <protection hidden="1"/>
    </xf>
    <xf numFmtId="0" fontId="0" fillId="0" borderId="0" xfId="0" applyAlignment="1" applyProtection="1">
      <alignment horizontal="left" wrapText="1"/>
      <protection hidden="1"/>
    </xf>
    <xf numFmtId="6" fontId="0" fillId="0" borderId="0" xfId="0" applyNumberFormat="1" applyAlignment="1">
      <alignment horizontal="left" wrapText="1"/>
    </xf>
    <xf numFmtId="0" fontId="0" fillId="0" borderId="0" xfId="0" applyAlignment="1">
      <alignment wrapText="1"/>
    </xf>
    <xf numFmtId="0" fontId="0" fillId="10" borderId="0" xfId="0" applyFill="1"/>
    <xf numFmtId="0" fontId="40" fillId="7" borderId="0" xfId="0" applyFont="1" applyFill="1" applyAlignment="1">
      <alignment horizontal="right" vertical="center" wrapText="1"/>
    </xf>
    <xf numFmtId="166" fontId="40" fillId="7" borderId="0" xfId="0" applyNumberFormat="1" applyFont="1" applyFill="1" applyAlignment="1" applyProtection="1">
      <alignment horizontal="center" vertical="center"/>
      <protection hidden="1"/>
    </xf>
    <xf numFmtId="166" fontId="0" fillId="0" borderId="0" xfId="0" applyNumberFormat="1" applyAlignment="1" applyProtection="1">
      <alignment horizontal="left" vertical="center"/>
      <protection hidden="1"/>
    </xf>
    <xf numFmtId="0" fontId="0" fillId="0" borderId="0" xfId="0" applyAlignment="1" applyProtection="1">
      <alignment horizontal="left" vertical="center"/>
      <protection hidden="1"/>
    </xf>
    <xf numFmtId="0" fontId="0" fillId="0" borderId="0" xfId="0" applyAlignment="1">
      <alignment vertical="center"/>
    </xf>
    <xf numFmtId="0" fontId="0" fillId="0" borderId="0" xfId="0" applyAlignment="1">
      <alignment vertical="center" wrapText="1"/>
    </xf>
    <xf numFmtId="166" fontId="38" fillId="0" borderId="0" xfId="0" applyNumberFormat="1" applyFont="1" applyAlignment="1" applyProtection="1">
      <alignment horizontal="center"/>
      <protection hidden="1"/>
    </xf>
    <xf numFmtId="0" fontId="38" fillId="0" borderId="0" xfId="0" applyFont="1" applyAlignment="1">
      <alignment horizontal="right"/>
    </xf>
    <xf numFmtId="166" fontId="38" fillId="7" borderId="0" xfId="0" applyNumberFormat="1" applyFont="1" applyFill="1" applyAlignment="1" applyProtection="1">
      <alignment horizontal="center"/>
      <protection hidden="1"/>
    </xf>
    <xf numFmtId="6" fontId="0" fillId="0" borderId="0" xfId="0" applyNumberFormat="1" applyProtection="1">
      <protection hidden="1"/>
    </xf>
    <xf numFmtId="0" fontId="37" fillId="0" borderId="0" xfId="0" applyFont="1" applyAlignment="1">
      <alignment horizontal="left"/>
    </xf>
    <xf numFmtId="0" fontId="38" fillId="5" borderId="0" xfId="0" applyFont="1" applyFill="1"/>
    <xf numFmtId="0" fontId="0" fillId="11" borderId="0" xfId="0" applyFill="1"/>
    <xf numFmtId="0" fontId="41" fillId="10" borderId="0" xfId="0" applyFont="1" applyFill="1"/>
    <xf numFmtId="44" fontId="0" fillId="10" borderId="0" xfId="1" applyFont="1" applyFill="1"/>
    <xf numFmtId="44" fontId="0" fillId="10" borderId="0" xfId="1" applyFont="1" applyFill="1" applyAlignment="1">
      <alignment horizontal="center" vertical="center" wrapText="1"/>
    </xf>
    <xf numFmtId="0" fontId="42" fillId="0" borderId="0" xfId="0" applyFont="1" applyAlignment="1">
      <alignment vertical="center"/>
    </xf>
    <xf numFmtId="0" fontId="41" fillId="5" borderId="0" xfId="0" applyFont="1" applyFill="1"/>
    <xf numFmtId="0" fontId="41" fillId="5" borderId="39" xfId="0" applyFont="1" applyFill="1" applyBorder="1"/>
    <xf numFmtId="44" fontId="0" fillId="10" borderId="39" xfId="1" applyFont="1" applyFill="1" applyBorder="1"/>
    <xf numFmtId="0" fontId="0" fillId="3" borderId="3" xfId="0" applyFill="1" applyBorder="1"/>
    <xf numFmtId="0" fontId="41" fillId="3" borderId="3" xfId="0" applyFont="1" applyFill="1" applyBorder="1"/>
    <xf numFmtId="44" fontId="0" fillId="10" borderId="39" xfId="0" applyNumberFormat="1" applyFill="1" applyBorder="1"/>
    <xf numFmtId="44" fontId="38" fillId="5" borderId="0" xfId="1" applyFont="1" applyFill="1"/>
    <xf numFmtId="44" fontId="38" fillId="5" borderId="0" xfId="0" applyNumberFormat="1" applyFont="1" applyFill="1"/>
    <xf numFmtId="44" fontId="0" fillId="10" borderId="0" xfId="0" applyNumberFormat="1" applyFill="1"/>
    <xf numFmtId="0" fontId="0" fillId="10" borderId="5" xfId="0" applyFill="1" applyBorder="1"/>
    <xf numFmtId="0" fontId="0" fillId="10" borderId="13" xfId="0" applyFill="1" applyBorder="1"/>
    <xf numFmtId="0" fontId="38" fillId="5" borderId="39" xfId="0" applyFont="1" applyFill="1" applyBorder="1"/>
    <xf numFmtId="0" fontId="38" fillId="10" borderId="39" xfId="0" applyFont="1" applyFill="1" applyBorder="1"/>
    <xf numFmtId="0" fontId="19" fillId="3" borderId="0" xfId="0" applyFont="1" applyFill="1" applyAlignment="1">
      <alignment horizontal="left" vertical="center"/>
    </xf>
    <xf numFmtId="9" fontId="19" fillId="3" borderId="26" xfId="2" applyFont="1" applyFill="1" applyBorder="1" applyAlignment="1">
      <alignment vertical="center"/>
    </xf>
    <xf numFmtId="44" fontId="19" fillId="3" borderId="26" xfId="1" applyFont="1" applyFill="1" applyBorder="1" applyAlignment="1">
      <alignment vertical="center"/>
    </xf>
    <xf numFmtId="10" fontId="19" fillId="3" borderId="26" xfId="2" applyNumberFormat="1" applyFont="1" applyFill="1" applyBorder="1" applyAlignment="1">
      <alignment vertical="center"/>
    </xf>
    <xf numFmtId="0" fontId="27" fillId="6" borderId="13" xfId="0" applyFont="1" applyFill="1" applyBorder="1"/>
    <xf numFmtId="44" fontId="19" fillId="3" borderId="22" xfId="0" applyNumberFormat="1" applyFont="1" applyFill="1" applyBorder="1" applyAlignment="1">
      <alignment horizontal="left" vertical="center"/>
    </xf>
    <xf numFmtId="9" fontId="19" fillId="3" borderId="22" xfId="2" applyFont="1" applyFill="1" applyBorder="1" applyAlignment="1">
      <alignment horizontal="left" vertical="center"/>
    </xf>
    <xf numFmtId="44" fontId="19" fillId="3" borderId="42" xfId="1" applyFont="1" applyFill="1" applyBorder="1" applyAlignment="1">
      <alignment vertical="center"/>
    </xf>
    <xf numFmtId="44" fontId="19" fillId="3" borderId="43" xfId="1" applyFont="1" applyFill="1" applyBorder="1" applyAlignment="1">
      <alignment vertical="center"/>
    </xf>
    <xf numFmtId="0" fontId="19" fillId="3" borderId="43" xfId="0" applyFont="1" applyFill="1" applyBorder="1" applyAlignment="1">
      <alignment horizontal="left" vertical="center"/>
    </xf>
    <xf numFmtId="0" fontId="19" fillId="3" borderId="3" xfId="0" applyFont="1" applyFill="1" applyBorder="1" applyAlignment="1">
      <alignment vertical="center"/>
    </xf>
    <xf numFmtId="44" fontId="19" fillId="3" borderId="32" xfId="1" applyFont="1" applyFill="1" applyBorder="1" applyAlignment="1">
      <alignment vertical="center"/>
    </xf>
    <xf numFmtId="0" fontId="19" fillId="3" borderId="33" xfId="0" applyFont="1" applyFill="1" applyBorder="1" applyAlignment="1">
      <alignment horizontal="left" vertical="center"/>
    </xf>
    <xf numFmtId="0" fontId="19" fillId="3" borderId="20" xfId="0" applyFont="1" applyFill="1" applyBorder="1" applyAlignment="1">
      <alignment horizontal="left" vertical="center"/>
    </xf>
    <xf numFmtId="7" fontId="19" fillId="3" borderId="20" xfId="0" applyNumberFormat="1" applyFont="1" applyFill="1" applyBorder="1" applyAlignment="1">
      <alignment horizontal="left" vertical="center"/>
    </xf>
    <xf numFmtId="44" fontId="19" fillId="3" borderId="45" xfId="1" applyFont="1" applyFill="1" applyBorder="1" applyAlignment="1">
      <alignment vertical="center"/>
    </xf>
    <xf numFmtId="44" fontId="19" fillId="3" borderId="46" xfId="1" applyFont="1" applyFill="1" applyBorder="1" applyAlignment="1">
      <alignment vertical="center"/>
    </xf>
    <xf numFmtId="44" fontId="19" fillId="3" borderId="12" xfId="1" applyFont="1" applyFill="1" applyBorder="1" applyAlignment="1">
      <alignment vertical="center"/>
    </xf>
    <xf numFmtId="10" fontId="19" fillId="3" borderId="12" xfId="2" applyNumberFormat="1" applyFont="1" applyFill="1" applyBorder="1" applyAlignment="1">
      <alignment vertical="center"/>
    </xf>
    <xf numFmtId="0" fontId="19" fillId="3" borderId="47" xfId="0" applyFont="1" applyFill="1" applyBorder="1" applyAlignment="1">
      <alignment horizontal="left" vertical="center"/>
    </xf>
    <xf numFmtId="0" fontId="19" fillId="3" borderId="13" xfId="0" applyFont="1" applyFill="1" applyBorder="1" applyAlignment="1">
      <alignment vertical="center"/>
    </xf>
    <xf numFmtId="0" fontId="19" fillId="3" borderId="48" xfId="0" applyFont="1" applyFill="1" applyBorder="1" applyAlignment="1">
      <alignment vertical="center"/>
    </xf>
    <xf numFmtId="44" fontId="19" fillId="3" borderId="14" xfId="1" applyFont="1" applyFill="1" applyBorder="1" applyAlignment="1">
      <alignment vertical="center"/>
    </xf>
    <xf numFmtId="0" fontId="19" fillId="3" borderId="12" xfId="0" applyFont="1" applyFill="1" applyBorder="1" applyAlignment="1">
      <alignment horizontal="left" vertical="center"/>
    </xf>
    <xf numFmtId="44" fontId="44" fillId="3" borderId="27" xfId="1" applyFont="1" applyFill="1" applyBorder="1" applyAlignment="1">
      <alignment vertical="center"/>
    </xf>
    <xf numFmtId="0" fontId="20" fillId="6" borderId="0" xfId="0" applyFont="1" applyFill="1" applyAlignment="1">
      <alignment vertical="center"/>
    </xf>
    <xf numFmtId="44" fontId="19" fillId="6" borderId="0" xfId="1" applyFont="1" applyFill="1" applyBorder="1" applyAlignment="1">
      <alignment vertical="center"/>
    </xf>
    <xf numFmtId="9" fontId="19" fillId="6" borderId="27" xfId="2" applyFont="1" applyFill="1" applyBorder="1" applyAlignment="1">
      <alignment vertical="center"/>
    </xf>
    <xf numFmtId="44" fontId="19" fillId="6" borderId="27" xfId="1" applyFont="1" applyFill="1" applyBorder="1" applyAlignment="1">
      <alignment vertical="center"/>
    </xf>
    <xf numFmtId="44" fontId="19" fillId="6" borderId="20" xfId="1" applyFont="1" applyFill="1" applyBorder="1" applyAlignment="1">
      <alignment vertical="center"/>
    </xf>
    <xf numFmtId="10" fontId="19" fillId="6" borderId="20" xfId="2" applyNumberFormat="1" applyFont="1" applyFill="1" applyBorder="1" applyAlignment="1">
      <alignment vertical="center"/>
    </xf>
    <xf numFmtId="10" fontId="19" fillId="6" borderId="27" xfId="2" applyNumberFormat="1" applyFont="1" applyFill="1" applyBorder="1" applyAlignment="1">
      <alignment vertical="center"/>
    </xf>
    <xf numFmtId="0" fontId="19" fillId="6" borderId="0" xfId="0" applyFont="1" applyFill="1" applyAlignment="1">
      <alignment vertical="center"/>
    </xf>
    <xf numFmtId="0" fontId="25" fillId="6" borderId="8" xfId="0" applyFont="1" applyFill="1" applyBorder="1"/>
    <xf numFmtId="44" fontId="19" fillId="5" borderId="26" xfId="1" applyFont="1" applyFill="1" applyBorder="1" applyAlignment="1">
      <alignment vertical="center"/>
    </xf>
    <xf numFmtId="0" fontId="35" fillId="6" borderId="8" xfId="0" applyFont="1" applyFill="1" applyBorder="1"/>
    <xf numFmtId="0" fontId="25" fillId="4" borderId="8" xfId="0" applyFont="1" applyFill="1" applyBorder="1"/>
    <xf numFmtId="44" fontId="17" fillId="6" borderId="13" xfId="1" applyFont="1" applyFill="1" applyBorder="1" applyAlignment="1">
      <alignment horizontal="center" vertical="center" wrapText="1"/>
    </xf>
    <xf numFmtId="10" fontId="17" fillId="6" borderId="13" xfId="2" applyNumberFormat="1" applyFont="1" applyFill="1" applyBorder="1" applyAlignment="1">
      <alignment horizontal="center" vertical="center" wrapText="1"/>
    </xf>
    <xf numFmtId="0" fontId="17" fillId="6" borderId="14" xfId="0" applyFont="1" applyFill="1" applyBorder="1" applyAlignment="1">
      <alignment horizontal="left" vertical="center" wrapText="1"/>
    </xf>
    <xf numFmtId="0" fontId="43" fillId="6" borderId="13" xfId="0" applyFont="1" applyFill="1" applyBorder="1"/>
    <xf numFmtId="0" fontId="33" fillId="0" borderId="0" xfId="0" applyFont="1" applyAlignment="1">
      <alignment vertical="center"/>
    </xf>
    <xf numFmtId="37" fontId="20" fillId="3" borderId="23" xfId="0" applyNumberFormat="1" applyFont="1" applyFill="1" applyBorder="1" applyAlignment="1">
      <alignment horizontal="center" vertical="center"/>
    </xf>
    <xf numFmtId="0" fontId="20" fillId="3" borderId="21" xfId="0" applyFont="1" applyFill="1" applyBorder="1" applyAlignment="1">
      <alignment horizontal="left" vertical="center"/>
    </xf>
    <xf numFmtId="44" fontId="20" fillId="3" borderId="21" xfId="0" applyNumberFormat="1" applyFont="1" applyFill="1" applyBorder="1" applyAlignment="1">
      <alignment horizontal="left" vertical="center"/>
    </xf>
    <xf numFmtId="44" fontId="20" fillId="3" borderId="22" xfId="1" applyFont="1" applyFill="1" applyBorder="1"/>
    <xf numFmtId="44" fontId="20" fillId="3" borderId="20" xfId="1" applyFont="1" applyFill="1" applyBorder="1" applyAlignment="1">
      <alignment vertical="center"/>
    </xf>
    <xf numFmtId="10" fontId="20" fillId="3" borderId="20" xfId="2" applyNumberFormat="1" applyFont="1" applyFill="1" applyBorder="1" applyAlignment="1">
      <alignment vertical="center"/>
    </xf>
    <xf numFmtId="9" fontId="20" fillId="3" borderId="20" xfId="2" applyFont="1" applyFill="1" applyBorder="1" applyAlignment="1" applyProtection="1">
      <alignment vertical="center" wrapText="1"/>
      <protection locked="0"/>
    </xf>
    <xf numFmtId="0" fontId="20" fillId="3" borderId="22" xfId="0" applyFont="1" applyFill="1" applyBorder="1" applyAlignment="1" applyProtection="1">
      <alignment horizontal="left" vertical="center" wrapText="1"/>
      <protection locked="0"/>
    </xf>
    <xf numFmtId="0" fontId="20" fillId="3" borderId="0" xfId="0" applyFont="1" applyFill="1"/>
    <xf numFmtId="0" fontId="20" fillId="3" borderId="22" xfId="0" applyFont="1" applyFill="1" applyBorder="1" applyAlignment="1">
      <alignment horizontal="left"/>
    </xf>
    <xf numFmtId="0" fontId="45" fillId="3" borderId="0" xfId="0" applyFont="1" applyFill="1"/>
    <xf numFmtId="44" fontId="20" fillId="3" borderId="22" xfId="0" applyNumberFormat="1" applyFont="1" applyFill="1" applyBorder="1" applyAlignment="1" applyProtection="1">
      <alignment horizontal="left" vertical="center" wrapText="1"/>
      <protection locked="0"/>
    </xf>
    <xf numFmtId="9" fontId="20" fillId="3" borderId="22" xfId="2" applyFont="1" applyFill="1" applyBorder="1" applyAlignment="1" applyProtection="1">
      <alignment horizontal="left" vertical="center" wrapText="1"/>
      <protection locked="0"/>
    </xf>
    <xf numFmtId="44" fontId="20" fillId="0" borderId="20" xfId="2" applyNumberFormat="1" applyFont="1" applyFill="1" applyBorder="1" applyAlignment="1" applyProtection="1">
      <alignment vertical="center" wrapText="1"/>
      <protection locked="0"/>
    </xf>
    <xf numFmtId="9" fontId="20" fillId="0" borderId="22" xfId="2" applyFont="1" applyFill="1" applyBorder="1" applyAlignment="1">
      <alignment horizontal="left" vertical="center"/>
    </xf>
    <xf numFmtId="0" fontId="20" fillId="0" borderId="22" xfId="0" applyFont="1" applyBorder="1" applyAlignment="1">
      <alignment horizontal="left" vertical="center"/>
    </xf>
    <xf numFmtId="0" fontId="20" fillId="0" borderId="0" xfId="0" applyFont="1" applyAlignment="1">
      <alignment vertical="center"/>
    </xf>
    <xf numFmtId="44" fontId="19" fillId="3" borderId="12" xfId="2" applyNumberFormat="1" applyFont="1" applyFill="1" applyBorder="1" applyAlignment="1" applyProtection="1">
      <alignment vertical="center" wrapText="1"/>
      <protection locked="0"/>
    </xf>
    <xf numFmtId="44" fontId="19" fillId="6" borderId="28" xfId="1" applyFont="1" applyFill="1" applyBorder="1" applyAlignment="1">
      <alignment vertical="center"/>
    </xf>
    <xf numFmtId="49" fontId="19" fillId="6" borderId="28" xfId="1" applyNumberFormat="1" applyFont="1" applyFill="1" applyBorder="1" applyAlignment="1">
      <alignment vertical="center"/>
    </xf>
    <xf numFmtId="44" fontId="19" fillId="6" borderId="22" xfId="1" applyFont="1" applyFill="1" applyBorder="1" applyAlignment="1">
      <alignment vertical="center"/>
    </xf>
    <xf numFmtId="44" fontId="19" fillId="6" borderId="29" xfId="1" applyFont="1" applyFill="1" applyBorder="1" applyAlignment="1">
      <alignment vertical="center"/>
    </xf>
    <xf numFmtId="0" fontId="19" fillId="6" borderId="22" xfId="0" applyFont="1" applyFill="1" applyBorder="1" applyAlignment="1">
      <alignment horizontal="left" vertical="center"/>
    </xf>
    <xf numFmtId="0" fontId="19" fillId="6" borderId="20" xfId="0" applyFont="1" applyFill="1" applyBorder="1" applyAlignment="1">
      <alignment horizontal="left" vertical="center"/>
    </xf>
    <xf numFmtId="44" fontId="19" fillId="6" borderId="22" xfId="0" applyNumberFormat="1" applyFont="1" applyFill="1" applyBorder="1" applyAlignment="1">
      <alignment horizontal="left" vertical="center"/>
    </xf>
    <xf numFmtId="44" fontId="49" fillId="3" borderId="29" xfId="1" applyFont="1" applyFill="1" applyBorder="1" applyAlignment="1">
      <alignment vertical="center"/>
    </xf>
    <xf numFmtId="9" fontId="20" fillId="0" borderId="20" xfId="2" applyFont="1" applyFill="1" applyBorder="1" applyAlignment="1">
      <alignment horizontal="left" vertical="center"/>
    </xf>
    <xf numFmtId="0" fontId="20" fillId="0" borderId="20" xfId="0" applyFont="1" applyBorder="1" applyAlignment="1">
      <alignment horizontal="left" vertical="center"/>
    </xf>
    <xf numFmtId="0" fontId="22" fillId="2" borderId="0" xfId="0" applyFont="1" applyFill="1"/>
    <xf numFmtId="164" fontId="22" fillId="2" borderId="0" xfId="0" applyNumberFormat="1" applyFont="1" applyFill="1"/>
    <xf numFmtId="0" fontId="22" fillId="0" borderId="0" xfId="0" applyFont="1"/>
    <xf numFmtId="9" fontId="19" fillId="3" borderId="0" xfId="2" applyFont="1" applyFill="1" applyBorder="1" applyAlignment="1" applyProtection="1">
      <alignment vertical="center" wrapText="1"/>
      <protection locked="0"/>
    </xf>
    <xf numFmtId="10" fontId="19" fillId="3" borderId="14" xfId="2" applyNumberFormat="1" applyFont="1" applyFill="1" applyBorder="1" applyAlignment="1">
      <alignment vertical="center"/>
    </xf>
    <xf numFmtId="0" fontId="52" fillId="0" borderId="0" xfId="0" applyFont="1" applyAlignment="1">
      <alignment vertical="center"/>
    </xf>
    <xf numFmtId="0" fontId="0" fillId="3" borderId="0" xfId="0" applyFill="1"/>
    <xf numFmtId="0" fontId="54" fillId="0" borderId="0" xfId="0" applyFont="1"/>
    <xf numFmtId="0" fontId="53" fillId="3" borderId="0" xfId="0" applyFont="1" applyFill="1" applyAlignment="1">
      <alignment vertical="center"/>
    </xf>
    <xf numFmtId="0" fontId="55" fillId="3" borderId="15" xfId="0" applyFont="1" applyFill="1" applyBorder="1"/>
    <xf numFmtId="0" fontId="55" fillId="3" borderId="56" xfId="0" applyFont="1" applyFill="1" applyBorder="1"/>
    <xf numFmtId="0" fontId="0" fillId="3" borderId="0" xfId="0" applyFill="1" applyProtection="1">
      <protection locked="0"/>
    </xf>
    <xf numFmtId="0" fontId="55" fillId="3" borderId="57" xfId="0" applyFont="1" applyFill="1" applyBorder="1" applyProtection="1">
      <protection locked="0"/>
    </xf>
    <xf numFmtId="0" fontId="37" fillId="3" borderId="15" xfId="0" applyFont="1" applyFill="1" applyBorder="1" applyProtection="1">
      <protection locked="0"/>
    </xf>
    <xf numFmtId="9" fontId="0" fillId="3" borderId="56" xfId="0" applyNumberFormat="1" applyFill="1" applyBorder="1" applyAlignment="1" applyProtection="1">
      <alignment horizontal="center"/>
      <protection locked="0"/>
    </xf>
    <xf numFmtId="0" fontId="0" fillId="3" borderId="60" xfId="0" applyFill="1" applyBorder="1" applyProtection="1">
      <protection locked="0"/>
    </xf>
    <xf numFmtId="0" fontId="55" fillId="3" borderId="15" xfId="0" applyFont="1" applyFill="1" applyBorder="1" applyProtection="1">
      <protection locked="0"/>
    </xf>
    <xf numFmtId="0" fontId="55" fillId="3" borderId="56" xfId="0" applyFont="1" applyFill="1" applyBorder="1" applyAlignment="1" applyProtection="1">
      <alignment horizontal="center"/>
      <protection locked="0"/>
    </xf>
    <xf numFmtId="0" fontId="0" fillId="3" borderId="15" xfId="0" applyFill="1" applyBorder="1" applyProtection="1">
      <protection locked="0"/>
    </xf>
    <xf numFmtId="0" fontId="0" fillId="3" borderId="56" xfId="0" applyFill="1" applyBorder="1" applyAlignment="1" applyProtection="1">
      <alignment horizontal="center"/>
      <protection locked="0"/>
    </xf>
    <xf numFmtId="0" fontId="0" fillId="3" borderId="62" xfId="0" applyFill="1" applyBorder="1" applyProtection="1">
      <protection locked="0"/>
    </xf>
    <xf numFmtId="0" fontId="55" fillId="3" borderId="66" xfId="0" applyFont="1" applyFill="1" applyBorder="1" applyAlignment="1" applyProtection="1">
      <alignment horizontal="center" vertical="center"/>
      <protection locked="0"/>
    </xf>
    <xf numFmtId="0" fontId="54" fillId="3" borderId="0" xfId="0" applyFont="1" applyFill="1" applyProtection="1">
      <protection locked="0"/>
    </xf>
    <xf numFmtId="0" fontId="54" fillId="3" borderId="0" xfId="0" applyFont="1" applyFill="1" applyAlignment="1" applyProtection="1">
      <alignment horizontal="center"/>
      <protection locked="0"/>
    </xf>
    <xf numFmtId="14" fontId="0" fillId="3" borderId="15" xfId="0" applyNumberFormat="1" applyFill="1" applyBorder="1" applyAlignment="1" applyProtection="1">
      <alignment horizontal="center"/>
      <protection locked="0"/>
    </xf>
    <xf numFmtId="0" fontId="0" fillId="3" borderId="0" xfId="0" applyFill="1" applyAlignment="1" applyProtection="1">
      <alignment horizontal="center"/>
      <protection locked="0"/>
    </xf>
    <xf numFmtId="0" fontId="61" fillId="3" borderId="3" xfId="0" applyFont="1" applyFill="1" applyBorder="1"/>
    <xf numFmtId="49" fontId="37" fillId="3" borderId="3" xfId="0" applyNumberFormat="1" applyFont="1" applyFill="1" applyBorder="1"/>
    <xf numFmtId="49" fontId="37" fillId="3" borderId="3" xfId="0" applyNumberFormat="1" applyFont="1" applyFill="1" applyBorder="1" applyAlignment="1">
      <alignment vertical="top"/>
    </xf>
    <xf numFmtId="49" fontId="62" fillId="3" borderId="3" xfId="0" applyNumberFormat="1" applyFont="1" applyFill="1" applyBorder="1" applyAlignment="1">
      <alignment vertical="center"/>
    </xf>
    <xf numFmtId="0" fontId="63" fillId="3" borderId="12" xfId="0" applyFont="1" applyFill="1" applyBorder="1" applyAlignment="1">
      <alignment horizontal="center" vertical="center" textRotation="90" wrapText="1"/>
    </xf>
    <xf numFmtId="0" fontId="64" fillId="3" borderId="12" xfId="0" applyFont="1" applyFill="1" applyBorder="1" applyAlignment="1">
      <alignment horizontal="center" vertical="center" textRotation="90" wrapText="1"/>
    </xf>
    <xf numFmtId="0" fontId="63" fillId="3" borderId="11" xfId="0" applyFont="1" applyFill="1" applyBorder="1" applyAlignment="1">
      <alignment horizontal="center" vertical="center" textRotation="90" wrapText="1"/>
    </xf>
    <xf numFmtId="0" fontId="63" fillId="3" borderId="12" xfId="0" applyFont="1" applyFill="1" applyBorder="1" applyAlignment="1">
      <alignment horizontal="left" vertical="center" wrapText="1" indent="1"/>
    </xf>
    <xf numFmtId="0" fontId="63" fillId="3" borderId="14" xfId="0" applyFont="1" applyFill="1" applyBorder="1" applyAlignment="1">
      <alignment horizontal="center" vertical="center" wrapText="1"/>
    </xf>
    <xf numFmtId="0" fontId="65" fillId="0" borderId="0" xfId="0" applyFont="1" applyAlignment="1">
      <alignment vertical="center"/>
    </xf>
    <xf numFmtId="0" fontId="66" fillId="0" borderId="0" xfId="0" applyFont="1" applyAlignment="1">
      <alignment vertical="center"/>
    </xf>
    <xf numFmtId="49" fontId="67" fillId="3" borderId="15" xfId="0" applyNumberFormat="1" applyFont="1" applyFill="1" applyBorder="1" applyAlignment="1" applyProtection="1">
      <alignment horizontal="center" vertical="center"/>
      <protection locked="0"/>
    </xf>
    <xf numFmtId="0" fontId="67" fillId="3" borderId="15" xfId="0" applyFont="1" applyFill="1" applyBorder="1" applyAlignment="1" applyProtection="1">
      <alignment horizontal="center" vertical="center"/>
      <protection locked="0"/>
    </xf>
    <xf numFmtId="49" fontId="67" fillId="3" borderId="15" xfId="0" quotePrefix="1" applyNumberFormat="1" applyFont="1" applyFill="1" applyBorder="1" applyAlignment="1" applyProtection="1">
      <alignment horizontal="center" vertical="center"/>
      <protection locked="0"/>
    </xf>
    <xf numFmtId="49" fontId="67" fillId="3" borderId="52" xfId="0" applyNumberFormat="1" applyFont="1" applyFill="1" applyBorder="1" applyAlignment="1" applyProtection="1">
      <alignment horizontal="center" vertical="center"/>
      <protection locked="0"/>
    </xf>
    <xf numFmtId="49" fontId="67" fillId="3" borderId="16" xfId="0" quotePrefix="1" applyNumberFormat="1" applyFont="1" applyFill="1" applyBorder="1" applyAlignment="1" applyProtection="1">
      <alignment horizontal="center" vertical="center"/>
      <protection locked="0"/>
    </xf>
    <xf numFmtId="0" fontId="67" fillId="3" borderId="16" xfId="0" applyFont="1" applyFill="1" applyBorder="1" applyAlignment="1" applyProtection="1">
      <alignment horizontal="center" vertical="center"/>
      <protection locked="0"/>
    </xf>
    <xf numFmtId="0" fontId="67" fillId="3" borderId="16" xfId="0" quotePrefix="1" applyFont="1" applyFill="1" applyBorder="1" applyAlignment="1" applyProtection="1">
      <alignment horizontal="center" vertical="center"/>
      <protection locked="0"/>
    </xf>
    <xf numFmtId="49" fontId="67" fillId="3" borderId="16" xfId="0" applyNumberFormat="1" applyFont="1" applyFill="1" applyBorder="1" applyAlignment="1" applyProtection="1">
      <alignment horizontal="center" vertical="center"/>
      <protection locked="0"/>
    </xf>
    <xf numFmtId="49" fontId="67" fillId="3" borderId="49" xfId="0" applyNumberFormat="1" applyFont="1" applyFill="1" applyBorder="1" applyAlignment="1" applyProtection="1">
      <alignment horizontal="center" vertical="center"/>
      <protection locked="0"/>
    </xf>
    <xf numFmtId="0" fontId="67" fillId="3" borderId="15" xfId="0" quotePrefix="1" applyFont="1" applyFill="1" applyBorder="1" applyAlignment="1" applyProtection="1">
      <alignment horizontal="center" vertical="center"/>
      <protection locked="0"/>
    </xf>
    <xf numFmtId="49" fontId="68" fillId="3" borderId="16" xfId="0" applyNumberFormat="1" applyFont="1" applyFill="1" applyBorder="1" applyAlignment="1" applyProtection="1">
      <alignment vertical="center" wrapText="1"/>
      <protection locked="0"/>
    </xf>
    <xf numFmtId="0" fontId="69" fillId="3" borderId="52" xfId="0" applyFont="1" applyFill="1" applyBorder="1" applyProtection="1">
      <protection locked="0"/>
    </xf>
    <xf numFmtId="0" fontId="70" fillId="0" borderId="0" xfId="0" applyFont="1" applyAlignment="1">
      <alignment horizontal="center" vertical="center"/>
    </xf>
    <xf numFmtId="0" fontId="71" fillId="0" borderId="0" xfId="0" applyFont="1" applyAlignment="1">
      <alignment horizontal="center" vertical="center"/>
    </xf>
    <xf numFmtId="49" fontId="72" fillId="3" borderId="18" xfId="0" applyNumberFormat="1" applyFont="1" applyFill="1" applyBorder="1" applyAlignment="1">
      <alignment horizontal="center" vertical="center"/>
    </xf>
    <xf numFmtId="49" fontId="72" fillId="3" borderId="0" xfId="0" applyNumberFormat="1" applyFont="1" applyFill="1" applyAlignment="1">
      <alignment horizontal="center" vertical="center"/>
    </xf>
    <xf numFmtId="0" fontId="72" fillId="3" borderId="0" xfId="0" applyFont="1" applyFill="1" applyAlignment="1">
      <alignment horizontal="center" vertical="center"/>
    </xf>
    <xf numFmtId="49" fontId="63" fillId="3" borderId="15" xfId="0" quotePrefix="1" applyNumberFormat="1" applyFont="1" applyFill="1" applyBorder="1" applyAlignment="1">
      <alignment horizontal="center" vertical="center"/>
    </xf>
    <xf numFmtId="0" fontId="63" fillId="3" borderId="15" xfId="0" applyFont="1" applyFill="1" applyBorder="1" applyAlignment="1">
      <alignment horizontal="center" vertical="center"/>
    </xf>
    <xf numFmtId="0" fontId="63" fillId="3" borderId="52" xfId="0" applyFont="1" applyFill="1" applyBorder="1" applyAlignment="1">
      <alignment horizontal="center" vertical="center"/>
    </xf>
    <xf numFmtId="0" fontId="63" fillId="3" borderId="26" xfId="0" applyFont="1" applyFill="1" applyBorder="1" applyAlignment="1">
      <alignment horizontal="center" vertical="center"/>
    </xf>
    <xf numFmtId="0" fontId="63" fillId="3" borderId="12" xfId="0" applyFont="1" applyFill="1" applyBorder="1" applyAlignment="1">
      <alignment horizontal="center" vertical="center"/>
    </xf>
    <xf numFmtId="0" fontId="63" fillId="3" borderId="11" xfId="0" applyFont="1" applyFill="1" applyBorder="1" applyAlignment="1">
      <alignment horizontal="center" vertical="center"/>
    </xf>
    <xf numFmtId="0" fontId="63" fillId="3" borderId="18" xfId="0" applyFont="1" applyFill="1" applyBorder="1" applyAlignment="1" applyProtection="1">
      <alignment horizontal="left" indent="1"/>
      <protection locked="0"/>
    </xf>
    <xf numFmtId="0" fontId="66" fillId="3" borderId="26" xfId="0" applyFont="1" applyFill="1" applyBorder="1"/>
    <xf numFmtId="0" fontId="73" fillId="0" borderId="0" xfId="0" applyFont="1" applyAlignment="1">
      <alignment horizontal="center" vertical="center"/>
    </xf>
    <xf numFmtId="0" fontId="62" fillId="0" borderId="0" xfId="0" applyFont="1" applyAlignment="1">
      <alignment horizontal="center" vertical="center"/>
    </xf>
    <xf numFmtId="13" fontId="74" fillId="3" borderId="15" xfId="0" applyNumberFormat="1" applyFont="1" applyFill="1" applyBorder="1" applyAlignment="1" applyProtection="1">
      <alignment horizontal="center" vertical="center"/>
      <protection locked="0"/>
    </xf>
    <xf numFmtId="0" fontId="74" fillId="3" borderId="15" xfId="0" applyFont="1" applyFill="1" applyBorder="1" applyAlignment="1" applyProtection="1">
      <alignment horizontal="center" vertical="center"/>
      <protection locked="0"/>
    </xf>
    <xf numFmtId="13" fontId="74" fillId="3" borderId="16" xfId="0" applyNumberFormat="1" applyFont="1" applyFill="1" applyBorder="1" applyAlignment="1" applyProtection="1">
      <alignment horizontal="center" vertical="center"/>
      <protection locked="0"/>
    </xf>
    <xf numFmtId="0" fontId="0" fillId="3" borderId="26" xfId="0" applyFill="1" applyBorder="1"/>
    <xf numFmtId="0" fontId="76" fillId="0" borderId="0" xfId="0" applyFont="1" applyAlignment="1">
      <alignment vertical="center"/>
    </xf>
    <xf numFmtId="0" fontId="0" fillId="3" borderId="11" xfId="0" applyFill="1" applyBorder="1"/>
    <xf numFmtId="0" fontId="0" fillId="3" borderId="13" xfId="0" applyFill="1" applyBorder="1"/>
    <xf numFmtId="0" fontId="66" fillId="3" borderId="15" xfId="0" applyFont="1" applyFill="1" applyBorder="1"/>
    <xf numFmtId="0" fontId="77" fillId="3" borderId="15" xfId="0" applyFont="1" applyFill="1" applyBorder="1" applyAlignment="1">
      <alignment horizontal="center" vertical="center"/>
    </xf>
    <xf numFmtId="0" fontId="0" fillId="3" borderId="40" xfId="0" applyFill="1" applyBorder="1" applyAlignment="1">
      <alignment horizontal="left"/>
    </xf>
    <xf numFmtId="0" fontId="0" fillId="3" borderId="40" xfId="0" applyFill="1" applyBorder="1" applyAlignment="1">
      <alignment horizontal="center"/>
    </xf>
    <xf numFmtId="170" fontId="68" fillId="3" borderId="0" xfId="4" applyNumberFormat="1" applyFont="1" applyFill="1" applyBorder="1" applyAlignment="1" applyProtection="1">
      <alignment horizontal="center"/>
      <protection locked="0"/>
    </xf>
    <xf numFmtId="0" fontId="0" fillId="3" borderId="55" xfId="0" applyFill="1" applyBorder="1" applyAlignment="1">
      <alignment horizontal="center"/>
    </xf>
    <xf numFmtId="49" fontId="66" fillId="3" borderId="15" xfId="0" applyNumberFormat="1" applyFont="1" applyFill="1" applyBorder="1" applyAlignment="1">
      <alignment horizontal="right"/>
    </xf>
    <xf numFmtId="49" fontId="68" fillId="3" borderId="0" xfId="0" applyNumberFormat="1" applyFont="1" applyFill="1" applyAlignment="1" applyProtection="1">
      <alignment horizontal="left" vertical="center" indent="1"/>
      <protection locked="0"/>
    </xf>
    <xf numFmtId="49" fontId="63" fillId="3" borderId="15" xfId="0" applyNumberFormat="1" applyFont="1" applyFill="1" applyBorder="1" applyAlignment="1">
      <alignment horizontal="center" vertical="center"/>
    </xf>
    <xf numFmtId="49" fontId="68" fillId="3" borderId="0" xfId="0" applyNumberFormat="1" applyFont="1" applyFill="1" applyAlignment="1" applyProtection="1">
      <alignment horizontal="left" vertical="center"/>
      <protection locked="0"/>
    </xf>
    <xf numFmtId="170" fontId="68" fillId="3" borderId="0" xfId="4" applyNumberFormat="1" applyFont="1" applyFill="1" applyBorder="1" applyAlignment="1" applyProtection="1">
      <alignment horizontal="right"/>
      <protection locked="0"/>
    </xf>
    <xf numFmtId="0" fontId="66" fillId="3" borderId="15" xfId="0" applyFont="1" applyFill="1" applyBorder="1" applyAlignment="1">
      <alignment horizontal="right" vertical="center"/>
    </xf>
    <xf numFmtId="49" fontId="66" fillId="3" borderId="69" xfId="0" applyNumberFormat="1" applyFont="1" applyFill="1" applyBorder="1" applyAlignment="1">
      <alignment horizontal="right"/>
    </xf>
    <xf numFmtId="0" fontId="66" fillId="3" borderId="69" xfId="0" applyFont="1" applyFill="1" applyBorder="1" applyAlignment="1">
      <alignment horizontal="right" vertical="center"/>
    </xf>
    <xf numFmtId="0" fontId="0" fillId="3" borderId="44" xfId="0" applyFill="1" applyBorder="1"/>
    <xf numFmtId="49" fontId="68" fillId="3" borderId="0" xfId="0" applyNumberFormat="1" applyFont="1" applyFill="1" applyAlignment="1" applyProtection="1">
      <alignment vertical="center"/>
      <protection locked="0"/>
    </xf>
    <xf numFmtId="0" fontId="54" fillId="0" borderId="3" xfId="0" applyFont="1" applyBorder="1"/>
    <xf numFmtId="0" fontId="0" fillId="0" borderId="3" xfId="0" applyBorder="1"/>
    <xf numFmtId="0" fontId="63" fillId="13" borderId="12" xfId="0" applyFont="1" applyFill="1" applyBorder="1" applyAlignment="1">
      <alignment horizontal="center" vertical="center" textRotation="90" wrapText="1"/>
    </xf>
    <xf numFmtId="0" fontId="63" fillId="13" borderId="11" xfId="0" applyFont="1" applyFill="1" applyBorder="1" applyAlignment="1">
      <alignment horizontal="center" vertical="center" textRotation="90" wrapText="1"/>
    </xf>
    <xf numFmtId="0" fontId="63" fillId="13" borderId="12" xfId="0" applyFont="1" applyFill="1" applyBorder="1" applyAlignment="1">
      <alignment horizontal="center" vertical="center" wrapText="1"/>
    </xf>
    <xf numFmtId="0" fontId="63" fillId="13" borderId="12" xfId="0" applyFont="1" applyFill="1" applyBorder="1" applyAlignment="1">
      <alignment horizontal="left" vertical="center" wrapText="1" indent="1"/>
    </xf>
    <xf numFmtId="0" fontId="63" fillId="13" borderId="14" xfId="0" applyFont="1" applyFill="1" applyBorder="1" applyAlignment="1">
      <alignment horizontal="center" vertical="center" wrapText="1"/>
    </xf>
    <xf numFmtId="49" fontId="67" fillId="0" borderId="15" xfId="0" applyNumberFormat="1" applyFont="1" applyBorder="1" applyAlignment="1" applyProtection="1">
      <alignment horizontal="center" vertical="center"/>
      <protection locked="0"/>
    </xf>
    <xf numFmtId="49" fontId="67" fillId="6" borderId="15" xfId="0" applyNumberFormat="1" applyFont="1" applyFill="1" applyBorder="1" applyAlignment="1" applyProtection="1">
      <alignment horizontal="center" vertical="center"/>
      <protection locked="0"/>
    </xf>
    <xf numFmtId="0" fontId="67" fillId="6" borderId="15" xfId="0" applyFont="1" applyFill="1" applyBorder="1" applyAlignment="1" applyProtection="1">
      <alignment horizontal="center" vertical="center"/>
      <protection locked="0"/>
    </xf>
    <xf numFmtId="49" fontId="67" fillId="6" borderId="15" xfId="0" quotePrefix="1" applyNumberFormat="1" applyFont="1" applyFill="1" applyBorder="1" applyAlignment="1" applyProtection="1">
      <alignment horizontal="center" vertical="center"/>
      <protection locked="0"/>
    </xf>
    <xf numFmtId="49" fontId="67" fillId="6" borderId="52" xfId="0" applyNumberFormat="1" applyFont="1" applyFill="1" applyBorder="1" applyAlignment="1" applyProtection="1">
      <alignment horizontal="center" vertical="center"/>
      <protection locked="0"/>
    </xf>
    <xf numFmtId="49" fontId="67" fillId="6" borderId="16" xfId="0" quotePrefix="1" applyNumberFormat="1" applyFont="1" applyFill="1" applyBorder="1" applyAlignment="1" applyProtection="1">
      <alignment horizontal="center" vertical="center"/>
      <protection locked="0"/>
    </xf>
    <xf numFmtId="0" fontId="67" fillId="6" borderId="16" xfId="0" applyFont="1" applyFill="1" applyBorder="1" applyAlignment="1" applyProtection="1">
      <alignment horizontal="center" vertical="center"/>
      <protection locked="0"/>
    </xf>
    <xf numFmtId="0" fontId="67" fillId="6" borderId="16" xfId="0" quotePrefix="1" applyFont="1" applyFill="1" applyBorder="1" applyAlignment="1" applyProtection="1">
      <alignment horizontal="center" vertical="center"/>
      <protection locked="0"/>
    </xf>
    <xf numFmtId="49" fontId="67" fillId="6" borderId="16" xfId="0" applyNumberFormat="1" applyFont="1" applyFill="1" applyBorder="1" applyAlignment="1" applyProtection="1">
      <alignment horizontal="center" vertical="center"/>
      <protection locked="0"/>
    </xf>
    <xf numFmtId="49" fontId="67" fillId="6" borderId="49" xfId="0" applyNumberFormat="1" applyFont="1" applyFill="1" applyBorder="1" applyAlignment="1" applyProtection="1">
      <alignment horizontal="center" vertical="center"/>
      <protection locked="0"/>
    </xf>
    <xf numFmtId="0" fontId="67" fillId="6" borderId="15" xfId="0" quotePrefix="1" applyFont="1" applyFill="1" applyBorder="1" applyAlignment="1" applyProtection="1">
      <alignment horizontal="center" vertical="center"/>
      <protection locked="0"/>
    </xf>
    <xf numFmtId="0" fontId="67" fillId="0" borderId="15" xfId="0" applyFont="1" applyBorder="1" applyAlignment="1" applyProtection="1">
      <alignment horizontal="center" vertical="center"/>
      <protection locked="0"/>
    </xf>
    <xf numFmtId="49" fontId="67" fillId="0" borderId="16" xfId="0" applyNumberFormat="1" applyFont="1" applyBorder="1" applyAlignment="1" applyProtection="1">
      <alignment horizontal="center" vertical="center"/>
      <protection locked="0"/>
    </xf>
    <xf numFmtId="49" fontId="68" fillId="0" borderId="16" xfId="0" applyNumberFormat="1" applyFont="1" applyBorder="1" applyAlignment="1" applyProtection="1">
      <alignment vertical="center" wrapText="1"/>
      <protection locked="0"/>
    </xf>
    <xf numFmtId="0" fontId="69" fillId="0" borderId="52" xfId="0" applyFont="1" applyBorder="1" applyProtection="1">
      <protection locked="0"/>
    </xf>
    <xf numFmtId="49" fontId="72" fillId="0" borderId="18" xfId="0" applyNumberFormat="1" applyFont="1" applyBorder="1" applyAlignment="1">
      <alignment horizontal="center" vertical="center"/>
    </xf>
    <xf numFmtId="49" fontId="72" fillId="0" borderId="0" xfId="0" applyNumberFormat="1" applyFont="1" applyAlignment="1">
      <alignment horizontal="center" vertical="center"/>
    </xf>
    <xf numFmtId="49" fontId="72" fillId="6" borderId="0" xfId="0" applyNumberFormat="1" applyFont="1" applyFill="1" applyAlignment="1">
      <alignment horizontal="center" vertical="center"/>
    </xf>
    <xf numFmtId="0" fontId="72" fillId="6" borderId="0" xfId="0" applyFont="1" applyFill="1" applyAlignment="1">
      <alignment horizontal="center" vertical="center"/>
    </xf>
    <xf numFmtId="49" fontId="63" fillId="13" borderId="15" xfId="0" quotePrefix="1" applyNumberFormat="1" applyFont="1" applyFill="1" applyBorder="1" applyAlignment="1">
      <alignment horizontal="center" vertical="center"/>
    </xf>
    <xf numFmtId="0" fontId="63" fillId="13" borderId="15" xfId="0" applyFont="1" applyFill="1" applyBorder="1" applyAlignment="1">
      <alignment horizontal="center" vertical="center"/>
    </xf>
    <xf numFmtId="0" fontId="63" fillId="13" borderId="52" xfId="0" applyFont="1" applyFill="1" applyBorder="1" applyAlignment="1">
      <alignment horizontal="center" vertical="center"/>
    </xf>
    <xf numFmtId="0" fontId="63" fillId="13" borderId="26" xfId="0" applyFont="1" applyFill="1" applyBorder="1" applyAlignment="1">
      <alignment horizontal="center" vertical="center"/>
    </xf>
    <xf numFmtId="0" fontId="63" fillId="13" borderId="12" xfId="0" applyFont="1" applyFill="1" applyBorder="1" applyAlignment="1">
      <alignment horizontal="center" vertical="center"/>
    </xf>
    <xf numFmtId="0" fontId="63" fillId="13" borderId="11" xfId="0" applyFont="1" applyFill="1" applyBorder="1" applyAlignment="1">
      <alignment horizontal="center" vertical="center"/>
    </xf>
    <xf numFmtId="0" fontId="63" fillId="13" borderId="18" xfId="0" applyFont="1" applyFill="1" applyBorder="1" applyAlignment="1" applyProtection="1">
      <alignment horizontal="left" indent="1"/>
      <protection locked="0"/>
    </xf>
    <xf numFmtId="0" fontId="66" fillId="0" borderId="26" xfId="0" applyFont="1" applyBorder="1"/>
    <xf numFmtId="13" fontId="74" fillId="0" borderId="15" xfId="0" applyNumberFormat="1" applyFont="1" applyBorder="1" applyAlignment="1" applyProtection="1">
      <alignment horizontal="center" vertical="center"/>
      <protection locked="0"/>
    </xf>
    <xf numFmtId="0" fontId="74" fillId="0" borderId="15" xfId="0" applyFont="1" applyBorder="1" applyAlignment="1" applyProtection="1">
      <alignment horizontal="center" vertical="center"/>
      <protection locked="0"/>
    </xf>
    <xf numFmtId="13" fontId="74" fillId="0" borderId="16" xfId="0" applyNumberFormat="1" applyFont="1" applyBorder="1" applyAlignment="1" applyProtection="1">
      <alignment horizontal="center" vertical="center"/>
      <protection locked="0"/>
    </xf>
    <xf numFmtId="0" fontId="0" fillId="0" borderId="26" xfId="0" applyBorder="1"/>
    <xf numFmtId="0" fontId="0" fillId="0" borderId="11" xfId="0" applyBorder="1"/>
    <xf numFmtId="0" fontId="0" fillId="0" borderId="13" xfId="0" applyBorder="1"/>
    <xf numFmtId="0" fontId="66" fillId="13" borderId="15" xfId="0" applyFont="1" applyFill="1" applyBorder="1"/>
    <xf numFmtId="0" fontId="77" fillId="0" borderId="15" xfId="0" applyFont="1" applyBorder="1" applyAlignment="1">
      <alignment horizontal="center" vertical="center"/>
    </xf>
    <xf numFmtId="49" fontId="66" fillId="13" borderId="15" xfId="0" applyNumberFormat="1" applyFont="1" applyFill="1" applyBorder="1" applyAlignment="1">
      <alignment horizontal="right"/>
    </xf>
    <xf numFmtId="49" fontId="63" fillId="13" borderId="15" xfId="0" applyNumberFormat="1" applyFont="1" applyFill="1" applyBorder="1" applyAlignment="1">
      <alignment horizontal="center" vertical="center"/>
    </xf>
    <xf numFmtId="0" fontId="66" fillId="13" borderId="15" xfId="0" applyFont="1" applyFill="1" applyBorder="1" applyAlignment="1">
      <alignment horizontal="right" vertical="center"/>
    </xf>
    <xf numFmtId="49" fontId="66" fillId="13" borderId="69" xfId="0" applyNumberFormat="1" applyFont="1" applyFill="1" applyBorder="1" applyAlignment="1">
      <alignment horizontal="right"/>
    </xf>
    <xf numFmtId="0" fontId="66" fillId="13" borderId="69" xfId="0" applyFont="1" applyFill="1" applyBorder="1" applyAlignment="1">
      <alignment horizontal="right" vertical="center"/>
    </xf>
    <xf numFmtId="0" fontId="0" fillId="0" borderId="44" xfId="0" applyBorder="1"/>
    <xf numFmtId="0" fontId="90" fillId="14" borderId="0" xfId="0" applyFont="1" applyFill="1" applyAlignment="1">
      <alignment horizontal="center" vertical="center"/>
    </xf>
    <xf numFmtId="0" fontId="90" fillId="6" borderId="0" xfId="0" applyFont="1" applyFill="1" applyAlignment="1">
      <alignment horizontal="center" vertical="center"/>
    </xf>
    <xf numFmtId="0" fontId="90" fillId="14" borderId="0" xfId="0" applyFont="1" applyFill="1" applyAlignment="1">
      <alignment vertical="center"/>
    </xf>
    <xf numFmtId="0" fontId="90" fillId="6" borderId="0" xfId="0" applyFont="1" applyFill="1" applyAlignment="1">
      <alignment vertical="center"/>
    </xf>
    <xf numFmtId="0" fontId="55" fillId="0" borderId="0" xfId="0" applyFont="1" applyAlignment="1">
      <alignment horizontal="center"/>
    </xf>
    <xf numFmtId="0" fontId="55" fillId="0" borderId="27" xfId="0" applyFont="1" applyBorder="1"/>
    <xf numFmtId="0" fontId="55" fillId="0" borderId="0" xfId="0" applyFont="1"/>
    <xf numFmtId="0" fontId="0" fillId="0" borderId="0" xfId="0" applyAlignment="1">
      <alignment horizontal="center"/>
    </xf>
    <xf numFmtId="0" fontId="55" fillId="0" borderId="0" xfId="0" applyFont="1" applyAlignment="1">
      <alignment horizontal="left"/>
    </xf>
    <xf numFmtId="0" fontId="0" fillId="0" borderId="27" xfId="0" applyBorder="1"/>
    <xf numFmtId="0" fontId="0" fillId="0" borderId="0" xfId="0" applyAlignment="1">
      <alignment horizontal="left" vertical="center"/>
    </xf>
    <xf numFmtId="0" fontId="0" fillId="0" borderId="27" xfId="0" applyBorder="1" applyAlignment="1">
      <alignment horizontal="center" vertical="center"/>
    </xf>
    <xf numFmtId="0" fontId="0" fillId="0" borderId="0" xfId="0" applyAlignment="1">
      <alignment horizontal="center" vertical="center"/>
    </xf>
    <xf numFmtId="0" fontId="0" fillId="0" borderId="27" xfId="0" applyBorder="1" applyAlignment="1">
      <alignment horizontal="left"/>
    </xf>
    <xf numFmtId="0" fontId="0" fillId="6" borderId="0" xfId="0" applyFill="1"/>
    <xf numFmtId="0" fontId="53" fillId="6" borderId="0" xfId="0" applyFont="1" applyFill="1" applyAlignment="1">
      <alignment vertical="center"/>
    </xf>
    <xf numFmtId="0" fontId="91" fillId="6" borderId="0" xfId="0" applyFont="1" applyFill="1" applyAlignment="1">
      <alignment horizontal="right" vertical="center" indent="1"/>
    </xf>
    <xf numFmtId="0" fontId="92" fillId="6" borderId="0" xfId="0" applyFont="1" applyFill="1" applyAlignment="1">
      <alignment vertical="center"/>
    </xf>
    <xf numFmtId="0" fontId="55" fillId="13" borderId="15" xfId="0" applyFont="1" applyFill="1" applyBorder="1" applyAlignment="1">
      <alignment horizontal="center"/>
    </xf>
    <xf numFmtId="0" fontId="93" fillId="6" borderId="0" xfId="0" applyFont="1" applyFill="1" applyAlignment="1">
      <alignment vertical="center"/>
    </xf>
    <xf numFmtId="0" fontId="0" fillId="0" borderId="15" xfId="0" applyBorder="1" applyAlignment="1" applyProtection="1">
      <alignment horizontal="center"/>
      <protection locked="0"/>
    </xf>
    <xf numFmtId="0" fontId="61" fillId="0" borderId="13" xfId="0" applyFont="1" applyBorder="1"/>
    <xf numFmtId="49" fontId="37" fillId="0" borderId="13" xfId="0" applyNumberFormat="1" applyFont="1" applyBorder="1"/>
    <xf numFmtId="49" fontId="37" fillId="6" borderId="13" xfId="0" applyNumberFormat="1" applyFont="1" applyFill="1" applyBorder="1"/>
    <xf numFmtId="49" fontId="37" fillId="6" borderId="13" xfId="0" applyNumberFormat="1" applyFont="1" applyFill="1" applyBorder="1" applyAlignment="1">
      <alignment vertical="top"/>
    </xf>
    <xf numFmtId="49" fontId="62" fillId="6" borderId="13" xfId="0" applyNumberFormat="1" applyFont="1" applyFill="1" applyBorder="1" applyAlignment="1">
      <alignment vertical="center"/>
    </xf>
    <xf numFmtId="0" fontId="94" fillId="14" borderId="0" xfId="0" applyFont="1" applyFill="1" applyAlignment="1">
      <alignment vertical="center"/>
    </xf>
    <xf numFmtId="0" fontId="94" fillId="14" borderId="0" xfId="0" applyFont="1" applyFill="1" applyAlignment="1">
      <alignment horizontal="center" vertical="center"/>
    </xf>
    <xf numFmtId="44" fontId="94" fillId="14" borderId="0" xfId="1" applyFont="1" applyFill="1" applyAlignment="1">
      <alignment horizontal="center" vertical="center"/>
    </xf>
    <xf numFmtId="14" fontId="94" fillId="14" borderId="0" xfId="0" applyNumberFormat="1" applyFont="1" applyFill="1" applyAlignment="1">
      <alignment horizontal="center" vertical="center"/>
    </xf>
    <xf numFmtId="0" fontId="96" fillId="0" borderId="0" xfId="0" applyFont="1" applyAlignment="1">
      <alignment horizontal="center" vertical="center" wrapText="1"/>
    </xf>
    <xf numFmtId="0" fontId="94" fillId="14" borderId="0" xfId="0" applyFont="1" applyFill="1" applyAlignment="1">
      <alignment horizontal="left" vertical="center" indent="1"/>
    </xf>
    <xf numFmtId="0" fontId="94" fillId="14" borderId="27" xfId="0" applyFont="1" applyFill="1" applyBorder="1" applyAlignment="1">
      <alignment horizontal="center" vertical="center"/>
    </xf>
    <xf numFmtId="0" fontId="94" fillId="14" borderId="0" xfId="0" applyFont="1" applyFill="1" applyAlignment="1">
      <alignment vertical="center" wrapText="1"/>
    </xf>
    <xf numFmtId="14" fontId="94" fillId="14" borderId="0" xfId="0" applyNumberFormat="1" applyFont="1" applyFill="1" applyAlignment="1">
      <alignment horizontal="center" vertical="center" wrapText="1"/>
    </xf>
    <xf numFmtId="9" fontId="94" fillId="14" borderId="0" xfId="2" applyFont="1" applyFill="1" applyAlignment="1">
      <alignment horizontal="left" vertical="center" wrapText="1"/>
    </xf>
    <xf numFmtId="44" fontId="94" fillId="14" borderId="0" xfId="1" applyFont="1" applyFill="1" applyAlignment="1">
      <alignment horizontal="right" vertical="center" wrapText="1"/>
    </xf>
    <xf numFmtId="44" fontId="94" fillId="0" borderId="0" xfId="1" applyFont="1" applyFill="1" applyAlignment="1">
      <alignment horizontal="right" vertical="center" wrapText="1"/>
    </xf>
    <xf numFmtId="0" fontId="22" fillId="0" borderId="0" xfId="0" applyFont="1" applyAlignment="1">
      <alignment vertical="center"/>
    </xf>
    <xf numFmtId="0" fontId="22" fillId="0" borderId="0" xfId="0" applyFont="1" applyAlignment="1">
      <alignment horizontal="center" vertical="center"/>
    </xf>
    <xf numFmtId="0" fontId="22" fillId="0" borderId="27" xfId="0" applyFont="1" applyBorder="1" applyAlignment="1">
      <alignment vertical="center"/>
    </xf>
    <xf numFmtId="0" fontId="17" fillId="0" borderId="0" xfId="0" applyFont="1" applyAlignment="1">
      <alignment vertical="center" wrapText="1"/>
    </xf>
    <xf numFmtId="44" fontId="17" fillId="0" borderId="0" xfId="1" applyFont="1" applyBorder="1" applyAlignment="1">
      <alignment horizontal="right" vertical="center" wrapText="1"/>
    </xf>
    <xf numFmtId="44" fontId="17" fillId="0" borderId="0" xfId="1" applyFont="1" applyBorder="1" applyAlignment="1">
      <alignment vertical="center" wrapText="1"/>
    </xf>
    <xf numFmtId="14" fontId="22" fillId="0" borderId="0" xfId="1" applyNumberFormat="1" applyFont="1" applyBorder="1" applyAlignment="1">
      <alignment horizontal="center" vertical="center"/>
    </xf>
    <xf numFmtId="9" fontId="22" fillId="0" borderId="0" xfId="2" applyFont="1" applyAlignment="1">
      <alignment horizontal="center" vertical="center"/>
    </xf>
    <xf numFmtId="44" fontId="22" fillId="0" borderId="0" xfId="1" applyFont="1" applyAlignment="1">
      <alignment horizontal="center" vertical="center"/>
    </xf>
    <xf numFmtId="44" fontId="22" fillId="0" borderId="0" xfId="1" applyFont="1" applyFill="1" applyAlignment="1">
      <alignment horizontal="center" vertical="center"/>
    </xf>
    <xf numFmtId="0" fontId="22" fillId="15" borderId="0" xfId="0" applyFont="1" applyFill="1" applyAlignment="1">
      <alignment vertical="center"/>
    </xf>
    <xf numFmtId="0" fontId="22" fillId="15" borderId="0" xfId="0" applyFont="1" applyFill="1" applyAlignment="1">
      <alignment horizontal="left" vertical="center" indent="1"/>
    </xf>
    <xf numFmtId="169" fontId="22" fillId="0" borderId="0" xfId="0" applyNumberFormat="1" applyFont="1" applyAlignment="1">
      <alignment horizontal="center" vertical="center"/>
    </xf>
    <xf numFmtId="0" fontId="22" fillId="0" borderId="27" xfId="0" applyFont="1" applyBorder="1" applyAlignment="1">
      <alignment horizontal="left" vertical="center"/>
    </xf>
    <xf numFmtId="49" fontId="22" fillId="0" borderId="0" xfId="0" applyNumberFormat="1" applyFont="1" applyAlignment="1">
      <alignment horizontal="center" vertical="center"/>
    </xf>
    <xf numFmtId="0" fontId="22" fillId="0" borderId="0" xfId="0" applyFont="1" applyAlignment="1">
      <alignment horizontal="left" vertical="center"/>
    </xf>
    <xf numFmtId="16" fontId="22" fillId="0" borderId="0" xfId="0" quotePrefix="1" applyNumberFormat="1" applyFont="1" applyAlignment="1">
      <alignment horizontal="center" vertical="center"/>
    </xf>
    <xf numFmtId="49" fontId="22" fillId="0" borderId="0" xfId="0" applyNumberFormat="1" applyFont="1" applyAlignment="1">
      <alignment vertical="center"/>
    </xf>
    <xf numFmtId="49" fontId="22" fillId="0" borderId="27" xfId="0" applyNumberFormat="1" applyFont="1" applyBorder="1" applyAlignment="1">
      <alignment vertical="center"/>
    </xf>
    <xf numFmtId="0" fontId="22" fillId="0" borderId="27" xfId="0" applyFont="1" applyBorder="1" applyAlignment="1">
      <alignment horizontal="center" vertical="center"/>
    </xf>
    <xf numFmtId="0" fontId="17" fillId="0" borderId="18" xfId="0" applyFont="1" applyBorder="1" applyAlignment="1">
      <alignment vertical="center" wrapText="1"/>
    </xf>
    <xf numFmtId="44" fontId="17" fillId="0" borderId="0" xfId="1" applyFont="1" applyAlignment="1">
      <alignment horizontal="right" vertical="center" wrapText="1"/>
    </xf>
    <xf numFmtId="0" fontId="22" fillId="0" borderId="0" xfId="0" quotePrefix="1" applyFont="1" applyAlignment="1">
      <alignment horizontal="center" vertical="center"/>
    </xf>
    <xf numFmtId="0" fontId="97" fillId="0" borderId="0" xfId="0" applyFont="1" applyAlignment="1">
      <alignment vertical="center" wrapText="1"/>
    </xf>
    <xf numFmtId="44" fontId="22" fillId="0" borderId="0" xfId="1" applyFont="1" applyAlignment="1">
      <alignment vertical="center"/>
    </xf>
    <xf numFmtId="14" fontId="22" fillId="0" borderId="0" xfId="0" applyNumberFormat="1" applyFont="1" applyAlignment="1">
      <alignment horizontal="center" vertical="center"/>
    </xf>
    <xf numFmtId="9" fontId="22" fillId="0" borderId="0" xfId="2" applyFont="1" applyAlignment="1">
      <alignment vertical="center"/>
    </xf>
    <xf numFmtId="44" fontId="22" fillId="0" borderId="0" xfId="1" applyFont="1" applyFill="1" applyAlignment="1">
      <alignment vertical="center"/>
    </xf>
    <xf numFmtId="13" fontId="22" fillId="0" borderId="0" xfId="0" applyNumberFormat="1" applyFont="1" applyAlignment="1">
      <alignment horizontal="center" vertical="center"/>
    </xf>
    <xf numFmtId="0" fontId="98" fillId="0" borderId="0" xfId="0" applyFont="1" applyAlignment="1">
      <alignment vertical="center"/>
    </xf>
    <xf numFmtId="0" fontId="98" fillId="0" borderId="0" xfId="0" applyFont="1" applyAlignment="1">
      <alignment horizontal="left" vertical="center" indent="1"/>
    </xf>
    <xf numFmtId="0" fontId="22" fillId="16" borderId="0" xfId="0" applyFont="1" applyFill="1" applyAlignment="1">
      <alignment vertical="center"/>
    </xf>
    <xf numFmtId="0" fontId="22" fillId="16" borderId="0" xfId="0" applyFont="1" applyFill="1" applyAlignment="1">
      <alignment horizontal="left" vertical="center" indent="1"/>
    </xf>
    <xf numFmtId="0" fontId="2" fillId="0" borderId="0" xfId="0" applyFont="1" applyAlignment="1">
      <alignment horizontal="center" vertical="center"/>
    </xf>
    <xf numFmtId="0" fontId="2" fillId="0" borderId="0" xfId="0" applyFont="1" applyAlignment="1">
      <alignment vertical="center"/>
    </xf>
    <xf numFmtId="0" fontId="2" fillId="0" borderId="27" xfId="0" applyFont="1" applyBorder="1" applyAlignment="1">
      <alignment vertical="center"/>
    </xf>
    <xf numFmtId="44" fontId="2" fillId="0" borderId="0" xfId="1" applyFont="1" applyAlignment="1">
      <alignment vertical="center"/>
    </xf>
    <xf numFmtId="14" fontId="2" fillId="0" borderId="0" xfId="0" applyNumberFormat="1" applyFont="1" applyAlignment="1">
      <alignment horizontal="center" vertical="center"/>
    </xf>
    <xf numFmtId="9" fontId="2" fillId="0" borderId="0" xfId="2" applyFont="1" applyAlignment="1">
      <alignment vertical="center"/>
    </xf>
    <xf numFmtId="44" fontId="2" fillId="0" borderId="0" xfId="1" applyFont="1" applyFill="1" applyAlignment="1">
      <alignment vertical="center"/>
    </xf>
    <xf numFmtId="0" fontId="22" fillId="10" borderId="0" xfId="0" applyFont="1" applyFill="1" applyAlignment="1">
      <alignment vertical="center"/>
    </xf>
    <xf numFmtId="0" fontId="22" fillId="10" borderId="0" xfId="0" applyFont="1" applyFill="1" applyAlignment="1">
      <alignment horizontal="left" vertical="center" indent="1"/>
    </xf>
    <xf numFmtId="0" fontId="22" fillId="0" borderId="0" xfId="0" applyFont="1" applyAlignment="1">
      <alignment horizontal="left" vertical="center" indent="1"/>
    </xf>
    <xf numFmtId="0" fontId="22" fillId="16" borderId="13" xfId="0" applyFont="1" applyFill="1" applyBorder="1" applyAlignment="1">
      <alignment vertical="center"/>
    </xf>
    <xf numFmtId="0" fontId="22" fillId="16" borderId="13" xfId="0" applyFont="1" applyFill="1" applyBorder="1" applyAlignment="1">
      <alignment horizontal="left" vertical="center" indent="1"/>
    </xf>
    <xf numFmtId="0" fontId="96" fillId="14" borderId="0" xfId="0" applyFont="1" applyFill="1" applyAlignment="1">
      <alignment horizontal="center" vertical="center"/>
    </xf>
    <xf numFmtId="0" fontId="96" fillId="14" borderId="27" xfId="0" applyFont="1" applyFill="1" applyBorder="1" applyAlignment="1">
      <alignment horizontal="left" vertical="center"/>
    </xf>
    <xf numFmtId="0" fontId="22" fillId="17" borderId="0" xfId="0" applyFont="1" applyFill="1" applyAlignment="1">
      <alignment vertical="center"/>
    </xf>
    <xf numFmtId="0" fontId="22" fillId="17" borderId="0" xfId="0" applyFont="1" applyFill="1" applyAlignment="1">
      <alignment horizontal="left" vertical="center" indent="1"/>
    </xf>
    <xf numFmtId="0" fontId="22" fillId="17" borderId="13" xfId="0" applyFont="1" applyFill="1" applyBorder="1" applyAlignment="1">
      <alignment vertical="center"/>
    </xf>
    <xf numFmtId="0" fontId="22" fillId="17" borderId="13" xfId="0" applyFont="1" applyFill="1" applyBorder="1" applyAlignment="1">
      <alignment horizontal="left" vertical="center" indent="1"/>
    </xf>
    <xf numFmtId="0" fontId="22" fillId="15" borderId="13" xfId="0" applyFont="1" applyFill="1" applyBorder="1" applyAlignment="1">
      <alignment vertical="center"/>
    </xf>
    <xf numFmtId="0" fontId="22" fillId="15" borderId="13" xfId="0" applyFont="1" applyFill="1" applyBorder="1" applyAlignment="1">
      <alignment horizontal="left" vertical="center" indent="1"/>
    </xf>
    <xf numFmtId="0" fontId="22" fillId="18" borderId="0" xfId="0" applyFont="1" applyFill="1" applyAlignment="1">
      <alignment vertical="center"/>
    </xf>
    <xf numFmtId="0" fontId="22" fillId="18" borderId="0" xfId="0" applyFont="1" applyFill="1" applyAlignment="1">
      <alignment horizontal="left" vertical="center" indent="1"/>
    </xf>
    <xf numFmtId="0" fontId="95" fillId="0" borderId="0" xfId="0" applyFont="1" applyAlignment="1">
      <alignment horizontal="center" vertical="center"/>
    </xf>
    <xf numFmtId="0" fontId="95" fillId="0" borderId="0" xfId="0" applyFont="1" applyAlignment="1">
      <alignment vertical="center"/>
    </xf>
    <xf numFmtId="0" fontId="95" fillId="0" borderId="27" xfId="0" applyFont="1" applyBorder="1" applyAlignment="1">
      <alignment vertical="center"/>
    </xf>
    <xf numFmtId="44" fontId="95" fillId="0" borderId="0" xfId="1" applyFont="1" applyAlignment="1">
      <alignment vertical="center"/>
    </xf>
    <xf numFmtId="14" fontId="95" fillId="0" borderId="0" xfId="0" applyNumberFormat="1" applyFont="1" applyAlignment="1">
      <alignment horizontal="center" vertical="center"/>
    </xf>
    <xf numFmtId="9" fontId="95" fillId="0" borderId="0" xfId="2" applyFont="1" applyAlignment="1">
      <alignment vertical="center"/>
    </xf>
    <xf numFmtId="0" fontId="95" fillId="0" borderId="0" xfId="0" applyFont="1" applyAlignment="1">
      <alignment horizontal="left" vertical="center" indent="1"/>
    </xf>
    <xf numFmtId="0" fontId="53" fillId="6" borderId="0" xfId="0" applyFont="1" applyFill="1" applyAlignment="1">
      <alignment horizontal="left" vertical="center"/>
    </xf>
    <xf numFmtId="0" fontId="0" fillId="0" borderId="49" xfId="0" applyBorder="1"/>
    <xf numFmtId="0" fontId="0" fillId="0" borderId="40" xfId="0" applyBorder="1"/>
    <xf numFmtId="0" fontId="0" fillId="0" borderId="55" xfId="0" applyBorder="1"/>
    <xf numFmtId="0" fontId="0" fillId="0" borderId="18" xfId="0" applyBorder="1"/>
    <xf numFmtId="0" fontId="37" fillId="0" borderId="13" xfId="0" applyFont="1" applyBorder="1"/>
    <xf numFmtId="0" fontId="37" fillId="0" borderId="27" xfId="0" applyFont="1" applyBorder="1"/>
    <xf numFmtId="0" fontId="37" fillId="0" borderId="0" xfId="0" applyFont="1" applyAlignment="1">
      <alignment horizontal="center" vertical="center"/>
    </xf>
    <xf numFmtId="0" fontId="37" fillId="0" borderId="27" xfId="0" applyFont="1" applyBorder="1" applyAlignment="1">
      <alignment horizontal="center" vertical="center"/>
    </xf>
    <xf numFmtId="0" fontId="99" fillId="0" borderId="0" xfId="0" applyFont="1" applyAlignment="1">
      <alignment horizontal="center" vertical="center"/>
    </xf>
    <xf numFmtId="0" fontId="100" fillId="0" borderId="0" xfId="0" applyFont="1" applyAlignment="1">
      <alignment horizontal="center" vertical="top"/>
    </xf>
    <xf numFmtId="0" fontId="100" fillId="0" borderId="27" xfId="0" applyFont="1" applyBorder="1" applyAlignment="1">
      <alignment horizontal="center" vertical="top"/>
    </xf>
    <xf numFmtId="0" fontId="89" fillId="0" borderId="0" xfId="0" applyFont="1" applyAlignment="1">
      <alignment horizontal="center" vertical="top"/>
    </xf>
    <xf numFmtId="13" fontId="37" fillId="0" borderId="0" xfId="0" applyNumberFormat="1" applyFont="1"/>
    <xf numFmtId="13" fontId="37" fillId="0" borderId="27" xfId="0" applyNumberFormat="1" applyFont="1" applyBorder="1"/>
    <xf numFmtId="13" fontId="99" fillId="0" borderId="0" xfId="0" applyNumberFormat="1" applyFont="1"/>
    <xf numFmtId="0" fontId="68" fillId="0" borderId="0" xfId="0" applyFont="1"/>
    <xf numFmtId="0" fontId="68" fillId="0" borderId="49" xfId="0" applyFont="1" applyBorder="1"/>
    <xf numFmtId="0" fontId="68" fillId="0" borderId="40" xfId="0" applyFont="1" applyBorder="1"/>
    <xf numFmtId="0" fontId="68" fillId="0" borderId="55" xfId="0" applyFont="1" applyBorder="1"/>
    <xf numFmtId="0" fontId="68" fillId="0" borderId="27" xfId="0" applyFont="1" applyBorder="1"/>
    <xf numFmtId="0" fontId="68" fillId="0" borderId="11" xfId="0" applyFont="1" applyBorder="1"/>
    <xf numFmtId="0" fontId="68" fillId="0" borderId="13" xfId="0" applyFont="1" applyBorder="1"/>
    <xf numFmtId="0" fontId="68" fillId="0" borderId="14" xfId="0" applyFont="1" applyBorder="1"/>
    <xf numFmtId="0" fontId="88" fillId="0" borderId="0" xfId="0" applyFont="1" applyAlignment="1">
      <alignment horizontal="center" vertical="center"/>
    </xf>
    <xf numFmtId="0" fontId="67" fillId="0" borderId="0" xfId="0" applyFont="1" applyAlignment="1">
      <alignment horizontal="center" vertical="center"/>
    </xf>
    <xf numFmtId="0" fontId="102" fillId="0" borderId="0" xfId="0" applyFont="1" applyAlignment="1">
      <alignment horizontal="center" vertical="center"/>
    </xf>
    <xf numFmtId="0" fontId="82" fillId="0" borderId="0" xfId="0" applyFont="1" applyAlignment="1">
      <alignment horizontal="center" vertical="center"/>
    </xf>
    <xf numFmtId="0" fontId="103" fillId="0" borderId="0" xfId="0" applyFont="1" applyAlignment="1">
      <alignment vertical="center"/>
    </xf>
    <xf numFmtId="0" fontId="104" fillId="0" borderId="0" xfId="0" applyFont="1"/>
    <xf numFmtId="0" fontId="17" fillId="15" borderId="0" xfId="0" applyFont="1" applyFill="1" applyAlignment="1">
      <alignment horizontal="left" vertical="center" indent="1"/>
    </xf>
    <xf numFmtId="0" fontId="22" fillId="6" borderId="0" xfId="0" applyFont="1" applyFill="1" applyAlignment="1">
      <alignment vertical="center"/>
    </xf>
    <xf numFmtId="0" fontId="17" fillId="6" borderId="0" xfId="0" applyFont="1" applyFill="1" applyAlignment="1">
      <alignment horizontal="left" vertical="center" indent="1"/>
    </xf>
    <xf numFmtId="0" fontId="22" fillId="6" borderId="27" xfId="0" applyFont="1" applyFill="1" applyBorder="1" applyAlignment="1">
      <alignment vertical="center"/>
    </xf>
    <xf numFmtId="0" fontId="108" fillId="0" borderId="0" xfId="0" applyFont="1" applyAlignment="1">
      <alignment horizontal="center" vertical="center" textRotation="90" wrapText="1"/>
    </xf>
    <xf numFmtId="0" fontId="108" fillId="0" borderId="0" xfId="0" applyFont="1" applyAlignment="1">
      <alignment horizontal="center" textRotation="255" wrapText="1"/>
    </xf>
    <xf numFmtId="0" fontId="105" fillId="0" borderId="0" xfId="0" applyFont="1"/>
    <xf numFmtId="0" fontId="0" fillId="0" borderId="0" xfId="0" applyAlignment="1">
      <alignment horizontal="left" indent="1"/>
    </xf>
    <xf numFmtId="0" fontId="90" fillId="14" borderId="15" xfId="0" applyFont="1" applyFill="1" applyBorder="1" applyAlignment="1">
      <alignment horizontal="center" vertical="center"/>
    </xf>
    <xf numFmtId="0" fontId="90" fillId="14" borderId="16" xfId="0" applyFont="1" applyFill="1" applyBorder="1" applyAlignment="1">
      <alignment horizontal="center" vertical="center"/>
    </xf>
    <xf numFmtId="0" fontId="90" fillId="14" borderId="15" xfId="0" applyFont="1" applyFill="1" applyBorder="1" applyAlignment="1">
      <alignment vertical="center"/>
    </xf>
    <xf numFmtId="0" fontId="90" fillId="14" borderId="27" xfId="0" applyFont="1" applyFill="1" applyBorder="1" applyAlignment="1">
      <alignment horizontal="center" vertical="center"/>
    </xf>
    <xf numFmtId="0" fontId="90" fillId="14" borderId="27" xfId="0" applyFont="1" applyFill="1" applyBorder="1" applyAlignment="1">
      <alignment vertical="center"/>
    </xf>
    <xf numFmtId="169" fontId="0" fillId="0" borderId="0" xfId="0" applyNumberFormat="1" applyAlignment="1">
      <alignment horizontal="left" indent="1"/>
    </xf>
    <xf numFmtId="0" fontId="0" fillId="0" borderId="27" xfId="0" applyBorder="1" applyAlignment="1">
      <alignment horizontal="left" indent="1"/>
    </xf>
    <xf numFmtId="169" fontId="0" fillId="0" borderId="0" xfId="0" applyNumberFormat="1" applyAlignment="1">
      <alignment horizontal="left" vertical="center" indent="1"/>
    </xf>
    <xf numFmtId="16" fontId="0" fillId="0" borderId="0" xfId="0" quotePrefix="1" applyNumberFormat="1" applyAlignment="1">
      <alignment horizontal="center" vertical="center"/>
    </xf>
    <xf numFmtId="0" fontId="0" fillId="0" borderId="0" xfId="0" applyAlignment="1">
      <alignment horizontal="left"/>
    </xf>
    <xf numFmtId="0" fontId="0" fillId="0" borderId="0" xfId="0" quotePrefix="1" applyAlignment="1">
      <alignment horizontal="center" vertical="center"/>
    </xf>
    <xf numFmtId="0" fontId="0" fillId="0" borderId="0" xfId="0" quotePrefix="1" applyAlignment="1">
      <alignment horizontal="center"/>
    </xf>
    <xf numFmtId="13" fontId="0" fillId="0" borderId="0" xfId="0" applyNumberFormat="1" applyAlignment="1">
      <alignment horizontal="center"/>
    </xf>
    <xf numFmtId="0" fontId="0" fillId="0" borderId="0" xfId="0" applyAlignment="1">
      <alignment horizontal="left" vertical="center" indent="1"/>
    </xf>
    <xf numFmtId="0" fontId="0" fillId="0" borderId="13" xfId="0" applyBorder="1" applyAlignment="1">
      <alignment horizontal="center"/>
    </xf>
    <xf numFmtId="0" fontId="0" fillId="0" borderId="14" xfId="0" applyBorder="1" applyAlignment="1">
      <alignment horizontal="left" indent="1"/>
    </xf>
    <xf numFmtId="0" fontId="0" fillId="0" borderId="27" xfId="0" quotePrefix="1" applyBorder="1"/>
    <xf numFmtId="0" fontId="0" fillId="0" borderId="0" xfId="0" quotePrefix="1"/>
    <xf numFmtId="49" fontId="0" fillId="0" borderId="0" xfId="0" applyNumberFormat="1" applyAlignment="1">
      <alignment horizontal="center"/>
    </xf>
    <xf numFmtId="49" fontId="0" fillId="0" borderId="27" xfId="0" applyNumberFormat="1" applyBorder="1"/>
    <xf numFmtId="0" fontId="111" fillId="0" borderId="27" xfId="5" applyFont="1" applyBorder="1" applyAlignment="1">
      <alignment horizontal="left"/>
    </xf>
    <xf numFmtId="0" fontId="111" fillId="0" borderId="27" xfId="5" applyFont="1" applyBorder="1"/>
    <xf numFmtId="0" fontId="77" fillId="0" borderId="0" xfId="0" applyFont="1"/>
    <xf numFmtId="0" fontId="54" fillId="14" borderId="0" xfId="0" applyFont="1" applyFill="1"/>
    <xf numFmtId="0" fontId="54" fillId="14" borderId="27" xfId="0" applyFont="1" applyFill="1" applyBorder="1"/>
    <xf numFmtId="0" fontId="112" fillId="0" borderId="0" xfId="0" applyFont="1" applyAlignment="1">
      <alignment horizontal="left"/>
    </xf>
    <xf numFmtId="0" fontId="54" fillId="14" borderId="0" xfId="0" applyFont="1" applyFill="1" applyAlignment="1">
      <alignment horizontal="center" vertical="center"/>
    </xf>
    <xf numFmtId="0" fontId="54" fillId="14" borderId="27" xfId="0" applyFont="1" applyFill="1" applyBorder="1" applyAlignment="1">
      <alignment horizontal="left"/>
    </xf>
    <xf numFmtId="0" fontId="54" fillId="14" borderId="0" xfId="0" applyFont="1" applyFill="1" applyAlignment="1">
      <alignment horizontal="left"/>
    </xf>
    <xf numFmtId="0" fontId="0" fillId="0" borderId="27" xfId="0" applyBorder="1" applyAlignment="1">
      <alignment horizontal="left" vertical="center"/>
    </xf>
    <xf numFmtId="49" fontId="54" fillId="14" borderId="0" xfId="0" applyNumberFormat="1" applyFont="1" applyFill="1"/>
    <xf numFmtId="0" fontId="54" fillId="14" borderId="0" xfId="0" applyFont="1" applyFill="1" applyAlignment="1">
      <alignment horizontal="left" vertical="top"/>
    </xf>
    <xf numFmtId="16" fontId="0" fillId="0" borderId="0" xfId="0" quotePrefix="1" applyNumberFormat="1" applyAlignment="1">
      <alignment horizontal="left" vertical="center"/>
    </xf>
    <xf numFmtId="0" fontId="113" fillId="0" borderId="0" xfId="0" applyFont="1" applyAlignment="1">
      <alignment vertical="center"/>
    </xf>
    <xf numFmtId="0" fontId="0" fillId="0" borderId="0" xfId="0" applyAlignment="1">
      <alignment horizontal="left" vertical="top"/>
    </xf>
    <xf numFmtId="169" fontId="0" fillId="0" borderId="0" xfId="0" applyNumberFormat="1" applyAlignment="1">
      <alignment horizontal="right"/>
    </xf>
    <xf numFmtId="0" fontId="0" fillId="0" borderId="0" xfId="0" quotePrefix="1" applyAlignment="1">
      <alignment horizontal="left" vertical="center"/>
    </xf>
    <xf numFmtId="0" fontId="114" fillId="0" borderId="0" xfId="0" applyFont="1" applyAlignment="1">
      <alignment vertical="center"/>
    </xf>
    <xf numFmtId="0" fontId="54" fillId="0" borderId="0" xfId="0" applyFont="1" applyAlignment="1">
      <alignment horizontal="left" vertical="top"/>
    </xf>
    <xf numFmtId="13" fontId="0" fillId="0" borderId="0" xfId="0" applyNumberFormat="1"/>
    <xf numFmtId="0" fontId="115" fillId="0" borderId="0" xfId="0" applyFont="1" applyAlignment="1">
      <alignment horizontal="center"/>
    </xf>
    <xf numFmtId="0" fontId="116" fillId="0" borderId="0" xfId="0" quotePrefix="1" applyFont="1"/>
    <xf numFmtId="0" fontId="117" fillId="0" borderId="0" xfId="0" quotePrefix="1" applyFont="1" applyAlignment="1">
      <alignment horizontal="center" vertical="center"/>
    </xf>
    <xf numFmtId="0" fontId="116" fillId="0" borderId="0" xfId="0" applyFont="1"/>
    <xf numFmtId="0" fontId="0" fillId="6" borderId="0" xfId="0" applyFill="1" applyProtection="1">
      <protection locked="0"/>
    </xf>
    <xf numFmtId="0" fontId="54" fillId="0" borderId="0" xfId="0" applyFont="1" applyProtection="1">
      <protection locked="0"/>
    </xf>
    <xf numFmtId="0" fontId="0" fillId="0" borderId="0" xfId="0" applyProtection="1">
      <protection locked="0"/>
    </xf>
    <xf numFmtId="0" fontId="53" fillId="6" borderId="0" xfId="0" applyFont="1" applyFill="1" applyAlignment="1" applyProtection="1">
      <alignment vertical="center"/>
      <protection locked="0"/>
    </xf>
    <xf numFmtId="0" fontId="55" fillId="13" borderId="15" xfId="0" applyFont="1" applyFill="1" applyBorder="1" applyProtection="1">
      <protection locked="0"/>
    </xf>
    <xf numFmtId="0" fontId="55" fillId="13" borderId="56" xfId="0" applyFont="1" applyFill="1" applyBorder="1" applyProtection="1">
      <protection locked="0"/>
    </xf>
    <xf numFmtId="0" fontId="55" fillId="13" borderId="57" xfId="0" applyFont="1" applyFill="1" applyBorder="1" applyProtection="1">
      <protection locked="0"/>
    </xf>
    <xf numFmtId="0" fontId="37" fillId="0" borderId="15" xfId="0" quotePrefix="1" applyFont="1" applyBorder="1" applyProtection="1">
      <protection locked="0"/>
    </xf>
    <xf numFmtId="9" fontId="0" fillId="0" borderId="56" xfId="0" applyNumberFormat="1" applyBorder="1" applyAlignment="1" applyProtection="1">
      <alignment horizontal="center"/>
      <protection locked="0"/>
    </xf>
    <xf numFmtId="0" fontId="0" fillId="0" borderId="60" xfId="0" applyBorder="1" applyProtection="1">
      <protection locked="0"/>
    </xf>
    <xf numFmtId="0" fontId="55" fillId="13" borderId="56" xfId="0" applyFont="1" applyFill="1" applyBorder="1" applyAlignment="1" applyProtection="1">
      <alignment horizontal="center"/>
      <protection locked="0"/>
    </xf>
    <xf numFmtId="0" fontId="0" fillId="0" borderId="15" xfId="0" applyBorder="1" applyProtection="1">
      <protection locked="0"/>
    </xf>
    <xf numFmtId="0" fontId="0" fillId="0" borderId="56" xfId="0" applyBorder="1" applyAlignment="1" applyProtection="1">
      <alignment horizontal="center"/>
      <protection locked="0"/>
    </xf>
    <xf numFmtId="0" fontId="0" fillId="0" borderId="62" xfId="0" applyBorder="1" applyProtection="1">
      <protection locked="0"/>
    </xf>
    <xf numFmtId="0" fontId="55" fillId="13" borderId="66" xfId="0" applyFont="1" applyFill="1" applyBorder="1" applyAlignment="1" applyProtection="1">
      <alignment horizontal="center" vertical="center"/>
      <protection locked="0"/>
    </xf>
    <xf numFmtId="0" fontId="54" fillId="6" borderId="0" xfId="0" applyFont="1" applyFill="1" applyProtection="1">
      <protection locked="0"/>
    </xf>
    <xf numFmtId="0" fontId="54" fillId="6" borderId="0" xfId="0" applyFont="1" applyFill="1" applyAlignment="1" applyProtection="1">
      <alignment horizontal="center"/>
      <protection locked="0"/>
    </xf>
    <xf numFmtId="14" fontId="0" fillId="0" borderId="15" xfId="0" applyNumberFormat="1" applyBorder="1" applyAlignment="1" applyProtection="1">
      <alignment horizontal="center"/>
      <protection locked="0"/>
    </xf>
    <xf numFmtId="0" fontId="0" fillId="6" borderId="0" xfId="0" applyFill="1" applyAlignment="1" applyProtection="1">
      <alignment horizontal="center"/>
      <protection locked="0"/>
    </xf>
    <xf numFmtId="0" fontId="61" fillId="0" borderId="3" xfId="0" applyFont="1" applyBorder="1" applyAlignment="1">
      <alignment horizontal="left"/>
    </xf>
    <xf numFmtId="0" fontId="54" fillId="0" borderId="3" xfId="0" applyFont="1" applyBorder="1" applyAlignment="1">
      <alignment horizontal="center"/>
    </xf>
    <xf numFmtId="0" fontId="54" fillId="6" borderId="3" xfId="0" applyFont="1" applyFill="1" applyBorder="1" applyAlignment="1">
      <alignment horizontal="center"/>
    </xf>
    <xf numFmtId="0" fontId="0" fillId="0" borderId="3" xfId="0" applyBorder="1" applyAlignment="1">
      <alignment horizontal="center"/>
    </xf>
    <xf numFmtId="0" fontId="115" fillId="0" borderId="0" xfId="0" applyFont="1" applyAlignment="1">
      <alignment horizontal="center" vertical="center"/>
    </xf>
    <xf numFmtId="13" fontId="67" fillId="6" borderId="15" xfId="0" applyNumberFormat="1" applyFont="1" applyFill="1" applyBorder="1" applyAlignment="1" applyProtection="1">
      <alignment horizontal="center" vertical="center"/>
      <protection locked="0"/>
    </xf>
    <xf numFmtId="49" fontId="68" fillId="0" borderId="16" xfId="0" applyNumberFormat="1" applyFont="1" applyBorder="1" applyAlignment="1" applyProtection="1">
      <alignment horizontal="left" vertical="center" wrapText="1" indent="1"/>
      <protection locked="0"/>
    </xf>
    <xf numFmtId="49" fontId="107" fillId="13" borderId="12" xfId="0" quotePrefix="1" applyNumberFormat="1" applyFont="1" applyFill="1" applyBorder="1" applyAlignment="1">
      <alignment horizontal="center" vertical="center"/>
    </xf>
    <xf numFmtId="0" fontId="107" fillId="13" borderId="12" xfId="0" applyFont="1" applyFill="1" applyBorder="1" applyAlignment="1">
      <alignment horizontal="center" vertical="center"/>
    </xf>
    <xf numFmtId="0" fontId="107" fillId="13" borderId="15" xfId="0" applyFont="1" applyFill="1" applyBorder="1" applyAlignment="1">
      <alignment horizontal="center" vertical="center"/>
    </xf>
    <xf numFmtId="0" fontId="107" fillId="13" borderId="27" xfId="0" applyFont="1" applyFill="1" applyBorder="1" applyAlignment="1">
      <alignment horizontal="center" vertical="center"/>
    </xf>
    <xf numFmtId="0" fontId="107" fillId="13" borderId="26" xfId="0" applyFont="1" applyFill="1" applyBorder="1" applyAlignment="1">
      <alignment horizontal="center" vertical="center"/>
    </xf>
    <xf numFmtId="0" fontId="107" fillId="13" borderId="11" xfId="0" applyFont="1" applyFill="1" applyBorder="1" applyAlignment="1">
      <alignment horizontal="center" vertical="center"/>
    </xf>
    <xf numFmtId="0" fontId="120" fillId="6" borderId="0" xfId="0" applyFont="1" applyFill="1"/>
    <xf numFmtId="49" fontId="121" fillId="6" borderId="15" xfId="0" applyNumberFormat="1" applyFont="1" applyFill="1" applyBorder="1" applyAlignment="1" applyProtection="1">
      <alignment horizontal="center" vertical="center"/>
      <protection locked="0"/>
    </xf>
    <xf numFmtId="13" fontId="122" fillId="0" borderId="15" xfId="0" applyNumberFormat="1" applyFont="1" applyBorder="1" applyAlignment="1" applyProtection="1">
      <alignment horizontal="center" vertical="center"/>
      <protection locked="0"/>
    </xf>
    <xf numFmtId="13" fontId="122" fillId="0" borderId="16" xfId="0" applyNumberFormat="1" applyFont="1" applyBorder="1" applyAlignment="1" applyProtection="1">
      <alignment horizontal="center" vertical="center"/>
      <protection locked="0"/>
    </xf>
    <xf numFmtId="0" fontId="66" fillId="0" borderId="18" xfId="0" applyFont="1" applyBorder="1"/>
    <xf numFmtId="0" fontId="66" fillId="0" borderId="0" xfId="0" applyFont="1"/>
    <xf numFmtId="0" fontId="66" fillId="13" borderId="52" xfId="0" applyFont="1" applyFill="1" applyBorder="1"/>
    <xf numFmtId="0" fontId="106" fillId="0" borderId="52" xfId="0" applyFont="1" applyBorder="1" applyAlignment="1">
      <alignment horizontal="center" vertical="center"/>
    </xf>
    <xf numFmtId="0" fontId="123" fillId="6" borderId="0" xfId="0" applyFont="1" applyFill="1" applyAlignment="1">
      <alignment vertical="center"/>
    </xf>
    <xf numFmtId="0" fontId="66" fillId="6" borderId="0" xfId="0" applyFont="1" applyFill="1" applyAlignment="1">
      <alignment horizontal="right" vertical="center" indent="1"/>
    </xf>
    <xf numFmtId="0" fontId="123" fillId="0" borderId="0" xfId="0" applyFont="1" applyAlignment="1">
      <alignment vertical="center"/>
    </xf>
    <xf numFmtId="0" fontId="65" fillId="0" borderId="0" xfId="0" applyFont="1"/>
    <xf numFmtId="49" fontId="107" fillId="13" borderId="52" xfId="0" applyNumberFormat="1" applyFont="1" applyFill="1" applyBorder="1" applyAlignment="1">
      <alignment horizontal="center"/>
    </xf>
    <xf numFmtId="49" fontId="68" fillId="0" borderId="49" xfId="0" applyNumberFormat="1" applyFont="1" applyBorder="1" applyAlignment="1" applyProtection="1">
      <alignment horizontal="left" vertical="center" wrapText="1"/>
      <protection locked="0"/>
    </xf>
    <xf numFmtId="0" fontId="68" fillId="0" borderId="55" xfId="0" applyFont="1" applyBorder="1" applyAlignment="1" applyProtection="1">
      <alignment horizontal="left" vertical="center"/>
      <protection locked="0"/>
    </xf>
    <xf numFmtId="49" fontId="107" fillId="13" borderId="26" xfId="0" applyNumberFormat="1" applyFont="1" applyFill="1" applyBorder="1" applyAlignment="1">
      <alignment horizontal="center"/>
    </xf>
    <xf numFmtId="49" fontId="68" fillId="0" borderId="18" xfId="0" applyNumberFormat="1" applyFont="1" applyBorder="1" applyAlignment="1" applyProtection="1">
      <alignment horizontal="left" vertical="center"/>
      <protection locked="0"/>
    </xf>
    <xf numFmtId="0" fontId="66" fillId="0" borderId="27" xfId="0" applyFont="1" applyBorder="1" applyAlignment="1" applyProtection="1">
      <alignment horizontal="right" vertical="center"/>
      <protection locked="0"/>
    </xf>
    <xf numFmtId="0" fontId="68" fillId="0" borderId="18" xfId="0" applyFont="1" applyBorder="1" applyAlignment="1" applyProtection="1">
      <alignment horizontal="left" vertical="center" indent="1"/>
      <protection locked="0"/>
    </xf>
    <xf numFmtId="0" fontId="66" fillId="13" borderId="26" xfId="0" applyFont="1" applyFill="1" applyBorder="1" applyAlignment="1">
      <alignment horizontal="center" vertical="center"/>
    </xf>
    <xf numFmtId="0" fontId="68" fillId="0" borderId="27" xfId="0" applyFont="1" applyBorder="1" applyAlignment="1" applyProtection="1">
      <alignment horizontal="left" vertical="center"/>
      <protection locked="0"/>
    </xf>
    <xf numFmtId="49" fontId="107" fillId="13" borderId="44" xfId="0" applyNumberFormat="1" applyFont="1" applyFill="1" applyBorder="1" applyAlignment="1">
      <alignment horizontal="center"/>
    </xf>
    <xf numFmtId="0" fontId="66" fillId="13" borderId="44" xfId="0" applyFont="1" applyFill="1" applyBorder="1" applyAlignment="1">
      <alignment horizontal="center" vertical="center"/>
    </xf>
    <xf numFmtId="49" fontId="68" fillId="0" borderId="41" xfId="0" applyNumberFormat="1" applyFont="1" applyBorder="1" applyAlignment="1" applyProtection="1">
      <alignment horizontal="left" vertical="center"/>
      <protection locked="0"/>
    </xf>
    <xf numFmtId="0" fontId="68" fillId="13" borderId="69" xfId="0" applyFont="1" applyFill="1" applyBorder="1" applyAlignment="1">
      <alignment horizontal="left" vertical="center"/>
    </xf>
    <xf numFmtId="0" fontId="68" fillId="0" borderId="69" xfId="0" applyFont="1" applyBorder="1" applyAlignment="1" applyProtection="1">
      <alignment horizontal="left" vertical="center" indent="1"/>
      <protection locked="0"/>
    </xf>
    <xf numFmtId="0" fontId="128" fillId="0" borderId="0" xfId="0" applyFont="1" applyAlignment="1">
      <alignment horizontal="right"/>
    </xf>
    <xf numFmtId="0" fontId="0" fillId="0" borderId="38" xfId="0" applyBorder="1"/>
    <xf numFmtId="0" fontId="0" fillId="0" borderId="78"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72" xfId="0" applyBorder="1" applyAlignment="1">
      <alignment horizontal="center" vertical="center"/>
    </xf>
    <xf numFmtId="0" fontId="0" fillId="0" borderId="73" xfId="0" applyBorder="1" applyAlignment="1">
      <alignment horizontal="center" vertical="center"/>
    </xf>
    <xf numFmtId="164" fontId="0" fillId="0" borderId="80" xfId="1" applyNumberFormat="1" applyFont="1" applyBorder="1" applyAlignment="1">
      <alignment horizontal="center" vertical="center"/>
    </xf>
    <xf numFmtId="0" fontId="0" fillId="0" borderId="38" xfId="0" applyBorder="1" applyAlignment="1">
      <alignment horizontal="center" vertical="center"/>
    </xf>
    <xf numFmtId="0" fontId="132" fillId="0" borderId="0" xfId="0" applyFont="1" applyAlignment="1">
      <alignment horizontal="center"/>
    </xf>
    <xf numFmtId="164" fontId="132" fillId="0" borderId="54" xfId="1" applyNumberFormat="1" applyFont="1" applyFill="1" applyBorder="1" applyAlignment="1" applyProtection="1">
      <alignment horizontal="center"/>
      <protection hidden="1"/>
    </xf>
    <xf numFmtId="164" fontId="133" fillId="0" borderId="12" xfId="1" applyNumberFormat="1" applyFont="1" applyFill="1" applyBorder="1" applyAlignment="1" applyProtection="1">
      <alignment horizontal="center"/>
      <protection hidden="1"/>
    </xf>
    <xf numFmtId="164" fontId="132" fillId="0" borderId="81" xfId="1" applyNumberFormat="1" applyFont="1" applyFill="1" applyBorder="1" applyAlignment="1" applyProtection="1">
      <alignment horizontal="center"/>
      <protection hidden="1"/>
    </xf>
    <xf numFmtId="164" fontId="132" fillId="0" borderId="14" xfId="1" applyNumberFormat="1" applyFont="1" applyFill="1" applyBorder="1" applyAlignment="1" applyProtection="1">
      <alignment horizontal="center"/>
      <protection hidden="1"/>
    </xf>
    <xf numFmtId="164" fontId="132" fillId="0" borderId="11" xfId="1" applyNumberFormat="1" applyFont="1" applyFill="1" applyBorder="1" applyAlignment="1" applyProtection="1">
      <alignment horizontal="center"/>
      <protection hidden="1"/>
    </xf>
    <xf numFmtId="164" fontId="133" fillId="0" borderId="12" xfId="1" applyNumberFormat="1" applyFont="1" applyFill="1" applyBorder="1" applyAlignment="1">
      <alignment horizontal="center"/>
    </xf>
    <xf numFmtId="164" fontId="132" fillId="0" borderId="81" xfId="1" applyNumberFormat="1" applyFont="1" applyFill="1" applyBorder="1" applyAlignment="1">
      <alignment horizontal="center"/>
    </xf>
    <xf numFmtId="166" fontId="132" fillId="0" borderId="54" xfId="0" applyNumberFormat="1" applyFont="1" applyBorder="1" applyAlignment="1" applyProtection="1">
      <alignment horizontal="center"/>
      <protection hidden="1"/>
    </xf>
    <xf numFmtId="164" fontId="132" fillId="0" borderId="12" xfId="1" applyNumberFormat="1" applyFont="1" applyFill="1" applyBorder="1" applyAlignment="1">
      <alignment horizontal="center"/>
    </xf>
    <xf numFmtId="164" fontId="132" fillId="0" borderId="12" xfId="1" applyNumberFormat="1" applyFont="1" applyFill="1" applyBorder="1" applyAlignment="1" applyProtection="1">
      <alignment horizontal="center"/>
      <protection hidden="1"/>
    </xf>
    <xf numFmtId="0" fontId="132" fillId="0" borderId="54" xfId="0" applyFont="1" applyBorder="1" applyAlignment="1">
      <alignment horizontal="center"/>
    </xf>
    <xf numFmtId="0" fontId="132" fillId="0" borderId="12" xfId="0" applyFont="1" applyBorder="1" applyAlignment="1">
      <alignment horizontal="center"/>
    </xf>
    <xf numFmtId="0" fontId="132" fillId="0" borderId="81" xfId="0" applyFont="1" applyBorder="1" applyAlignment="1">
      <alignment horizontal="center"/>
    </xf>
    <xf numFmtId="0" fontId="132" fillId="0" borderId="12" xfId="0" applyFont="1" applyBorder="1"/>
    <xf numFmtId="0" fontId="132" fillId="0" borderId="54" xfId="0" applyFont="1" applyBorder="1"/>
    <xf numFmtId="0" fontId="132" fillId="0" borderId="81" xfId="0" applyFont="1" applyBorder="1"/>
    <xf numFmtId="166" fontId="132" fillId="0" borderId="12" xfId="0" applyNumberFormat="1" applyFont="1" applyBorder="1" applyAlignment="1" applyProtection="1">
      <alignment horizontal="center"/>
      <protection hidden="1"/>
    </xf>
    <xf numFmtId="166" fontId="132" fillId="0" borderId="81" xfId="0" applyNumberFormat="1" applyFont="1" applyBorder="1" applyAlignment="1" applyProtection="1">
      <alignment horizontal="center"/>
      <protection hidden="1"/>
    </xf>
    <xf numFmtId="166" fontId="132" fillId="0" borderId="14" xfId="0" applyNumberFormat="1" applyFont="1" applyBorder="1" applyAlignment="1" applyProtection="1">
      <alignment horizontal="center"/>
      <protection hidden="1"/>
    </xf>
    <xf numFmtId="0" fontId="132" fillId="0" borderId="13" xfId="0" applyFont="1" applyBorder="1" applyAlignment="1">
      <alignment horizontal="center"/>
    </xf>
    <xf numFmtId="0" fontId="132" fillId="20" borderId="0" xfId="0" applyFont="1" applyFill="1" applyAlignment="1">
      <alignment horizontal="center"/>
    </xf>
    <xf numFmtId="164" fontId="132" fillId="20" borderId="53" xfId="1" applyNumberFormat="1" applyFont="1" applyFill="1" applyBorder="1" applyAlignment="1" applyProtection="1">
      <alignment horizontal="center"/>
      <protection hidden="1"/>
    </xf>
    <xf numFmtId="164" fontId="133" fillId="20" borderId="15" xfId="1" applyNumberFormat="1" applyFont="1" applyFill="1" applyBorder="1" applyAlignment="1" applyProtection="1">
      <alignment horizontal="center"/>
      <protection hidden="1"/>
    </xf>
    <xf numFmtId="164" fontId="132" fillId="20" borderId="82" xfId="1" applyNumberFormat="1" applyFont="1" applyFill="1" applyBorder="1" applyAlignment="1" applyProtection="1">
      <alignment horizontal="center"/>
      <protection hidden="1"/>
    </xf>
    <xf numFmtId="164" fontId="132" fillId="20" borderId="17" xfId="1" applyNumberFormat="1" applyFont="1" applyFill="1" applyBorder="1" applyAlignment="1" applyProtection="1">
      <alignment horizontal="center"/>
      <protection hidden="1"/>
    </xf>
    <xf numFmtId="164" fontId="132" fillId="20" borderId="16" xfId="1" applyNumberFormat="1" applyFont="1" applyFill="1" applyBorder="1" applyAlignment="1" applyProtection="1">
      <alignment horizontal="center"/>
      <protection hidden="1"/>
    </xf>
    <xf numFmtId="164" fontId="133" fillId="20" borderId="15" xfId="1" applyNumberFormat="1" applyFont="1" applyFill="1" applyBorder="1" applyAlignment="1">
      <alignment horizontal="center"/>
    </xf>
    <xf numFmtId="164" fontId="132" fillId="20" borderId="82" xfId="1" applyNumberFormat="1" applyFont="1" applyFill="1" applyBorder="1" applyAlignment="1">
      <alignment horizontal="center"/>
    </xf>
    <xf numFmtId="166" fontId="132" fillId="20" borderId="53" xfId="0" applyNumberFormat="1" applyFont="1" applyFill="1" applyBorder="1" applyAlignment="1" applyProtection="1">
      <alignment horizontal="center"/>
      <protection hidden="1"/>
    </xf>
    <xf numFmtId="164" fontId="132" fillId="20" borderId="15" xfId="1" applyNumberFormat="1" applyFont="1" applyFill="1" applyBorder="1" applyAlignment="1">
      <alignment horizontal="center"/>
    </xf>
    <xf numFmtId="164" fontId="132" fillId="20" borderId="15" xfId="1" applyNumberFormat="1" applyFont="1" applyFill="1" applyBorder="1" applyAlignment="1" applyProtection="1">
      <alignment horizontal="center"/>
      <protection hidden="1"/>
    </xf>
    <xf numFmtId="0" fontId="132" fillId="20" borderId="53" xfId="0" applyFont="1" applyFill="1" applyBorder="1" applyAlignment="1">
      <alignment horizontal="center"/>
    </xf>
    <xf numFmtId="0" fontId="132" fillId="20" borderId="15" xfId="0" applyFont="1" applyFill="1" applyBorder="1" applyAlignment="1">
      <alignment horizontal="center"/>
    </xf>
    <xf numFmtId="0" fontId="132" fillId="20" borderId="82" xfId="0" applyFont="1" applyFill="1" applyBorder="1" applyAlignment="1">
      <alignment horizontal="center"/>
    </xf>
    <xf numFmtId="0" fontId="132" fillId="20" borderId="15" xfId="0" applyFont="1" applyFill="1" applyBorder="1"/>
    <xf numFmtId="166" fontId="132" fillId="20" borderId="15" xfId="0" applyNumberFormat="1" applyFont="1" applyFill="1" applyBorder="1" applyAlignment="1" applyProtection="1">
      <alignment horizontal="center"/>
      <protection hidden="1"/>
    </xf>
    <xf numFmtId="166" fontId="132" fillId="20" borderId="82" xfId="0" applyNumberFormat="1" applyFont="1" applyFill="1" applyBorder="1" applyAlignment="1" applyProtection="1">
      <alignment horizontal="center"/>
      <protection hidden="1"/>
    </xf>
    <xf numFmtId="166" fontId="132" fillId="20" borderId="17" xfId="0" applyNumberFormat="1" applyFont="1" applyFill="1" applyBorder="1" applyAlignment="1" applyProtection="1">
      <alignment horizontal="center"/>
      <protection hidden="1"/>
    </xf>
    <xf numFmtId="0" fontId="132" fillId="20" borderId="8" xfId="0" applyFont="1" applyFill="1" applyBorder="1" applyAlignment="1">
      <alignment horizontal="center"/>
    </xf>
    <xf numFmtId="164" fontId="132" fillId="0" borderId="53" xfId="1" applyNumberFormat="1" applyFont="1" applyFill="1" applyBorder="1" applyAlignment="1" applyProtection="1">
      <alignment horizontal="center"/>
      <protection hidden="1"/>
    </xf>
    <xf numFmtId="164" fontId="132" fillId="0" borderId="15" xfId="1" applyNumberFormat="1" applyFont="1" applyFill="1" applyBorder="1" applyAlignment="1" applyProtection="1">
      <alignment horizontal="center"/>
      <protection hidden="1"/>
    </xf>
    <xf numFmtId="164" fontId="132" fillId="0" borderId="82" xfId="1" applyNumberFormat="1" applyFont="1" applyFill="1" applyBorder="1" applyAlignment="1" applyProtection="1">
      <alignment horizontal="center"/>
      <protection hidden="1"/>
    </xf>
    <xf numFmtId="164" fontId="132" fillId="0" borderId="17" xfId="1" applyNumberFormat="1" applyFont="1" applyFill="1" applyBorder="1" applyAlignment="1" applyProtection="1">
      <alignment horizontal="center"/>
      <protection hidden="1"/>
    </xf>
    <xf numFmtId="164" fontId="132" fillId="0" borderId="16" xfId="1" applyNumberFormat="1" applyFont="1" applyFill="1" applyBorder="1" applyAlignment="1" applyProtection="1">
      <alignment horizontal="center"/>
      <protection hidden="1"/>
    </xf>
    <xf numFmtId="164" fontId="132" fillId="0" borderId="82" xfId="1" applyNumberFormat="1" applyFont="1" applyFill="1" applyBorder="1" applyAlignment="1">
      <alignment horizontal="center"/>
    </xf>
    <xf numFmtId="166" fontId="132" fillId="0" borderId="53" xfId="0" applyNumberFormat="1" applyFont="1" applyBorder="1" applyAlignment="1" applyProtection="1">
      <alignment horizontal="center"/>
      <protection hidden="1"/>
    </xf>
    <xf numFmtId="164" fontId="132" fillId="0" borderId="15" xfId="1" applyNumberFormat="1" applyFont="1" applyFill="1" applyBorder="1" applyAlignment="1">
      <alignment horizontal="center"/>
    </xf>
    <xf numFmtId="0" fontId="132" fillId="0" borderId="53" xfId="0" applyFont="1" applyBorder="1" applyAlignment="1">
      <alignment horizontal="center"/>
    </xf>
    <xf numFmtId="0" fontId="132" fillId="0" borderId="15" xfId="0" applyFont="1" applyBorder="1" applyAlignment="1">
      <alignment horizontal="center"/>
    </xf>
    <xf numFmtId="0" fontId="132" fillId="0" borderId="82" xfId="0" applyFont="1" applyBorder="1" applyAlignment="1">
      <alignment horizontal="center"/>
    </xf>
    <xf numFmtId="0" fontId="132" fillId="0" borderId="15" xfId="0" applyFont="1" applyBorder="1"/>
    <xf numFmtId="166" fontId="132" fillId="0" borderId="15" xfId="0" applyNumberFormat="1" applyFont="1" applyBorder="1" applyAlignment="1" applyProtection="1">
      <alignment horizontal="center"/>
      <protection hidden="1"/>
    </xf>
    <xf numFmtId="166" fontId="132" fillId="0" borderId="82" xfId="0" applyNumberFormat="1" applyFont="1" applyBorder="1" applyAlignment="1" applyProtection="1">
      <alignment horizontal="center"/>
      <protection hidden="1"/>
    </xf>
    <xf numFmtId="166" fontId="132" fillId="0" borderId="17" xfId="0" applyNumberFormat="1" applyFont="1" applyBorder="1" applyAlignment="1" applyProtection="1">
      <alignment horizontal="center"/>
      <protection hidden="1"/>
    </xf>
    <xf numFmtId="0" fontId="132" fillId="0" borderId="8" xfId="0" applyFont="1" applyBorder="1" applyAlignment="1">
      <alignment horizontal="center"/>
    </xf>
    <xf numFmtId="164" fontId="132" fillId="0" borderId="83" xfId="1" applyNumberFormat="1" applyFont="1" applyFill="1" applyBorder="1" applyAlignment="1">
      <alignment horizontal="center"/>
    </xf>
    <xf numFmtId="164" fontId="132" fillId="0" borderId="69" xfId="1" applyNumberFormat="1" applyFont="1" applyFill="1" applyBorder="1" applyAlignment="1">
      <alignment horizontal="center"/>
    </xf>
    <xf numFmtId="164" fontId="132" fillId="0" borderId="84" xfId="1" applyNumberFormat="1" applyFont="1" applyFill="1" applyBorder="1" applyAlignment="1">
      <alignment horizontal="center"/>
    </xf>
    <xf numFmtId="164" fontId="132" fillId="0" borderId="85" xfId="1" applyNumberFormat="1" applyFont="1" applyFill="1" applyBorder="1" applyAlignment="1">
      <alignment horizontal="center"/>
    </xf>
    <xf numFmtId="164" fontId="132" fillId="0" borderId="51" xfId="1" applyNumberFormat="1" applyFont="1" applyFill="1" applyBorder="1" applyAlignment="1">
      <alignment horizontal="center"/>
    </xf>
    <xf numFmtId="164" fontId="132" fillId="0" borderId="69" xfId="1" applyNumberFormat="1" applyFont="1" applyFill="1" applyBorder="1"/>
    <xf numFmtId="164" fontId="132" fillId="0" borderId="84" xfId="1" applyNumberFormat="1" applyFont="1" applyFill="1" applyBorder="1"/>
    <xf numFmtId="166" fontId="132" fillId="0" borderId="83" xfId="0" applyNumberFormat="1" applyFont="1" applyBorder="1" applyAlignment="1">
      <alignment horizontal="center"/>
    </xf>
    <xf numFmtId="0" fontId="132" fillId="0" borderId="83" xfId="0" applyFont="1" applyBorder="1"/>
    <xf numFmtId="0" fontId="132" fillId="0" borderId="69" xfId="0" applyFont="1" applyBorder="1"/>
    <xf numFmtId="0" fontId="132" fillId="0" borderId="84" xfId="0" applyFont="1" applyBorder="1"/>
    <xf numFmtId="0" fontId="132" fillId="0" borderId="83" xfId="0" applyFont="1" applyBorder="1" applyAlignment="1">
      <alignment horizontal="center"/>
    </xf>
    <xf numFmtId="0" fontId="132" fillId="0" borderId="69" xfId="0" applyFont="1" applyBorder="1" applyAlignment="1">
      <alignment horizontal="center"/>
    </xf>
    <xf numFmtId="0" fontId="132" fillId="0" borderId="84" xfId="0" applyFont="1" applyBorder="1" applyAlignment="1">
      <alignment horizontal="center"/>
    </xf>
    <xf numFmtId="166" fontId="132" fillId="0" borderId="69" xfId="0" applyNumberFormat="1" applyFont="1" applyBorder="1" applyAlignment="1">
      <alignment horizontal="center"/>
    </xf>
    <xf numFmtId="166" fontId="132" fillId="0" borderId="84" xfId="0" applyNumberFormat="1" applyFont="1" applyBorder="1" applyAlignment="1">
      <alignment horizontal="center"/>
    </xf>
    <xf numFmtId="166" fontId="132" fillId="0" borderId="85" xfId="0" applyNumberFormat="1" applyFont="1" applyBorder="1" applyAlignment="1">
      <alignment horizontal="center"/>
    </xf>
    <xf numFmtId="0" fontId="132" fillId="0" borderId="3" xfId="0" applyFont="1" applyBorder="1"/>
    <xf numFmtId="0" fontId="132" fillId="0" borderId="0" xfId="0" applyFont="1"/>
    <xf numFmtId="166" fontId="134" fillId="0" borderId="0" xfId="0" applyNumberFormat="1" applyFont="1" applyAlignment="1">
      <alignment horizontal="center"/>
    </xf>
    <xf numFmtId="164" fontId="0" fillId="0" borderId="0" xfId="1" applyNumberFormat="1" applyFont="1" applyFill="1" applyAlignment="1">
      <alignment horizontal="center"/>
    </xf>
    <xf numFmtId="164" fontId="0" fillId="0" borderId="0" xfId="1" applyNumberFormat="1" applyFont="1" applyFill="1" applyBorder="1" applyAlignment="1">
      <alignment horizontal="center"/>
    </xf>
    <xf numFmtId="44" fontId="0" fillId="0" borderId="0" xfId="1" applyFont="1" applyFill="1"/>
    <xf numFmtId="44" fontId="0" fillId="0" borderId="0" xfId="1" applyFont="1" applyFill="1" applyAlignment="1">
      <alignment horizontal="center"/>
    </xf>
    <xf numFmtId="164" fontId="0" fillId="0" borderId="0" xfId="1" applyNumberFormat="1" applyFont="1" applyFill="1"/>
    <xf numFmtId="44" fontId="0" fillId="0" borderId="0" xfId="1" applyFont="1" applyFill="1" applyBorder="1" applyAlignment="1">
      <alignment horizontal="center"/>
    </xf>
    <xf numFmtId="44" fontId="0" fillId="0" borderId="0" xfId="1" applyFont="1" applyFill="1" applyBorder="1"/>
    <xf numFmtId="0" fontId="131" fillId="0" borderId="0" xfId="0" applyFont="1"/>
    <xf numFmtId="0" fontId="135" fillId="0" borderId="0" xfId="0" applyFont="1" applyAlignment="1">
      <alignment horizontal="center"/>
    </xf>
    <xf numFmtId="166" fontId="132" fillId="0" borderId="0" xfId="0" applyNumberFormat="1" applyFont="1" applyAlignment="1">
      <alignment horizontal="center"/>
    </xf>
    <xf numFmtId="0" fontId="136" fillId="0" borderId="0" xfId="0" applyFont="1"/>
    <xf numFmtId="0" fontId="136" fillId="0" borderId="0" xfId="0" applyFont="1" applyAlignment="1">
      <alignment horizontal="center"/>
    </xf>
    <xf numFmtId="166" fontId="136" fillId="0" borderId="0" xfId="0" applyNumberFormat="1" applyFont="1" applyAlignment="1">
      <alignment horizontal="center"/>
    </xf>
    <xf numFmtId="166" fontId="137" fillId="0" borderId="0" xfId="0" applyNumberFormat="1" applyFont="1" applyAlignment="1">
      <alignment horizontal="center"/>
    </xf>
    <xf numFmtId="166" fontId="136" fillId="0" borderId="0" xfId="0" applyNumberFormat="1" applyFont="1" applyAlignment="1" applyProtection="1">
      <alignment horizontal="center"/>
      <protection hidden="1"/>
    </xf>
    <xf numFmtId="44" fontId="132" fillId="0" borderId="0" xfId="1" applyFont="1" applyFill="1" applyBorder="1" applyAlignment="1">
      <alignment horizontal="center"/>
    </xf>
    <xf numFmtId="0" fontId="132" fillId="0" borderId="0" xfId="0" applyFont="1" applyAlignment="1">
      <alignment horizontal="center" vertical="center"/>
    </xf>
    <xf numFmtId="0" fontId="131" fillId="0" borderId="0" xfId="0" applyFont="1" applyAlignment="1">
      <alignment horizontal="center" vertical="center"/>
    </xf>
    <xf numFmtId="0" fontId="132" fillId="0" borderId="0" xfId="1" applyNumberFormat="1" applyFont="1" applyFill="1" applyBorder="1" applyAlignment="1">
      <alignment horizontal="center" vertical="center"/>
    </xf>
    <xf numFmtId="0" fontId="138" fillId="0" borderId="0" xfId="0" applyFont="1" applyAlignment="1">
      <alignment horizontal="center"/>
    </xf>
    <xf numFmtId="0" fontId="139" fillId="0" borderId="0" xfId="0" applyFont="1" applyAlignment="1">
      <alignment horizontal="center"/>
    </xf>
    <xf numFmtId="166" fontId="138" fillId="0" borderId="0" xfId="0" applyNumberFormat="1" applyFont="1" applyAlignment="1" applyProtection="1">
      <alignment horizontal="center"/>
      <protection hidden="1"/>
    </xf>
    <xf numFmtId="0" fontId="138" fillId="0" borderId="0" xfId="0" applyFont="1"/>
    <xf numFmtId="0" fontId="139" fillId="0" borderId="0" xfId="0" applyFont="1"/>
    <xf numFmtId="166" fontId="138" fillId="0" borderId="0" xfId="0" applyNumberFormat="1" applyFont="1" applyAlignment="1">
      <alignment horizontal="center"/>
    </xf>
    <xf numFmtId="44" fontId="138" fillId="0" borderId="0" xfId="1" applyFont="1" applyFill="1" applyBorder="1"/>
    <xf numFmtId="0" fontId="140" fillId="0" borderId="0" xfId="0" applyFont="1" applyAlignment="1">
      <alignment horizontal="center"/>
    </xf>
    <xf numFmtId="0" fontId="141" fillId="0" borderId="0" xfId="0" applyFont="1"/>
    <xf numFmtId="164" fontId="132" fillId="0" borderId="0" xfId="1" applyNumberFormat="1" applyFont="1" applyFill="1"/>
    <xf numFmtId="164" fontId="132" fillId="0" borderId="0" xfId="1" applyNumberFormat="1" applyFont="1" applyFill="1" applyBorder="1"/>
    <xf numFmtId="0" fontId="141" fillId="0" borderId="0" xfId="0" applyFont="1" applyAlignment="1">
      <alignment horizontal="center"/>
    </xf>
    <xf numFmtId="0" fontId="141" fillId="0" borderId="0" xfId="0" applyFont="1" applyAlignment="1">
      <alignment horizontal="center" vertical="center"/>
    </xf>
    <xf numFmtId="0" fontId="138" fillId="0" borderId="0" xfId="0" applyFont="1" applyAlignment="1">
      <alignment horizontal="center" wrapText="1"/>
    </xf>
    <xf numFmtId="0" fontId="139" fillId="0" borderId="0" xfId="0" applyFont="1" applyAlignment="1">
      <alignment horizontal="center" wrapText="1"/>
    </xf>
    <xf numFmtId="44" fontId="132" fillId="0" borderId="0" xfId="1" applyFont="1"/>
    <xf numFmtId="0" fontId="141" fillId="0" borderId="13" xfId="0" applyFont="1" applyBorder="1" applyAlignment="1">
      <alignment horizontal="center"/>
    </xf>
    <xf numFmtId="0" fontId="138" fillId="0" borderId="13" xfId="0" applyFont="1" applyBorder="1" applyAlignment="1">
      <alignment horizontal="center"/>
    </xf>
    <xf numFmtId="0" fontId="139" fillId="0" borderId="0" xfId="0" applyFont="1" applyAlignment="1">
      <alignment horizontal="left" vertical="center" wrapText="1" indent="1"/>
    </xf>
    <xf numFmtId="166" fontId="141" fillId="0" borderId="0" xfId="0" applyNumberFormat="1" applyFont="1" applyAlignment="1" applyProtection="1">
      <alignment horizontal="center"/>
      <protection hidden="1"/>
    </xf>
    <xf numFmtId="166" fontId="134" fillId="0" borderId="0" xfId="0" applyNumberFormat="1" applyFont="1" applyAlignment="1" applyProtection="1">
      <alignment horizontal="center"/>
      <protection hidden="1"/>
    </xf>
    <xf numFmtId="166" fontId="141" fillId="0" borderId="0" xfId="0" applyNumberFormat="1" applyFont="1" applyAlignment="1">
      <alignment horizontal="center"/>
    </xf>
    <xf numFmtId="0" fontId="128" fillId="0" borderId="0" xfId="0" applyFont="1"/>
    <xf numFmtId="1" fontId="0" fillId="0" borderId="0" xfId="0" applyNumberFormat="1" applyAlignment="1">
      <alignment horizontal="center"/>
    </xf>
    <xf numFmtId="0" fontId="142" fillId="0" borderId="0" xfId="0" applyFont="1"/>
    <xf numFmtId="0" fontId="143" fillId="0" borderId="0" xfId="0" applyFont="1"/>
    <xf numFmtId="44" fontId="0" fillId="0" borderId="0" xfId="1" applyFont="1" applyAlignment="1">
      <alignment horizontal="center"/>
    </xf>
    <xf numFmtId="164" fontId="0" fillId="0" borderId="0" xfId="1" applyNumberFormat="1" applyFont="1" applyBorder="1" applyAlignment="1">
      <alignment horizontal="center"/>
    </xf>
    <xf numFmtId="164" fontId="0" fillId="0" borderId="0" xfId="1" applyNumberFormat="1" applyFont="1" applyBorder="1"/>
    <xf numFmtId="164" fontId="0" fillId="0" borderId="0" xfId="1" applyNumberFormat="1" applyFont="1" applyFill="1" applyBorder="1"/>
    <xf numFmtId="164" fontId="144" fillId="0" borderId="0" xfId="1" applyNumberFormat="1" applyFont="1"/>
    <xf numFmtId="164" fontId="144" fillId="0" borderId="0" xfId="1" applyNumberFormat="1" applyFont="1" applyBorder="1"/>
    <xf numFmtId="0" fontId="145" fillId="0" borderId="0" xfId="0" applyFont="1" applyAlignment="1">
      <alignment horizontal="left" indent="1"/>
    </xf>
    <xf numFmtId="44" fontId="128" fillId="0" borderId="0" xfId="1" applyFont="1" applyAlignment="1">
      <alignment horizontal="left" indent="2"/>
    </xf>
    <xf numFmtId="164" fontId="144" fillId="0" borderId="0" xfId="1" applyNumberFormat="1" applyFont="1" applyFill="1" applyBorder="1"/>
    <xf numFmtId="44" fontId="0" fillId="0" borderId="0" xfId="1" applyFont="1" applyAlignment="1">
      <alignment horizontal="left" indent="2"/>
    </xf>
    <xf numFmtId="44" fontId="128" fillId="0" borderId="0" xfId="1" applyFont="1"/>
    <xf numFmtId="0" fontId="145" fillId="0" borderId="0" xfId="0" applyFont="1" applyAlignment="1">
      <alignment horizontal="center"/>
    </xf>
    <xf numFmtId="0" fontId="146" fillId="0" borderId="0" xfId="0" applyFont="1" applyAlignment="1">
      <alignment horizontal="center"/>
    </xf>
    <xf numFmtId="0" fontId="0" fillId="20" borderId="0" xfId="0" applyFill="1"/>
    <xf numFmtId="1" fontId="0" fillId="20" borderId="0" xfId="0" applyNumberFormat="1" applyFill="1" applyAlignment="1">
      <alignment horizontal="center"/>
    </xf>
    <xf numFmtId="164" fontId="0" fillId="20" borderId="0" xfId="1" applyNumberFormat="1" applyFont="1" applyFill="1"/>
    <xf numFmtId="164" fontId="144" fillId="20" borderId="0" xfId="1" applyNumberFormat="1" applyFont="1" applyFill="1" applyBorder="1"/>
    <xf numFmtId="0" fontId="0" fillId="0" borderId="0" xfId="0" applyAlignment="1">
      <alignment horizontal="left" indent="2"/>
    </xf>
    <xf numFmtId="0" fontId="19" fillId="5" borderId="0" xfId="0" applyFont="1" applyFill="1" applyAlignment="1">
      <alignment vertical="center"/>
    </xf>
    <xf numFmtId="7" fontId="19" fillId="6" borderId="20" xfId="0" applyNumberFormat="1" applyFont="1" applyFill="1" applyBorder="1" applyAlignment="1">
      <alignment horizontal="left" vertical="center"/>
    </xf>
    <xf numFmtId="0" fontId="19" fillId="3" borderId="26" xfId="0" applyFont="1" applyFill="1" applyBorder="1" applyAlignment="1">
      <alignment horizontal="left" vertical="center"/>
    </xf>
    <xf numFmtId="0" fontId="138" fillId="0" borderId="0" xfId="0" applyFont="1" applyAlignment="1">
      <alignment horizontal="left" vertical="center" wrapText="1" indent="1"/>
    </xf>
    <xf numFmtId="37" fontId="46" fillId="4" borderId="12" xfId="0" applyNumberFormat="1" applyFont="1" applyFill="1" applyBorder="1" applyAlignment="1">
      <alignment horizontal="left" vertical="center"/>
    </xf>
    <xf numFmtId="0" fontId="46" fillId="4" borderId="13" xfId="0" applyFont="1" applyFill="1" applyBorder="1" applyAlignment="1">
      <alignment vertical="center"/>
    </xf>
    <xf numFmtId="0" fontId="46" fillId="4" borderId="13" xfId="0" applyFont="1" applyFill="1" applyBorder="1" applyAlignment="1">
      <alignment horizontal="center" vertical="center"/>
    </xf>
    <xf numFmtId="0" fontId="46" fillId="4" borderId="13" xfId="0" applyFont="1" applyFill="1" applyBorder="1"/>
    <xf numFmtId="0" fontId="46" fillId="4" borderId="13" xfId="0" applyFont="1" applyFill="1" applyBorder="1" applyAlignment="1">
      <alignment horizontal="left" vertical="center"/>
    </xf>
    <xf numFmtId="44" fontId="46" fillId="4" borderId="15" xfId="0" applyNumberFormat="1" applyFont="1" applyFill="1" applyBorder="1" applyAlignment="1">
      <alignment horizontal="right" vertical="center"/>
    </xf>
    <xf numFmtId="0" fontId="46" fillId="4" borderId="13" xfId="0" applyFont="1" applyFill="1" applyBorder="1" applyAlignment="1">
      <alignment horizontal="center" vertical="center" wrapText="1"/>
    </xf>
    <xf numFmtId="44" fontId="20" fillId="3" borderId="20" xfId="2" applyNumberFormat="1" applyFont="1" applyFill="1" applyBorder="1" applyAlignment="1">
      <alignment vertical="center"/>
    </xf>
    <xf numFmtId="44" fontId="20" fillId="3" borderId="20" xfId="1" applyFont="1" applyFill="1" applyBorder="1" applyAlignment="1" applyProtection="1">
      <alignment vertical="center" wrapText="1"/>
      <protection locked="0"/>
    </xf>
    <xf numFmtId="0" fontId="95" fillId="4" borderId="13" xfId="0" applyFont="1" applyFill="1" applyBorder="1" applyAlignment="1">
      <alignment horizontal="center" vertical="center" wrapText="1"/>
    </xf>
    <xf numFmtId="44" fontId="24" fillId="4" borderId="16" xfId="0" applyNumberFormat="1" applyFont="1" applyFill="1" applyBorder="1" applyAlignment="1">
      <alignment horizontal="right" vertical="center"/>
    </xf>
    <xf numFmtId="44" fontId="46" fillId="4" borderId="16" xfId="0" applyNumberFormat="1" applyFont="1" applyFill="1" applyBorder="1" applyAlignment="1">
      <alignment horizontal="right" vertical="center"/>
    </xf>
    <xf numFmtId="44" fontId="17" fillId="3" borderId="28" xfId="1" applyFont="1" applyFill="1" applyBorder="1" applyAlignment="1">
      <alignment horizontal="left" vertical="center"/>
    </xf>
    <xf numFmtId="44" fontId="17" fillId="3" borderId="28" xfId="1" applyFont="1" applyFill="1" applyBorder="1" applyAlignment="1">
      <alignment horizontal="left"/>
    </xf>
    <xf numFmtId="37" fontId="17" fillId="4" borderId="12" xfId="0" applyNumberFormat="1" applyFont="1" applyFill="1" applyBorder="1" applyAlignment="1">
      <alignment horizontal="center" vertical="center"/>
    </xf>
    <xf numFmtId="0" fontId="17" fillId="4" borderId="13" xfId="0" applyFont="1" applyFill="1" applyBorder="1" applyAlignment="1">
      <alignment horizontal="center" vertical="center"/>
    </xf>
    <xf numFmtId="0" fontId="17" fillId="4" borderId="13" xfId="0" applyFont="1" applyFill="1" applyBorder="1" applyAlignment="1">
      <alignment horizontal="center"/>
    </xf>
    <xf numFmtId="44" fontId="17" fillId="4" borderId="16" xfId="0" applyNumberFormat="1" applyFont="1" applyFill="1" applyBorder="1" applyAlignment="1">
      <alignment horizontal="center" vertical="center"/>
    </xf>
    <xf numFmtId="44" fontId="17" fillId="4" borderId="15" xfId="0" applyNumberFormat="1" applyFont="1" applyFill="1" applyBorder="1" applyAlignment="1">
      <alignment horizontal="center" vertical="center"/>
    </xf>
    <xf numFmtId="37" fontId="95" fillId="4" borderId="12" xfId="0" applyNumberFormat="1" applyFont="1" applyFill="1" applyBorder="1" applyAlignment="1">
      <alignment horizontal="left" vertical="center" wrapText="1"/>
    </xf>
    <xf numFmtId="0" fontId="95" fillId="4" borderId="13" xfId="0" applyFont="1" applyFill="1" applyBorder="1" applyAlignment="1">
      <alignment wrapText="1"/>
    </xf>
    <xf numFmtId="0" fontId="95" fillId="4" borderId="13" xfId="0" applyFont="1" applyFill="1" applyBorder="1" applyAlignment="1">
      <alignment vertical="center" wrapText="1"/>
    </xf>
    <xf numFmtId="0" fontId="95" fillId="4" borderId="13" xfId="0" applyFont="1" applyFill="1" applyBorder="1" applyAlignment="1">
      <alignment horizontal="left" vertical="center" wrapText="1"/>
    </xf>
    <xf numFmtId="44" fontId="95" fillId="4" borderId="15" xfId="0" applyNumberFormat="1" applyFont="1" applyFill="1" applyBorder="1" applyAlignment="1">
      <alignment horizontal="right" vertical="center" wrapText="1"/>
    </xf>
    <xf numFmtId="44" fontId="95" fillId="4" borderId="13" xfId="0" applyNumberFormat="1" applyFont="1" applyFill="1" applyBorder="1" applyAlignment="1">
      <alignment horizontal="right" vertical="center" wrapText="1"/>
    </xf>
    <xf numFmtId="14" fontId="15" fillId="2" borderId="0" xfId="0" applyNumberFormat="1" applyFont="1" applyFill="1" applyAlignment="1">
      <alignment vertical="center" wrapText="1"/>
    </xf>
    <xf numFmtId="0" fontId="150" fillId="2" borderId="0" xfId="0" applyFont="1" applyFill="1" applyAlignment="1">
      <alignment vertical="center" wrapText="1"/>
    </xf>
    <xf numFmtId="0" fontId="15" fillId="2" borderId="13" xfId="0" applyFont="1" applyFill="1" applyBorder="1" applyAlignment="1">
      <alignment vertical="center" wrapText="1"/>
    </xf>
    <xf numFmtId="0" fontId="151" fillId="0" borderId="0" xfId="0" applyFont="1"/>
    <xf numFmtId="0" fontId="152" fillId="3" borderId="0" xfId="0" applyFont="1" applyFill="1" applyAlignment="1">
      <alignment horizontal="right" indent="1"/>
    </xf>
    <xf numFmtId="0" fontId="147" fillId="3" borderId="0" xfId="0" applyFont="1" applyFill="1"/>
    <xf numFmtId="0" fontId="0" fillId="3" borderId="0" xfId="0" applyFill="1" applyAlignment="1">
      <alignment horizontal="right" vertical="center"/>
    </xf>
    <xf numFmtId="0" fontId="152" fillId="3" borderId="0" xfId="0" applyFont="1" applyFill="1" applyAlignment="1">
      <alignment horizontal="right" vertical="center" indent="1"/>
    </xf>
    <xf numFmtId="0" fontId="147" fillId="3" borderId="0" xfId="0" applyFont="1" applyFill="1" applyAlignment="1">
      <alignment vertical="center" wrapText="1"/>
    </xf>
    <xf numFmtId="0" fontId="153" fillId="3" borderId="0" xfId="0" applyFont="1" applyFill="1"/>
    <xf numFmtId="44" fontId="45" fillId="3" borderId="15" xfId="0" applyNumberFormat="1" applyFont="1" applyFill="1" applyBorder="1" applyAlignment="1">
      <alignment horizontal="right" vertical="center"/>
    </xf>
    <xf numFmtId="0" fontId="0" fillId="0" borderId="0" xfId="0" applyAlignment="1">
      <alignment horizontal="right" vertical="center" wrapText="1"/>
    </xf>
    <xf numFmtId="0" fontId="0" fillId="0" borderId="0" xfId="0" applyAlignment="1">
      <alignment horizontal="left" vertical="center" wrapText="1" indent="1"/>
    </xf>
    <xf numFmtId="0" fontId="145" fillId="0" borderId="0" xfId="0" applyFont="1" applyAlignment="1">
      <alignment horizontal="left"/>
    </xf>
    <xf numFmtId="0" fontId="0" fillId="20" borderId="0" xfId="0" applyFill="1" applyAlignment="1">
      <alignment horizontal="center"/>
    </xf>
    <xf numFmtId="0" fontId="0" fillId="0" borderId="86" xfId="0" applyBorder="1"/>
    <xf numFmtId="0" fontId="132" fillId="0" borderId="86" xfId="0" applyFont="1" applyBorder="1"/>
    <xf numFmtId="164" fontId="132" fillId="0" borderId="86" xfId="1" applyNumberFormat="1" applyFont="1" applyFill="1" applyBorder="1"/>
    <xf numFmtId="166" fontId="138" fillId="21" borderId="0" xfId="0" applyNumberFormat="1" applyFont="1" applyFill="1" applyAlignment="1">
      <alignment horizontal="center"/>
    </xf>
    <xf numFmtId="0" fontId="138" fillId="21" borderId="0" xfId="0" applyFont="1" applyFill="1"/>
    <xf numFmtId="0" fontId="0" fillId="21" borderId="0" xfId="0" applyFill="1"/>
    <xf numFmtId="164" fontId="132" fillId="0" borderId="86" xfId="1" applyNumberFormat="1" applyFont="1" applyFill="1" applyBorder="1" applyAlignment="1">
      <alignment wrapText="1"/>
    </xf>
    <xf numFmtId="0" fontId="0" fillId="22" borderId="78" xfId="0" applyFill="1" applyBorder="1" applyAlignment="1">
      <alignment horizontal="center" vertical="center"/>
    </xf>
    <xf numFmtId="0" fontId="0" fillId="22" borderId="79" xfId="0" applyFill="1" applyBorder="1" applyAlignment="1">
      <alignment horizontal="center" vertical="center"/>
    </xf>
    <xf numFmtId="0" fontId="0" fillId="22" borderId="80" xfId="0" applyFill="1" applyBorder="1" applyAlignment="1">
      <alignment horizontal="center" vertical="center"/>
    </xf>
    <xf numFmtId="166" fontId="132" fillId="22" borderId="54" xfId="0" applyNumberFormat="1" applyFont="1" applyFill="1" applyBorder="1" applyAlignment="1" applyProtection="1">
      <alignment horizontal="center"/>
      <protection hidden="1"/>
    </xf>
    <xf numFmtId="164" fontId="132" fillId="22" borderId="12" xfId="1" applyNumberFormat="1" applyFont="1" applyFill="1" applyBorder="1" applyAlignment="1" applyProtection="1">
      <alignment horizontal="center"/>
      <protection hidden="1"/>
    </xf>
    <xf numFmtId="164" fontId="132" fillId="22" borderId="81" xfId="1" applyNumberFormat="1" applyFont="1" applyFill="1" applyBorder="1" applyAlignment="1" applyProtection="1">
      <alignment horizontal="center"/>
      <protection hidden="1"/>
    </xf>
    <xf numFmtId="166" fontId="132" fillId="22" borderId="53" xfId="0" applyNumberFormat="1" applyFont="1" applyFill="1" applyBorder="1" applyAlignment="1" applyProtection="1">
      <alignment horizontal="center"/>
      <protection hidden="1"/>
    </xf>
    <xf numFmtId="164" fontId="132" fillId="22" borderId="15" xfId="1" applyNumberFormat="1" applyFont="1" applyFill="1" applyBorder="1" applyAlignment="1" applyProtection="1">
      <alignment horizontal="center"/>
      <protection hidden="1"/>
    </xf>
    <xf numFmtId="164" fontId="132" fillId="22" borderId="82" xfId="1" applyNumberFormat="1" applyFont="1" applyFill="1" applyBorder="1" applyAlignment="1" applyProtection="1">
      <alignment horizontal="center"/>
      <protection hidden="1"/>
    </xf>
    <xf numFmtId="166" fontId="132" fillId="22" borderId="83" xfId="0" applyNumberFormat="1" applyFont="1" applyFill="1" applyBorder="1" applyAlignment="1">
      <alignment horizontal="center"/>
    </xf>
    <xf numFmtId="164" fontId="132" fillId="22" borderId="69" xfId="1" applyNumberFormat="1" applyFont="1" applyFill="1" applyBorder="1" applyAlignment="1">
      <alignment horizontal="center"/>
    </xf>
    <xf numFmtId="164" fontId="132" fillId="22" borderId="84" xfId="1" applyNumberFormat="1" applyFont="1" applyFill="1" applyBorder="1"/>
    <xf numFmtId="44" fontId="19" fillId="3" borderId="20" xfId="0" applyNumberFormat="1" applyFont="1" applyFill="1" applyBorder="1" applyAlignment="1">
      <alignment horizontal="left" vertical="center"/>
    </xf>
    <xf numFmtId="44" fontId="19" fillId="3" borderId="0" xfId="0" applyNumberFormat="1" applyFont="1" applyFill="1" applyAlignment="1">
      <alignment horizontal="left" vertical="center"/>
    </xf>
    <xf numFmtId="10" fontId="19" fillId="3" borderId="0" xfId="2" applyNumberFormat="1" applyFont="1" applyFill="1" applyBorder="1" applyAlignment="1">
      <alignment vertical="center"/>
    </xf>
    <xf numFmtId="0" fontId="33" fillId="5" borderId="0" xfId="0" applyFont="1" applyFill="1" applyAlignment="1">
      <alignment vertical="center"/>
    </xf>
    <xf numFmtId="44" fontId="33" fillId="5" borderId="0" xfId="1" applyFont="1" applyFill="1" applyBorder="1" applyAlignment="1">
      <alignment vertical="center"/>
    </xf>
    <xf numFmtId="49" fontId="33" fillId="5" borderId="0" xfId="1" applyNumberFormat="1" applyFont="1" applyFill="1" applyBorder="1" applyAlignment="1">
      <alignment vertical="center"/>
    </xf>
    <xf numFmtId="9" fontId="33" fillId="5" borderId="0" xfId="2" applyFont="1" applyFill="1" applyBorder="1" applyAlignment="1">
      <alignment vertical="center"/>
    </xf>
    <xf numFmtId="10" fontId="33" fillId="5" borderId="0" xfId="2" applyNumberFormat="1" applyFont="1" applyFill="1" applyBorder="1" applyAlignment="1">
      <alignment vertical="center"/>
    </xf>
    <xf numFmtId="9" fontId="33" fillId="5" borderId="0" xfId="2" applyFont="1" applyFill="1" applyBorder="1" applyAlignment="1" applyProtection="1">
      <alignment vertical="center" wrapText="1"/>
      <protection locked="0"/>
    </xf>
    <xf numFmtId="44" fontId="33" fillId="5" borderId="0" xfId="2" applyNumberFormat="1" applyFont="1" applyFill="1" applyBorder="1" applyAlignment="1">
      <alignment vertical="center"/>
    </xf>
    <xf numFmtId="0" fontId="19" fillId="3" borderId="8" xfId="0" applyFont="1" applyFill="1" applyBorder="1" applyAlignment="1">
      <alignment horizontal="left" vertical="center"/>
    </xf>
    <xf numFmtId="0" fontId="19" fillId="6" borderId="0" xfId="0" applyFont="1" applyFill="1" applyAlignment="1">
      <alignment horizontal="left" vertical="center"/>
    </xf>
    <xf numFmtId="44" fontId="19" fillId="3" borderId="34" xfId="1" applyFont="1" applyFill="1" applyBorder="1" applyAlignment="1">
      <alignment vertical="center"/>
    </xf>
    <xf numFmtId="44" fontId="20" fillId="0" borderId="29" xfId="1" applyFont="1" applyFill="1" applyBorder="1" applyAlignment="1">
      <alignment vertical="center"/>
    </xf>
    <xf numFmtId="44" fontId="44" fillId="3" borderId="29" xfId="1" applyFont="1" applyFill="1" applyBorder="1" applyAlignment="1">
      <alignment vertical="center"/>
    </xf>
    <xf numFmtId="44" fontId="19" fillId="3" borderId="28" xfId="1" applyFont="1" applyFill="1" applyBorder="1"/>
    <xf numFmtId="44" fontId="19" fillId="3" borderId="17" xfId="1" applyFont="1" applyFill="1" applyBorder="1" applyAlignment="1">
      <alignment vertical="center"/>
    </xf>
    <xf numFmtId="44" fontId="49" fillId="3" borderId="28" xfId="1" applyFont="1" applyFill="1" applyBorder="1" applyAlignment="1">
      <alignment vertical="center"/>
    </xf>
    <xf numFmtId="44" fontId="44" fillId="3" borderId="28" xfId="1" applyFont="1" applyFill="1" applyBorder="1" applyAlignment="1">
      <alignment vertical="center"/>
    </xf>
    <xf numFmtId="44" fontId="19" fillId="3" borderId="13" xfId="1" applyFont="1" applyFill="1" applyBorder="1" applyAlignment="1">
      <alignment vertical="center"/>
    </xf>
    <xf numFmtId="0" fontId="19" fillId="3" borderId="22" xfId="0" applyFont="1" applyFill="1" applyBorder="1" applyAlignment="1">
      <alignment vertical="center"/>
    </xf>
    <xf numFmtId="9" fontId="19" fillId="3" borderId="12" xfId="2" applyFont="1" applyFill="1" applyBorder="1" applyAlignment="1">
      <alignment vertical="center"/>
    </xf>
    <xf numFmtId="9" fontId="19" fillId="3" borderId="15" xfId="2" applyFont="1" applyFill="1" applyBorder="1" applyAlignment="1">
      <alignment vertical="center"/>
    </xf>
    <xf numFmtId="0" fontId="19" fillId="3" borderId="20" xfId="0" applyFont="1" applyFill="1" applyBorder="1" applyAlignment="1">
      <alignment vertical="center"/>
    </xf>
    <xf numFmtId="44" fontId="19" fillId="3" borderId="15" xfId="1" applyFont="1" applyFill="1" applyBorder="1" applyAlignment="1">
      <alignment vertical="center"/>
    </xf>
    <xf numFmtId="44" fontId="44" fillId="3" borderId="14" xfId="1" applyFont="1" applyFill="1" applyBorder="1" applyAlignment="1">
      <alignment vertical="center"/>
    </xf>
    <xf numFmtId="44" fontId="19" fillId="5" borderId="27" xfId="1" applyFont="1" applyFill="1" applyBorder="1" applyAlignment="1">
      <alignment vertical="center"/>
    </xf>
    <xf numFmtId="44" fontId="19" fillId="5" borderId="12" xfId="1" applyFont="1" applyFill="1" applyBorder="1" applyAlignment="1">
      <alignment vertical="center"/>
    </xf>
    <xf numFmtId="44" fontId="44" fillId="3" borderId="22" xfId="0" applyNumberFormat="1" applyFont="1" applyFill="1" applyBorder="1" applyAlignment="1">
      <alignment vertical="center"/>
    </xf>
    <xf numFmtId="44" fontId="44" fillId="3" borderId="20" xfId="0" applyNumberFormat="1" applyFont="1" applyFill="1" applyBorder="1" applyAlignment="1">
      <alignment vertical="center"/>
    </xf>
    <xf numFmtId="44" fontId="19" fillId="3" borderId="22" xfId="2" applyNumberFormat="1" applyFont="1" applyFill="1" applyBorder="1" applyAlignment="1" applyProtection="1">
      <alignment vertical="center" wrapText="1"/>
      <protection locked="0"/>
    </xf>
    <xf numFmtId="44" fontId="19" fillId="3" borderId="12" xfId="0" applyNumberFormat="1" applyFont="1" applyFill="1" applyBorder="1" applyAlignment="1">
      <alignment horizontal="left" vertical="center"/>
    </xf>
    <xf numFmtId="10" fontId="19" fillId="3" borderId="22" xfId="2" applyNumberFormat="1" applyFont="1" applyFill="1" applyBorder="1" applyAlignment="1">
      <alignment vertical="center"/>
    </xf>
    <xf numFmtId="10" fontId="44" fillId="3" borderId="22" xfId="2" applyNumberFormat="1" applyFont="1" applyFill="1" applyBorder="1" applyAlignment="1">
      <alignment vertical="center"/>
    </xf>
    <xf numFmtId="9" fontId="19" fillId="3" borderId="20" xfId="2" applyFont="1" applyFill="1" applyBorder="1" applyAlignment="1">
      <alignment horizontal="left" vertical="center"/>
    </xf>
    <xf numFmtId="10" fontId="19" fillId="3" borderId="47" xfId="2" applyNumberFormat="1" applyFont="1" applyFill="1" applyBorder="1" applyAlignment="1">
      <alignment vertical="center"/>
    </xf>
    <xf numFmtId="10" fontId="44" fillId="3" borderId="20" xfId="2" applyNumberFormat="1" applyFont="1" applyFill="1" applyBorder="1" applyAlignment="1">
      <alignment vertical="center"/>
    </xf>
    <xf numFmtId="10" fontId="19" fillId="6" borderId="0" xfId="2" applyNumberFormat="1" applyFont="1" applyFill="1" applyBorder="1" applyAlignment="1">
      <alignment vertical="center"/>
    </xf>
    <xf numFmtId="9" fontId="19" fillId="3" borderId="12" xfId="2" applyFont="1" applyFill="1" applyBorder="1" applyAlignment="1">
      <alignment horizontal="left" vertical="center"/>
    </xf>
    <xf numFmtId="7" fontId="19" fillId="3" borderId="27" xfId="0" applyNumberFormat="1" applyFont="1" applyFill="1" applyBorder="1" applyAlignment="1">
      <alignment horizontal="left" vertical="center"/>
    </xf>
    <xf numFmtId="10" fontId="19" fillId="6" borderId="22" xfId="2" applyNumberFormat="1" applyFont="1" applyFill="1" applyBorder="1" applyAlignment="1">
      <alignment vertical="center"/>
    </xf>
    <xf numFmtId="9" fontId="19" fillId="6" borderId="20" xfId="2" applyFont="1" applyFill="1" applyBorder="1" applyAlignment="1">
      <alignment horizontal="left" vertical="center"/>
    </xf>
    <xf numFmtId="10" fontId="19" fillId="3" borderId="15" xfId="2" applyNumberFormat="1" applyFont="1" applyFill="1" applyBorder="1" applyAlignment="1">
      <alignment vertical="center"/>
    </xf>
    <xf numFmtId="10" fontId="19" fillId="3" borderId="43" xfId="2" applyNumberFormat="1" applyFont="1" applyFill="1" applyBorder="1" applyAlignment="1">
      <alignment vertical="center"/>
    </xf>
    <xf numFmtId="10" fontId="19" fillId="3" borderId="33" xfId="2" applyNumberFormat="1" applyFont="1" applyFill="1" applyBorder="1" applyAlignment="1">
      <alignment vertical="center"/>
    </xf>
    <xf numFmtId="0" fontId="19" fillId="3" borderId="15" xfId="0" applyFont="1" applyFill="1" applyBorder="1" applyAlignment="1">
      <alignment horizontal="left" vertical="center"/>
    </xf>
    <xf numFmtId="0" fontId="19" fillId="23" borderId="0" xfId="0" applyFont="1" applyFill="1" applyAlignment="1">
      <alignment vertical="center"/>
    </xf>
    <xf numFmtId="44" fontId="19" fillId="6" borderId="17" xfId="1" applyFont="1" applyFill="1" applyBorder="1" applyAlignment="1">
      <alignment vertical="center"/>
    </xf>
    <xf numFmtId="0" fontId="19" fillId="6" borderId="15" xfId="0" applyFont="1" applyFill="1" applyBorder="1" applyAlignment="1">
      <alignment horizontal="left" vertical="center"/>
    </xf>
    <xf numFmtId="0" fontId="20" fillId="6" borderId="20" xfId="0" applyFont="1" applyFill="1" applyBorder="1" applyAlignment="1">
      <alignment horizontal="left" vertical="center"/>
    </xf>
    <xf numFmtId="7" fontId="19" fillId="3" borderId="15" xfId="0" applyNumberFormat="1" applyFont="1" applyFill="1" applyBorder="1" applyAlignment="1">
      <alignment horizontal="left" vertical="center"/>
    </xf>
    <xf numFmtId="10" fontId="19" fillId="6" borderId="15" xfId="2" applyNumberFormat="1" applyFont="1" applyFill="1" applyBorder="1" applyAlignment="1">
      <alignment vertical="center"/>
    </xf>
    <xf numFmtId="44" fontId="19" fillId="3" borderId="29" xfId="1" applyFont="1" applyFill="1" applyBorder="1"/>
    <xf numFmtId="44" fontId="44" fillId="3" borderId="28" xfId="1" applyFont="1" applyFill="1" applyBorder="1"/>
    <xf numFmtId="44" fontId="20" fillId="6" borderId="0" xfId="1" applyFont="1" applyFill="1" applyBorder="1"/>
    <xf numFmtId="44" fontId="44" fillId="3" borderId="46" xfId="1" applyFont="1" applyFill="1" applyBorder="1"/>
    <xf numFmtId="44" fontId="44" fillId="3" borderId="29" xfId="1" applyFont="1" applyFill="1" applyBorder="1"/>
    <xf numFmtId="44" fontId="52" fillId="23" borderId="14" xfId="1" applyFont="1" applyFill="1" applyBorder="1" applyAlignment="1">
      <alignment vertical="center"/>
    </xf>
    <xf numFmtId="49" fontId="49" fillId="3" borderId="32" xfId="1" applyNumberFormat="1" applyFont="1" applyFill="1" applyBorder="1" applyAlignment="1">
      <alignment vertical="center"/>
    </xf>
    <xf numFmtId="44" fontId="19" fillId="3" borderId="20" xfId="0" applyNumberFormat="1" applyFont="1" applyFill="1" applyBorder="1" applyAlignment="1">
      <alignment vertical="center"/>
    </xf>
    <xf numFmtId="10" fontId="20" fillId="0" borderId="22" xfId="2" applyNumberFormat="1" applyFont="1" applyFill="1" applyBorder="1" applyAlignment="1">
      <alignment vertical="center"/>
    </xf>
    <xf numFmtId="9" fontId="20" fillId="6" borderId="20" xfId="2" applyFont="1" applyFill="1" applyBorder="1" applyAlignment="1">
      <alignment horizontal="left" vertical="center"/>
    </xf>
    <xf numFmtId="44" fontId="44" fillId="3" borderId="47" xfId="0" applyNumberFormat="1" applyFont="1" applyFill="1" applyBorder="1" applyAlignment="1">
      <alignment vertical="center"/>
    </xf>
    <xf numFmtId="44" fontId="52" fillId="23" borderId="12" xfId="2" applyNumberFormat="1" applyFont="1" applyFill="1" applyBorder="1" applyAlignment="1">
      <alignment vertical="center"/>
    </xf>
    <xf numFmtId="44" fontId="44" fillId="3" borderId="12" xfId="0" applyNumberFormat="1" applyFont="1" applyFill="1" applyBorder="1" applyAlignment="1">
      <alignment vertical="center"/>
    </xf>
    <xf numFmtId="7" fontId="19" fillId="3" borderId="47" xfId="0" applyNumberFormat="1" applyFont="1" applyFill="1" applyBorder="1" applyAlignment="1">
      <alignment horizontal="left" vertical="center"/>
    </xf>
    <xf numFmtId="7" fontId="19" fillId="6" borderId="27" xfId="0" applyNumberFormat="1" applyFont="1" applyFill="1" applyBorder="1" applyAlignment="1">
      <alignment horizontal="left" vertical="center"/>
    </xf>
    <xf numFmtId="7" fontId="19" fillId="3" borderId="0" xfId="0" applyNumberFormat="1" applyFont="1" applyFill="1" applyAlignment="1">
      <alignment horizontal="left" vertical="center"/>
    </xf>
    <xf numFmtId="10" fontId="44" fillId="3" borderId="12" xfId="2" applyNumberFormat="1" applyFont="1" applyFill="1" applyBorder="1" applyAlignment="1">
      <alignment vertical="center"/>
    </xf>
    <xf numFmtId="9" fontId="52" fillId="23" borderId="12" xfId="2" applyFont="1" applyFill="1" applyBorder="1" applyAlignment="1" applyProtection="1">
      <alignment vertical="center" wrapText="1"/>
      <protection locked="0"/>
    </xf>
    <xf numFmtId="0" fontId="20" fillId="6" borderId="27" xfId="0" applyFont="1" applyFill="1" applyBorder="1" applyAlignment="1">
      <alignment horizontal="left" vertical="center"/>
    </xf>
    <xf numFmtId="44" fontId="49" fillId="3" borderId="32" xfId="1" applyFont="1" applyFill="1" applyBorder="1" applyAlignment="1">
      <alignment vertical="center"/>
    </xf>
    <xf numFmtId="44" fontId="158" fillId="3" borderId="32" xfId="1" applyFont="1" applyFill="1" applyBorder="1" applyAlignment="1">
      <alignment vertical="center"/>
    </xf>
    <xf numFmtId="9" fontId="153" fillId="3" borderId="33" xfId="2" applyFont="1" applyFill="1" applyBorder="1" applyAlignment="1" applyProtection="1">
      <alignment horizontal="left" vertical="center" wrapText="1"/>
      <protection locked="0"/>
    </xf>
    <xf numFmtId="0" fontId="160" fillId="0" borderId="0" xfId="0" applyFont="1" applyAlignment="1">
      <alignment horizontal="left" vertical="center"/>
    </xf>
    <xf numFmtId="0" fontId="159" fillId="2" borderId="0" xfId="0" applyFont="1" applyFill="1" applyAlignment="1">
      <alignment horizontal="left" vertical="center" wrapText="1"/>
    </xf>
    <xf numFmtId="0" fontId="159" fillId="2" borderId="13" xfId="0" applyFont="1" applyFill="1" applyBorder="1" applyAlignment="1">
      <alignment horizontal="left" vertical="center"/>
    </xf>
    <xf numFmtId="44" fontId="19" fillId="5" borderId="32" xfId="1" applyFont="1" applyFill="1" applyBorder="1" applyAlignment="1">
      <alignment vertical="center"/>
    </xf>
    <xf numFmtId="10" fontId="19" fillId="5" borderId="26" xfId="2" applyNumberFormat="1" applyFont="1" applyFill="1" applyBorder="1" applyAlignment="1">
      <alignment vertical="center"/>
    </xf>
    <xf numFmtId="0" fontId="19" fillId="5" borderId="33" xfId="0" applyFont="1" applyFill="1" applyBorder="1" applyAlignment="1">
      <alignment vertical="center"/>
    </xf>
    <xf numFmtId="0" fontId="23" fillId="3" borderId="96" xfId="0" applyFont="1" applyFill="1" applyBorder="1" applyAlignment="1">
      <alignment horizontal="center" vertical="center" wrapText="1"/>
    </xf>
    <xf numFmtId="44" fontId="20" fillId="0" borderId="22" xfId="2" applyNumberFormat="1" applyFont="1" applyFill="1" applyBorder="1" applyAlignment="1" applyProtection="1">
      <alignment vertical="center" wrapText="1"/>
      <protection locked="0"/>
    </xf>
    <xf numFmtId="9" fontId="20" fillId="0" borderId="22" xfId="2" applyFont="1" applyBorder="1" applyAlignment="1">
      <alignment vertical="center"/>
    </xf>
    <xf numFmtId="0" fontId="12" fillId="2" borderId="0" xfId="0" applyFont="1" applyFill="1"/>
    <xf numFmtId="0" fontId="148" fillId="0" borderId="0" xfId="0" applyFont="1"/>
    <xf numFmtId="164" fontId="0" fillId="10" borderId="0" xfId="1" applyNumberFormat="1" applyFont="1" applyFill="1"/>
    <xf numFmtId="0" fontId="23" fillId="3" borderId="2" xfId="0" applyFont="1" applyFill="1" applyBorder="1" applyAlignment="1">
      <alignment horizontal="left" vertical="center" wrapText="1" indent="1"/>
    </xf>
    <xf numFmtId="0" fontId="16" fillId="3" borderId="0" xfId="0" applyFont="1" applyFill="1" applyAlignment="1">
      <alignment horizontal="left" vertical="center"/>
    </xf>
    <xf numFmtId="0" fontId="17" fillId="3" borderId="0" xfId="0" applyFont="1" applyFill="1" applyAlignment="1">
      <alignment vertical="center"/>
    </xf>
    <xf numFmtId="44" fontId="16" fillId="3" borderId="0" xfId="1" applyFont="1" applyFill="1" applyAlignment="1">
      <alignment vertical="center"/>
    </xf>
    <xf numFmtId="10" fontId="16" fillId="3" borderId="0" xfId="2" applyNumberFormat="1" applyFont="1" applyFill="1" applyAlignment="1">
      <alignment vertical="center"/>
    </xf>
    <xf numFmtId="0" fontId="147" fillId="3" borderId="0" xfId="0" applyFont="1" applyFill="1" applyAlignment="1">
      <alignment vertical="center"/>
    </xf>
    <xf numFmtId="0" fontId="0" fillId="25" borderId="0" xfId="0" applyFill="1"/>
    <xf numFmtId="0" fontId="128" fillId="25" borderId="0" xfId="0" applyFont="1" applyFill="1" applyAlignment="1">
      <alignment horizontal="right"/>
    </xf>
    <xf numFmtId="0" fontId="0" fillId="25" borderId="0" xfId="0" applyFill="1" applyAlignment="1">
      <alignment vertical="center" wrapText="1"/>
    </xf>
    <xf numFmtId="0" fontId="129" fillId="25" borderId="73" xfId="0" applyFont="1" applyFill="1" applyBorder="1"/>
    <xf numFmtId="0" fontId="129" fillId="25" borderId="38" xfId="0" applyFont="1" applyFill="1" applyBorder="1"/>
    <xf numFmtId="0" fontId="129" fillId="25" borderId="37" xfId="0" applyFont="1" applyFill="1" applyBorder="1"/>
    <xf numFmtId="0" fontId="0" fillId="25" borderId="0" xfId="0" applyFill="1" applyAlignment="1">
      <alignment horizontal="left" vertical="center"/>
    </xf>
    <xf numFmtId="0" fontId="128" fillId="25" borderId="0" xfId="0" applyFont="1" applyFill="1" applyAlignment="1">
      <alignment horizontal="right" vertical="center" wrapText="1"/>
    </xf>
    <xf numFmtId="0" fontId="0" fillId="25" borderId="0" xfId="0" applyFill="1" applyAlignment="1">
      <alignment horizontal="center" vertical="center"/>
    </xf>
    <xf numFmtId="0" fontId="0" fillId="25" borderId="78" xfId="0" applyFill="1" applyBorder="1" applyAlignment="1">
      <alignment horizontal="center" vertical="center"/>
    </xf>
    <xf numFmtId="0" fontId="0" fillId="25" borderId="79" xfId="0" applyFill="1" applyBorder="1" applyAlignment="1">
      <alignment horizontal="center" vertical="center"/>
    </xf>
    <xf numFmtId="0" fontId="0" fillId="25" borderId="80" xfId="0" applyFill="1" applyBorder="1" applyAlignment="1">
      <alignment horizontal="center" vertical="center"/>
    </xf>
    <xf numFmtId="0" fontId="0" fillId="25" borderId="72" xfId="0" applyFill="1" applyBorder="1" applyAlignment="1">
      <alignment horizontal="center" vertical="center"/>
    </xf>
    <xf numFmtId="0" fontId="0" fillId="25" borderId="73" xfId="0" applyFill="1" applyBorder="1" applyAlignment="1">
      <alignment horizontal="center" vertical="center"/>
    </xf>
    <xf numFmtId="0" fontId="132" fillId="25" borderId="0" xfId="0" applyFont="1" applyFill="1" applyAlignment="1">
      <alignment horizontal="center"/>
    </xf>
    <xf numFmtId="164" fontId="132" fillId="25" borderId="54" xfId="1" applyNumberFormat="1" applyFont="1" applyFill="1" applyBorder="1" applyAlignment="1" applyProtection="1">
      <alignment horizontal="center"/>
      <protection hidden="1"/>
    </xf>
    <xf numFmtId="164" fontId="133" fillId="25" borderId="12" xfId="1" applyNumberFormat="1" applyFont="1" applyFill="1" applyBorder="1" applyAlignment="1" applyProtection="1">
      <alignment horizontal="center"/>
      <protection hidden="1"/>
    </xf>
    <xf numFmtId="164" fontId="132" fillId="25" borderId="81" xfId="1" applyNumberFormat="1" applyFont="1" applyFill="1" applyBorder="1" applyAlignment="1" applyProtection="1">
      <alignment horizontal="center"/>
      <protection hidden="1"/>
    </xf>
    <xf numFmtId="164" fontId="132" fillId="25" borderId="14" xfId="1" applyNumberFormat="1" applyFont="1" applyFill="1" applyBorder="1" applyAlignment="1" applyProtection="1">
      <alignment horizontal="center"/>
      <protection hidden="1"/>
    </xf>
    <xf numFmtId="164" fontId="132" fillId="25" borderId="11" xfId="1" applyNumberFormat="1" applyFont="1" applyFill="1" applyBorder="1" applyAlignment="1" applyProtection="1">
      <alignment horizontal="center"/>
      <protection hidden="1"/>
    </xf>
    <xf numFmtId="164" fontId="132" fillId="25" borderId="53" xfId="1" applyNumberFormat="1" applyFont="1" applyFill="1" applyBorder="1" applyAlignment="1" applyProtection="1">
      <alignment horizontal="center"/>
      <protection hidden="1"/>
    </xf>
    <xf numFmtId="164" fontId="133" fillId="25" borderId="15" xfId="1" applyNumberFormat="1" applyFont="1" applyFill="1" applyBorder="1" applyAlignment="1" applyProtection="1">
      <alignment horizontal="center"/>
      <protection hidden="1"/>
    </xf>
    <xf numFmtId="164" fontId="132" fillId="25" borderId="82" xfId="1" applyNumberFormat="1" applyFont="1" applyFill="1" applyBorder="1" applyAlignment="1" applyProtection="1">
      <alignment horizontal="center"/>
      <protection hidden="1"/>
    </xf>
    <xf numFmtId="164" fontId="132" fillId="25" borderId="17" xfId="1" applyNumberFormat="1" applyFont="1" applyFill="1" applyBorder="1" applyAlignment="1" applyProtection="1">
      <alignment horizontal="center"/>
      <protection hidden="1"/>
    </xf>
    <xf numFmtId="164" fontId="132" fillId="25" borderId="16" xfId="1" applyNumberFormat="1" applyFont="1" applyFill="1" applyBorder="1" applyAlignment="1" applyProtection="1">
      <alignment horizontal="center"/>
      <protection hidden="1"/>
    </xf>
    <xf numFmtId="164" fontId="132" fillId="25" borderId="15" xfId="1" applyNumberFormat="1" applyFont="1" applyFill="1" applyBorder="1" applyAlignment="1" applyProtection="1">
      <alignment horizontal="center"/>
      <protection hidden="1"/>
    </xf>
    <xf numFmtId="164" fontId="132" fillId="25" borderId="83" xfId="1" applyNumberFormat="1" applyFont="1" applyFill="1" applyBorder="1" applyAlignment="1">
      <alignment horizontal="center"/>
    </xf>
    <xf numFmtId="164" fontId="132" fillId="25" borderId="69" xfId="1" applyNumberFormat="1" applyFont="1" applyFill="1" applyBorder="1" applyAlignment="1">
      <alignment horizontal="center"/>
    </xf>
    <xf numFmtId="164" fontId="132" fillId="25" borderId="84" xfId="1" applyNumberFormat="1" applyFont="1" applyFill="1" applyBorder="1" applyAlignment="1">
      <alignment horizontal="center"/>
    </xf>
    <xf numFmtId="164" fontId="132" fillId="25" borderId="85" xfId="1" applyNumberFormat="1" applyFont="1" applyFill="1" applyBorder="1" applyAlignment="1">
      <alignment horizontal="center"/>
    </xf>
    <xf numFmtId="164" fontId="132" fillId="25" borderId="51" xfId="1" applyNumberFormat="1" applyFont="1" applyFill="1" applyBorder="1" applyAlignment="1">
      <alignment horizontal="center"/>
    </xf>
    <xf numFmtId="166" fontId="134" fillId="25" borderId="0" xfId="0" applyNumberFormat="1" applyFont="1" applyFill="1" applyAlignment="1">
      <alignment horizontal="center"/>
    </xf>
    <xf numFmtId="166" fontId="0" fillId="25" borderId="0" xfId="0" applyNumberFormat="1" applyFill="1" applyAlignment="1">
      <alignment horizontal="center"/>
    </xf>
    <xf numFmtId="164" fontId="0" fillId="25" borderId="0" xfId="1" applyNumberFormat="1" applyFont="1" applyFill="1" applyAlignment="1">
      <alignment horizontal="center"/>
    </xf>
    <xf numFmtId="164" fontId="0" fillId="25" borderId="0" xfId="1" applyNumberFormat="1" applyFont="1" applyFill="1"/>
    <xf numFmtId="44" fontId="0" fillId="25" borderId="0" xfId="1" applyFont="1" applyFill="1" applyAlignment="1">
      <alignment horizontal="center"/>
    </xf>
    <xf numFmtId="0" fontId="132" fillId="25" borderId="0" xfId="0" applyFont="1" applyFill="1"/>
    <xf numFmtId="166" fontId="132" fillId="25" borderId="0" xfId="0" applyNumberFormat="1" applyFont="1" applyFill="1" applyAlignment="1">
      <alignment horizontal="center"/>
    </xf>
    <xf numFmtId="0" fontId="136" fillId="25" borderId="0" xfId="0" applyFont="1" applyFill="1" applyAlignment="1">
      <alignment horizontal="center"/>
    </xf>
    <xf numFmtId="0" fontId="136" fillId="25" borderId="0" xfId="0" applyFont="1" applyFill="1"/>
    <xf numFmtId="166" fontId="136" fillId="25" borderId="0" xfId="0" applyNumberFormat="1" applyFont="1" applyFill="1" applyAlignment="1">
      <alignment horizontal="center"/>
    </xf>
    <xf numFmtId="166" fontId="137" fillId="25" borderId="0" xfId="0" applyNumberFormat="1" applyFont="1" applyFill="1" applyAlignment="1">
      <alignment horizontal="center"/>
    </xf>
    <xf numFmtId="166" fontId="136" fillId="25" borderId="0" xfId="0" applyNumberFormat="1" applyFont="1" applyFill="1" applyAlignment="1" applyProtection="1">
      <alignment horizontal="center"/>
      <protection hidden="1"/>
    </xf>
    <xf numFmtId="44" fontId="132" fillId="25" borderId="0" xfId="1" applyFont="1" applyFill="1" applyBorder="1" applyAlignment="1">
      <alignment horizontal="center"/>
    </xf>
    <xf numFmtId="0" fontId="132" fillId="25" borderId="0" xfId="0" applyFont="1" applyFill="1" applyAlignment="1">
      <alignment horizontal="center" vertical="center"/>
    </xf>
    <xf numFmtId="0" fontId="132" fillId="25" borderId="0" xfId="1" applyNumberFormat="1" applyFont="1" applyFill="1" applyBorder="1" applyAlignment="1">
      <alignment horizontal="center" vertical="center"/>
    </xf>
    <xf numFmtId="0" fontId="138" fillId="25" borderId="0" xfId="0" applyFont="1" applyFill="1" applyAlignment="1">
      <alignment horizontal="center"/>
    </xf>
    <xf numFmtId="166" fontId="138" fillId="25" borderId="0" xfId="0" applyNumberFormat="1" applyFont="1" applyFill="1" applyAlignment="1" applyProtection="1">
      <alignment horizontal="center"/>
      <protection hidden="1"/>
    </xf>
    <xf numFmtId="0" fontId="138" fillId="25" borderId="0" xfId="0" applyFont="1" applyFill="1"/>
    <xf numFmtId="166" fontId="138" fillId="25" borderId="0" xfId="0" applyNumberFormat="1" applyFont="1" applyFill="1" applyAlignment="1">
      <alignment horizontal="center"/>
    </xf>
    <xf numFmtId="44" fontId="138" fillId="25" borderId="0" xfId="1" applyFont="1" applyFill="1" applyBorder="1"/>
    <xf numFmtId="164" fontId="132" fillId="25" borderId="0" xfId="1" applyNumberFormat="1" applyFont="1" applyFill="1"/>
    <xf numFmtId="164" fontId="132" fillId="25" borderId="0" xfId="1" applyNumberFormat="1" applyFont="1" applyFill="1" applyBorder="1"/>
    <xf numFmtId="0" fontId="138" fillId="25" borderId="13" xfId="0" applyFont="1" applyFill="1" applyBorder="1" applyAlignment="1">
      <alignment horizontal="center"/>
    </xf>
    <xf numFmtId="166" fontId="134" fillId="25" borderId="0" xfId="0" applyNumberFormat="1" applyFont="1" applyFill="1" applyAlignment="1" applyProtection="1">
      <alignment horizontal="center"/>
      <protection hidden="1"/>
    </xf>
    <xf numFmtId="1" fontId="0" fillId="25" borderId="0" xfId="0" applyNumberFormat="1" applyFill="1" applyAlignment="1">
      <alignment horizontal="center"/>
    </xf>
    <xf numFmtId="164" fontId="0" fillId="25" borderId="0" xfId="0" applyNumberFormat="1" applyFill="1"/>
    <xf numFmtId="0" fontId="142" fillId="25" borderId="0" xfId="0" applyFont="1" applyFill="1"/>
    <xf numFmtId="164" fontId="0" fillId="25" borderId="0" xfId="1" applyNumberFormat="1" applyFont="1" applyFill="1" applyBorder="1" applyAlignment="1">
      <alignment horizontal="center"/>
    </xf>
    <xf numFmtId="164" fontId="0" fillId="25" borderId="0" xfId="1" applyNumberFormat="1" applyFont="1" applyFill="1" applyBorder="1"/>
    <xf numFmtId="164" fontId="144" fillId="25" borderId="0" xfId="1" applyNumberFormat="1" applyFont="1" applyFill="1"/>
    <xf numFmtId="164" fontId="144" fillId="25" borderId="0" xfId="1" applyNumberFormat="1" applyFont="1" applyFill="1" applyBorder="1"/>
    <xf numFmtId="0" fontId="148" fillId="0" borderId="0" xfId="0" applyFont="1" applyAlignment="1">
      <alignment horizontal="left" indent="1"/>
    </xf>
    <xf numFmtId="0" fontId="20" fillId="6" borderId="15" xfId="0" applyFont="1" applyFill="1" applyBorder="1" applyAlignment="1">
      <alignment horizontal="left" vertical="center"/>
    </xf>
    <xf numFmtId="0" fontId="50" fillId="3" borderId="0" xfId="0" applyFont="1" applyFill="1" applyAlignment="1">
      <alignment vertical="center"/>
    </xf>
    <xf numFmtId="44" fontId="50" fillId="3" borderId="29" xfId="1" applyFont="1" applyFill="1" applyBorder="1" applyAlignment="1">
      <alignment vertical="center"/>
    </xf>
    <xf numFmtId="44" fontId="50" fillId="3" borderId="20" xfId="1" applyFont="1" applyFill="1" applyBorder="1" applyAlignment="1">
      <alignment vertical="center"/>
    </xf>
    <xf numFmtId="44" fontId="50" fillId="3" borderId="22" xfId="0" applyNumberFormat="1" applyFont="1" applyFill="1" applyBorder="1" applyAlignment="1">
      <alignment horizontal="left" vertical="center"/>
    </xf>
    <xf numFmtId="10" fontId="50" fillId="3" borderId="22" xfId="2" applyNumberFormat="1" applyFont="1" applyFill="1" applyBorder="1" applyAlignment="1">
      <alignment vertical="center"/>
    </xf>
    <xf numFmtId="0" fontId="45" fillId="3" borderId="0" xfId="0" applyFont="1" applyFill="1" applyAlignment="1">
      <alignment vertical="center"/>
    </xf>
    <xf numFmtId="0" fontId="45" fillId="3" borderId="93" xfId="0" applyFont="1" applyFill="1" applyBorder="1" applyAlignment="1">
      <alignment vertical="center"/>
    </xf>
    <xf numFmtId="44" fontId="50" fillId="3" borderId="28" xfId="1" applyFont="1" applyFill="1" applyBorder="1" applyAlignment="1">
      <alignment vertical="center"/>
    </xf>
    <xf numFmtId="9" fontId="45" fillId="3" borderId="22" xfId="2" applyFont="1" applyFill="1" applyBorder="1" applyAlignment="1" applyProtection="1">
      <alignment horizontal="left" vertical="center" wrapText="1"/>
      <protection locked="0"/>
    </xf>
    <xf numFmtId="44" fontId="50" fillId="3" borderId="99" xfId="1" applyFont="1" applyFill="1" applyBorder="1" applyAlignment="1">
      <alignment vertical="center"/>
    </xf>
    <xf numFmtId="44" fontId="50" fillId="3" borderId="32" xfId="1" applyFont="1" applyFill="1" applyBorder="1" applyAlignment="1">
      <alignment vertical="center"/>
    </xf>
    <xf numFmtId="10" fontId="50" fillId="3" borderId="20" xfId="2" applyNumberFormat="1" applyFont="1" applyFill="1" applyBorder="1" applyAlignment="1">
      <alignment vertical="center"/>
    </xf>
    <xf numFmtId="10" fontId="50" fillId="3" borderId="33" xfId="2" applyNumberFormat="1" applyFont="1" applyFill="1" applyBorder="1" applyAlignment="1">
      <alignment vertical="center"/>
    </xf>
    <xf numFmtId="0" fontId="23" fillId="3" borderId="87" xfId="0" applyFont="1" applyFill="1" applyBorder="1" applyAlignment="1">
      <alignment horizontal="left" vertical="center" wrapText="1" indent="1"/>
    </xf>
    <xf numFmtId="0" fontId="33" fillId="6" borderId="0" xfId="0" applyFont="1" applyFill="1" applyAlignment="1">
      <alignment vertical="center"/>
    </xf>
    <xf numFmtId="44" fontId="33" fillId="6" borderId="0" xfId="1" applyFont="1" applyFill="1" applyBorder="1" applyAlignment="1">
      <alignment vertical="center"/>
    </xf>
    <xf numFmtId="10" fontId="33" fillId="6" borderId="0" xfId="2" applyNumberFormat="1" applyFont="1" applyFill="1" applyBorder="1" applyAlignment="1">
      <alignment vertical="center"/>
    </xf>
    <xf numFmtId="9" fontId="33" fillId="6" borderId="0" xfId="2" applyFont="1" applyFill="1" applyBorder="1" applyAlignment="1" applyProtection="1">
      <alignment vertical="center" wrapText="1"/>
      <protection locked="0"/>
    </xf>
    <xf numFmtId="44" fontId="33" fillId="6" borderId="0" xfId="2" applyNumberFormat="1" applyFont="1" applyFill="1" applyBorder="1" applyAlignment="1">
      <alignment vertical="center"/>
    </xf>
    <xf numFmtId="44" fontId="170" fillId="6" borderId="0" xfId="1" applyFont="1" applyFill="1" applyBorder="1" applyAlignment="1">
      <alignment vertical="center" wrapText="1"/>
    </xf>
    <xf numFmtId="44" fontId="33" fillId="6" borderId="0" xfId="2" applyNumberFormat="1" applyFont="1" applyFill="1" applyBorder="1" applyAlignment="1" applyProtection="1">
      <alignment vertical="center" wrapText="1"/>
      <protection locked="0"/>
    </xf>
    <xf numFmtId="1" fontId="19" fillId="6" borderId="0" xfId="0" applyNumberFormat="1" applyFont="1" applyFill="1" applyAlignment="1">
      <alignment horizontal="left" vertical="center"/>
    </xf>
    <xf numFmtId="0" fontId="4" fillId="6" borderId="0" xfId="0" applyFont="1" applyFill="1" applyAlignment="1">
      <alignment vertical="top"/>
    </xf>
    <xf numFmtId="0" fontId="19" fillId="6" borderId="0" xfId="0" applyFont="1" applyFill="1"/>
    <xf numFmtId="0" fontId="148" fillId="6" borderId="0" xfId="0" applyFont="1" applyFill="1"/>
    <xf numFmtId="9" fontId="45" fillId="3" borderId="20" xfId="2" applyFont="1" applyFill="1" applyBorder="1" applyAlignment="1" applyProtection="1">
      <alignment horizontal="left" vertical="center" wrapText="1"/>
      <protection locked="0"/>
    </xf>
    <xf numFmtId="0" fontId="32" fillId="2" borderId="0" xfId="0" applyFont="1" applyFill="1" applyAlignment="1">
      <alignment horizontal="right" vertical="center" indent="1"/>
    </xf>
    <xf numFmtId="44" fontId="19" fillId="3" borderId="33" xfId="0" applyNumberFormat="1" applyFont="1" applyFill="1" applyBorder="1" applyAlignment="1">
      <alignment horizontal="left" vertical="center"/>
    </xf>
    <xf numFmtId="0" fontId="29" fillId="0" borderId="13" xfId="0" applyFont="1" applyBorder="1"/>
    <xf numFmtId="0" fontId="29" fillId="2" borderId="13" xfId="0" applyFont="1" applyFill="1" applyBorder="1"/>
    <xf numFmtId="0" fontId="29" fillId="2" borderId="13" xfId="0" applyFont="1" applyFill="1" applyBorder="1" applyAlignment="1">
      <alignment horizontal="left" vertical="center"/>
    </xf>
    <xf numFmtId="0" fontId="0" fillId="0" borderId="0" xfId="0" applyAlignment="1">
      <alignment horizontal="left" vertical="center" wrapText="1"/>
    </xf>
    <xf numFmtId="44" fontId="150" fillId="3" borderId="101" xfId="1" applyFont="1" applyFill="1" applyBorder="1" applyAlignment="1">
      <alignment horizontal="left" vertical="center"/>
    </xf>
    <xf numFmtId="44" fontId="158" fillId="3" borderId="29" xfId="1" applyFont="1" applyFill="1" applyBorder="1" applyAlignment="1">
      <alignment vertical="center"/>
    </xf>
    <xf numFmtId="44" fontId="153" fillId="3" borderId="20" xfId="0" applyNumberFormat="1" applyFont="1" applyFill="1" applyBorder="1" applyAlignment="1" applyProtection="1">
      <alignment horizontal="left" vertical="center" wrapText="1"/>
      <protection locked="0"/>
    </xf>
    <xf numFmtId="9" fontId="153" fillId="3" borderId="20" xfId="2" applyFont="1" applyFill="1" applyBorder="1" applyAlignment="1" applyProtection="1">
      <alignment horizontal="left" vertical="center" wrapText="1"/>
      <protection locked="0"/>
    </xf>
    <xf numFmtId="0" fontId="153" fillId="3" borderId="3" xfId="0" applyFont="1" applyFill="1" applyBorder="1"/>
    <xf numFmtId="44" fontId="150" fillId="3" borderId="104" xfId="1" applyFont="1" applyFill="1" applyBorder="1" applyAlignment="1">
      <alignment horizontal="left"/>
    </xf>
    <xf numFmtId="44" fontId="158" fillId="3" borderId="42" xfId="1" applyFont="1" applyFill="1" applyBorder="1" applyAlignment="1">
      <alignment vertical="center"/>
    </xf>
    <xf numFmtId="44" fontId="153" fillId="3" borderId="43" xfId="0" applyNumberFormat="1" applyFont="1" applyFill="1" applyBorder="1" applyAlignment="1" applyProtection="1">
      <alignment horizontal="left" vertical="center" wrapText="1"/>
      <protection locked="0"/>
    </xf>
    <xf numFmtId="9" fontId="153" fillId="3" borderId="43" xfId="2" applyFont="1" applyFill="1" applyBorder="1" applyAlignment="1" applyProtection="1">
      <alignment horizontal="left" vertical="center" wrapText="1"/>
      <protection locked="0"/>
    </xf>
    <xf numFmtId="0" fontId="0" fillId="0" borderId="0" xfId="0" applyAlignment="1">
      <alignment horizontal="center" vertical="center" wrapText="1"/>
    </xf>
    <xf numFmtId="0" fontId="172" fillId="0" borderId="0" xfId="0" applyFont="1" applyAlignment="1">
      <alignment vertical="center"/>
    </xf>
    <xf numFmtId="0" fontId="172" fillId="0" borderId="0" xfId="0" applyFont="1" applyAlignment="1">
      <alignment horizontal="center" vertical="center"/>
    </xf>
    <xf numFmtId="0" fontId="172" fillId="0" borderId="0" xfId="0" applyFont="1" applyAlignment="1">
      <alignment horizontal="center" vertical="center" wrapText="1"/>
    </xf>
    <xf numFmtId="0" fontId="172" fillId="0" borderId="0" xfId="0" applyFont="1" applyAlignment="1">
      <alignment horizontal="left" vertical="center"/>
    </xf>
    <xf numFmtId="44" fontId="32" fillId="2" borderId="0" xfId="0" applyNumberFormat="1" applyFont="1" applyFill="1" applyAlignment="1">
      <alignment horizontal="right" vertical="center" readingOrder="1"/>
    </xf>
    <xf numFmtId="44" fontId="32" fillId="2" borderId="0" xfId="0" applyNumberFormat="1" applyFont="1" applyFill="1" applyAlignment="1">
      <alignment horizontal="right" vertical="center"/>
    </xf>
    <xf numFmtId="0" fontId="22" fillId="6" borderId="0" xfId="0" applyFont="1" applyFill="1"/>
    <xf numFmtId="10" fontId="0" fillId="6" borderId="0" xfId="2" applyNumberFormat="1" applyFont="1" applyFill="1"/>
    <xf numFmtId="0" fontId="174" fillId="6" borderId="0" xfId="0" applyFont="1" applyFill="1" applyAlignment="1">
      <alignment vertical="center"/>
    </xf>
    <xf numFmtId="9" fontId="170" fillId="6" borderId="0" xfId="2" applyFont="1" applyFill="1" applyBorder="1" applyAlignment="1" applyProtection="1">
      <alignment vertical="center" wrapText="1"/>
      <protection locked="0"/>
    </xf>
    <xf numFmtId="0" fontId="33" fillId="6" borderId="0" xfId="0" applyFont="1" applyFill="1" applyAlignment="1">
      <alignment horizontal="center" vertical="center"/>
    </xf>
    <xf numFmtId="0" fontId="19" fillId="3" borderId="14" xfId="0" applyFont="1" applyFill="1" applyBorder="1" applyAlignment="1">
      <alignment horizontal="left" vertical="center"/>
    </xf>
    <xf numFmtId="44" fontId="20" fillId="6" borderId="0" xfId="1" applyFont="1" applyFill="1" applyBorder="1" applyAlignment="1">
      <alignment vertical="center"/>
    </xf>
    <xf numFmtId="10" fontId="20" fillId="6" borderId="0" xfId="2" applyNumberFormat="1" applyFont="1" applyFill="1" applyBorder="1" applyAlignment="1">
      <alignment vertical="center"/>
    </xf>
    <xf numFmtId="9" fontId="20" fillId="6" borderId="0" xfId="2" applyFont="1" applyFill="1" applyBorder="1" applyAlignment="1" applyProtection="1">
      <alignment vertical="center" wrapText="1"/>
      <protection locked="0"/>
    </xf>
    <xf numFmtId="0" fontId="20" fillId="3" borderId="15" xfId="0" applyFont="1" applyFill="1" applyBorder="1" applyAlignment="1">
      <alignment horizontal="left" vertical="center"/>
    </xf>
    <xf numFmtId="9" fontId="45" fillId="3" borderId="98" xfId="2" applyFont="1" applyFill="1" applyBorder="1" applyAlignment="1" applyProtection="1">
      <alignment horizontal="center" vertical="center" wrapText="1"/>
      <protection locked="0"/>
    </xf>
    <xf numFmtId="0" fontId="23" fillId="3" borderId="3" xfId="0" applyFont="1" applyFill="1" applyBorder="1" applyAlignment="1">
      <alignment horizontal="center" vertical="center"/>
    </xf>
    <xf numFmtId="2" fontId="19" fillId="5" borderId="0" xfId="2" applyNumberFormat="1" applyFont="1" applyFill="1" applyBorder="1" applyAlignment="1">
      <alignment vertical="center"/>
    </xf>
    <xf numFmtId="0" fontId="50" fillId="2" borderId="27" xfId="0" applyFont="1" applyFill="1" applyBorder="1" applyAlignment="1">
      <alignment horizontal="left" vertical="center" indent="1"/>
    </xf>
    <xf numFmtId="0" fontId="20" fillId="3" borderId="15" xfId="0" applyFont="1" applyFill="1" applyBorder="1" applyAlignment="1">
      <alignment vertical="center"/>
    </xf>
    <xf numFmtId="44" fontId="7" fillId="2" borderId="0" xfId="0" applyNumberFormat="1" applyFont="1" applyFill="1" applyAlignment="1">
      <alignment horizontal="center" vertical="center"/>
    </xf>
    <xf numFmtId="0" fontId="12" fillId="2" borderId="0" xfId="0" applyFont="1" applyFill="1" applyAlignment="1">
      <alignment horizontal="center" vertical="top"/>
    </xf>
    <xf numFmtId="0" fontId="0" fillId="6" borderId="0" xfId="0" applyFill="1" applyAlignment="1">
      <alignment horizontal="center"/>
    </xf>
    <xf numFmtId="0" fontId="31" fillId="2" borderId="0" xfId="0" applyFont="1" applyFill="1" applyAlignment="1">
      <alignment horizontal="right" vertical="center"/>
    </xf>
    <xf numFmtId="0" fontId="31" fillId="2" borderId="0" xfId="0" applyFont="1" applyFill="1" applyAlignment="1">
      <alignment horizontal="right"/>
    </xf>
    <xf numFmtId="0" fontId="20" fillId="3" borderId="15" xfId="0" applyFont="1" applyFill="1" applyBorder="1" applyAlignment="1">
      <alignment horizontal="center" vertical="center"/>
    </xf>
    <xf numFmtId="0" fontId="47" fillId="3" borderId="0" xfId="0" applyFont="1" applyFill="1" applyAlignment="1">
      <alignment vertical="center"/>
    </xf>
    <xf numFmtId="44" fontId="47" fillId="3" borderId="28" xfId="1" applyFont="1" applyFill="1" applyBorder="1" applyAlignment="1">
      <alignment vertical="center"/>
    </xf>
    <xf numFmtId="44" fontId="47" fillId="3" borderId="20" xfId="1" applyFont="1" applyFill="1" applyBorder="1" applyAlignment="1">
      <alignment vertical="center"/>
    </xf>
    <xf numFmtId="10" fontId="47" fillId="3" borderId="20" xfId="2" applyNumberFormat="1" applyFont="1" applyFill="1" applyBorder="1" applyAlignment="1">
      <alignment vertical="center"/>
    </xf>
    <xf numFmtId="0" fontId="20" fillId="3" borderId="0" xfId="0" applyFont="1" applyFill="1" applyAlignment="1">
      <alignment vertical="center"/>
    </xf>
    <xf numFmtId="9" fontId="45" fillId="3" borderId="22" xfId="2" applyFont="1" applyFill="1" applyBorder="1" applyAlignment="1" applyProtection="1">
      <alignment horizontal="center" vertical="center" wrapText="1"/>
      <protection locked="0"/>
    </xf>
    <xf numFmtId="44" fontId="44" fillId="6" borderId="28" xfId="1" applyFont="1" applyFill="1" applyBorder="1" applyAlignment="1">
      <alignment vertical="center"/>
    </xf>
    <xf numFmtId="44" fontId="22" fillId="6" borderId="0" xfId="1" applyFont="1" applyFill="1" applyBorder="1" applyAlignment="1">
      <alignment horizontal="center" vertical="center"/>
    </xf>
    <xf numFmtId="10" fontId="44" fillId="6" borderId="20" xfId="2" applyNumberFormat="1" applyFont="1" applyFill="1" applyBorder="1" applyAlignment="1">
      <alignment vertical="center"/>
    </xf>
    <xf numFmtId="0" fontId="19" fillId="6" borderId="22" xfId="0" applyFont="1" applyFill="1" applyBorder="1" applyAlignment="1">
      <alignment vertical="center"/>
    </xf>
    <xf numFmtId="10" fontId="44" fillId="6" borderId="22" xfId="2" applyNumberFormat="1" applyFont="1" applyFill="1" applyBorder="1" applyAlignment="1">
      <alignment vertical="center"/>
    </xf>
    <xf numFmtId="44" fontId="44" fillId="6" borderId="20" xfId="0" applyNumberFormat="1" applyFont="1" applyFill="1" applyBorder="1" applyAlignment="1">
      <alignment vertical="center"/>
    </xf>
    <xf numFmtId="44" fontId="23" fillId="3" borderId="28" xfId="1" applyFont="1" applyFill="1" applyBorder="1" applyAlignment="1">
      <alignment vertical="center"/>
    </xf>
    <xf numFmtId="44" fontId="183" fillId="6" borderId="29" xfId="1" applyFont="1" applyFill="1" applyBorder="1"/>
    <xf numFmtId="44" fontId="183" fillId="6" borderId="28" xfId="1" applyFont="1" applyFill="1" applyBorder="1"/>
    <xf numFmtId="49" fontId="44" fillId="3" borderId="28" xfId="1" applyNumberFormat="1" applyFont="1" applyFill="1" applyBorder="1" applyAlignment="1">
      <alignment vertical="center"/>
    </xf>
    <xf numFmtId="44" fontId="20" fillId="0" borderId="27" xfId="1" applyFont="1" applyFill="1" applyBorder="1" applyAlignment="1">
      <alignment vertical="center"/>
    </xf>
    <xf numFmtId="44" fontId="44" fillId="3" borderId="32" xfId="1" applyFont="1" applyFill="1" applyBorder="1" applyAlignment="1">
      <alignment vertical="center"/>
    </xf>
    <xf numFmtId="0" fontId="148" fillId="0" borderId="0" xfId="0" applyFont="1" applyAlignment="1">
      <alignment horizontal="center"/>
    </xf>
    <xf numFmtId="0" fontId="19" fillId="0" borderId="3" xfId="0" applyFont="1" applyBorder="1"/>
    <xf numFmtId="9" fontId="19" fillId="2" borderId="3" xfId="2" applyFont="1" applyFill="1" applyBorder="1"/>
    <xf numFmtId="7" fontId="19" fillId="2" borderId="3" xfId="1" applyNumberFormat="1" applyFont="1" applyFill="1" applyBorder="1"/>
    <xf numFmtId="10" fontId="19" fillId="2" borderId="3" xfId="2" applyNumberFormat="1" applyFont="1" applyFill="1" applyBorder="1"/>
    <xf numFmtId="0" fontId="45" fillId="3" borderId="13" xfId="0" applyFont="1" applyFill="1" applyBorder="1"/>
    <xf numFmtId="44" fontId="50" fillId="3" borderId="46" xfId="1" applyFont="1" applyFill="1" applyBorder="1" applyAlignment="1">
      <alignment vertical="center"/>
    </xf>
    <xf numFmtId="9" fontId="45" fillId="3" borderId="47" xfId="2" applyFont="1" applyFill="1" applyBorder="1" applyAlignment="1" applyProtection="1">
      <alignment horizontal="left" vertical="center" wrapText="1"/>
      <protection locked="0"/>
    </xf>
    <xf numFmtId="44" fontId="16" fillId="2" borderId="27" xfId="1" applyFont="1" applyFill="1" applyBorder="1" applyAlignment="1"/>
    <xf numFmtId="2" fontId="19" fillId="2" borderId="27" xfId="0" applyNumberFormat="1" applyFont="1" applyFill="1" applyBorder="1"/>
    <xf numFmtId="0" fontId="19" fillId="3" borderId="27" xfId="0" applyFont="1" applyFill="1" applyBorder="1"/>
    <xf numFmtId="0" fontId="22" fillId="6" borderId="27" xfId="0" applyFont="1" applyFill="1" applyBorder="1"/>
    <xf numFmtId="9" fontId="0" fillId="6" borderId="27" xfId="2" applyFont="1" applyFill="1" applyBorder="1"/>
    <xf numFmtId="44" fontId="9" fillId="2" borderId="26" xfId="1" applyFont="1" applyFill="1" applyBorder="1" applyAlignment="1">
      <alignment horizontal="left"/>
    </xf>
    <xf numFmtId="44" fontId="16" fillId="2" borderId="26" xfId="1" applyFont="1" applyFill="1" applyBorder="1" applyAlignment="1">
      <alignment horizontal="left" vertical="center" wrapText="1"/>
    </xf>
    <xf numFmtId="12" fontId="16" fillId="0" borderId="26" xfId="1" applyNumberFormat="1" applyFont="1" applyBorder="1" applyAlignment="1">
      <alignment horizontal="right" vertical="center" wrapText="1"/>
    </xf>
    <xf numFmtId="44" fontId="19" fillId="3" borderId="17" xfId="1" applyFont="1" applyFill="1" applyBorder="1"/>
    <xf numFmtId="0" fontId="0" fillId="0" borderId="27" xfId="0" applyBorder="1" applyAlignment="1">
      <alignment horizontal="center"/>
    </xf>
    <xf numFmtId="0" fontId="0" fillId="6" borderId="27" xfId="0" applyFill="1" applyBorder="1" applyAlignment="1">
      <alignment horizontal="center"/>
    </xf>
    <xf numFmtId="0" fontId="19" fillId="5" borderId="26" xfId="0" applyFont="1" applyFill="1" applyBorder="1" applyAlignment="1">
      <alignment vertical="center"/>
    </xf>
    <xf numFmtId="10" fontId="19" fillId="5" borderId="12" xfId="2" applyNumberFormat="1" applyFont="1" applyFill="1" applyBorder="1" applyAlignment="1">
      <alignment vertical="center"/>
    </xf>
    <xf numFmtId="0" fontId="19" fillId="5" borderId="47" xfId="0" applyFont="1" applyFill="1" applyBorder="1" applyAlignment="1">
      <alignment vertical="center"/>
    </xf>
    <xf numFmtId="44" fontId="24" fillId="24" borderId="45" xfId="1" applyFont="1" applyFill="1" applyBorder="1" applyAlignment="1">
      <alignment horizontal="center" vertical="center" wrapText="1"/>
    </xf>
    <xf numFmtId="44" fontId="24" fillId="24" borderId="44" xfId="1" applyFont="1" applyFill="1" applyBorder="1" applyAlignment="1">
      <alignment horizontal="center" vertical="center" wrapText="1"/>
    </xf>
    <xf numFmtId="0" fontId="24" fillId="24" borderId="44" xfId="0" applyFont="1" applyFill="1" applyBorder="1" applyAlignment="1">
      <alignment horizontal="left" vertical="center" wrapText="1"/>
    </xf>
    <xf numFmtId="0" fontId="25" fillId="24" borderId="38" xfId="0" applyFont="1" applyFill="1" applyBorder="1" applyAlignment="1">
      <alignment vertical="center"/>
    </xf>
    <xf numFmtId="44" fontId="24" fillId="24" borderId="72" xfId="1" applyFont="1" applyFill="1" applyBorder="1" applyAlignment="1">
      <alignment horizontal="center" vertical="center" wrapText="1"/>
    </xf>
    <xf numFmtId="10" fontId="24" fillId="24" borderId="79" xfId="2" applyNumberFormat="1" applyFont="1" applyFill="1" applyBorder="1" applyAlignment="1">
      <alignment horizontal="center" vertical="center" wrapText="1"/>
    </xf>
    <xf numFmtId="0" fontId="24" fillId="24" borderId="79" xfId="0" applyFont="1" applyFill="1" applyBorder="1" applyAlignment="1">
      <alignment horizontal="left" vertical="center" wrapText="1"/>
    </xf>
    <xf numFmtId="44" fontId="49" fillId="24" borderId="29" xfId="1" applyFont="1" applyFill="1" applyBorder="1" applyAlignment="1">
      <alignment vertical="center"/>
    </xf>
    <xf numFmtId="44" fontId="11" fillId="2" borderId="8" xfId="0" applyNumberFormat="1" applyFont="1" applyFill="1" applyBorder="1" applyAlignment="1">
      <alignment horizontal="right"/>
    </xf>
    <xf numFmtId="44" fontId="22" fillId="0" borderId="0" xfId="0" applyNumberFormat="1" applyFont="1"/>
    <xf numFmtId="44" fontId="0" fillId="6" borderId="0" xfId="0" applyNumberFormat="1" applyFill="1"/>
    <xf numFmtId="0" fontId="185" fillId="3" borderId="0" xfId="0" applyFont="1" applyFill="1" applyAlignment="1">
      <alignment horizontal="left" vertical="center"/>
    </xf>
    <xf numFmtId="0" fontId="186" fillId="2" borderId="0" xfId="0" applyFont="1" applyFill="1" applyAlignment="1">
      <alignment horizontal="left" vertical="center" wrapText="1"/>
    </xf>
    <xf numFmtId="0" fontId="45" fillId="3" borderId="3" xfId="0" applyFont="1" applyFill="1" applyBorder="1" applyAlignment="1">
      <alignment vertical="center"/>
    </xf>
    <xf numFmtId="9" fontId="45" fillId="3" borderId="43" xfId="2" applyFont="1" applyFill="1" applyBorder="1" applyAlignment="1" applyProtection="1">
      <alignment horizontal="left" vertical="center" wrapText="1"/>
      <protection locked="0"/>
    </xf>
    <xf numFmtId="0" fontId="25" fillId="24" borderId="3" xfId="0" applyFont="1" applyFill="1" applyBorder="1" applyAlignment="1">
      <alignment vertical="center"/>
    </xf>
    <xf numFmtId="0" fontId="188" fillId="24" borderId="79" xfId="0" applyFont="1" applyFill="1" applyBorder="1" applyAlignment="1">
      <alignment horizontal="center" vertical="center" wrapText="1"/>
    </xf>
    <xf numFmtId="0" fontId="188" fillId="24" borderId="44" xfId="0" applyFont="1" applyFill="1" applyBorder="1" applyAlignment="1">
      <alignment horizontal="center" vertical="center" wrapText="1"/>
    </xf>
    <xf numFmtId="9" fontId="45" fillId="3" borderId="15" xfId="2" applyFont="1" applyFill="1" applyBorder="1" applyAlignment="1" applyProtection="1">
      <alignment horizontal="center" vertical="center" wrapText="1"/>
      <protection locked="0"/>
    </xf>
    <xf numFmtId="0" fontId="24" fillId="24" borderId="52" xfId="0" applyFont="1" applyFill="1" applyBorder="1" applyAlignment="1">
      <alignment vertical="center"/>
    </xf>
    <xf numFmtId="0" fontId="24" fillId="24" borderId="26" xfId="0" applyFont="1" applyFill="1" applyBorder="1" applyAlignment="1">
      <alignment vertical="center"/>
    </xf>
    <xf numFmtId="44" fontId="158" fillId="3" borderId="14" xfId="1" applyFont="1" applyFill="1" applyBorder="1" applyAlignment="1">
      <alignment vertical="center"/>
    </xf>
    <xf numFmtId="0" fontId="19" fillId="2" borderId="13" xfId="0" applyFont="1" applyFill="1" applyBorder="1"/>
    <xf numFmtId="0" fontId="15" fillId="2" borderId="0" xfId="0" applyFont="1" applyFill="1" applyAlignment="1">
      <alignment vertical="center"/>
    </xf>
    <xf numFmtId="0" fontId="24" fillId="24" borderId="44" xfId="0" applyFont="1" applyFill="1" applyBorder="1" applyAlignment="1">
      <alignment vertical="center"/>
    </xf>
    <xf numFmtId="0" fontId="154" fillId="24" borderId="3" xfId="0" applyFont="1" applyFill="1" applyBorder="1"/>
    <xf numFmtId="0" fontId="154" fillId="24" borderId="100" xfId="0" applyFont="1" applyFill="1" applyBorder="1" applyAlignment="1">
      <alignment vertical="center"/>
    </xf>
    <xf numFmtId="44" fontId="154" fillId="24" borderId="45" xfId="1" applyFont="1" applyFill="1" applyBorder="1" applyAlignment="1">
      <alignment horizontal="center" vertical="center" wrapText="1"/>
    </xf>
    <xf numFmtId="10" fontId="154" fillId="24" borderId="44" xfId="2" applyNumberFormat="1" applyFont="1" applyFill="1" applyBorder="1" applyAlignment="1">
      <alignment horizontal="center" vertical="center" wrapText="1"/>
    </xf>
    <xf numFmtId="0" fontId="154" fillId="24" borderId="44" xfId="0" applyFont="1" applyFill="1" applyBorder="1" applyAlignment="1">
      <alignment horizontal="left" vertical="center" wrapText="1"/>
    </xf>
    <xf numFmtId="164" fontId="9" fillId="2" borderId="0" xfId="1" applyNumberFormat="1" applyFont="1" applyFill="1"/>
    <xf numFmtId="164" fontId="16" fillId="2" borderId="0" xfId="1" applyNumberFormat="1" applyFont="1" applyFill="1" applyAlignment="1">
      <alignment vertical="center" wrapText="1"/>
    </xf>
    <xf numFmtId="164" fontId="16" fillId="0" borderId="0" xfId="1" applyNumberFormat="1" applyFont="1" applyAlignment="1">
      <alignment vertical="center" wrapText="1"/>
    </xf>
    <xf numFmtId="164" fontId="16" fillId="2" borderId="0" xfId="1" applyNumberFormat="1" applyFont="1" applyFill="1"/>
    <xf numFmtId="164" fontId="19" fillId="3" borderId="20" xfId="1" applyNumberFormat="1" applyFont="1" applyFill="1" applyBorder="1" applyAlignment="1">
      <alignment vertical="center"/>
    </xf>
    <xf numFmtId="164" fontId="19" fillId="3" borderId="0" xfId="0" applyNumberFormat="1" applyFont="1" applyFill="1" applyAlignment="1">
      <alignment vertical="center"/>
    </xf>
    <xf numFmtId="164" fontId="19" fillId="3" borderId="26" xfId="1" applyNumberFormat="1" applyFont="1" applyFill="1" applyBorder="1" applyAlignment="1">
      <alignment vertical="center"/>
    </xf>
    <xf numFmtId="164" fontId="20" fillId="3" borderId="22" xfId="0" applyNumberFormat="1" applyFont="1" applyFill="1" applyBorder="1" applyAlignment="1" applyProtection="1">
      <alignment horizontal="left" vertical="center" wrapText="1"/>
      <protection locked="0"/>
    </xf>
    <xf numFmtId="164" fontId="20" fillId="3" borderId="43" xfId="0" applyNumberFormat="1" applyFont="1" applyFill="1" applyBorder="1" applyAlignment="1" applyProtection="1">
      <alignment horizontal="left" vertical="center" wrapText="1"/>
      <protection locked="0"/>
    </xf>
    <xf numFmtId="164" fontId="20" fillId="3" borderId="20" xfId="0" applyNumberFormat="1" applyFont="1" applyFill="1" applyBorder="1" applyAlignment="1" applyProtection="1">
      <alignment horizontal="left" vertical="center" wrapText="1"/>
      <protection locked="0"/>
    </xf>
    <xf numFmtId="164" fontId="157" fillId="24" borderId="44" xfId="0" applyNumberFormat="1" applyFont="1" applyFill="1" applyBorder="1" applyAlignment="1" applyProtection="1">
      <alignment horizontal="left" vertical="center" wrapText="1"/>
      <protection locked="0"/>
    </xf>
    <xf numFmtId="164" fontId="19" fillId="3" borderId="20" xfId="2" applyNumberFormat="1" applyFont="1" applyFill="1" applyBorder="1" applyAlignment="1" applyProtection="1">
      <alignment vertical="center" wrapText="1"/>
      <protection locked="0"/>
    </xf>
    <xf numFmtId="164" fontId="20" fillId="0" borderId="20" xfId="1" applyNumberFormat="1" applyFont="1" applyFill="1" applyBorder="1" applyAlignment="1">
      <alignment vertical="center"/>
    </xf>
    <xf numFmtId="164" fontId="19" fillId="3" borderId="12" xfId="2" applyNumberFormat="1" applyFont="1" applyFill="1" applyBorder="1" applyAlignment="1" applyProtection="1">
      <alignment vertical="center" wrapText="1"/>
      <protection locked="0"/>
    </xf>
    <xf numFmtId="164" fontId="19" fillId="6" borderId="20" xfId="1" applyNumberFormat="1" applyFont="1" applyFill="1" applyBorder="1" applyAlignment="1">
      <alignment vertical="center"/>
    </xf>
    <xf numFmtId="164" fontId="19" fillId="3" borderId="12" xfId="1" applyNumberFormat="1" applyFont="1" applyFill="1" applyBorder="1" applyAlignment="1">
      <alignment vertical="center"/>
    </xf>
    <xf numFmtId="164" fontId="50" fillId="3" borderId="26" xfId="1" applyNumberFormat="1" applyFont="1" applyFill="1" applyBorder="1" applyAlignment="1">
      <alignment vertical="center"/>
    </xf>
    <xf numFmtId="164" fontId="19" fillId="3" borderId="26" xfId="2" applyNumberFormat="1" applyFont="1" applyFill="1" applyBorder="1" applyAlignment="1" applyProtection="1">
      <alignment vertical="center" wrapText="1"/>
      <protection locked="0"/>
    </xf>
    <xf numFmtId="164" fontId="44" fillId="3" borderId="20" xfId="1" applyNumberFormat="1" applyFont="1" applyFill="1" applyBorder="1" applyAlignment="1">
      <alignment vertical="center"/>
    </xf>
    <xf numFmtId="164" fontId="19" fillId="6" borderId="20" xfId="2" applyNumberFormat="1" applyFont="1" applyFill="1" applyBorder="1" applyAlignment="1" applyProtection="1">
      <alignment vertical="center" wrapText="1"/>
      <protection locked="0"/>
    </xf>
    <xf numFmtId="164" fontId="20" fillId="6" borderId="20" xfId="2" applyNumberFormat="1" applyFont="1" applyFill="1" applyBorder="1" applyAlignment="1" applyProtection="1">
      <alignment vertical="center" wrapText="1"/>
      <protection locked="0"/>
    </xf>
    <xf numFmtId="164" fontId="44" fillId="3" borderId="12" xfId="1" applyNumberFormat="1" applyFont="1" applyFill="1" applyBorder="1" applyAlignment="1">
      <alignment vertical="center"/>
    </xf>
    <xf numFmtId="164" fontId="44" fillId="6" borderId="20" xfId="1" applyNumberFormat="1" applyFont="1" applyFill="1" applyBorder="1" applyAlignment="1">
      <alignment vertical="center"/>
    </xf>
    <xf numFmtId="164" fontId="19" fillId="3" borderId="13" xfId="1" applyNumberFormat="1" applyFont="1" applyFill="1" applyBorder="1" applyAlignment="1">
      <alignment vertical="center"/>
    </xf>
    <xf numFmtId="164" fontId="19" fillId="3" borderId="8" xfId="1" applyNumberFormat="1" applyFont="1" applyFill="1" applyBorder="1" applyAlignment="1">
      <alignment vertical="center"/>
    </xf>
    <xf numFmtId="164" fontId="19" fillId="3" borderId="44" xfId="1" applyNumberFormat="1" applyFont="1" applyFill="1" applyBorder="1" applyAlignment="1">
      <alignment vertical="center"/>
    </xf>
    <xf numFmtId="164" fontId="19" fillId="3" borderId="44" xfId="2" applyNumberFormat="1" applyFont="1" applyFill="1" applyBorder="1" applyAlignment="1" applyProtection="1">
      <alignment vertical="center" wrapText="1"/>
      <protection locked="0"/>
    </xf>
    <xf numFmtId="164" fontId="19" fillId="3" borderId="0" xfId="2" applyNumberFormat="1" applyFont="1" applyFill="1" applyBorder="1" applyAlignment="1" applyProtection="1">
      <alignment vertical="center" wrapText="1"/>
      <protection locked="0"/>
    </xf>
    <xf numFmtId="164" fontId="19" fillId="3" borderId="15" xfId="2" applyNumberFormat="1" applyFont="1" applyFill="1" applyBorder="1" applyAlignment="1" applyProtection="1">
      <alignment vertical="center" wrapText="1"/>
      <protection locked="0"/>
    </xf>
    <xf numFmtId="164" fontId="19" fillId="6" borderId="15" xfId="2" applyNumberFormat="1" applyFont="1" applyFill="1" applyBorder="1" applyAlignment="1" applyProtection="1">
      <alignment vertical="center" wrapText="1"/>
      <protection locked="0"/>
    </xf>
    <xf numFmtId="164" fontId="19" fillId="3" borderId="13" xfId="2" applyNumberFormat="1" applyFont="1" applyFill="1" applyBorder="1" applyAlignment="1" applyProtection="1">
      <alignment vertical="center" wrapText="1"/>
      <protection locked="0"/>
    </xf>
    <xf numFmtId="164" fontId="19" fillId="3" borderId="8" xfId="2" applyNumberFormat="1" applyFont="1" applyFill="1" applyBorder="1" applyAlignment="1" applyProtection="1">
      <alignment vertical="center" wrapText="1"/>
      <protection locked="0"/>
    </xf>
    <xf numFmtId="164" fontId="50" fillId="3" borderId="20" xfId="2" applyNumberFormat="1" applyFont="1" applyFill="1" applyBorder="1" applyAlignment="1" applyProtection="1">
      <alignment vertical="center" wrapText="1"/>
      <protection locked="0"/>
    </xf>
    <xf numFmtId="164" fontId="52" fillId="23" borderId="12" xfId="1" applyNumberFormat="1" applyFont="1" applyFill="1" applyBorder="1" applyAlignment="1">
      <alignment vertical="center"/>
    </xf>
    <xf numFmtId="164" fontId="20" fillId="0" borderId="20" xfId="2" applyNumberFormat="1" applyFont="1" applyFill="1" applyBorder="1" applyAlignment="1" applyProtection="1">
      <alignment vertical="center" wrapText="1"/>
      <protection locked="0"/>
    </xf>
    <xf numFmtId="164" fontId="19" fillId="3" borderId="0" xfId="1" applyNumberFormat="1" applyFont="1" applyFill="1" applyBorder="1" applyAlignment="1">
      <alignment vertical="center"/>
    </xf>
    <xf numFmtId="164" fontId="19" fillId="6" borderId="0" xfId="1" applyNumberFormat="1" applyFont="1" applyFill="1" applyBorder="1" applyAlignment="1">
      <alignment vertical="center"/>
    </xf>
    <xf numFmtId="164" fontId="47" fillId="3" borderId="20" xfId="1" applyNumberFormat="1" applyFont="1" applyFill="1" applyBorder="1" applyAlignment="1">
      <alignment vertical="center"/>
    </xf>
    <xf numFmtId="164" fontId="19" fillId="5" borderId="0" xfId="1" applyNumberFormat="1" applyFont="1" applyFill="1" applyBorder="1" applyAlignment="1">
      <alignment vertical="center"/>
    </xf>
    <xf numFmtId="164" fontId="19" fillId="5" borderId="13" xfId="1" applyNumberFormat="1" applyFont="1" applyFill="1" applyBorder="1" applyAlignment="1">
      <alignment vertical="center"/>
    </xf>
    <xf numFmtId="164" fontId="19" fillId="5" borderId="20" xfId="1" applyNumberFormat="1" applyFont="1" applyFill="1" applyBorder="1" applyAlignment="1">
      <alignment vertical="center"/>
    </xf>
    <xf numFmtId="164" fontId="19" fillId="5" borderId="26" xfId="1" applyNumberFormat="1" applyFont="1" applyFill="1" applyBorder="1" applyAlignment="1">
      <alignment vertical="center"/>
    </xf>
    <xf numFmtId="164" fontId="26" fillId="4" borderId="12" xfId="1" applyNumberFormat="1" applyFont="1" applyFill="1" applyBorder="1" applyAlignment="1">
      <alignment horizontal="center" vertical="center" wrapText="1"/>
    </xf>
    <xf numFmtId="164" fontId="17" fillId="6" borderId="13" xfId="1" applyNumberFormat="1" applyFont="1" applyFill="1" applyBorder="1" applyAlignment="1">
      <alignment horizontal="center" vertical="center" wrapText="1"/>
    </xf>
    <xf numFmtId="164" fontId="33" fillId="5" borderId="0" xfId="1" applyNumberFormat="1" applyFont="1" applyFill="1" applyBorder="1" applyAlignment="1">
      <alignment vertical="center"/>
    </xf>
    <xf numFmtId="164" fontId="33" fillId="6" borderId="0" xfId="1" applyNumberFormat="1" applyFont="1" applyFill="1" applyBorder="1" applyAlignment="1">
      <alignment vertical="center"/>
    </xf>
    <xf numFmtId="164" fontId="20" fillId="6" borderId="0" xfId="1" applyNumberFormat="1" applyFont="1" applyFill="1" applyBorder="1" applyAlignment="1">
      <alignment vertical="center"/>
    </xf>
    <xf numFmtId="164" fontId="19" fillId="2" borderId="0" xfId="0" applyNumberFormat="1" applyFont="1" applyFill="1"/>
    <xf numFmtId="164" fontId="19" fillId="2" borderId="3" xfId="1" applyNumberFormat="1" applyFont="1" applyFill="1" applyBorder="1"/>
    <xf numFmtId="164" fontId="0" fillId="6" borderId="0" xfId="0" applyNumberFormat="1" applyFill="1"/>
    <xf numFmtId="164" fontId="0" fillId="6" borderId="0" xfId="2" applyNumberFormat="1" applyFont="1" applyFill="1"/>
    <xf numFmtId="9" fontId="157" fillId="3" borderId="20" xfId="2" applyFont="1" applyFill="1" applyBorder="1" applyAlignment="1" applyProtection="1">
      <alignment horizontal="center" vertical="center" wrapText="1"/>
      <protection locked="0"/>
    </xf>
    <xf numFmtId="164" fontId="45" fillId="3" borderId="29" xfId="0" applyNumberFormat="1" applyFont="1" applyFill="1" applyBorder="1" applyAlignment="1" applyProtection="1">
      <alignment horizontal="left" vertical="center" wrapText="1"/>
      <protection locked="0"/>
    </xf>
    <xf numFmtId="164" fontId="45" fillId="3" borderId="28" xfId="0" applyNumberFormat="1" applyFont="1" applyFill="1" applyBorder="1" applyAlignment="1" applyProtection="1">
      <alignment horizontal="left" vertical="center" wrapText="1"/>
      <protection locked="0"/>
    </xf>
    <xf numFmtId="164" fontId="188" fillId="24" borderId="72" xfId="2" applyNumberFormat="1" applyFont="1" applyFill="1" applyBorder="1" applyAlignment="1">
      <alignment horizontal="center" vertical="center" wrapText="1"/>
    </xf>
    <xf numFmtId="164" fontId="20" fillId="24" borderId="72" xfId="0" applyNumberFormat="1" applyFont="1" applyFill="1" applyBorder="1" applyAlignment="1" applyProtection="1">
      <alignment horizontal="left" vertical="center" wrapText="1"/>
      <protection locked="0"/>
    </xf>
    <xf numFmtId="164" fontId="20" fillId="3" borderId="29" xfId="0" applyNumberFormat="1" applyFont="1" applyFill="1" applyBorder="1" applyAlignment="1" applyProtection="1">
      <alignment horizontal="left" vertical="center" wrapText="1"/>
      <protection locked="0"/>
    </xf>
    <xf numFmtId="164" fontId="188" fillId="24" borderId="45" xfId="2" applyNumberFormat="1" applyFont="1" applyFill="1" applyBorder="1" applyAlignment="1">
      <alignment horizontal="center" vertical="center" wrapText="1"/>
    </xf>
    <xf numFmtId="44" fontId="44" fillId="6" borderId="28" xfId="1" applyFont="1" applyFill="1" applyBorder="1"/>
    <xf numFmtId="16" fontId="15" fillId="2" borderId="13" xfId="0" quotePrefix="1" applyNumberFormat="1" applyFont="1" applyFill="1" applyBorder="1" applyAlignment="1">
      <alignment vertical="center" wrapText="1"/>
    </xf>
    <xf numFmtId="0" fontId="15" fillId="2" borderId="0" xfId="0" applyFont="1" applyFill="1" applyAlignment="1">
      <alignment horizontal="left" vertical="center"/>
    </xf>
    <xf numFmtId="0" fontId="160" fillId="3" borderId="0" xfId="0" applyFont="1" applyFill="1" applyAlignment="1">
      <alignment horizontal="left" vertical="center"/>
    </xf>
    <xf numFmtId="0" fontId="15" fillId="2" borderId="13" xfId="0" applyFont="1" applyFill="1" applyBorder="1" applyAlignment="1">
      <alignment vertical="center"/>
    </xf>
    <xf numFmtId="44" fontId="47" fillId="3" borderId="32" xfId="1" applyFont="1" applyFill="1" applyBorder="1" applyAlignment="1">
      <alignment vertical="center"/>
    </xf>
    <xf numFmtId="44" fontId="47" fillId="3" borderId="26" xfId="1" applyFont="1" applyFill="1" applyBorder="1" applyAlignment="1">
      <alignment vertical="center"/>
    </xf>
    <xf numFmtId="164" fontId="47" fillId="3" borderId="0" xfId="1" applyNumberFormat="1" applyFont="1" applyFill="1" applyBorder="1" applyAlignment="1">
      <alignment vertical="center"/>
    </xf>
    <xf numFmtId="10" fontId="47" fillId="3" borderId="26" xfId="2" applyNumberFormat="1" applyFont="1" applyFill="1" applyBorder="1" applyAlignment="1">
      <alignment vertical="center"/>
    </xf>
    <xf numFmtId="0" fontId="20" fillId="6" borderId="3" xfId="0" applyFont="1" applyFill="1" applyBorder="1" applyAlignment="1">
      <alignment vertical="center"/>
    </xf>
    <xf numFmtId="0" fontId="155" fillId="24" borderId="38" xfId="0" applyFont="1" applyFill="1" applyBorder="1" applyAlignment="1">
      <alignment vertical="center"/>
    </xf>
    <xf numFmtId="0" fontId="46" fillId="24" borderId="26" xfId="0" applyFont="1" applyFill="1" applyBorder="1" applyAlignment="1">
      <alignment vertical="center"/>
    </xf>
    <xf numFmtId="44" fontId="46" fillId="24" borderId="72" xfId="1" applyFont="1" applyFill="1" applyBorder="1" applyAlignment="1">
      <alignment horizontal="center" vertical="center" wrapText="1"/>
    </xf>
    <xf numFmtId="164" fontId="47" fillId="24" borderId="72" xfId="0" applyNumberFormat="1" applyFont="1" applyFill="1" applyBorder="1" applyAlignment="1" applyProtection="1">
      <alignment horizontal="left" vertical="center" wrapText="1"/>
      <protection locked="0"/>
    </xf>
    <xf numFmtId="10" fontId="46" fillId="24" borderId="79" xfId="2" applyNumberFormat="1" applyFont="1" applyFill="1" applyBorder="1" applyAlignment="1">
      <alignment horizontal="center" vertical="center" wrapText="1"/>
    </xf>
    <xf numFmtId="0" fontId="46" fillId="24" borderId="79" xfId="0" applyFont="1" applyFill="1" applyBorder="1" applyAlignment="1">
      <alignment horizontal="left" vertical="center" wrapText="1"/>
    </xf>
    <xf numFmtId="9" fontId="153" fillId="3" borderId="29" xfId="2" applyFont="1" applyFill="1" applyBorder="1" applyAlignment="1" applyProtection="1">
      <alignment horizontal="left" vertical="center" wrapText="1"/>
      <protection locked="0"/>
    </xf>
    <xf numFmtId="9" fontId="20" fillId="3" borderId="28" xfId="2" applyFont="1" applyFill="1" applyBorder="1" applyAlignment="1" applyProtection="1">
      <alignment horizontal="left" vertical="center" wrapText="1"/>
      <protection locked="0"/>
    </xf>
    <xf numFmtId="9" fontId="153" fillId="3" borderId="42" xfId="2" applyFont="1" applyFill="1" applyBorder="1" applyAlignment="1" applyProtection="1">
      <alignment horizontal="left" vertical="center" wrapText="1"/>
      <protection locked="0"/>
    </xf>
    <xf numFmtId="164" fontId="20" fillId="24" borderId="45" xfId="0" applyNumberFormat="1" applyFont="1" applyFill="1" applyBorder="1" applyAlignment="1" applyProtection="1">
      <alignment horizontal="left" vertical="center" wrapText="1"/>
      <protection locked="0"/>
    </xf>
    <xf numFmtId="0" fontId="2" fillId="3" borderId="0" xfId="0" applyFont="1" applyFill="1"/>
    <xf numFmtId="9" fontId="157" fillId="3" borderId="44" xfId="2" applyFont="1" applyFill="1" applyBorder="1" applyAlignment="1" applyProtection="1">
      <alignment horizontal="center" vertical="center" wrapText="1"/>
      <protection locked="0"/>
    </xf>
    <xf numFmtId="9" fontId="45" fillId="3" borderId="20" xfId="2" applyFont="1" applyFill="1" applyBorder="1" applyAlignment="1" applyProtection="1">
      <alignment horizontal="center" vertical="center" wrapText="1"/>
      <protection locked="0"/>
    </xf>
    <xf numFmtId="164" fontId="20" fillId="3" borderId="45" xfId="0" applyNumberFormat="1" applyFont="1" applyFill="1" applyBorder="1" applyAlignment="1" applyProtection="1">
      <alignment horizontal="left" vertical="center" wrapText="1"/>
      <protection locked="0"/>
    </xf>
    <xf numFmtId="164" fontId="20" fillId="6" borderId="3" xfId="1" applyNumberFormat="1" applyFont="1" applyFill="1" applyBorder="1" applyAlignment="1">
      <alignment vertical="center"/>
    </xf>
    <xf numFmtId="10" fontId="20" fillId="6" borderId="3" xfId="2" applyNumberFormat="1" applyFont="1" applyFill="1" applyBorder="1" applyAlignment="1">
      <alignment vertical="center"/>
    </xf>
    <xf numFmtId="9" fontId="178" fillId="6" borderId="3" xfId="2" applyFont="1" applyFill="1" applyBorder="1" applyAlignment="1" applyProtection="1">
      <alignment vertical="center" wrapText="1"/>
      <protection locked="0"/>
    </xf>
    <xf numFmtId="0" fontId="20" fillId="6" borderId="3" xfId="0" applyFont="1" applyFill="1" applyBorder="1" applyAlignment="1">
      <alignment horizontal="center" vertical="center"/>
    </xf>
    <xf numFmtId="0" fontId="47" fillId="3" borderId="5" xfId="0" applyFont="1" applyFill="1" applyBorder="1" applyAlignment="1">
      <alignment vertical="center"/>
    </xf>
    <xf numFmtId="44" fontId="47" fillId="3" borderId="85" xfId="1" applyFont="1" applyFill="1" applyBorder="1" applyAlignment="1">
      <alignment vertical="center"/>
    </xf>
    <xf numFmtId="44" fontId="47" fillId="3" borderId="69" xfId="1" applyFont="1" applyFill="1" applyBorder="1" applyAlignment="1">
      <alignment vertical="center"/>
    </xf>
    <xf numFmtId="164" fontId="47" fillId="3" borderId="5" xfId="1" applyNumberFormat="1" applyFont="1" applyFill="1" applyBorder="1" applyAlignment="1">
      <alignment vertical="center"/>
    </xf>
    <xf numFmtId="10" fontId="47" fillId="3" borderId="69" xfId="2" applyNumberFormat="1" applyFont="1" applyFill="1" applyBorder="1" applyAlignment="1">
      <alignment vertical="center"/>
    </xf>
    <xf numFmtId="44" fontId="184" fillId="2" borderId="27" xfId="0" applyNumberFormat="1" applyFont="1" applyFill="1" applyBorder="1" applyAlignment="1">
      <alignment vertical="center"/>
    </xf>
    <xf numFmtId="7" fontId="19" fillId="2" borderId="0" xfId="1" applyNumberFormat="1" applyFont="1" applyFill="1" applyBorder="1"/>
    <xf numFmtId="164" fontId="19" fillId="2" borderId="0" xfId="1" applyNumberFormat="1" applyFont="1" applyFill="1" applyBorder="1"/>
    <xf numFmtId="10" fontId="19" fillId="2" borderId="0" xfId="2" applyNumberFormat="1" applyFont="1" applyFill="1" applyBorder="1"/>
    <xf numFmtId="164" fontId="132" fillId="25" borderId="54" xfId="1" applyNumberFormat="1" applyFont="1" applyFill="1" applyBorder="1" applyAlignment="1" applyProtection="1">
      <alignment horizontal="center" vertical="center"/>
      <protection hidden="1"/>
    </xf>
    <xf numFmtId="164" fontId="133" fillId="25" borderId="12" xfId="1" applyNumberFormat="1" applyFont="1" applyFill="1" applyBorder="1" applyAlignment="1" applyProtection="1">
      <alignment horizontal="center" vertical="center"/>
      <protection hidden="1"/>
    </xf>
    <xf numFmtId="164" fontId="132" fillId="25" borderId="81" xfId="1" applyNumberFormat="1" applyFont="1" applyFill="1" applyBorder="1" applyAlignment="1" applyProtection="1">
      <alignment horizontal="center" vertical="center"/>
      <protection hidden="1"/>
    </xf>
    <xf numFmtId="164" fontId="132" fillId="25" borderId="14" xfId="1" applyNumberFormat="1" applyFont="1" applyFill="1" applyBorder="1" applyAlignment="1" applyProtection="1">
      <alignment horizontal="center" vertical="center"/>
      <protection hidden="1"/>
    </xf>
    <xf numFmtId="164" fontId="132" fillId="25" borderId="11" xfId="1" applyNumberFormat="1" applyFont="1" applyFill="1" applyBorder="1" applyAlignment="1" applyProtection="1">
      <alignment horizontal="center" vertical="center"/>
      <protection hidden="1"/>
    </xf>
    <xf numFmtId="164" fontId="132" fillId="0" borderId="54" xfId="1" applyNumberFormat="1" applyFont="1" applyFill="1" applyBorder="1" applyAlignment="1" applyProtection="1">
      <alignment horizontal="center" vertical="center"/>
      <protection hidden="1"/>
    </xf>
    <xf numFmtId="164" fontId="133" fillId="0" borderId="12" xfId="1" applyNumberFormat="1" applyFont="1" applyFill="1" applyBorder="1" applyAlignment="1">
      <alignment horizontal="center" vertical="center"/>
    </xf>
    <xf numFmtId="164" fontId="132" fillId="0" borderId="81" xfId="1" applyNumberFormat="1" applyFont="1" applyFill="1" applyBorder="1" applyAlignment="1">
      <alignment horizontal="center" vertical="center"/>
    </xf>
    <xf numFmtId="166" fontId="132" fillId="0" borderId="54" xfId="0" applyNumberFormat="1" applyFont="1" applyBorder="1" applyAlignment="1" applyProtection="1">
      <alignment horizontal="center" vertical="center"/>
      <protection hidden="1"/>
    </xf>
    <xf numFmtId="164" fontId="133" fillId="0" borderId="12" xfId="1" applyNumberFormat="1" applyFont="1" applyFill="1" applyBorder="1" applyAlignment="1" applyProtection="1">
      <alignment horizontal="center" vertical="center"/>
      <protection hidden="1"/>
    </xf>
    <xf numFmtId="164" fontId="132" fillId="0" borderId="81" xfId="1" applyNumberFormat="1" applyFont="1" applyFill="1" applyBorder="1" applyAlignment="1" applyProtection="1">
      <alignment horizontal="center" vertical="center"/>
      <protection hidden="1"/>
    </xf>
    <xf numFmtId="164" fontId="132" fillId="0" borderId="14" xfId="1" applyNumberFormat="1" applyFont="1" applyFill="1" applyBorder="1" applyAlignment="1" applyProtection="1">
      <alignment horizontal="center" vertical="center"/>
      <protection hidden="1"/>
    </xf>
    <xf numFmtId="0" fontId="132" fillId="0" borderId="54" xfId="0" applyFont="1" applyBorder="1" applyAlignment="1">
      <alignment horizontal="center" vertical="center"/>
    </xf>
    <xf numFmtId="166" fontId="132" fillId="0" borderId="12" xfId="0" applyNumberFormat="1" applyFont="1" applyBorder="1" applyAlignment="1" applyProtection="1">
      <alignment horizontal="center" vertical="center"/>
      <protection hidden="1"/>
    </xf>
    <xf numFmtId="166" fontId="132" fillId="0" borderId="81" xfId="0" applyNumberFormat="1" applyFont="1" applyBorder="1" applyAlignment="1" applyProtection="1">
      <alignment horizontal="center" vertical="center"/>
      <protection hidden="1"/>
    </xf>
    <xf numFmtId="166" fontId="132" fillId="0" borderId="14" xfId="0" applyNumberFormat="1" applyFont="1" applyBorder="1" applyAlignment="1" applyProtection="1">
      <alignment horizontal="center" vertical="center"/>
      <protection hidden="1"/>
    </xf>
    <xf numFmtId="164" fontId="132" fillId="25" borderId="53" xfId="1" applyNumberFormat="1" applyFont="1" applyFill="1" applyBorder="1" applyAlignment="1" applyProtection="1">
      <alignment horizontal="center" vertical="center"/>
      <protection hidden="1"/>
    </xf>
    <xf numFmtId="164" fontId="133" fillId="25" borderId="15" xfId="1" applyNumberFormat="1" applyFont="1" applyFill="1" applyBorder="1" applyAlignment="1" applyProtection="1">
      <alignment horizontal="center" vertical="center"/>
      <protection hidden="1"/>
    </xf>
    <xf numFmtId="164" fontId="132" fillId="25" borderId="82" xfId="1" applyNumberFormat="1" applyFont="1" applyFill="1" applyBorder="1" applyAlignment="1" applyProtection="1">
      <alignment horizontal="center" vertical="center"/>
      <protection hidden="1"/>
    </xf>
    <xf numFmtId="164" fontId="132" fillId="25" borderId="17" xfId="1" applyNumberFormat="1" applyFont="1" applyFill="1" applyBorder="1" applyAlignment="1" applyProtection="1">
      <alignment horizontal="center" vertical="center"/>
      <protection hidden="1"/>
    </xf>
    <xf numFmtId="164" fontId="132" fillId="25" borderId="16" xfId="1" applyNumberFormat="1" applyFont="1" applyFill="1" applyBorder="1" applyAlignment="1" applyProtection="1">
      <alignment horizontal="center" vertical="center"/>
      <protection hidden="1"/>
    </xf>
    <xf numFmtId="164" fontId="132" fillId="20" borderId="53" xfId="1" applyNumberFormat="1" applyFont="1" applyFill="1" applyBorder="1" applyAlignment="1" applyProtection="1">
      <alignment horizontal="center" vertical="center"/>
      <protection hidden="1"/>
    </xf>
    <xf numFmtId="164" fontId="133" fillId="20" borderId="15" xfId="1" applyNumberFormat="1" applyFont="1" applyFill="1" applyBorder="1" applyAlignment="1">
      <alignment horizontal="center" vertical="center"/>
    </xf>
    <xf numFmtId="164" fontId="132" fillId="20" borderId="82" xfId="1" applyNumberFormat="1" applyFont="1" applyFill="1" applyBorder="1" applyAlignment="1">
      <alignment horizontal="center" vertical="center"/>
    </xf>
    <xf numFmtId="166" fontId="132" fillId="20" borderId="53" xfId="0" applyNumberFormat="1" applyFont="1" applyFill="1" applyBorder="1" applyAlignment="1" applyProtection="1">
      <alignment horizontal="center" vertical="center"/>
      <protection hidden="1"/>
    </xf>
    <xf numFmtId="164" fontId="133" fillId="20" borderId="15" xfId="1" applyNumberFormat="1" applyFont="1" applyFill="1" applyBorder="1" applyAlignment="1" applyProtection="1">
      <alignment horizontal="center" vertical="center"/>
      <protection hidden="1"/>
    </xf>
    <xf numFmtId="164" fontId="132" fillId="20" borderId="82" xfId="1" applyNumberFormat="1" applyFont="1" applyFill="1" applyBorder="1" applyAlignment="1" applyProtection="1">
      <alignment horizontal="center" vertical="center"/>
      <protection hidden="1"/>
    </xf>
    <xf numFmtId="164" fontId="132" fillId="20" borderId="17" xfId="1" applyNumberFormat="1" applyFont="1" applyFill="1" applyBorder="1" applyAlignment="1" applyProtection="1">
      <alignment horizontal="center" vertical="center"/>
      <protection hidden="1"/>
    </xf>
    <xf numFmtId="164" fontId="132" fillId="20" borderId="15" xfId="1" applyNumberFormat="1" applyFont="1" applyFill="1" applyBorder="1" applyAlignment="1">
      <alignment horizontal="center" vertical="center"/>
    </xf>
    <xf numFmtId="164" fontId="132" fillId="20" borderId="15" xfId="1" applyNumberFormat="1" applyFont="1" applyFill="1" applyBorder="1" applyAlignment="1" applyProtection="1">
      <alignment horizontal="center" vertical="center"/>
      <protection hidden="1"/>
    </xf>
    <xf numFmtId="0" fontId="132" fillId="20" borderId="53" xfId="0" applyFont="1" applyFill="1" applyBorder="1" applyAlignment="1">
      <alignment horizontal="center" vertical="center"/>
    </xf>
    <xf numFmtId="0" fontId="132" fillId="20" borderId="15" xfId="0" applyFont="1" applyFill="1" applyBorder="1" applyAlignment="1">
      <alignment horizontal="center" vertical="center"/>
    </xf>
    <xf numFmtId="0" fontId="132" fillId="20" borderId="82" xfId="0" applyFont="1" applyFill="1" applyBorder="1" applyAlignment="1">
      <alignment horizontal="center" vertical="center"/>
    </xf>
    <xf numFmtId="0" fontId="132" fillId="20" borderId="15" xfId="0" applyFont="1" applyFill="1" applyBorder="1" applyAlignment="1">
      <alignment vertical="center"/>
    </xf>
    <xf numFmtId="166" fontId="132" fillId="20" borderId="15" xfId="0" applyNumberFormat="1" applyFont="1" applyFill="1" applyBorder="1" applyAlignment="1" applyProtection="1">
      <alignment horizontal="center" vertical="center"/>
      <protection hidden="1"/>
    </xf>
    <xf numFmtId="166" fontId="132" fillId="20" borderId="82" xfId="0" applyNumberFormat="1" applyFont="1" applyFill="1" applyBorder="1" applyAlignment="1" applyProtection="1">
      <alignment horizontal="center" vertical="center"/>
      <protection hidden="1"/>
    </xf>
    <xf numFmtId="166" fontId="132" fillId="20" borderId="17" xfId="0" applyNumberFormat="1" applyFont="1" applyFill="1" applyBorder="1" applyAlignment="1" applyProtection="1">
      <alignment horizontal="center" vertical="center"/>
      <protection hidden="1"/>
    </xf>
    <xf numFmtId="0" fontId="132" fillId="20" borderId="8" xfId="0" applyFont="1" applyFill="1" applyBorder="1" applyAlignment="1">
      <alignment horizontal="center" vertical="center"/>
    </xf>
    <xf numFmtId="0" fontId="132" fillId="20" borderId="0" xfId="0" applyFont="1" applyFill="1" applyAlignment="1">
      <alignment horizontal="center" vertical="center"/>
    </xf>
    <xf numFmtId="164" fontId="132" fillId="25" borderId="15" xfId="1" applyNumberFormat="1" applyFont="1" applyFill="1" applyBorder="1" applyAlignment="1" applyProtection="1">
      <alignment horizontal="center" vertical="center"/>
      <protection hidden="1"/>
    </xf>
    <xf numFmtId="164" fontId="132" fillId="0" borderId="53" xfId="1" applyNumberFormat="1" applyFont="1" applyFill="1" applyBorder="1" applyAlignment="1" applyProtection="1">
      <alignment horizontal="center" vertical="center"/>
      <protection hidden="1"/>
    </xf>
    <xf numFmtId="164" fontId="132" fillId="0" borderId="15" xfId="1" applyNumberFormat="1" applyFont="1" applyFill="1" applyBorder="1" applyAlignment="1" applyProtection="1">
      <alignment horizontal="center" vertical="center"/>
      <protection hidden="1"/>
    </xf>
    <xf numFmtId="164" fontId="132" fillId="0" borderId="82" xfId="1" applyNumberFormat="1" applyFont="1" applyFill="1" applyBorder="1" applyAlignment="1">
      <alignment horizontal="center" vertical="center"/>
    </xf>
    <xf numFmtId="166" fontId="132" fillId="0" borderId="53" xfId="0" applyNumberFormat="1" applyFont="1" applyBorder="1" applyAlignment="1" applyProtection="1">
      <alignment horizontal="center" vertical="center"/>
      <protection hidden="1"/>
    </xf>
    <xf numFmtId="164" fontId="132" fillId="0" borderId="82" xfId="1" applyNumberFormat="1" applyFont="1" applyFill="1" applyBorder="1" applyAlignment="1" applyProtection="1">
      <alignment horizontal="center" vertical="center"/>
      <protection hidden="1"/>
    </xf>
    <xf numFmtId="164" fontId="132" fillId="0" borderId="17" xfId="1" applyNumberFormat="1" applyFont="1" applyFill="1" applyBorder="1" applyAlignment="1" applyProtection="1">
      <alignment horizontal="center" vertical="center"/>
      <protection hidden="1"/>
    </xf>
    <xf numFmtId="164" fontId="132" fillId="0" borderId="15" xfId="1" applyNumberFormat="1" applyFont="1" applyFill="1" applyBorder="1" applyAlignment="1">
      <alignment horizontal="center" vertical="center"/>
    </xf>
    <xf numFmtId="0" fontId="132" fillId="0" borderId="53" xfId="0" applyFont="1" applyBorder="1" applyAlignment="1">
      <alignment horizontal="center" vertical="center"/>
    </xf>
    <xf numFmtId="0" fontId="132" fillId="0" borderId="15" xfId="0" applyFont="1" applyBorder="1" applyAlignment="1">
      <alignment horizontal="center" vertical="center"/>
    </xf>
    <xf numFmtId="0" fontId="132" fillId="0" borderId="82" xfId="0" applyFont="1" applyBorder="1" applyAlignment="1">
      <alignment horizontal="center" vertical="center"/>
    </xf>
    <xf numFmtId="0" fontId="132" fillId="0" borderId="15" xfId="0" applyFont="1" applyBorder="1" applyAlignment="1">
      <alignment vertical="center"/>
    </xf>
    <xf numFmtId="166" fontId="132" fillId="0" borderId="15" xfId="0" applyNumberFormat="1" applyFont="1" applyBorder="1" applyAlignment="1" applyProtection="1">
      <alignment horizontal="center" vertical="center"/>
      <protection hidden="1"/>
    </xf>
    <xf numFmtId="166" fontId="132" fillId="0" borderId="82" xfId="0" applyNumberFormat="1" applyFont="1" applyBorder="1" applyAlignment="1" applyProtection="1">
      <alignment horizontal="center" vertical="center"/>
      <protection hidden="1"/>
    </xf>
    <xf numFmtId="166" fontId="132" fillId="0" borderId="17" xfId="0" applyNumberFormat="1" applyFont="1" applyBorder="1" applyAlignment="1" applyProtection="1">
      <alignment horizontal="center" vertical="center"/>
      <protection hidden="1"/>
    </xf>
    <xf numFmtId="0" fontId="132" fillId="0" borderId="8" xfId="0" applyFont="1" applyBorder="1" applyAlignment="1">
      <alignment horizontal="center" vertical="center"/>
    </xf>
    <xf numFmtId="0" fontId="45" fillId="3" borderId="3" xfId="0" applyFont="1" applyFill="1" applyBorder="1"/>
    <xf numFmtId="0" fontId="166" fillId="6" borderId="0" xfId="0" applyFont="1" applyFill="1" applyAlignment="1">
      <alignment horizontal="right" indent="1"/>
    </xf>
    <xf numFmtId="0" fontId="197" fillId="25" borderId="0" xfId="0" applyFont="1" applyFill="1" applyAlignment="1">
      <alignment vertical="center" wrapText="1"/>
    </xf>
    <xf numFmtId="0" fontId="198" fillId="25" borderId="0" xfId="0" applyFont="1" applyFill="1" applyAlignment="1">
      <alignment horizontal="right"/>
    </xf>
    <xf numFmtId="0" fontId="197" fillId="25" borderId="0" xfId="0" applyFont="1" applyFill="1"/>
    <xf numFmtId="0" fontId="199" fillId="25" borderId="37" xfId="0" applyFont="1" applyFill="1" applyBorder="1"/>
    <xf numFmtId="0" fontId="197" fillId="0" borderId="38" xfId="0" applyFont="1" applyBorder="1"/>
    <xf numFmtId="0" fontId="197" fillId="0" borderId="0" xfId="0" applyFont="1"/>
    <xf numFmtId="164" fontId="200" fillId="0" borderId="12" xfId="1" applyNumberFormat="1" applyFont="1" applyFill="1" applyBorder="1" applyAlignment="1">
      <alignment horizontal="center" vertical="center"/>
    </xf>
    <xf numFmtId="164" fontId="200" fillId="0" borderId="54" xfId="1" applyNumberFormat="1" applyFont="1" applyFill="1" applyBorder="1" applyAlignment="1" applyProtection="1">
      <alignment horizontal="center" vertical="center"/>
      <protection hidden="1"/>
    </xf>
    <xf numFmtId="164" fontId="201" fillId="0" borderId="12" xfId="1" applyNumberFormat="1" applyFont="1" applyFill="1" applyBorder="1" applyAlignment="1">
      <alignment horizontal="center" vertical="center"/>
    </xf>
    <xf numFmtId="164" fontId="201" fillId="0" borderId="81" xfId="1" applyNumberFormat="1" applyFont="1" applyFill="1" applyBorder="1" applyAlignment="1">
      <alignment horizontal="center" vertical="center"/>
    </xf>
    <xf numFmtId="164" fontId="201" fillId="0" borderId="54" xfId="1" applyNumberFormat="1" applyFont="1" applyFill="1" applyBorder="1" applyAlignment="1" applyProtection="1">
      <alignment horizontal="center" vertical="center"/>
      <protection hidden="1"/>
    </xf>
    <xf numFmtId="164" fontId="201" fillId="0" borderId="14" xfId="1" applyNumberFormat="1" applyFont="1" applyFill="1" applyBorder="1" applyAlignment="1" applyProtection="1">
      <alignment horizontal="center" vertical="center"/>
      <protection hidden="1"/>
    </xf>
    <xf numFmtId="164" fontId="201" fillId="20" borderId="15" xfId="1" applyNumberFormat="1" applyFont="1" applyFill="1" applyBorder="1" applyAlignment="1">
      <alignment horizontal="center" vertical="center"/>
    </xf>
    <xf numFmtId="164" fontId="201" fillId="20" borderId="82" xfId="1" applyNumberFormat="1" applyFont="1" applyFill="1" applyBorder="1" applyAlignment="1">
      <alignment horizontal="center" vertical="center"/>
    </xf>
    <xf numFmtId="164" fontId="201" fillId="20" borderId="53" xfId="1" applyNumberFormat="1" applyFont="1" applyFill="1" applyBorder="1" applyAlignment="1" applyProtection="1">
      <alignment horizontal="center" vertical="center"/>
      <protection hidden="1"/>
    </xf>
    <xf numFmtId="164" fontId="201" fillId="20" borderId="17" xfId="1" applyNumberFormat="1" applyFont="1" applyFill="1" applyBorder="1" applyAlignment="1" applyProtection="1">
      <alignment horizontal="center" vertical="center"/>
      <protection hidden="1"/>
    </xf>
    <xf numFmtId="164" fontId="200" fillId="0" borderId="12" xfId="1" applyNumberFormat="1" applyFont="1" applyFill="1" applyBorder="1" applyAlignment="1" applyProtection="1">
      <alignment horizontal="center" vertical="center"/>
      <protection hidden="1"/>
    </xf>
    <xf numFmtId="164" fontId="200" fillId="0" borderId="81" xfId="1" applyNumberFormat="1" applyFont="1" applyFill="1" applyBorder="1" applyAlignment="1" applyProtection="1">
      <alignment horizontal="center" vertical="center"/>
      <protection hidden="1"/>
    </xf>
    <xf numFmtId="166" fontId="200" fillId="0" borderId="54" xfId="0" applyNumberFormat="1" applyFont="1" applyBorder="1" applyAlignment="1" applyProtection="1">
      <alignment horizontal="center" vertical="center"/>
      <protection hidden="1"/>
    </xf>
    <xf numFmtId="0" fontId="200" fillId="0" borderId="54" xfId="0" applyFont="1" applyBorder="1" applyAlignment="1">
      <alignment horizontal="center" vertical="center"/>
    </xf>
    <xf numFmtId="0" fontId="200" fillId="0" borderId="12" xfId="0" applyFont="1" applyBorder="1" applyAlignment="1">
      <alignment horizontal="center" vertical="center"/>
    </xf>
    <xf numFmtId="0" fontId="200" fillId="0" borderId="81" xfId="0" applyFont="1" applyBorder="1" applyAlignment="1">
      <alignment horizontal="center" vertical="center"/>
    </xf>
    <xf numFmtId="0" fontId="200" fillId="0" borderId="12" xfId="0" applyFont="1" applyBorder="1" applyAlignment="1">
      <alignment vertical="center"/>
    </xf>
    <xf numFmtId="0" fontId="200" fillId="0" borderId="54" xfId="0" applyFont="1" applyBorder="1" applyAlignment="1">
      <alignment vertical="center"/>
    </xf>
    <xf numFmtId="0" fontId="200" fillId="0" borderId="81" xfId="0" applyFont="1" applyBorder="1" applyAlignment="1">
      <alignment vertical="center"/>
    </xf>
    <xf numFmtId="166" fontId="200" fillId="0" borderId="12" xfId="0" applyNumberFormat="1" applyFont="1" applyBorder="1" applyAlignment="1" applyProtection="1">
      <alignment horizontal="center" vertical="center"/>
      <protection hidden="1"/>
    </xf>
    <xf numFmtId="166" fontId="200" fillId="0" borderId="81" xfId="0" applyNumberFormat="1" applyFont="1" applyBorder="1" applyAlignment="1" applyProtection="1">
      <alignment horizontal="center" vertical="center"/>
      <protection hidden="1"/>
    </xf>
    <xf numFmtId="166" fontId="200" fillId="0" borderId="14" xfId="0" applyNumberFormat="1" applyFont="1" applyBorder="1" applyAlignment="1" applyProtection="1">
      <alignment horizontal="center" vertical="center"/>
      <protection hidden="1"/>
    </xf>
    <xf numFmtId="0" fontId="200" fillId="0" borderId="13" xfId="0" applyFont="1" applyBorder="1" applyAlignment="1">
      <alignment horizontal="center" vertical="center"/>
    </xf>
    <xf numFmtId="0" fontId="202" fillId="0" borderId="3" xfId="0" applyFont="1" applyBorder="1" applyAlignment="1">
      <alignment horizontal="left" vertical="center"/>
    </xf>
    <xf numFmtId="44" fontId="44" fillId="3" borderId="17" xfId="1" applyFont="1" applyFill="1" applyBorder="1" applyAlignment="1">
      <alignment vertical="center"/>
    </xf>
    <xf numFmtId="0" fontId="203" fillId="2" borderId="17" xfId="0" applyFont="1" applyFill="1" applyBorder="1" applyAlignment="1">
      <alignment vertical="center"/>
    </xf>
    <xf numFmtId="9" fontId="16" fillId="3" borderId="0" xfId="2" applyFont="1" applyFill="1" applyAlignment="1">
      <alignment vertical="center"/>
    </xf>
    <xf numFmtId="9" fontId="19" fillId="3" borderId="0" xfId="2" applyFont="1" applyFill="1" applyAlignment="1">
      <alignment horizontal="left" vertical="center"/>
    </xf>
    <xf numFmtId="44" fontId="43" fillId="6" borderId="0" xfId="1" applyFont="1" applyFill="1" applyBorder="1" applyAlignment="1">
      <alignment horizontal="center" vertical="center"/>
    </xf>
    <xf numFmtId="44" fontId="19" fillId="6" borderId="0" xfId="0" applyNumberFormat="1" applyFont="1" applyFill="1"/>
    <xf numFmtId="9" fontId="19" fillId="6" borderId="27" xfId="2" applyFont="1" applyFill="1" applyBorder="1" applyAlignment="1" applyProtection="1">
      <alignment vertical="center" wrapText="1"/>
      <protection locked="0"/>
    </xf>
    <xf numFmtId="44" fontId="20" fillId="3" borderId="28" xfId="1" applyFont="1" applyFill="1" applyBorder="1" applyAlignment="1">
      <alignment vertical="center"/>
    </xf>
    <xf numFmtId="164" fontId="20" fillId="3" borderId="20" xfId="1" applyNumberFormat="1" applyFont="1" applyFill="1" applyBorder="1" applyAlignment="1">
      <alignment vertical="center"/>
    </xf>
    <xf numFmtId="0" fontId="1" fillId="3" borderId="0" xfId="0" applyFont="1" applyFill="1" applyAlignment="1">
      <alignment vertical="center"/>
    </xf>
    <xf numFmtId="0" fontId="150" fillId="24" borderId="94" xfId="0" applyFont="1" applyFill="1" applyBorder="1" applyAlignment="1">
      <alignment vertical="center"/>
    </xf>
    <xf numFmtId="9" fontId="20" fillId="3" borderId="20" xfId="2" applyFont="1" applyFill="1" applyBorder="1" applyAlignment="1" applyProtection="1">
      <alignment horizontal="left" vertical="center" wrapText="1"/>
      <protection locked="0"/>
    </xf>
    <xf numFmtId="0" fontId="150" fillId="24" borderId="3" xfId="0" applyFont="1" applyFill="1" applyBorder="1"/>
    <xf numFmtId="44" fontId="150" fillId="24" borderId="119" xfId="1" applyFont="1" applyFill="1" applyBorder="1" applyAlignment="1">
      <alignment horizontal="center" vertical="center" wrapText="1"/>
    </xf>
    <xf numFmtId="164" fontId="150" fillId="24" borderId="45" xfId="2" applyNumberFormat="1" applyFont="1" applyFill="1" applyBorder="1" applyAlignment="1">
      <alignment horizontal="center" vertical="center" wrapText="1"/>
    </xf>
    <xf numFmtId="0" fontId="150" fillId="24" borderId="26" xfId="0" applyFont="1" applyFill="1" applyBorder="1" applyAlignment="1">
      <alignment horizontal="center" vertical="center" wrapText="1"/>
    </xf>
    <xf numFmtId="0" fontId="20" fillId="3" borderId="13" xfId="0" applyFont="1" applyFill="1" applyBorder="1" applyAlignment="1">
      <alignment vertical="center"/>
    </xf>
    <xf numFmtId="9" fontId="20" fillId="3" borderId="47" xfId="2" applyFont="1" applyFill="1" applyBorder="1" applyAlignment="1" applyProtection="1">
      <alignment horizontal="left" vertical="center" wrapText="1"/>
      <protection locked="0"/>
    </xf>
    <xf numFmtId="0" fontId="160" fillId="3" borderId="0" xfId="0" applyFont="1" applyFill="1" applyAlignment="1">
      <alignment vertical="center"/>
    </xf>
    <xf numFmtId="0" fontId="166" fillId="6" borderId="12" xfId="0" applyFont="1" applyFill="1" applyBorder="1" applyAlignment="1">
      <alignment horizontal="right" indent="1"/>
    </xf>
    <xf numFmtId="44" fontId="19" fillId="2" borderId="0" xfId="0" applyNumberFormat="1" applyFont="1" applyFill="1" applyAlignment="1">
      <alignment horizontal="center" vertical="center"/>
    </xf>
    <xf numFmtId="44" fontId="163" fillId="2" borderId="52" xfId="0" applyNumberFormat="1" applyFont="1" applyFill="1" applyBorder="1" applyAlignment="1">
      <alignment vertical="center"/>
    </xf>
    <xf numFmtId="44" fontId="19" fillId="3" borderId="17" xfId="2" applyNumberFormat="1" applyFont="1" applyFill="1" applyBorder="1" applyAlignment="1" applyProtection="1">
      <alignment vertical="center" wrapText="1"/>
      <protection locked="0"/>
    </xf>
    <xf numFmtId="37" fontId="50" fillId="3" borderId="90" xfId="0" applyNumberFormat="1" applyFont="1" applyFill="1" applyBorder="1" applyAlignment="1">
      <alignment horizontal="center" vertical="center"/>
    </xf>
    <xf numFmtId="0" fontId="23" fillId="3" borderId="0" xfId="0" applyFont="1" applyFill="1" applyAlignment="1">
      <alignment horizontal="left" vertical="center" wrapText="1" indent="1"/>
    </xf>
    <xf numFmtId="0" fontId="23" fillId="3" borderId="27" xfId="0" applyFont="1" applyFill="1" applyBorder="1" applyAlignment="1">
      <alignment horizontal="center" vertical="center" wrapText="1"/>
    </xf>
    <xf numFmtId="44" fontId="23" fillId="3" borderId="88" xfId="0" applyNumberFormat="1" applyFont="1" applyFill="1" applyBorder="1" applyAlignment="1">
      <alignment vertical="center" wrapText="1"/>
    </xf>
    <xf numFmtId="14" fontId="160" fillId="3" borderId="13" xfId="0" applyNumberFormat="1" applyFont="1" applyFill="1" applyBorder="1" applyAlignment="1">
      <alignment horizontal="left" vertical="center" wrapText="1"/>
    </xf>
    <xf numFmtId="14" fontId="160" fillId="3" borderId="13" xfId="0" applyNumberFormat="1" applyFont="1" applyFill="1" applyBorder="1" applyAlignment="1">
      <alignment vertical="center" wrapText="1"/>
    </xf>
    <xf numFmtId="0" fontId="19" fillId="0" borderId="0" xfId="0" applyFont="1" applyAlignment="1">
      <alignment vertical="center"/>
    </xf>
    <xf numFmtId="164" fontId="19" fillId="0" borderId="20" xfId="2" applyNumberFormat="1" applyFont="1" applyFill="1" applyBorder="1" applyAlignment="1" applyProtection="1">
      <alignment vertical="center" wrapText="1"/>
      <protection locked="0"/>
    </xf>
    <xf numFmtId="0" fontId="19" fillId="0" borderId="20" xfId="0" applyFont="1" applyBorder="1" applyAlignment="1">
      <alignment horizontal="left" vertical="center"/>
    </xf>
    <xf numFmtId="9" fontId="19" fillId="3" borderId="22" xfId="2" applyFont="1" applyFill="1" applyBorder="1" applyAlignment="1" applyProtection="1">
      <alignment vertical="center" wrapText="1"/>
      <protection locked="0"/>
    </xf>
    <xf numFmtId="0" fontId="19" fillId="3" borderId="16" xfId="0" applyFont="1" applyFill="1" applyBorder="1" applyAlignment="1">
      <alignment vertical="center"/>
    </xf>
    <xf numFmtId="9" fontId="20" fillId="3" borderId="20" xfId="2" applyFont="1" applyFill="1" applyBorder="1" applyAlignment="1" applyProtection="1">
      <alignment horizontal="center" vertical="center" wrapText="1"/>
      <protection locked="0"/>
    </xf>
    <xf numFmtId="1" fontId="6" fillId="6" borderId="0" xfId="0" applyNumberFormat="1" applyFont="1" applyFill="1"/>
    <xf numFmtId="1" fontId="10" fillId="6" borderId="0" xfId="0" applyNumberFormat="1" applyFont="1" applyFill="1"/>
    <xf numFmtId="1" fontId="12" fillId="6" borderId="0" xfId="0" applyNumberFormat="1" applyFont="1" applyFill="1"/>
    <xf numFmtId="1" fontId="20" fillId="6" borderId="0" xfId="0" applyNumberFormat="1" applyFont="1" applyFill="1" applyAlignment="1">
      <alignment vertical="center"/>
    </xf>
    <xf numFmtId="1" fontId="20" fillId="6" borderId="13" xfId="0" applyNumberFormat="1" applyFont="1" applyFill="1" applyBorder="1" applyAlignment="1">
      <alignment vertical="center"/>
    </xf>
    <xf numFmtId="1" fontId="20" fillId="5" borderId="0" xfId="0" applyNumberFormat="1" applyFont="1" applyFill="1" applyAlignment="1">
      <alignment vertical="center"/>
    </xf>
    <xf numFmtId="1" fontId="20" fillId="5" borderId="13" xfId="0" applyNumberFormat="1" applyFont="1" applyFill="1" applyBorder="1" applyAlignment="1">
      <alignment vertical="center"/>
    </xf>
    <xf numFmtId="1" fontId="150" fillId="24" borderId="3" xfId="0" applyNumberFormat="1" applyFont="1" applyFill="1" applyBorder="1" applyAlignment="1">
      <alignment vertical="center" wrapText="1"/>
    </xf>
    <xf numFmtId="1" fontId="153" fillId="6" borderId="0" xfId="0" applyNumberFormat="1" applyFont="1" applyFill="1" applyAlignment="1">
      <alignment vertical="center"/>
    </xf>
    <xf numFmtId="1" fontId="153" fillId="6" borderId="3" xfId="0" applyNumberFormat="1" applyFont="1" applyFill="1" applyBorder="1" applyAlignment="1">
      <alignment vertical="center"/>
    </xf>
    <xf numFmtId="1" fontId="24" fillId="24" borderId="3" xfId="0" applyNumberFormat="1" applyFont="1" applyFill="1" applyBorder="1" applyAlignment="1">
      <alignment vertical="center" wrapText="1"/>
    </xf>
    <xf numFmtId="1" fontId="45" fillId="6" borderId="3" xfId="0" applyNumberFormat="1" applyFont="1" applyFill="1" applyBorder="1" applyAlignment="1">
      <alignment vertical="center"/>
    </xf>
    <xf numFmtId="1" fontId="24" fillId="24" borderId="38" xfId="0" applyNumberFormat="1" applyFont="1" applyFill="1" applyBorder="1" applyAlignment="1">
      <alignment vertical="center" wrapText="1"/>
    </xf>
    <xf numFmtId="1" fontId="45" fillId="6" borderId="0" xfId="0" applyNumberFormat="1" applyFont="1" applyFill="1" applyAlignment="1">
      <alignment vertical="center"/>
    </xf>
    <xf numFmtId="1" fontId="46" fillId="24" borderId="38" xfId="0" applyNumberFormat="1" applyFont="1" applyFill="1" applyBorder="1" applyAlignment="1">
      <alignment vertical="center" wrapText="1"/>
    </xf>
    <xf numFmtId="1" fontId="154" fillId="24" borderId="3" xfId="0" applyNumberFormat="1" applyFont="1" applyFill="1" applyBorder="1" applyAlignment="1">
      <alignment vertical="center" wrapText="1"/>
    </xf>
    <xf numFmtId="1" fontId="19" fillId="6" borderId="0" xfId="0" applyNumberFormat="1" applyFont="1" applyFill="1" applyAlignment="1">
      <alignment vertical="center"/>
    </xf>
    <xf numFmtId="1" fontId="19" fillId="0" borderId="0" xfId="0" applyNumberFormat="1" applyFont="1" applyAlignment="1">
      <alignment vertical="center"/>
    </xf>
    <xf numFmtId="1" fontId="19" fillId="3" borderId="0" xfId="0" applyNumberFormat="1" applyFont="1" applyFill="1" applyAlignment="1">
      <alignment vertical="center"/>
    </xf>
    <xf numFmtId="1" fontId="19" fillId="6" borderId="21" xfId="0" applyNumberFormat="1" applyFont="1" applyFill="1" applyBorder="1" applyAlignment="1">
      <alignment vertical="center"/>
    </xf>
    <xf numFmtId="37" fontId="19" fillId="6" borderId="0" xfId="0" applyNumberFormat="1" applyFont="1" applyFill="1" applyAlignment="1">
      <alignment vertical="center"/>
    </xf>
    <xf numFmtId="1" fontId="50" fillId="6" borderId="0" xfId="0" applyNumberFormat="1" applyFont="1" applyFill="1" applyAlignment="1">
      <alignment vertical="center"/>
    </xf>
    <xf numFmtId="1" fontId="47" fillId="6" borderId="0" xfId="0" applyNumberFormat="1" applyFont="1" applyFill="1" applyAlignment="1">
      <alignment vertical="center"/>
    </xf>
    <xf numFmtId="1" fontId="47" fillId="6" borderId="5" xfId="0" applyNumberFormat="1" applyFont="1" applyFill="1" applyBorder="1" applyAlignment="1">
      <alignment vertical="center"/>
    </xf>
    <xf numFmtId="1" fontId="19" fillId="6" borderId="13" xfId="0" applyNumberFormat="1" applyFont="1" applyFill="1" applyBorder="1" applyAlignment="1">
      <alignment vertical="center"/>
    </xf>
    <xf numFmtId="1" fontId="26" fillId="6" borderId="0" xfId="0" applyNumberFormat="1" applyFont="1" applyFill="1" applyAlignment="1">
      <alignment vertical="center" wrapText="1"/>
    </xf>
    <xf numFmtId="1" fontId="17" fillId="6" borderId="0" xfId="0" applyNumberFormat="1" applyFont="1" applyFill="1" applyAlignment="1">
      <alignment vertical="center" wrapText="1"/>
    </xf>
    <xf numFmtId="1" fontId="33" fillId="6" borderId="0" xfId="0" applyNumberFormat="1" applyFont="1" applyFill="1" applyAlignment="1">
      <alignment vertical="center"/>
    </xf>
    <xf numFmtId="1" fontId="20" fillId="6" borderId="3" xfId="0" applyNumberFormat="1" applyFont="1" applyFill="1" applyBorder="1" applyAlignment="1">
      <alignment vertical="center"/>
    </xf>
    <xf numFmtId="0" fontId="50" fillId="6" borderId="0" xfId="0" applyFont="1" applyFill="1"/>
    <xf numFmtId="0" fontId="19" fillId="6" borderId="3" xfId="0" applyFont="1" applyFill="1" applyBorder="1"/>
    <xf numFmtId="37" fontId="50" fillId="6" borderId="0" xfId="0" applyNumberFormat="1" applyFont="1" applyFill="1" applyAlignment="1">
      <alignment vertical="center"/>
    </xf>
    <xf numFmtId="44" fontId="20" fillId="3" borderId="16" xfId="1" applyFont="1" applyFill="1" applyBorder="1" applyAlignment="1">
      <alignment horizontal="right" vertical="center"/>
    </xf>
    <xf numFmtId="37" fontId="217" fillId="3" borderId="12" xfId="0" applyNumberFormat="1" applyFont="1" applyFill="1" applyBorder="1" applyAlignment="1">
      <alignment horizontal="center" vertical="center"/>
    </xf>
    <xf numFmtId="0" fontId="217" fillId="3" borderId="12" xfId="0" applyFont="1" applyFill="1" applyBorder="1" applyAlignment="1">
      <alignment horizontal="left" vertical="center"/>
    </xf>
    <xf numFmtId="0" fontId="217" fillId="3" borderId="92" xfId="0" applyFont="1" applyFill="1" applyBorder="1" applyAlignment="1">
      <alignment horizontal="left" vertical="center"/>
    </xf>
    <xf numFmtId="0" fontId="217" fillId="3" borderId="12" xfId="0" applyFont="1" applyFill="1" applyBorder="1" applyAlignment="1">
      <alignment vertical="center"/>
    </xf>
    <xf numFmtId="0" fontId="217" fillId="3" borderId="12" xfId="0" applyFont="1" applyFill="1" applyBorder="1" applyAlignment="1">
      <alignment horizontal="center" vertical="center"/>
    </xf>
    <xf numFmtId="0" fontId="216" fillId="3" borderId="120" xfId="0" applyFont="1" applyFill="1" applyBorder="1" applyAlignment="1">
      <alignment vertical="center"/>
    </xf>
    <xf numFmtId="0" fontId="216" fillId="3" borderId="0" xfId="0" applyFont="1" applyFill="1" applyAlignment="1">
      <alignment vertical="center"/>
    </xf>
    <xf numFmtId="0" fontId="217" fillId="3" borderId="19" xfId="0" applyFont="1" applyFill="1" applyBorder="1" applyAlignment="1">
      <alignment horizontal="left" vertical="center"/>
    </xf>
    <xf numFmtId="44" fontId="217" fillId="3" borderId="19" xfId="0" applyNumberFormat="1" applyFont="1" applyFill="1" applyBorder="1" applyAlignment="1">
      <alignment horizontal="left" vertical="center"/>
    </xf>
    <xf numFmtId="44" fontId="217" fillId="3" borderId="11" xfId="0" applyNumberFormat="1" applyFont="1" applyFill="1" applyBorder="1" applyAlignment="1">
      <alignment horizontal="right" vertical="center"/>
    </xf>
    <xf numFmtId="44" fontId="217" fillId="3" borderId="12" xfId="1" applyFont="1" applyFill="1" applyBorder="1" applyAlignment="1">
      <alignment horizontal="right" vertical="center"/>
    </xf>
    <xf numFmtId="37" fontId="217" fillId="3" borderId="15" xfId="0" applyNumberFormat="1" applyFont="1" applyFill="1" applyBorder="1" applyAlignment="1">
      <alignment horizontal="center" vertical="center"/>
    </xf>
    <xf numFmtId="0" fontId="217" fillId="3" borderId="15" xfId="0" applyFont="1" applyFill="1" applyBorder="1" applyAlignment="1">
      <alignment horizontal="left" vertical="center"/>
    </xf>
    <xf numFmtId="0" fontId="217" fillId="3" borderId="15" xfId="0" applyFont="1" applyFill="1" applyBorder="1" applyAlignment="1">
      <alignment vertical="center"/>
    </xf>
    <xf numFmtId="0" fontId="217" fillId="3" borderId="15" xfId="0" applyFont="1" applyFill="1" applyBorder="1"/>
    <xf numFmtId="0" fontId="216" fillId="3" borderId="88" xfId="0" applyFont="1" applyFill="1" applyBorder="1"/>
    <xf numFmtId="0" fontId="216" fillId="3" borderId="0" xfId="0" applyFont="1" applyFill="1"/>
    <xf numFmtId="0" fontId="217" fillId="3" borderId="21" xfId="0" applyFont="1" applyFill="1" applyBorder="1" applyAlignment="1">
      <alignment horizontal="left" vertical="center"/>
    </xf>
    <xf numFmtId="44" fontId="217" fillId="3" borderId="21" xfId="0" applyNumberFormat="1" applyFont="1" applyFill="1" applyBorder="1" applyAlignment="1">
      <alignment horizontal="left" vertical="center"/>
    </xf>
    <xf numFmtId="44" fontId="217" fillId="3" borderId="16" xfId="0" applyNumberFormat="1" applyFont="1" applyFill="1" applyBorder="1" applyAlignment="1">
      <alignment horizontal="right" vertical="center"/>
    </xf>
    <xf numFmtId="44" fontId="217" fillId="3" borderId="11" xfId="1" applyFont="1" applyFill="1" applyBorder="1" applyAlignment="1">
      <alignment horizontal="right" vertical="center"/>
    </xf>
    <xf numFmtId="37" fontId="217" fillId="3" borderId="107" xfId="0" applyNumberFormat="1" applyFont="1" applyFill="1" applyBorder="1" applyAlignment="1">
      <alignment horizontal="center" vertical="center"/>
    </xf>
    <xf numFmtId="0" fontId="217" fillId="3" borderId="0" xfId="0" applyFont="1" applyFill="1" applyAlignment="1">
      <alignment horizontal="left" vertical="center"/>
    </xf>
    <xf numFmtId="0" fontId="217" fillId="3" borderId="0" xfId="0" applyFont="1" applyFill="1" applyAlignment="1">
      <alignment vertical="center"/>
    </xf>
    <xf numFmtId="44" fontId="216" fillId="3" borderId="95" xfId="1" applyFont="1" applyFill="1" applyBorder="1" applyAlignment="1">
      <alignment horizontal="right" vertical="center"/>
    </xf>
    <xf numFmtId="37" fontId="217" fillId="3" borderId="52" xfId="0" applyNumberFormat="1" applyFont="1" applyFill="1" applyBorder="1" applyAlignment="1">
      <alignment horizontal="center" vertical="center"/>
    </xf>
    <xf numFmtId="0" fontId="217" fillId="3" borderId="52" xfId="0" applyFont="1" applyFill="1" applyBorder="1" applyAlignment="1">
      <alignment horizontal="left" vertical="center"/>
    </xf>
    <xf numFmtId="0" fontId="217" fillId="3" borderId="52" xfId="0" applyFont="1" applyFill="1" applyBorder="1" applyAlignment="1">
      <alignment vertical="center"/>
    </xf>
    <xf numFmtId="0" fontId="217" fillId="3" borderId="52" xfId="0" applyFont="1" applyFill="1" applyBorder="1" applyAlignment="1">
      <alignment horizontal="center" vertical="center"/>
    </xf>
    <xf numFmtId="0" fontId="216" fillId="3" borderId="108" xfId="0" applyFont="1" applyFill="1" applyBorder="1"/>
    <xf numFmtId="0" fontId="216" fillId="3" borderId="3" xfId="0" applyFont="1" applyFill="1" applyBorder="1"/>
    <xf numFmtId="0" fontId="217" fillId="3" borderId="102" xfId="0" applyFont="1" applyFill="1" applyBorder="1" applyAlignment="1">
      <alignment horizontal="left" vertical="center"/>
    </xf>
    <xf numFmtId="44" fontId="217" fillId="3" borderId="102" xfId="0" applyNumberFormat="1" applyFont="1" applyFill="1" applyBorder="1" applyAlignment="1">
      <alignment horizontal="left" vertical="center"/>
    </xf>
    <xf numFmtId="44" fontId="217" fillId="3" borderId="52" xfId="1" applyFont="1" applyFill="1" applyBorder="1" applyAlignment="1">
      <alignment horizontal="right" vertical="center"/>
    </xf>
    <xf numFmtId="0" fontId="214" fillId="24" borderId="2" xfId="0" applyFont="1" applyFill="1" applyBorder="1" applyAlignment="1">
      <alignment vertical="center"/>
    </xf>
    <xf numFmtId="0" fontId="209" fillId="24" borderId="2" xfId="0" applyFont="1" applyFill="1" applyBorder="1" applyAlignment="1">
      <alignment horizontal="center" vertical="center"/>
    </xf>
    <xf numFmtId="0" fontId="216" fillId="24" borderId="2" xfId="0" applyFont="1" applyFill="1" applyBorder="1" applyAlignment="1">
      <alignment vertical="center"/>
    </xf>
    <xf numFmtId="0" fontId="214" fillId="24" borderId="8" xfId="0" applyFont="1" applyFill="1" applyBorder="1" applyAlignment="1">
      <alignment vertical="center"/>
    </xf>
    <xf numFmtId="0" fontId="214" fillId="24" borderId="40" xfId="0" applyFont="1" applyFill="1" applyBorder="1" applyAlignment="1">
      <alignment vertical="center"/>
    </xf>
    <xf numFmtId="0" fontId="214" fillId="24" borderId="13" xfId="0" applyFont="1" applyFill="1" applyBorder="1" applyAlignment="1">
      <alignment vertical="center"/>
    </xf>
    <xf numFmtId="44" fontId="214" fillId="24" borderId="1" xfId="0" applyNumberFormat="1" applyFont="1" applyFill="1" applyBorder="1" applyAlignment="1">
      <alignment vertical="center"/>
    </xf>
    <xf numFmtId="0" fontId="217" fillId="6" borderId="15" xfId="0" applyFont="1" applyFill="1" applyBorder="1" applyAlignment="1">
      <alignment horizontal="left" vertical="center"/>
    </xf>
    <xf numFmtId="0" fontId="216" fillId="3" borderId="15" xfId="0" applyFont="1" applyFill="1" applyBorder="1" applyAlignment="1">
      <alignment vertical="center"/>
    </xf>
    <xf numFmtId="0" fontId="217" fillId="3" borderId="15" xfId="0" applyFont="1" applyFill="1" applyBorder="1" applyAlignment="1">
      <alignment horizontal="center" vertical="center"/>
    </xf>
    <xf numFmtId="0" fontId="216" fillId="3" borderId="14" xfId="0" applyFont="1" applyFill="1" applyBorder="1" applyAlignment="1">
      <alignment vertical="center"/>
    </xf>
    <xf numFmtId="0" fontId="217" fillId="3" borderId="14" xfId="0" applyFont="1" applyFill="1" applyBorder="1" applyAlignment="1">
      <alignment horizontal="left" vertical="center"/>
    </xf>
    <xf numFmtId="44" fontId="217" fillId="3" borderId="12" xfId="0" applyNumberFormat="1" applyFont="1" applyFill="1" applyBorder="1" applyAlignment="1">
      <alignment horizontal="left" vertical="center"/>
    </xf>
    <xf numFmtId="44" fontId="217" fillId="3" borderId="6" xfId="1" applyFont="1" applyFill="1" applyBorder="1" applyAlignment="1">
      <alignment horizontal="right" vertical="center"/>
    </xf>
    <xf numFmtId="0" fontId="217" fillId="3" borderId="26" xfId="0" applyFont="1" applyFill="1" applyBorder="1" applyAlignment="1">
      <alignment horizontal="left" vertical="center"/>
    </xf>
    <xf numFmtId="0" fontId="217" fillId="3" borderId="17" xfId="0" applyFont="1" applyFill="1" applyBorder="1" applyAlignment="1">
      <alignment vertical="center"/>
    </xf>
    <xf numFmtId="0" fontId="217" fillId="3" borderId="17" xfId="0" applyFont="1" applyFill="1" applyBorder="1" applyAlignment="1">
      <alignment horizontal="left" vertical="center"/>
    </xf>
    <xf numFmtId="44" fontId="217" fillId="3" borderId="15" xfId="0" applyNumberFormat="1" applyFont="1" applyFill="1" applyBorder="1" applyAlignment="1">
      <alignment horizontal="left" vertical="center"/>
    </xf>
    <xf numFmtId="0" fontId="219" fillId="3" borderId="15" xfId="0" applyFont="1" applyFill="1" applyBorder="1" applyAlignment="1">
      <alignment horizontal="center" vertical="center"/>
    </xf>
    <xf numFmtId="0" fontId="216" fillId="3" borderId="17" xfId="0" applyFont="1" applyFill="1" applyBorder="1" applyAlignment="1">
      <alignment vertical="center"/>
    </xf>
    <xf numFmtId="0" fontId="216" fillId="3" borderId="55" xfId="0" applyFont="1" applyFill="1" applyBorder="1" applyAlignment="1">
      <alignment vertical="center"/>
    </xf>
    <xf numFmtId="0" fontId="217" fillId="3" borderId="85" xfId="0" applyFont="1" applyFill="1" applyBorder="1" applyAlignment="1">
      <alignment horizontal="left" vertical="center"/>
    </xf>
    <xf numFmtId="0" fontId="217" fillId="3" borderId="69" xfId="0" applyFont="1" applyFill="1" applyBorder="1" applyAlignment="1">
      <alignment horizontal="left" vertical="center"/>
    </xf>
    <xf numFmtId="44" fontId="217" fillId="3" borderId="69" xfId="0" applyNumberFormat="1" applyFont="1" applyFill="1" applyBorder="1" applyAlignment="1">
      <alignment horizontal="left" vertical="center"/>
    </xf>
    <xf numFmtId="44" fontId="217" fillId="3" borderId="36" xfId="1" applyFont="1" applyFill="1" applyBorder="1" applyAlignment="1">
      <alignment horizontal="right" vertical="center"/>
    </xf>
    <xf numFmtId="0" fontId="218" fillId="24" borderId="11" xfId="0" applyFont="1" applyFill="1" applyBorder="1" applyAlignment="1">
      <alignment vertical="center"/>
    </xf>
    <xf numFmtId="0" fontId="216" fillId="24" borderId="12" xfId="0" applyFont="1" applyFill="1" applyBorder="1" applyAlignment="1">
      <alignment horizontal="left" vertical="center" indent="1"/>
    </xf>
    <xf numFmtId="0" fontId="209" fillId="24" borderId="13" xfId="0" applyFont="1" applyFill="1" applyBorder="1" applyAlignment="1">
      <alignment horizontal="center" vertical="center"/>
    </xf>
    <xf numFmtId="44" fontId="214" fillId="24" borderId="18" xfId="0" applyNumberFormat="1" applyFont="1" applyFill="1" applyBorder="1" applyAlignment="1">
      <alignment vertical="center"/>
    </xf>
    <xf numFmtId="0" fontId="219" fillId="3" borderId="12" xfId="0" applyFont="1" applyFill="1" applyBorder="1" applyAlignment="1">
      <alignment horizontal="center" vertical="center"/>
    </xf>
    <xf numFmtId="0" fontId="214" fillId="24" borderId="15" xfId="0" applyFont="1" applyFill="1" applyBorder="1" applyAlignment="1">
      <alignment vertical="center"/>
    </xf>
    <xf numFmtId="0" fontId="214" fillId="24" borderId="12" xfId="0" applyFont="1" applyFill="1" applyBorder="1" applyAlignment="1">
      <alignment vertical="center"/>
    </xf>
    <xf numFmtId="37" fontId="219" fillId="24" borderId="27" xfId="0" applyNumberFormat="1" applyFont="1" applyFill="1" applyBorder="1" applyAlignment="1">
      <alignment horizontal="left" vertical="center"/>
    </xf>
    <xf numFmtId="0" fontId="216" fillId="24" borderId="26" xfId="0" applyFont="1" applyFill="1" applyBorder="1" applyAlignment="1">
      <alignment horizontal="left" vertical="center" indent="1"/>
    </xf>
    <xf numFmtId="0" fontId="219" fillId="24" borderId="0" xfId="0" applyFont="1" applyFill="1" applyAlignment="1">
      <alignment horizontal="center" vertical="center"/>
    </xf>
    <xf numFmtId="0" fontId="217" fillId="24" borderId="0" xfId="0" applyFont="1" applyFill="1" applyAlignment="1">
      <alignment horizontal="center" vertical="center"/>
    </xf>
    <xf numFmtId="0" fontId="219" fillId="24" borderId="0" xfId="0" applyFont="1" applyFill="1" applyAlignment="1">
      <alignment vertical="center"/>
    </xf>
    <xf numFmtId="0" fontId="217" fillId="24" borderId="0" xfId="0" applyFont="1" applyFill="1" applyAlignment="1">
      <alignment vertical="center"/>
    </xf>
    <xf numFmtId="0" fontId="217" fillId="24" borderId="26" xfId="0" applyFont="1" applyFill="1" applyBorder="1" applyAlignment="1">
      <alignment horizontal="center" vertical="center"/>
    </xf>
    <xf numFmtId="44" fontId="219" fillId="24" borderId="0" xfId="1" applyFont="1" applyFill="1" applyBorder="1" applyAlignment="1">
      <alignment horizontal="left" vertical="center"/>
    </xf>
    <xf numFmtId="37" fontId="219" fillId="3" borderId="15" xfId="0" applyNumberFormat="1" applyFont="1" applyFill="1" applyBorder="1" applyAlignment="1">
      <alignment horizontal="center" vertical="center"/>
    </xf>
    <xf numFmtId="0" fontId="219" fillId="3" borderId="15" xfId="0" applyFont="1" applyFill="1" applyBorder="1" applyAlignment="1">
      <alignment horizontal="left" vertical="center"/>
    </xf>
    <xf numFmtId="0" fontId="219" fillId="3" borderId="15" xfId="0" applyFont="1" applyFill="1" applyBorder="1" applyAlignment="1">
      <alignment vertical="center"/>
    </xf>
    <xf numFmtId="0" fontId="217" fillId="3" borderId="15" xfId="0" applyFont="1" applyFill="1" applyBorder="1" applyAlignment="1">
      <alignment horizontal="left" indent="1"/>
    </xf>
    <xf numFmtId="0" fontId="219" fillId="3" borderId="15" xfId="0" applyFont="1" applyFill="1" applyBorder="1"/>
    <xf numFmtId="0" fontId="217" fillId="0" borderId="15" xfId="0" applyFont="1" applyBorder="1" applyAlignment="1">
      <alignment horizontal="left" vertical="center"/>
    </xf>
    <xf numFmtId="0" fontId="219" fillId="3" borderId="17" xfId="0" applyFont="1" applyFill="1" applyBorder="1" applyAlignment="1">
      <alignment horizontal="left" vertical="center"/>
    </xf>
    <xf numFmtId="44" fontId="219" fillId="3" borderId="15" xfId="0" applyNumberFormat="1" applyFont="1" applyFill="1" applyBorder="1" applyAlignment="1">
      <alignment horizontal="left" vertical="center"/>
    </xf>
    <xf numFmtId="44" fontId="211" fillId="3" borderId="15" xfId="0" applyNumberFormat="1" applyFont="1" applyFill="1" applyBorder="1" applyAlignment="1">
      <alignment horizontal="right" vertical="center"/>
    </xf>
    <xf numFmtId="44" fontId="219" fillId="3" borderId="15" xfId="1" applyFont="1" applyFill="1" applyBorder="1" applyAlignment="1">
      <alignment horizontal="right" vertical="center"/>
    </xf>
    <xf numFmtId="44" fontId="217" fillId="3" borderId="15" xfId="1" applyFont="1" applyFill="1" applyBorder="1" applyAlignment="1">
      <alignment horizontal="right" vertical="center"/>
    </xf>
    <xf numFmtId="0" fontId="219" fillId="3" borderId="15" xfId="0" applyFont="1" applyFill="1" applyBorder="1" applyAlignment="1">
      <alignment horizontal="left" vertical="center" indent="1"/>
    </xf>
    <xf numFmtId="0" fontId="211" fillId="3" borderId="15" xfId="0" applyFont="1" applyFill="1" applyBorder="1"/>
    <xf numFmtId="0" fontId="218" fillId="24" borderId="18" xfId="0" applyFont="1" applyFill="1" applyBorder="1" applyAlignment="1">
      <alignment vertical="center"/>
    </xf>
    <xf numFmtId="0" fontId="218" fillId="24" borderId="26" xfId="0" applyFont="1" applyFill="1" applyBorder="1" applyAlignment="1">
      <alignment horizontal="center" vertical="center"/>
    </xf>
    <xf numFmtId="0" fontId="213" fillId="24" borderId="0" xfId="0" applyFont="1" applyFill="1" applyAlignment="1">
      <alignment horizontal="center" vertical="center"/>
    </xf>
    <xf numFmtId="0" fontId="214" fillId="24" borderId="26" xfId="0" applyFont="1" applyFill="1" applyBorder="1" applyAlignment="1">
      <alignment vertical="center"/>
    </xf>
    <xf numFmtId="0" fontId="214" fillId="24" borderId="26" xfId="0" applyFont="1" applyFill="1" applyBorder="1" applyAlignment="1">
      <alignment horizontal="left" vertical="center"/>
    </xf>
    <xf numFmtId="44" fontId="214" fillId="24" borderId="26" xfId="1" applyFont="1" applyFill="1" applyBorder="1" applyAlignment="1">
      <alignment horizontal="left" vertical="center"/>
    </xf>
    <xf numFmtId="0" fontId="217" fillId="3" borderId="15" xfId="0" applyFont="1" applyFill="1" applyBorder="1" applyAlignment="1">
      <alignment horizontal="left" vertical="center" indent="1"/>
    </xf>
    <xf numFmtId="44" fontId="217" fillId="3" borderId="15" xfId="0" applyNumberFormat="1" applyFont="1" applyFill="1" applyBorder="1" applyAlignment="1">
      <alignment horizontal="right" vertical="center"/>
    </xf>
    <xf numFmtId="44" fontId="217" fillId="3" borderId="16" xfId="1" applyFont="1" applyFill="1" applyBorder="1" applyAlignment="1">
      <alignment horizontal="right" vertical="center"/>
    </xf>
    <xf numFmtId="0" fontId="218" fillId="24" borderId="12" xfId="0" applyFont="1" applyFill="1" applyBorder="1" applyAlignment="1">
      <alignment horizontal="center" vertical="center"/>
    </xf>
    <xf numFmtId="0" fontId="214" fillId="24" borderId="12" xfId="0" applyFont="1" applyFill="1" applyBorder="1" applyAlignment="1">
      <alignment horizontal="left" vertical="center"/>
    </xf>
    <xf numFmtId="44" fontId="214" fillId="24" borderId="12" xfId="1" applyFont="1" applyFill="1" applyBorder="1" applyAlignment="1">
      <alignment horizontal="left" vertical="center"/>
    </xf>
    <xf numFmtId="164" fontId="216" fillId="3" borderId="15" xfId="1" applyNumberFormat="1" applyFont="1" applyFill="1" applyBorder="1" applyAlignment="1">
      <alignment vertical="center"/>
    </xf>
    <xf numFmtId="0" fontId="216" fillId="24" borderId="52" xfId="0" applyFont="1" applyFill="1" applyBorder="1" applyAlignment="1">
      <alignment horizontal="left" vertical="center" indent="1"/>
    </xf>
    <xf numFmtId="0" fontId="219" fillId="3" borderId="17" xfId="0" applyFont="1" applyFill="1" applyBorder="1" applyAlignment="1">
      <alignment vertical="center"/>
    </xf>
    <xf numFmtId="0" fontId="218" fillId="24" borderId="51" xfId="0" applyFont="1" applyFill="1" applyBorder="1" applyAlignment="1">
      <alignment vertical="center"/>
    </xf>
    <xf numFmtId="0" fontId="216" fillId="24" borderId="69" xfId="0" applyFont="1" applyFill="1" applyBorder="1" applyAlignment="1">
      <alignment horizontal="left" vertical="center" indent="1"/>
    </xf>
    <xf numFmtId="0" fontId="218" fillId="24" borderId="69" xfId="0" applyFont="1" applyFill="1" applyBorder="1" applyAlignment="1">
      <alignment horizontal="center" vertical="center"/>
    </xf>
    <xf numFmtId="0" fontId="216" fillId="24" borderId="69" xfId="0" applyFont="1" applyFill="1" applyBorder="1" applyAlignment="1">
      <alignment horizontal="center" vertical="center"/>
    </xf>
    <xf numFmtId="0" fontId="214" fillId="24" borderId="69" xfId="0" applyFont="1" applyFill="1" applyBorder="1" applyAlignment="1">
      <alignment horizontal="left" vertical="center"/>
    </xf>
    <xf numFmtId="0" fontId="214" fillId="24" borderId="52" xfId="0" applyFont="1" applyFill="1" applyBorder="1" applyAlignment="1">
      <alignment horizontal="left" vertical="center"/>
    </xf>
    <xf numFmtId="0" fontId="214" fillId="24" borderId="52" xfId="0" applyFont="1" applyFill="1" applyBorder="1" applyAlignment="1">
      <alignment horizontal="center" vertical="center"/>
    </xf>
    <xf numFmtId="0" fontId="214" fillId="24" borderId="40" xfId="0" applyFont="1" applyFill="1" applyBorder="1" applyAlignment="1">
      <alignment horizontal="center" vertical="center"/>
    </xf>
    <xf numFmtId="0" fontId="216" fillId="24" borderId="5" xfId="0" applyFont="1" applyFill="1" applyBorder="1" applyAlignment="1">
      <alignment vertical="center"/>
    </xf>
    <xf numFmtId="0" fontId="216" fillId="24" borderId="85" xfId="0" applyFont="1" applyFill="1" applyBorder="1" applyAlignment="1">
      <alignment horizontal="center" vertical="center"/>
    </xf>
    <xf numFmtId="0" fontId="214" fillId="24" borderId="69" xfId="0" applyFont="1" applyFill="1" applyBorder="1" applyAlignment="1">
      <alignment vertical="center"/>
    </xf>
    <xf numFmtId="44" fontId="214" fillId="24" borderId="52" xfId="1" applyFont="1" applyFill="1" applyBorder="1" applyAlignment="1">
      <alignment horizontal="left" vertical="center"/>
    </xf>
    <xf numFmtId="37" fontId="219" fillId="3" borderId="11" xfId="0" applyNumberFormat="1" applyFont="1" applyFill="1" applyBorder="1" applyAlignment="1">
      <alignment horizontal="center" vertical="center"/>
    </xf>
    <xf numFmtId="0" fontId="219" fillId="3" borderId="12" xfId="0" applyFont="1" applyFill="1" applyBorder="1" applyAlignment="1">
      <alignment horizontal="left" vertical="center" indent="1"/>
    </xf>
    <xf numFmtId="0" fontId="211" fillId="3" borderId="14" xfId="0" applyFont="1" applyFill="1" applyBorder="1"/>
    <xf numFmtId="0" fontId="211" fillId="3" borderId="11" xfId="0" applyFont="1" applyFill="1" applyBorder="1" applyAlignment="1">
      <alignment horizontal="left"/>
    </xf>
    <xf numFmtId="0" fontId="211" fillId="3" borderId="0" xfId="0" applyFont="1" applyFill="1"/>
    <xf numFmtId="0" fontId="219" fillId="3" borderId="12" xfId="0" applyFont="1" applyFill="1" applyBorder="1" applyAlignment="1">
      <alignment horizontal="left" vertical="center"/>
    </xf>
    <xf numFmtId="0" fontId="219" fillId="3" borderId="0" xfId="0" applyFont="1" applyFill="1" applyAlignment="1">
      <alignment horizontal="left" vertical="center"/>
    </xf>
    <xf numFmtId="0" fontId="219" fillId="3" borderId="19" xfId="0" applyFont="1" applyFill="1" applyBorder="1" applyAlignment="1">
      <alignment horizontal="left" vertical="center"/>
    </xf>
    <xf numFmtId="44" fontId="219" fillId="3" borderId="19" xfId="0" applyNumberFormat="1" applyFont="1" applyFill="1" applyBorder="1" applyAlignment="1">
      <alignment horizontal="left" vertical="center"/>
    </xf>
    <xf numFmtId="37" fontId="217" fillId="3" borderId="16" xfId="0" applyNumberFormat="1" applyFont="1" applyFill="1" applyBorder="1" applyAlignment="1">
      <alignment horizontal="center" vertical="center"/>
    </xf>
    <xf numFmtId="0" fontId="217" fillId="3" borderId="17" xfId="0" applyFont="1" applyFill="1" applyBorder="1"/>
    <xf numFmtId="0" fontId="217" fillId="3" borderId="16" xfId="0" applyFont="1" applyFill="1" applyBorder="1" applyAlignment="1">
      <alignment horizontal="left"/>
    </xf>
    <xf numFmtId="0" fontId="217" fillId="3" borderId="0" xfId="0" applyFont="1" applyFill="1"/>
    <xf numFmtId="37" fontId="219" fillId="3" borderId="51" xfId="0" applyNumberFormat="1" applyFont="1" applyFill="1" applyBorder="1" applyAlignment="1">
      <alignment horizontal="center" vertical="center"/>
    </xf>
    <xf numFmtId="0" fontId="219" fillId="6" borderId="69" xfId="0" applyFont="1" applyFill="1" applyBorder="1" applyAlignment="1">
      <alignment horizontal="left" vertical="center"/>
    </xf>
    <xf numFmtId="0" fontId="219" fillId="3" borderId="69" xfId="0" applyFont="1" applyFill="1" applyBorder="1" applyAlignment="1">
      <alignment horizontal="left" vertical="center" indent="1"/>
    </xf>
    <xf numFmtId="0" fontId="219" fillId="3" borderId="85" xfId="0" applyFont="1" applyFill="1" applyBorder="1" applyAlignment="1">
      <alignment horizontal="left" vertical="center"/>
    </xf>
    <xf numFmtId="0" fontId="219" fillId="3" borderId="51" xfId="0" applyFont="1" applyFill="1" applyBorder="1" applyAlignment="1">
      <alignment horizontal="left" vertical="center"/>
    </xf>
    <xf numFmtId="0" fontId="219" fillId="3" borderId="49" xfId="0" applyFont="1" applyFill="1" applyBorder="1" applyAlignment="1">
      <alignment horizontal="left" vertical="center"/>
    </xf>
    <xf numFmtId="0" fontId="211" fillId="3" borderId="85" xfId="0" applyFont="1" applyFill="1" applyBorder="1"/>
    <xf numFmtId="0" fontId="219" fillId="3" borderId="3" xfId="0" applyFont="1" applyFill="1" applyBorder="1" applyAlignment="1">
      <alignment vertical="center"/>
    </xf>
    <xf numFmtId="0" fontId="211" fillId="3" borderId="3" xfId="0" applyFont="1" applyFill="1" applyBorder="1"/>
    <xf numFmtId="0" fontId="219" fillId="3" borderId="102" xfId="0" applyFont="1" applyFill="1" applyBorder="1" applyAlignment="1">
      <alignment horizontal="left" vertical="center"/>
    </xf>
    <xf numFmtId="44" fontId="219" fillId="3" borderId="102" xfId="0" applyNumberFormat="1" applyFont="1" applyFill="1" applyBorder="1" applyAlignment="1">
      <alignment horizontal="left" vertical="center"/>
    </xf>
    <xf numFmtId="0" fontId="218" fillId="24" borderId="41" xfId="0" applyFont="1" applyFill="1" applyBorder="1" applyAlignment="1">
      <alignment vertical="center"/>
    </xf>
    <xf numFmtId="0" fontId="216" fillId="24" borderId="44" xfId="0" applyFont="1" applyFill="1" applyBorder="1" applyAlignment="1">
      <alignment horizontal="left" vertical="center" indent="1"/>
    </xf>
    <xf numFmtId="0" fontId="218" fillId="24" borderId="44" xfId="0" applyFont="1" applyFill="1" applyBorder="1" applyAlignment="1">
      <alignment horizontal="center" vertical="center"/>
    </xf>
    <xf numFmtId="0" fontId="216" fillId="24" borderId="44" xfId="0" applyFont="1" applyFill="1" applyBorder="1" applyAlignment="1">
      <alignment horizontal="center" vertical="center"/>
    </xf>
    <xf numFmtId="0" fontId="214" fillId="24" borderId="44" xfId="0" applyFont="1" applyFill="1" applyBorder="1" applyAlignment="1">
      <alignment horizontal="left" vertical="center"/>
    </xf>
    <xf numFmtId="0" fontId="214" fillId="24" borderId="44" xfId="0" applyFont="1" applyFill="1" applyBorder="1" applyAlignment="1">
      <alignment horizontal="center" vertical="center"/>
    </xf>
    <xf numFmtId="0" fontId="214" fillId="24" borderId="3" xfId="0" applyFont="1" applyFill="1" applyBorder="1" applyAlignment="1">
      <alignment horizontal="center" vertical="center"/>
    </xf>
    <xf numFmtId="0" fontId="216" fillId="24" borderId="3" xfId="0" applyFont="1" applyFill="1" applyBorder="1" applyAlignment="1">
      <alignment vertical="center"/>
    </xf>
    <xf numFmtId="0" fontId="216" fillId="24" borderId="45" xfId="0" applyFont="1" applyFill="1" applyBorder="1" applyAlignment="1">
      <alignment horizontal="center" vertical="center"/>
    </xf>
    <xf numFmtId="0" fontId="214" fillId="24" borderId="44" xfId="0" applyFont="1" applyFill="1" applyBorder="1" applyAlignment="1">
      <alignment vertical="center"/>
    </xf>
    <xf numFmtId="44" fontId="214" fillId="24" borderId="44" xfId="1" applyFont="1" applyFill="1" applyBorder="1" applyAlignment="1">
      <alignment horizontal="left" vertical="center"/>
    </xf>
    <xf numFmtId="0" fontId="219" fillId="3" borderId="0" xfId="0" applyFont="1" applyFill="1"/>
    <xf numFmtId="0" fontId="219" fillId="3" borderId="11" xfId="0" applyFont="1" applyFill="1" applyBorder="1" applyAlignment="1">
      <alignment horizontal="center"/>
    </xf>
    <xf numFmtId="0" fontId="219" fillId="3" borderId="15" xfId="0" applyFont="1" applyFill="1" applyBorder="1" applyAlignment="1">
      <alignment horizontal="left"/>
    </xf>
    <xf numFmtId="44" fontId="219" fillId="3" borderId="115" xfId="1" applyFont="1" applyFill="1" applyBorder="1" applyAlignment="1">
      <alignment horizontal="right" vertical="center"/>
    </xf>
    <xf numFmtId="37" fontId="219" fillId="3" borderId="16" xfId="0" applyNumberFormat="1" applyFont="1" applyFill="1" applyBorder="1" applyAlignment="1">
      <alignment horizontal="center" vertical="center"/>
    </xf>
    <xf numFmtId="0" fontId="219" fillId="6" borderId="15" xfId="0" applyFont="1" applyFill="1" applyBorder="1" applyAlignment="1">
      <alignment horizontal="left" vertical="center"/>
    </xf>
    <xf numFmtId="0" fontId="219" fillId="3" borderId="16" xfId="0" applyFont="1" applyFill="1" applyBorder="1" applyAlignment="1">
      <alignment horizontal="left" vertical="center"/>
    </xf>
    <xf numFmtId="0" fontId="219" fillId="3" borderId="24" xfId="0" applyFont="1" applyFill="1" applyBorder="1" applyAlignment="1">
      <alignment horizontal="left" vertical="center"/>
    </xf>
    <xf numFmtId="44" fontId="219" fillId="3" borderId="24" xfId="0" applyNumberFormat="1" applyFont="1" applyFill="1" applyBorder="1" applyAlignment="1">
      <alignment horizontal="left" vertical="center"/>
    </xf>
    <xf numFmtId="0" fontId="219" fillId="3" borderId="85" xfId="0" applyFont="1" applyFill="1" applyBorder="1" applyAlignment="1">
      <alignment horizontal="center" vertical="center"/>
    </xf>
    <xf numFmtId="0" fontId="219" fillId="3" borderId="51" xfId="0" applyFont="1" applyFill="1" applyBorder="1" applyAlignment="1">
      <alignment horizontal="center" vertical="center"/>
    </xf>
    <xf numFmtId="0" fontId="219" fillId="3" borderId="69" xfId="0" applyFont="1" applyFill="1" applyBorder="1" applyAlignment="1">
      <alignment vertical="center"/>
    </xf>
    <xf numFmtId="0" fontId="219" fillId="3" borderId="3" xfId="0" applyFont="1" applyFill="1" applyBorder="1" applyAlignment="1">
      <alignment horizontal="left" vertical="center"/>
    </xf>
    <xf numFmtId="44" fontId="219" fillId="3" borderId="116" xfId="1" applyFont="1" applyFill="1" applyBorder="1" applyAlignment="1">
      <alignment horizontal="right" vertical="center"/>
    </xf>
    <xf numFmtId="0" fontId="214" fillId="24" borderId="69" xfId="0" applyFont="1" applyFill="1" applyBorder="1" applyAlignment="1">
      <alignment horizontal="center" vertical="center"/>
    </xf>
    <xf numFmtId="0" fontId="214" fillId="24" borderId="5" xfId="0" applyFont="1" applyFill="1" applyBorder="1" applyAlignment="1">
      <alignment horizontal="center" vertical="center"/>
    </xf>
    <xf numFmtId="0" fontId="219" fillId="6" borderId="12" xfId="0" applyFont="1" applyFill="1" applyBorder="1" applyAlignment="1">
      <alignment horizontal="left" vertical="center"/>
    </xf>
    <xf numFmtId="0" fontId="219" fillId="3" borderId="12" xfId="0" applyFont="1" applyFill="1" applyBorder="1"/>
    <xf numFmtId="0" fontId="219" fillId="3" borderId="69" xfId="0" applyFont="1" applyFill="1" applyBorder="1" applyAlignment="1">
      <alignment horizontal="left" vertical="center"/>
    </xf>
    <xf numFmtId="0" fontId="211" fillId="3" borderId="69" xfId="0" applyFont="1" applyFill="1" applyBorder="1"/>
    <xf numFmtId="0" fontId="213" fillId="24" borderId="12" xfId="0" applyFont="1" applyFill="1" applyBorder="1" applyAlignment="1">
      <alignment horizontal="center" vertical="center"/>
    </xf>
    <xf numFmtId="0" fontId="214" fillId="24" borderId="0" xfId="0" applyFont="1" applyFill="1" applyAlignment="1">
      <alignment horizontal="left" vertical="center"/>
    </xf>
    <xf numFmtId="37" fontId="217" fillId="3" borderId="11" xfId="0" applyNumberFormat="1" applyFont="1" applyFill="1" applyBorder="1" applyAlignment="1">
      <alignment horizontal="center" vertical="center"/>
    </xf>
    <xf numFmtId="0" fontId="216" fillId="3" borderId="15" xfId="0" applyFont="1" applyFill="1" applyBorder="1"/>
    <xf numFmtId="0" fontId="217" fillId="3" borderId="41" xfId="0" applyFont="1" applyFill="1" applyBorder="1" applyAlignment="1">
      <alignment vertical="center"/>
    </xf>
    <xf numFmtId="44" fontId="216" fillId="3" borderId="15" xfId="0" applyNumberFormat="1" applyFont="1" applyFill="1" applyBorder="1" applyAlignment="1">
      <alignment horizontal="right" vertical="center"/>
    </xf>
    <xf numFmtId="44" fontId="217" fillId="3" borderId="115" xfId="1" applyFont="1" applyFill="1" applyBorder="1" applyAlignment="1">
      <alignment horizontal="right" vertical="center"/>
    </xf>
    <xf numFmtId="37" fontId="217" fillId="3" borderId="51" xfId="0" applyNumberFormat="1" applyFont="1" applyFill="1" applyBorder="1" applyAlignment="1">
      <alignment horizontal="center" vertical="center"/>
    </xf>
    <xf numFmtId="0" fontId="217" fillId="6" borderId="69" xfId="0" applyFont="1" applyFill="1" applyBorder="1" applyAlignment="1">
      <alignment horizontal="left" vertical="center"/>
    </xf>
    <xf numFmtId="0" fontId="216" fillId="3" borderId="69" xfId="0" applyFont="1" applyFill="1" applyBorder="1"/>
    <xf numFmtId="44" fontId="217" fillId="3" borderId="116" xfId="1" applyFont="1" applyFill="1" applyBorder="1" applyAlignment="1">
      <alignment horizontal="right" vertical="center"/>
    </xf>
    <xf numFmtId="0" fontId="214" fillId="24" borderId="26" xfId="0" applyFont="1" applyFill="1" applyBorder="1" applyAlignment="1">
      <alignment horizontal="center" vertical="center"/>
    </xf>
    <xf numFmtId="0" fontId="214" fillId="24" borderId="0" xfId="0" applyFont="1" applyFill="1" applyAlignment="1">
      <alignment horizontal="center" vertical="center"/>
    </xf>
    <xf numFmtId="0" fontId="216" fillId="24" borderId="40" xfId="0" applyFont="1" applyFill="1" applyBorder="1" applyAlignment="1">
      <alignment vertical="center"/>
    </xf>
    <xf numFmtId="44" fontId="219" fillId="3" borderId="16" xfId="0" applyNumberFormat="1" applyFont="1" applyFill="1" applyBorder="1" applyAlignment="1">
      <alignment horizontal="left" vertical="center"/>
    </xf>
    <xf numFmtId="0" fontId="214" fillId="24" borderId="12" xfId="0" applyFont="1" applyFill="1" applyBorder="1" applyAlignment="1">
      <alignment horizontal="center" vertical="center"/>
    </xf>
    <xf numFmtId="0" fontId="214" fillId="24" borderId="15" xfId="0" applyFont="1" applyFill="1" applyBorder="1" applyAlignment="1">
      <alignment horizontal="left" vertical="center"/>
    </xf>
    <xf numFmtId="0" fontId="218" fillId="24" borderId="49" xfId="0" applyFont="1" applyFill="1" applyBorder="1" applyAlignment="1">
      <alignment vertical="center"/>
    </xf>
    <xf numFmtId="0" fontId="218" fillId="24" borderId="52" xfId="0" applyFont="1" applyFill="1" applyBorder="1" applyAlignment="1">
      <alignment horizontal="center" vertical="center"/>
    </xf>
    <xf numFmtId="0" fontId="221" fillId="24" borderId="52" xfId="0" applyFont="1" applyFill="1" applyBorder="1" applyAlignment="1">
      <alignment horizontal="left" vertical="center"/>
    </xf>
    <xf numFmtId="0" fontId="214" fillId="24" borderId="52" xfId="0" applyFont="1" applyFill="1" applyBorder="1" applyAlignment="1">
      <alignment vertical="center"/>
    </xf>
    <xf numFmtId="0" fontId="217" fillId="24" borderId="69" xfId="0" applyFont="1" applyFill="1" applyBorder="1" applyAlignment="1">
      <alignment horizontal="left" vertical="center"/>
    </xf>
    <xf numFmtId="0" fontId="221" fillId="24" borderId="69" xfId="0" applyFont="1" applyFill="1" applyBorder="1" applyAlignment="1">
      <alignment horizontal="left" vertical="center"/>
    </xf>
    <xf numFmtId="0" fontId="219" fillId="3" borderId="14" xfId="0" applyFont="1" applyFill="1" applyBorder="1" applyAlignment="1">
      <alignment horizontal="left"/>
    </xf>
    <xf numFmtId="0" fontId="219" fillId="3" borderId="11" xfId="0" applyFont="1" applyFill="1" applyBorder="1" applyAlignment="1">
      <alignment horizontal="left"/>
    </xf>
    <xf numFmtId="0" fontId="217" fillId="3" borderId="17" xfId="0" applyFont="1" applyFill="1" applyBorder="1" applyAlignment="1">
      <alignment horizontal="left"/>
    </xf>
    <xf numFmtId="0" fontId="219" fillId="3" borderId="0" xfId="0" applyFont="1" applyFill="1" applyAlignment="1">
      <alignment horizontal="center" vertical="center"/>
    </xf>
    <xf numFmtId="0" fontId="217" fillId="24" borderId="44" xfId="0" applyFont="1" applyFill="1" applyBorder="1" applyAlignment="1">
      <alignment horizontal="left" vertical="center"/>
    </xf>
    <xf numFmtId="0" fontId="221" fillId="24" borderId="44" xfId="0" applyFont="1" applyFill="1" applyBorder="1" applyAlignment="1">
      <alignment horizontal="left" vertical="center"/>
    </xf>
    <xf numFmtId="0" fontId="219" fillId="3" borderId="0" xfId="0" applyFont="1" applyFill="1" applyAlignment="1">
      <alignment horizontal="left"/>
    </xf>
    <xf numFmtId="0" fontId="216" fillId="24" borderId="55" xfId="0" applyFont="1" applyFill="1" applyBorder="1" applyAlignment="1">
      <alignment horizontal="center" vertical="center"/>
    </xf>
    <xf numFmtId="0" fontId="219" fillId="3" borderId="69" xfId="0" applyFont="1" applyFill="1" applyBorder="1"/>
    <xf numFmtId="0" fontId="219" fillId="3" borderId="0" xfId="0" applyFont="1" applyFill="1" applyAlignment="1">
      <alignment vertical="center"/>
    </xf>
    <xf numFmtId="0" fontId="216" fillId="24" borderId="27" xfId="0" applyFont="1" applyFill="1" applyBorder="1" applyAlignment="1">
      <alignment horizontal="center" vertical="center"/>
    </xf>
    <xf numFmtId="0" fontId="221" fillId="24" borderId="26" xfId="0" applyFont="1" applyFill="1" applyBorder="1" applyAlignment="1">
      <alignment horizontal="left" vertical="center"/>
    </xf>
    <xf numFmtId="0" fontId="217" fillId="3" borderId="15" xfId="0" applyFont="1" applyFill="1" applyBorder="1" applyAlignment="1">
      <alignment horizontal="left"/>
    </xf>
    <xf numFmtId="0" fontId="222" fillId="24" borderId="26" xfId="0" applyFont="1" applyFill="1" applyBorder="1" applyAlignment="1">
      <alignment horizontal="left" vertical="center" indent="1"/>
    </xf>
    <xf numFmtId="0" fontId="216" fillId="24" borderId="0" xfId="0" applyFont="1" applyFill="1" applyAlignment="1">
      <alignment vertical="center"/>
    </xf>
    <xf numFmtId="0" fontId="216" fillId="3" borderId="15" xfId="0" applyFont="1" applyFill="1" applyBorder="1" applyAlignment="1">
      <alignment horizontal="left" vertical="center"/>
    </xf>
    <xf numFmtId="0" fontId="221" fillId="24" borderId="12" xfId="0" applyFont="1" applyFill="1" applyBorder="1" applyAlignment="1">
      <alignment horizontal="left" vertical="center"/>
    </xf>
    <xf numFmtId="0" fontId="222" fillId="24" borderId="69" xfId="0" applyFont="1" applyFill="1" applyBorder="1" applyAlignment="1">
      <alignment horizontal="left" vertical="center" indent="1"/>
    </xf>
    <xf numFmtId="37" fontId="219" fillId="3" borderId="75" xfId="0" applyNumberFormat="1" applyFont="1" applyFill="1" applyBorder="1" applyAlignment="1">
      <alignment horizontal="center" vertical="center"/>
    </xf>
    <xf numFmtId="37" fontId="219" fillId="3" borderId="26" xfId="0" applyNumberFormat="1" applyFont="1" applyFill="1" applyBorder="1" applyAlignment="1">
      <alignment horizontal="center" vertical="center"/>
    </xf>
    <xf numFmtId="37" fontId="219" fillId="3" borderId="44" xfId="0" applyNumberFormat="1" applyFont="1" applyFill="1" applyBorder="1" applyAlignment="1">
      <alignment horizontal="center" vertical="center"/>
    </xf>
    <xf numFmtId="0" fontId="222" fillId="24" borderId="44" xfId="0" applyFont="1" applyFill="1" applyBorder="1" applyAlignment="1">
      <alignment horizontal="left" vertical="center" indent="1"/>
    </xf>
    <xf numFmtId="0" fontId="211" fillId="24" borderId="18" xfId="0" applyFont="1" applyFill="1" applyBorder="1" applyAlignment="1">
      <alignment vertical="center"/>
    </xf>
    <xf numFmtId="0" fontId="223" fillId="24" borderId="11" xfId="0" applyFont="1" applyFill="1" applyBorder="1" applyAlignment="1">
      <alignment vertical="center"/>
    </xf>
    <xf numFmtId="0" fontId="222" fillId="24" borderId="12" xfId="0" applyFont="1" applyFill="1" applyBorder="1" applyAlignment="1">
      <alignment horizontal="left" vertical="center" indent="1"/>
    </xf>
    <xf numFmtId="0" fontId="224" fillId="24" borderId="12" xfId="0" applyFont="1" applyFill="1" applyBorder="1" applyAlignment="1">
      <alignment horizontal="left" vertical="center"/>
    </xf>
    <xf numFmtId="0" fontId="222" fillId="24" borderId="12" xfId="0" applyFont="1" applyFill="1" applyBorder="1" applyAlignment="1">
      <alignment horizontal="center" vertical="center"/>
    </xf>
    <xf numFmtId="0" fontId="222" fillId="24" borderId="13" xfId="0" applyFont="1" applyFill="1" applyBorder="1" applyAlignment="1">
      <alignment horizontal="center" vertical="center"/>
    </xf>
    <xf numFmtId="0" fontId="222" fillId="24" borderId="0" xfId="0" applyFont="1" applyFill="1" applyAlignment="1">
      <alignment horizontal="center" vertical="center"/>
    </xf>
    <xf numFmtId="0" fontId="222" fillId="24" borderId="40" xfId="0" applyFont="1" applyFill="1" applyBorder="1" applyAlignment="1">
      <alignment vertical="center"/>
    </xf>
    <xf numFmtId="0" fontId="222" fillId="24" borderId="27" xfId="0" applyFont="1" applyFill="1" applyBorder="1" applyAlignment="1">
      <alignment horizontal="center" vertical="center"/>
    </xf>
    <xf numFmtId="0" fontId="222" fillId="24" borderId="15" xfId="0" applyFont="1" applyFill="1" applyBorder="1" applyAlignment="1">
      <alignment vertical="center"/>
    </xf>
    <xf numFmtId="0" fontId="222" fillId="24" borderId="15" xfId="0" applyFont="1" applyFill="1" applyBorder="1" applyAlignment="1">
      <alignment horizontal="left" vertical="center"/>
    </xf>
    <xf numFmtId="0" fontId="222" fillId="24" borderId="12" xfId="0" applyFont="1" applyFill="1" applyBorder="1" applyAlignment="1">
      <alignment horizontal="left" vertical="center"/>
    </xf>
    <xf numFmtId="44" fontId="222" fillId="24" borderId="12" xfId="1" applyFont="1" applyFill="1" applyBorder="1" applyAlignment="1">
      <alignment horizontal="left" vertical="center"/>
    </xf>
    <xf numFmtId="0" fontId="224" fillId="24" borderId="69" xfId="0" applyFont="1" applyFill="1" applyBorder="1" applyAlignment="1">
      <alignment horizontal="center" vertical="center"/>
    </xf>
    <xf numFmtId="44" fontId="214" fillId="24" borderId="69" xfId="1" applyFont="1" applyFill="1" applyBorder="1" applyAlignment="1">
      <alignment horizontal="left" vertical="center"/>
    </xf>
    <xf numFmtId="0" fontId="219" fillId="3" borderId="11" xfId="0" applyFont="1" applyFill="1" applyBorder="1"/>
    <xf numFmtId="44" fontId="219" fillId="3" borderId="16" xfId="1" applyFont="1" applyFill="1" applyBorder="1" applyAlignment="1">
      <alignment horizontal="right" vertical="center"/>
    </xf>
    <xf numFmtId="37" fontId="219" fillId="3" borderId="12" xfId="0" applyNumberFormat="1" applyFont="1" applyFill="1" applyBorder="1" applyAlignment="1">
      <alignment horizontal="center" vertical="center"/>
    </xf>
    <xf numFmtId="0" fontId="219" fillId="3" borderId="12" xfId="0" applyFont="1" applyFill="1" applyBorder="1" applyAlignment="1">
      <alignment horizontal="left"/>
    </xf>
    <xf numFmtId="44" fontId="219" fillId="3" borderId="12" xfId="0" applyNumberFormat="1" applyFont="1" applyFill="1" applyBorder="1" applyAlignment="1">
      <alignment horizontal="left" vertical="center"/>
    </xf>
    <xf numFmtId="44" fontId="217" fillId="3" borderId="12" xfId="0" applyNumberFormat="1" applyFont="1" applyFill="1" applyBorder="1" applyAlignment="1">
      <alignment horizontal="right" vertical="center"/>
    </xf>
    <xf numFmtId="44" fontId="219" fillId="3" borderId="12" xfId="1" applyFont="1" applyFill="1" applyBorder="1" applyAlignment="1">
      <alignment horizontal="right" vertical="center"/>
    </xf>
    <xf numFmtId="44" fontId="219" fillId="3" borderId="15" xfId="0" applyNumberFormat="1" applyFont="1" applyFill="1" applyBorder="1" applyAlignment="1">
      <alignment horizontal="right" vertical="center"/>
    </xf>
    <xf numFmtId="37" fontId="219" fillId="3" borderId="69" xfId="0" applyNumberFormat="1" applyFont="1" applyFill="1" applyBorder="1" applyAlignment="1">
      <alignment horizontal="center" vertical="center"/>
    </xf>
    <xf numFmtId="0" fontId="219" fillId="3" borderId="69" xfId="0" applyFont="1" applyFill="1" applyBorder="1" applyAlignment="1">
      <alignment horizontal="center" vertical="center"/>
    </xf>
    <xf numFmtId="0" fontId="217" fillId="3" borderId="69" xfId="0" applyFont="1" applyFill="1" applyBorder="1" applyAlignment="1">
      <alignment vertical="center"/>
    </xf>
    <xf numFmtId="44" fontId="219" fillId="3" borderId="69" xfId="0" applyNumberFormat="1" applyFont="1" applyFill="1" applyBorder="1" applyAlignment="1">
      <alignment horizontal="left" vertical="center"/>
    </xf>
    <xf numFmtId="44" fontId="219" fillId="3" borderId="69" xfId="0" applyNumberFormat="1" applyFont="1" applyFill="1" applyBorder="1" applyAlignment="1">
      <alignment horizontal="right" vertical="center"/>
    </xf>
    <xf numFmtId="44" fontId="219" fillId="3" borderId="69" xfId="1" applyFont="1" applyFill="1" applyBorder="1" applyAlignment="1">
      <alignment horizontal="right" vertical="center"/>
    </xf>
    <xf numFmtId="37" fontId="218" fillId="24" borderId="45" xfId="0" applyNumberFormat="1" applyFont="1" applyFill="1" applyBorder="1" applyAlignment="1">
      <alignment horizontal="left" vertical="center"/>
    </xf>
    <xf numFmtId="0" fontId="223" fillId="24" borderId="3" xfId="0" applyFont="1" applyFill="1" applyBorder="1" applyAlignment="1">
      <alignment vertical="center"/>
    </xf>
    <xf numFmtId="0" fontId="218" fillId="24" borderId="3" xfId="0" applyFont="1" applyFill="1" applyBorder="1" applyAlignment="1">
      <alignment vertical="center"/>
    </xf>
    <xf numFmtId="0" fontId="218" fillId="24" borderId="3" xfId="0" applyFont="1" applyFill="1" applyBorder="1" applyAlignment="1">
      <alignment horizontal="left" vertical="center"/>
    </xf>
    <xf numFmtId="0" fontId="218" fillId="24" borderId="3" xfId="0" applyFont="1" applyFill="1" applyBorder="1"/>
    <xf numFmtId="44" fontId="218" fillId="24" borderId="3" xfId="1" applyFont="1" applyFill="1" applyBorder="1" applyAlignment="1">
      <alignment horizontal="left" vertical="center"/>
    </xf>
    <xf numFmtId="0" fontId="219" fillId="6" borderId="19" xfId="0" applyFont="1" applyFill="1" applyBorder="1" applyAlignment="1">
      <alignment horizontal="left" vertical="center"/>
    </xf>
    <xf numFmtId="0" fontId="219" fillId="3" borderId="19" xfId="0" applyFont="1" applyFill="1" applyBorder="1" applyAlignment="1">
      <alignment horizontal="left" vertical="center" indent="1"/>
    </xf>
    <xf numFmtId="0" fontId="219" fillId="3" borderId="19" xfId="0" applyFont="1" applyFill="1" applyBorder="1" applyAlignment="1">
      <alignment vertical="center"/>
    </xf>
    <xf numFmtId="44" fontId="211" fillId="3" borderId="30" xfId="0" applyNumberFormat="1" applyFont="1" applyFill="1" applyBorder="1" applyAlignment="1">
      <alignment horizontal="right" vertical="center"/>
    </xf>
    <xf numFmtId="44" fontId="219" fillId="3" borderId="94" xfId="1" applyFont="1" applyFill="1" applyBorder="1" applyAlignment="1">
      <alignment horizontal="right" vertical="center"/>
    </xf>
    <xf numFmtId="0" fontId="219" fillId="6" borderId="102" xfId="0" applyFont="1" applyFill="1" applyBorder="1" applyAlignment="1">
      <alignment horizontal="left" vertical="center"/>
    </xf>
    <xf numFmtId="0" fontId="219" fillId="3" borderId="102" xfId="0" applyFont="1" applyFill="1" applyBorder="1" applyAlignment="1">
      <alignment horizontal="left" vertical="center" indent="1"/>
    </xf>
    <xf numFmtId="0" fontId="219" fillId="3" borderId="3" xfId="0" applyFont="1" applyFill="1" applyBorder="1" applyAlignment="1">
      <alignment horizontal="left"/>
    </xf>
    <xf numFmtId="0" fontId="219" fillId="3" borderId="102" xfId="0" applyFont="1" applyFill="1" applyBorder="1" applyAlignment="1">
      <alignment vertical="center"/>
    </xf>
    <xf numFmtId="44" fontId="211" fillId="3" borderId="103" xfId="0" applyNumberFormat="1" applyFont="1" applyFill="1" applyBorder="1" applyAlignment="1">
      <alignment horizontal="right" vertical="center"/>
    </xf>
    <xf numFmtId="44" fontId="219" fillId="3" borderId="100" xfId="1" applyFont="1" applyFill="1" applyBorder="1" applyAlignment="1">
      <alignment horizontal="right" vertical="center"/>
    </xf>
    <xf numFmtId="0" fontId="147" fillId="0" borderId="0" xfId="0" applyFont="1"/>
    <xf numFmtId="44" fontId="147" fillId="0" borderId="0" xfId="1" applyFont="1"/>
    <xf numFmtId="0" fontId="147" fillId="2" borderId="0" xfId="0" applyFont="1" applyFill="1"/>
    <xf numFmtId="44" fontId="147" fillId="2" borderId="0" xfId="0" applyNumberFormat="1" applyFont="1" applyFill="1"/>
    <xf numFmtId="44" fontId="147" fillId="2" borderId="0" xfId="1" applyFont="1" applyFill="1"/>
    <xf numFmtId="0" fontId="147" fillId="2" borderId="0" xfId="0" applyFont="1" applyFill="1" applyAlignment="1">
      <alignment horizontal="center"/>
    </xf>
    <xf numFmtId="0" fontId="147" fillId="2" borderId="0" xfId="0" applyFont="1" applyFill="1" applyAlignment="1">
      <alignment horizontal="right"/>
    </xf>
    <xf numFmtId="0" fontId="225" fillId="2" borderId="0" xfId="0" applyFont="1" applyFill="1" applyAlignment="1">
      <alignment vertical="center" wrapText="1"/>
    </xf>
    <xf numFmtId="0" fontId="226" fillId="2" borderId="0" xfId="0" applyFont="1" applyFill="1" applyAlignment="1">
      <alignment horizontal="right" vertical="center" indent="1"/>
    </xf>
    <xf numFmtId="0" fontId="225" fillId="2" borderId="0" xfId="0" applyFont="1" applyFill="1" applyAlignment="1">
      <alignment vertical="center"/>
    </xf>
    <xf numFmtId="14" fontId="225" fillId="2" borderId="0" xfId="0" applyNumberFormat="1" applyFont="1" applyFill="1" applyAlignment="1">
      <alignment vertical="center" wrapText="1"/>
    </xf>
    <xf numFmtId="0" fontId="219" fillId="2" borderId="0" xfId="0" applyFont="1" applyFill="1" applyAlignment="1">
      <alignment vertical="center" wrapText="1"/>
    </xf>
    <xf numFmtId="0" fontId="225" fillId="2" borderId="0" xfId="0" applyFont="1" applyFill="1"/>
    <xf numFmtId="0" fontId="217" fillId="6" borderId="0" xfId="0" applyFont="1" applyFill="1"/>
    <xf numFmtId="0" fontId="215" fillId="24" borderId="5" xfId="0" applyFont="1" applyFill="1" applyBorder="1" applyAlignment="1">
      <alignment vertical="center"/>
    </xf>
    <xf numFmtId="44" fontId="24" fillId="24" borderId="85" xfId="1" applyFont="1" applyFill="1" applyBorder="1" applyAlignment="1">
      <alignment horizontal="center" vertical="center" wrapText="1"/>
    </xf>
    <xf numFmtId="44" fontId="17" fillId="6" borderId="13" xfId="1" applyFont="1" applyFill="1" applyBorder="1" applyAlignment="1">
      <alignment horizontal="left" vertical="center" wrapText="1"/>
    </xf>
    <xf numFmtId="0" fontId="219" fillId="3" borderId="52" xfId="0" applyFont="1" applyFill="1" applyBorder="1" applyAlignment="1">
      <alignment horizontal="left" vertical="center"/>
    </xf>
    <xf numFmtId="0" fontId="219" fillId="3" borderId="52" xfId="0" applyFont="1" applyFill="1" applyBorder="1" applyAlignment="1">
      <alignment horizontal="left" vertical="center" indent="1"/>
    </xf>
    <xf numFmtId="0" fontId="219" fillId="3" borderId="52" xfId="0" applyFont="1" applyFill="1" applyBorder="1" applyAlignment="1">
      <alignment vertical="center"/>
    </xf>
    <xf numFmtId="0" fontId="219" fillId="3" borderId="55" xfId="0" applyFont="1" applyFill="1" applyBorder="1" applyAlignment="1">
      <alignment horizontal="left" vertical="center"/>
    </xf>
    <xf numFmtId="44" fontId="219" fillId="3" borderId="52" xfId="0" applyNumberFormat="1" applyFont="1" applyFill="1" applyBorder="1" applyAlignment="1">
      <alignment horizontal="left" vertical="center"/>
    </xf>
    <xf numFmtId="44" fontId="211" fillId="3" borderId="52" xfId="0" applyNumberFormat="1" applyFont="1" applyFill="1" applyBorder="1" applyAlignment="1">
      <alignment horizontal="right" vertical="center"/>
    </xf>
    <xf numFmtId="44" fontId="219" fillId="3" borderId="52" xfId="1" applyFont="1" applyFill="1" applyBorder="1" applyAlignment="1">
      <alignment horizontal="right" vertical="center"/>
    </xf>
    <xf numFmtId="164" fontId="45" fillId="3" borderId="27" xfId="0" applyNumberFormat="1" applyFont="1" applyFill="1" applyBorder="1" applyAlignment="1" applyProtection="1">
      <alignment horizontal="left" vertical="center" wrapText="1"/>
      <protection locked="0"/>
    </xf>
    <xf numFmtId="9" fontId="45" fillId="3" borderId="52" xfId="2" applyFont="1" applyFill="1" applyBorder="1" applyAlignment="1" applyProtection="1">
      <alignment horizontal="center" vertical="center" wrapText="1"/>
      <protection locked="0"/>
    </xf>
    <xf numFmtId="1" fontId="24" fillId="24" borderId="5" xfId="0" applyNumberFormat="1" applyFont="1" applyFill="1" applyBorder="1" applyAlignment="1">
      <alignment vertical="center" wrapText="1"/>
    </xf>
    <xf numFmtId="0" fontId="213" fillId="24" borderId="5" xfId="0" applyFont="1" applyFill="1" applyBorder="1" applyAlignment="1">
      <alignment horizontal="center" vertical="center"/>
    </xf>
    <xf numFmtId="0" fontId="25" fillId="24" borderId="5" xfId="0" applyFont="1" applyFill="1" applyBorder="1" applyAlignment="1">
      <alignment vertical="center"/>
    </xf>
    <xf numFmtId="0" fontId="220" fillId="24" borderId="5" xfId="0" applyFont="1" applyFill="1" applyBorder="1" applyAlignment="1">
      <alignment vertical="center"/>
    </xf>
    <xf numFmtId="0" fontId="213" fillId="24" borderId="69" xfId="0" applyFont="1" applyFill="1" applyBorder="1" applyAlignment="1">
      <alignment horizontal="center" vertical="center"/>
    </xf>
    <xf numFmtId="0" fontId="214" fillId="24" borderId="85" xfId="0" applyFont="1" applyFill="1" applyBorder="1" applyAlignment="1">
      <alignment vertical="center"/>
    </xf>
    <xf numFmtId="0" fontId="214" fillId="24" borderId="51" xfId="0" applyFont="1" applyFill="1" applyBorder="1" applyAlignment="1">
      <alignment horizontal="left" vertical="center"/>
    </xf>
    <xf numFmtId="0" fontId="24" fillId="24" borderId="69" xfId="0" applyFont="1" applyFill="1" applyBorder="1" applyAlignment="1">
      <alignment vertical="center"/>
    </xf>
    <xf numFmtId="164" fontId="188" fillId="24" borderId="85" xfId="2" applyNumberFormat="1" applyFont="1" applyFill="1" applyBorder="1" applyAlignment="1">
      <alignment horizontal="center" vertical="center" wrapText="1"/>
    </xf>
    <xf numFmtId="0" fontId="188" fillId="24" borderId="69" xfId="0" applyFont="1" applyFill="1" applyBorder="1" applyAlignment="1">
      <alignment horizontal="center" vertical="center" wrapText="1"/>
    </xf>
    <xf numFmtId="0" fontId="24" fillId="24" borderId="69" xfId="0" applyFont="1" applyFill="1" applyBorder="1" applyAlignment="1">
      <alignment horizontal="left" vertical="center" wrapText="1"/>
    </xf>
    <xf numFmtId="164" fontId="20" fillId="3" borderId="33" xfId="0" applyNumberFormat="1" applyFont="1" applyFill="1" applyBorder="1" applyAlignment="1" applyProtection="1">
      <alignment horizontal="left" vertical="center" wrapText="1"/>
      <protection locked="0"/>
    </xf>
    <xf numFmtId="0" fontId="220" fillId="24" borderId="5" xfId="0" applyFont="1" applyFill="1" applyBorder="1" applyAlignment="1">
      <alignment horizontal="center" vertical="center"/>
    </xf>
    <xf numFmtId="0" fontId="43" fillId="24" borderId="5" xfId="0" applyFont="1" applyFill="1" applyBorder="1" applyAlignment="1">
      <alignment vertical="center"/>
    </xf>
    <xf numFmtId="0" fontId="219" fillId="24" borderId="69" xfId="0" applyFont="1" applyFill="1" applyBorder="1" applyAlignment="1">
      <alignment horizontal="center" vertical="center"/>
    </xf>
    <xf numFmtId="0" fontId="217" fillId="24" borderId="69" xfId="0" applyFont="1" applyFill="1" applyBorder="1" applyAlignment="1">
      <alignment horizontal="center" vertical="center"/>
    </xf>
    <xf numFmtId="0" fontId="217" fillId="24" borderId="69" xfId="0" applyFont="1" applyFill="1" applyBorder="1" applyAlignment="1">
      <alignment vertical="center"/>
    </xf>
    <xf numFmtId="44" fontId="217" fillId="24" borderId="69" xfId="0" applyNumberFormat="1" applyFont="1" applyFill="1" applyBorder="1" applyAlignment="1">
      <alignment horizontal="left" vertical="center"/>
    </xf>
    <xf numFmtId="0" fontId="17" fillId="24" borderId="69" xfId="0" applyFont="1" applyFill="1" applyBorder="1" applyAlignment="1">
      <alignment vertical="center"/>
    </xf>
    <xf numFmtId="164" fontId="150" fillId="24" borderId="85" xfId="2" applyNumberFormat="1" applyFont="1" applyFill="1" applyBorder="1" applyAlignment="1">
      <alignment horizontal="center" vertical="center" wrapText="1"/>
    </xf>
    <xf numFmtId="0" fontId="150" fillId="24" borderId="69" xfId="0" applyFont="1" applyFill="1" applyBorder="1" applyAlignment="1">
      <alignment horizontal="center" vertical="center" wrapText="1"/>
    </xf>
    <xf numFmtId="44" fontId="20" fillId="0" borderId="17" xfId="1" applyFont="1" applyFill="1" applyBorder="1" applyAlignment="1">
      <alignment vertical="center"/>
    </xf>
    <xf numFmtId="0" fontId="20" fillId="3" borderId="3" xfId="0" applyFont="1" applyFill="1" applyBorder="1" applyAlignment="1">
      <alignment vertical="center"/>
    </xf>
    <xf numFmtId="9" fontId="20" fillId="3" borderId="43" xfId="2" applyFont="1" applyFill="1" applyBorder="1" applyAlignment="1" applyProtection="1">
      <alignment horizontal="left" vertical="center" wrapText="1"/>
      <protection locked="0"/>
    </xf>
    <xf numFmtId="37" fontId="20" fillId="3" borderId="12" xfId="0" applyNumberFormat="1" applyFont="1" applyFill="1" applyBorder="1" applyAlignment="1">
      <alignment horizontal="center" vertical="center"/>
    </xf>
    <xf numFmtId="37" fontId="20" fillId="3" borderId="15" xfId="0" applyNumberFormat="1" applyFont="1" applyFill="1" applyBorder="1" applyAlignment="1">
      <alignment horizontal="center" vertical="center"/>
    </xf>
    <xf numFmtId="0" fontId="17" fillId="3" borderId="15" xfId="0" applyFont="1" applyFill="1" applyBorder="1" applyAlignment="1">
      <alignment horizontal="left" vertical="center"/>
    </xf>
    <xf numFmtId="0" fontId="17" fillId="3" borderId="15" xfId="0" applyFont="1" applyFill="1" applyBorder="1"/>
    <xf numFmtId="44" fontId="17" fillId="3" borderId="15" xfId="0" applyNumberFormat="1" applyFont="1" applyFill="1" applyBorder="1" applyAlignment="1">
      <alignment horizontal="left" vertical="center"/>
    </xf>
    <xf numFmtId="44" fontId="150" fillId="3" borderId="15" xfId="0" applyNumberFormat="1" applyFont="1" applyFill="1" applyBorder="1" applyAlignment="1">
      <alignment horizontal="right" vertical="center"/>
    </xf>
    <xf numFmtId="44" fontId="150" fillId="3" borderId="16" xfId="1" applyFont="1" applyFill="1" applyBorder="1" applyAlignment="1">
      <alignment horizontal="right" vertical="center"/>
    </xf>
    <xf numFmtId="0" fontId="150" fillId="3" borderId="15" xfId="0" applyFont="1" applyFill="1" applyBorder="1" applyAlignment="1">
      <alignment vertical="center"/>
    </xf>
    <xf numFmtId="0" fontId="150" fillId="3" borderId="15" xfId="0" applyFont="1" applyFill="1" applyBorder="1" applyAlignment="1">
      <alignment horizontal="left" vertical="center"/>
    </xf>
    <xf numFmtId="44" fontId="150" fillId="3" borderId="15" xfId="0" applyNumberFormat="1" applyFont="1" applyFill="1" applyBorder="1" applyAlignment="1">
      <alignment horizontal="left" vertical="center"/>
    </xf>
    <xf numFmtId="0" fontId="157" fillId="3" borderId="15" xfId="0" applyFont="1" applyFill="1" applyBorder="1" applyAlignment="1">
      <alignment horizontal="left" vertical="center"/>
    </xf>
    <xf numFmtId="49" fontId="216" fillId="24" borderId="117" xfId="0" applyNumberFormat="1" applyFont="1" applyFill="1" applyBorder="1" applyAlignment="1">
      <alignment horizontal="center" vertical="center"/>
    </xf>
    <xf numFmtId="49" fontId="216" fillId="24" borderId="73" xfId="0" applyNumberFormat="1" applyFont="1" applyFill="1" applyBorder="1" applyAlignment="1">
      <alignment horizontal="center" vertical="center"/>
    </xf>
    <xf numFmtId="49" fontId="216" fillId="24" borderId="41" xfId="0" applyNumberFormat="1" applyFont="1" applyFill="1" applyBorder="1" applyAlignment="1">
      <alignment horizontal="center" vertical="center"/>
    </xf>
    <xf numFmtId="0" fontId="157" fillId="3" borderId="15" xfId="0" applyFont="1" applyFill="1" applyBorder="1" applyAlignment="1">
      <alignment horizontal="center" vertical="center"/>
    </xf>
    <xf numFmtId="0" fontId="20" fillId="3" borderId="92" xfId="0" applyFont="1" applyFill="1" applyBorder="1" applyAlignment="1">
      <alignment horizontal="center" vertical="center"/>
    </xf>
    <xf numFmtId="0" fontId="221" fillId="24" borderId="52" xfId="0" applyFont="1" applyFill="1" applyBorder="1" applyAlignment="1">
      <alignment horizontal="center" vertical="center"/>
    </xf>
    <xf numFmtId="0" fontId="230" fillId="24" borderId="49" xfId="0" applyFont="1" applyFill="1" applyBorder="1" applyAlignment="1">
      <alignment vertical="center"/>
    </xf>
    <xf numFmtId="0" fontId="230" fillId="24" borderId="52" xfId="0" applyFont="1" applyFill="1" applyBorder="1" applyAlignment="1">
      <alignment horizontal="center" vertical="center"/>
    </xf>
    <xf numFmtId="0" fontId="217" fillId="24" borderId="40" xfId="0" applyFont="1" applyFill="1" applyBorder="1" applyAlignment="1">
      <alignment vertical="center"/>
    </xf>
    <xf numFmtId="0" fontId="221" fillId="24" borderId="52" xfId="0" applyFont="1" applyFill="1" applyBorder="1" applyAlignment="1">
      <alignment vertical="center"/>
    </xf>
    <xf numFmtId="44" fontId="20" fillId="0" borderId="89" xfId="0" applyNumberFormat="1" applyFont="1" applyBorder="1" applyAlignment="1">
      <alignment horizontal="right" vertical="center"/>
    </xf>
    <xf numFmtId="49" fontId="225" fillId="2" borderId="0" xfId="0" quotePrefix="1" applyNumberFormat="1" applyFont="1" applyFill="1" applyAlignment="1">
      <alignment vertical="center"/>
    </xf>
    <xf numFmtId="44" fontId="45" fillId="3" borderId="16" xfId="1" applyFont="1" applyFill="1" applyBorder="1" applyAlignment="1">
      <alignment horizontal="right" vertical="center"/>
    </xf>
    <xf numFmtId="0" fontId="209" fillId="24" borderId="13" xfId="0" applyFont="1" applyFill="1" applyBorder="1" applyAlignment="1">
      <alignment horizontal="left" vertical="center" indent="1"/>
    </xf>
    <xf numFmtId="0" fontId="10" fillId="26" borderId="0" xfId="0" applyFont="1" applyFill="1" applyAlignment="1">
      <alignment horizontal="left" vertical="top"/>
    </xf>
    <xf numFmtId="0" fontId="11" fillId="26" borderId="13" xfId="0" applyFont="1" applyFill="1" applyBorder="1" applyAlignment="1">
      <alignment horizontal="right" vertical="center" wrapText="1"/>
    </xf>
    <xf numFmtId="0" fontId="11" fillId="26" borderId="13" xfId="0" applyFont="1" applyFill="1" applyBorder="1" applyAlignment="1">
      <alignment vertical="center" wrapText="1"/>
    </xf>
    <xf numFmtId="1" fontId="20" fillId="6" borderId="16" xfId="0" applyNumberFormat="1" applyFont="1" applyFill="1" applyBorder="1" applyAlignment="1">
      <alignment vertical="center"/>
    </xf>
    <xf numFmtId="0" fontId="19" fillId="6" borderId="16" xfId="0" applyFont="1" applyFill="1" applyBorder="1" applyAlignment="1">
      <alignment vertical="center"/>
    </xf>
    <xf numFmtId="1" fontId="19" fillId="6" borderId="16" xfId="0" applyNumberFormat="1" applyFont="1" applyFill="1" applyBorder="1" applyAlignment="1">
      <alignment vertical="center"/>
    </xf>
    <xf numFmtId="0" fontId="147" fillId="2" borderId="0" xfId="0" applyFont="1" applyFill="1" applyAlignment="1">
      <alignment vertical="center"/>
    </xf>
    <xf numFmtId="0" fontId="210" fillId="0" borderId="0" xfId="0" applyFont="1" applyAlignment="1">
      <alignment vertical="center"/>
    </xf>
    <xf numFmtId="0" fontId="52" fillId="6" borderId="121" xfId="0" applyFont="1" applyFill="1" applyBorder="1"/>
    <xf numFmtId="0" fontId="0" fillId="6" borderId="121" xfId="0" applyFill="1" applyBorder="1"/>
    <xf numFmtId="0" fontId="22" fillId="6" borderId="121" xfId="0" applyFont="1" applyFill="1" applyBorder="1"/>
    <xf numFmtId="44" fontId="20" fillId="6" borderId="121" xfId="0" applyNumberFormat="1" applyFont="1" applyFill="1" applyBorder="1" applyAlignment="1">
      <alignment horizontal="right" vertical="center"/>
    </xf>
    <xf numFmtId="44" fontId="20" fillId="6" borderId="121" xfId="1" applyFont="1" applyFill="1" applyBorder="1" applyAlignment="1">
      <alignment horizontal="right" vertical="center"/>
    </xf>
    <xf numFmtId="37" fontId="19" fillId="3" borderId="121" xfId="0" applyNumberFormat="1" applyFont="1" applyFill="1" applyBorder="1" applyAlignment="1">
      <alignment horizontal="center" vertical="center"/>
    </xf>
    <xf numFmtId="0" fontId="20" fillId="0" borderId="121" xfId="0" applyFont="1" applyBorder="1" applyAlignment="1">
      <alignment horizontal="left" vertical="center"/>
    </xf>
    <xf numFmtId="0" fontId="19" fillId="3" borderId="121" xfId="0" applyFont="1" applyFill="1" applyBorder="1" applyAlignment="1">
      <alignment horizontal="left" vertical="center"/>
    </xf>
    <xf numFmtId="0" fontId="19" fillId="3" borderId="121" xfId="0" applyFont="1" applyFill="1" applyBorder="1" applyAlignment="1">
      <alignment vertical="center"/>
    </xf>
    <xf numFmtId="0" fontId="52" fillId="6" borderId="121" xfId="0" applyFont="1" applyFill="1" applyBorder="1" applyAlignment="1">
      <alignment horizontal="center" vertical="center"/>
    </xf>
    <xf numFmtId="0" fontId="50" fillId="3" borderId="121" xfId="0" applyFont="1" applyFill="1" applyBorder="1" applyAlignment="1">
      <alignment horizontal="left" vertical="center"/>
    </xf>
    <xf numFmtId="44" fontId="19" fillId="3" borderId="121" xfId="0" applyNumberFormat="1" applyFont="1" applyFill="1" applyBorder="1" applyAlignment="1">
      <alignment horizontal="left" vertical="center"/>
    </xf>
    <xf numFmtId="44" fontId="45" fillId="3" borderId="121" xfId="0" applyNumberFormat="1" applyFont="1" applyFill="1" applyBorder="1" applyAlignment="1">
      <alignment horizontal="right" vertical="center"/>
    </xf>
    <xf numFmtId="44" fontId="20" fillId="3" borderId="121" xfId="1" applyFont="1" applyFill="1" applyBorder="1" applyAlignment="1">
      <alignment horizontal="right" vertical="center"/>
    </xf>
    <xf numFmtId="37" fontId="20" fillId="6" borderId="121" xfId="0" applyNumberFormat="1" applyFont="1" applyFill="1" applyBorder="1" applyAlignment="1">
      <alignment horizontal="center" vertical="center"/>
    </xf>
    <xf numFmtId="0" fontId="52" fillId="6" borderId="121" xfId="0" applyFont="1" applyFill="1" applyBorder="1" applyAlignment="1">
      <alignment horizontal="left" vertical="center"/>
    </xf>
    <xf numFmtId="0" fontId="52" fillId="6" borderId="121" xfId="0" applyFont="1" applyFill="1" applyBorder="1" applyAlignment="1">
      <alignment vertical="center"/>
    </xf>
    <xf numFmtId="0" fontId="20" fillId="0" borderId="121" xfId="0" applyFont="1" applyBorder="1" applyAlignment="1">
      <alignment vertical="center"/>
    </xf>
    <xf numFmtId="44" fontId="52" fillId="6" borderId="121" xfId="0" applyNumberFormat="1" applyFont="1" applyFill="1" applyBorder="1" applyAlignment="1">
      <alignment horizontal="right" vertical="center"/>
    </xf>
    <xf numFmtId="37" fontId="20" fillId="0" borderId="121" xfId="0" applyNumberFormat="1" applyFont="1" applyBorder="1" applyAlignment="1">
      <alignment horizontal="center" vertical="center"/>
    </xf>
    <xf numFmtId="0" fontId="20" fillId="0" borderId="121" xfId="0" applyFont="1" applyBorder="1" applyAlignment="1">
      <alignment horizontal="center" vertical="center"/>
    </xf>
    <xf numFmtId="44" fontId="20" fillId="0" borderId="121" xfId="0" applyNumberFormat="1" applyFont="1" applyBorder="1" applyAlignment="1">
      <alignment horizontal="right" vertical="center"/>
    </xf>
    <xf numFmtId="0" fontId="20" fillId="6" borderId="121" xfId="0" applyFont="1" applyFill="1" applyBorder="1" applyAlignment="1">
      <alignment vertical="center"/>
    </xf>
    <xf numFmtId="0" fontId="19" fillId="6" borderId="121" xfId="0" applyFont="1" applyFill="1" applyBorder="1" applyAlignment="1">
      <alignment horizontal="left" vertical="center"/>
    </xf>
    <xf numFmtId="0" fontId="19" fillId="6" borderId="121" xfId="0" applyFont="1" applyFill="1" applyBorder="1" applyAlignment="1">
      <alignment horizontal="center" vertical="center"/>
    </xf>
    <xf numFmtId="0" fontId="19" fillId="6" borderId="121" xfId="0" applyFont="1" applyFill="1" applyBorder="1" applyAlignment="1">
      <alignment vertical="center"/>
    </xf>
    <xf numFmtId="44" fontId="19" fillId="6" borderId="121" xfId="0" applyNumberFormat="1" applyFont="1" applyFill="1" applyBorder="1" applyAlignment="1">
      <alignment horizontal="left" vertical="center"/>
    </xf>
    <xf numFmtId="0" fontId="20" fillId="6" borderId="121" xfId="0" applyFont="1" applyFill="1" applyBorder="1" applyAlignment="1">
      <alignment horizontal="center" vertical="center"/>
    </xf>
    <xf numFmtId="44" fontId="20" fillId="3" borderId="121" xfId="0" applyNumberFormat="1" applyFont="1" applyFill="1" applyBorder="1" applyAlignment="1">
      <alignment horizontal="right" vertical="center"/>
    </xf>
    <xf numFmtId="0" fontId="20" fillId="6" borderId="121" xfId="0" applyFont="1" applyFill="1" applyBorder="1" applyAlignment="1">
      <alignment horizontal="left" vertical="center"/>
    </xf>
    <xf numFmtId="0" fontId="47" fillId="6" borderId="121" xfId="0" applyFont="1" applyFill="1" applyBorder="1" applyAlignment="1">
      <alignment horizontal="left" vertical="center"/>
    </xf>
    <xf numFmtId="44" fontId="19" fillId="3" borderId="121" xfId="0" applyNumberFormat="1" applyFont="1" applyFill="1" applyBorder="1" applyAlignment="1">
      <alignment vertical="center"/>
    </xf>
    <xf numFmtId="44" fontId="20" fillId="6" borderId="121" xfId="0" applyNumberFormat="1" applyFont="1" applyFill="1" applyBorder="1" applyAlignment="1">
      <alignment vertical="center"/>
    </xf>
    <xf numFmtId="0" fontId="19" fillId="0" borderId="121" xfId="0" applyFont="1" applyBorder="1" applyAlignment="1">
      <alignment horizontal="left" vertical="center"/>
    </xf>
    <xf numFmtId="0" fontId="19" fillId="0" borderId="121" xfId="0" applyFont="1" applyBorder="1" applyAlignment="1">
      <alignment vertical="center"/>
    </xf>
    <xf numFmtId="0" fontId="52" fillId="3" borderId="121" xfId="0" applyFont="1" applyFill="1" applyBorder="1" applyAlignment="1">
      <alignment horizontal="center" vertical="center"/>
    </xf>
    <xf numFmtId="37" fontId="19" fillId="6" borderId="121" xfId="0" applyNumberFormat="1" applyFont="1" applyFill="1" applyBorder="1" applyAlignment="1">
      <alignment horizontal="center" vertical="center"/>
    </xf>
    <xf numFmtId="37" fontId="52" fillId="6" borderId="121" xfId="0" applyNumberFormat="1" applyFont="1" applyFill="1" applyBorder="1" applyAlignment="1">
      <alignment horizontal="center" vertical="center"/>
    </xf>
    <xf numFmtId="0" fontId="52" fillId="6" borderId="121" xfId="0" applyFont="1" applyFill="1" applyBorder="1" applyAlignment="1">
      <alignment horizontal="right" vertical="center"/>
    </xf>
    <xf numFmtId="0" fontId="52" fillId="3" borderId="121" xfId="0" applyFont="1" applyFill="1" applyBorder="1" applyAlignment="1">
      <alignment vertical="center"/>
    </xf>
    <xf numFmtId="44" fontId="20" fillId="6" borderId="121" xfId="1" applyFont="1" applyFill="1" applyBorder="1" applyAlignment="1">
      <alignment vertical="center"/>
    </xf>
    <xf numFmtId="0" fontId="52" fillId="3" borderId="121" xfId="0" applyFont="1" applyFill="1" applyBorder="1" applyAlignment="1">
      <alignment horizontal="left" vertical="center"/>
    </xf>
    <xf numFmtId="0" fontId="19" fillId="3" borderId="121" xfId="0" applyFont="1" applyFill="1" applyBorder="1" applyAlignment="1">
      <alignment horizontal="center" vertical="center"/>
    </xf>
    <xf numFmtId="44" fontId="20" fillId="5" borderId="121" xfId="0" applyNumberFormat="1" applyFont="1" applyFill="1" applyBorder="1" applyAlignment="1">
      <alignment horizontal="right" vertical="center"/>
    </xf>
    <xf numFmtId="0" fontId="19" fillId="30" borderId="121" xfId="0" applyFont="1" applyFill="1" applyBorder="1" applyAlignment="1">
      <alignment vertical="center"/>
    </xf>
    <xf numFmtId="0" fontId="45" fillId="3" borderId="121" xfId="0" applyFont="1" applyFill="1" applyBorder="1" applyAlignment="1">
      <alignment horizontal="left" vertical="center"/>
    </xf>
    <xf numFmtId="0" fontId="20" fillId="3" borderId="121" xfId="0" applyFont="1" applyFill="1" applyBorder="1" applyAlignment="1">
      <alignment vertical="center"/>
    </xf>
    <xf numFmtId="0" fontId="20" fillId="3" borderId="121" xfId="0" applyFont="1" applyFill="1" applyBorder="1" applyAlignment="1">
      <alignment horizontal="center" vertical="center"/>
    </xf>
    <xf numFmtId="0" fontId="50" fillId="3" borderId="121" xfId="0" applyFont="1" applyFill="1" applyBorder="1" applyAlignment="1">
      <alignment vertical="center"/>
    </xf>
    <xf numFmtId="0" fontId="16" fillId="3" borderId="121" xfId="0" applyFont="1" applyFill="1" applyBorder="1" applyAlignment="1">
      <alignment horizontal="left" vertical="center"/>
    </xf>
    <xf numFmtId="0" fontId="19" fillId="0" borderId="121" xfId="0" applyFont="1" applyBorder="1" applyAlignment="1">
      <alignment horizontal="center" vertical="center"/>
    </xf>
    <xf numFmtId="0" fontId="19" fillId="5" borderId="121" xfId="0" applyFont="1" applyFill="1" applyBorder="1" applyAlignment="1">
      <alignment horizontal="left" vertical="center"/>
    </xf>
    <xf numFmtId="44" fontId="19" fillId="5" borderId="121" xfId="0" applyNumberFormat="1" applyFont="1" applyFill="1" applyBorder="1" applyAlignment="1">
      <alignment horizontal="left" vertical="center"/>
    </xf>
    <xf numFmtId="0" fontId="50" fillId="6" borderId="121" xfId="0" applyFont="1" applyFill="1" applyBorder="1" applyAlignment="1">
      <alignment horizontal="left" vertical="center"/>
    </xf>
    <xf numFmtId="44" fontId="19" fillId="6" borderId="121" xfId="0" applyNumberFormat="1" applyFont="1" applyFill="1" applyBorder="1" applyAlignment="1">
      <alignment vertical="center"/>
    </xf>
    <xf numFmtId="0" fontId="181" fillId="6" borderId="121" xfId="0" applyFont="1" applyFill="1" applyBorder="1" applyAlignment="1">
      <alignment horizontal="left" vertical="center"/>
    </xf>
    <xf numFmtId="0" fontId="22" fillId="6" borderId="121" xfId="0" applyFont="1" applyFill="1" applyBorder="1" applyAlignment="1">
      <alignment horizontal="center" vertical="center"/>
    </xf>
    <xf numFmtId="0" fontId="52" fillId="13" borderId="121" xfId="0" applyFont="1" applyFill="1" applyBorder="1" applyAlignment="1">
      <alignment horizontal="left" vertical="center"/>
    </xf>
    <xf numFmtId="44" fontId="20" fillId="6" borderId="121" xfId="0" applyNumberFormat="1" applyFont="1" applyFill="1" applyBorder="1" applyAlignment="1">
      <alignment horizontal="left" vertical="center"/>
    </xf>
    <xf numFmtId="37" fontId="19" fillId="3" borderId="121" xfId="0" applyNumberFormat="1" applyFont="1" applyFill="1" applyBorder="1" applyAlignment="1">
      <alignment horizontal="left" vertical="center"/>
    </xf>
    <xf numFmtId="44" fontId="45" fillId="5" borderId="121" xfId="0" applyNumberFormat="1" applyFont="1" applyFill="1" applyBorder="1" applyAlignment="1">
      <alignment horizontal="right" vertical="center"/>
    </xf>
    <xf numFmtId="0" fontId="20" fillId="3" borderId="121" xfId="0" applyFont="1" applyFill="1" applyBorder="1" applyAlignment="1">
      <alignment horizontal="left" vertical="center"/>
    </xf>
    <xf numFmtId="0" fontId="47" fillId="13" borderId="121" xfId="0" applyFont="1" applyFill="1" applyBorder="1" applyAlignment="1">
      <alignment vertical="center"/>
    </xf>
    <xf numFmtId="0" fontId="52" fillId="13" borderId="121" xfId="0" applyFont="1" applyFill="1" applyBorder="1" applyAlignment="1">
      <alignment vertical="center"/>
    </xf>
    <xf numFmtId="44" fontId="52" fillId="13" borderId="121" xfId="0" applyNumberFormat="1" applyFont="1" applyFill="1" applyBorder="1" applyAlignment="1">
      <alignment horizontal="right" vertical="center"/>
    </xf>
    <xf numFmtId="44" fontId="22" fillId="13" borderId="121" xfId="1" applyFont="1" applyFill="1" applyBorder="1" applyAlignment="1">
      <alignment horizontal="left" vertical="center"/>
    </xf>
    <xf numFmtId="44" fontId="22" fillId="6" borderId="121" xfId="1" applyFont="1" applyFill="1" applyBorder="1" applyAlignment="1">
      <alignment horizontal="center" vertical="center"/>
    </xf>
    <xf numFmtId="44" fontId="16" fillId="2" borderId="121" xfId="1" applyFont="1" applyFill="1" applyBorder="1" applyAlignment="1">
      <alignment horizontal="left" vertical="center"/>
    </xf>
    <xf numFmtId="0" fontId="16" fillId="2" borderId="121" xfId="0" applyFont="1" applyFill="1" applyBorder="1" applyAlignment="1">
      <alignment horizontal="left" vertical="center"/>
    </xf>
    <xf numFmtId="49" fontId="19" fillId="3" borderId="121" xfId="1" applyNumberFormat="1" applyFont="1" applyFill="1" applyBorder="1" applyAlignment="1">
      <alignment vertical="center"/>
    </xf>
    <xf numFmtId="0" fontId="18" fillId="0" borderId="121" xfId="0" applyFont="1" applyBorder="1" applyAlignment="1">
      <alignment horizontal="left" vertical="center"/>
    </xf>
    <xf numFmtId="0" fontId="16" fillId="3" borderId="121" xfId="0" applyFont="1" applyFill="1" applyBorder="1" applyAlignment="1">
      <alignment vertical="center"/>
    </xf>
    <xf numFmtId="49" fontId="19" fillId="6" borderId="121" xfId="1" applyNumberFormat="1" applyFont="1" applyFill="1" applyBorder="1" applyAlignment="1">
      <alignment horizontal="left" vertical="center"/>
    </xf>
    <xf numFmtId="0" fontId="196" fillId="6" borderId="121" xfId="0" applyFont="1" applyFill="1" applyBorder="1" applyAlignment="1">
      <alignment horizontal="center" vertical="center"/>
    </xf>
    <xf numFmtId="0" fontId="16" fillId="6" borderId="121" xfId="0" applyFont="1" applyFill="1" applyBorder="1" applyAlignment="1">
      <alignment horizontal="center" vertical="center"/>
    </xf>
    <xf numFmtId="0" fontId="16" fillId="6" borderId="121" xfId="0" applyFont="1" applyFill="1" applyBorder="1" applyAlignment="1">
      <alignment horizontal="left" vertical="center"/>
    </xf>
    <xf numFmtId="0" fontId="182" fillId="6" borderId="121" xfId="0" applyFont="1" applyFill="1" applyBorder="1" applyAlignment="1">
      <alignment horizontal="center" vertical="center" wrapText="1"/>
    </xf>
    <xf numFmtId="0" fontId="16" fillId="6" borderId="121" xfId="0" applyFont="1" applyFill="1" applyBorder="1" applyAlignment="1">
      <alignment vertical="center"/>
    </xf>
    <xf numFmtId="37" fontId="19" fillId="6" borderId="121" xfId="0" applyNumberFormat="1" applyFont="1" applyFill="1" applyBorder="1" applyAlignment="1">
      <alignment horizontal="left" vertical="center"/>
    </xf>
    <xf numFmtId="0" fontId="16" fillId="3" borderId="121" xfId="0" applyFont="1" applyFill="1" applyBorder="1" applyAlignment="1">
      <alignment horizontal="center" vertical="center"/>
    </xf>
    <xf numFmtId="49" fontId="20" fillId="6" borderId="121" xfId="1" applyNumberFormat="1" applyFont="1" applyFill="1" applyBorder="1" applyAlignment="1">
      <alignment vertical="center"/>
    </xf>
    <xf numFmtId="0" fontId="19" fillId="3" borderId="121" xfId="0" applyFont="1" applyFill="1" applyBorder="1" applyAlignment="1">
      <alignment horizontal="right" vertical="center"/>
    </xf>
    <xf numFmtId="44" fontId="45" fillId="0" borderId="121" xfId="0" applyNumberFormat="1" applyFont="1" applyBorder="1" applyAlignment="1">
      <alignment horizontal="right" vertical="center"/>
    </xf>
    <xf numFmtId="0" fontId="167" fillId="0" borderId="121" xfId="0" applyFont="1" applyBorder="1" applyAlignment="1">
      <alignment horizontal="left" vertical="center"/>
    </xf>
    <xf numFmtId="0" fontId="167" fillId="0" borderId="121" xfId="0" applyFont="1" applyBorder="1" applyAlignment="1">
      <alignment vertical="center"/>
    </xf>
    <xf numFmtId="0" fontId="47" fillId="3" borderId="121" xfId="0" applyFont="1" applyFill="1" applyBorder="1" applyAlignment="1">
      <alignment horizontal="left" vertical="center"/>
    </xf>
    <xf numFmtId="44" fontId="45" fillId="6" borderId="121" xfId="0" applyNumberFormat="1" applyFont="1" applyFill="1" applyBorder="1" applyAlignment="1">
      <alignment horizontal="right" vertical="center"/>
    </xf>
    <xf numFmtId="44" fontId="49" fillId="3" borderId="121" xfId="1" applyFont="1" applyFill="1" applyBorder="1" applyAlignment="1">
      <alignment vertical="center"/>
    </xf>
    <xf numFmtId="9" fontId="19" fillId="3" borderId="121" xfId="2" applyFont="1" applyFill="1" applyBorder="1" applyAlignment="1">
      <alignment vertical="center"/>
    </xf>
    <xf numFmtId="44" fontId="19" fillId="3" borderId="121" xfId="1" applyFont="1" applyFill="1" applyBorder="1" applyAlignment="1">
      <alignment vertical="center"/>
    </xf>
    <xf numFmtId="0" fontId="20" fillId="30" borderId="121" xfId="0" applyFont="1" applyFill="1" applyBorder="1" applyAlignment="1">
      <alignment horizontal="left" vertical="center"/>
    </xf>
    <xf numFmtId="37" fontId="52" fillId="3" borderId="121" xfId="0" applyNumberFormat="1" applyFont="1" applyFill="1" applyBorder="1" applyAlignment="1">
      <alignment horizontal="center" vertical="center"/>
    </xf>
    <xf numFmtId="0" fontId="162" fillId="3" borderId="121" xfId="0" applyFont="1" applyFill="1" applyBorder="1" applyAlignment="1">
      <alignment vertical="center" wrapText="1"/>
    </xf>
    <xf numFmtId="0" fontId="206" fillId="3" borderId="121" xfId="0" applyFont="1" applyFill="1" applyBorder="1" applyAlignment="1">
      <alignment horizontal="center" vertical="center"/>
    </xf>
    <xf numFmtId="0" fontId="168" fillId="0" borderId="121" xfId="0" applyFont="1" applyBorder="1" applyAlignment="1">
      <alignment horizontal="left" vertical="center"/>
    </xf>
    <xf numFmtId="0" fontId="168" fillId="0" borderId="121" xfId="0" applyFont="1" applyBorder="1" applyAlignment="1">
      <alignment vertical="center"/>
    </xf>
    <xf numFmtId="0" fontId="25" fillId="6" borderId="121" xfId="0" applyFont="1" applyFill="1" applyBorder="1"/>
    <xf numFmtId="44" fontId="20" fillId="13" borderId="121" xfId="0" applyNumberFormat="1" applyFont="1" applyFill="1" applyBorder="1" applyAlignment="1">
      <alignment horizontal="right" vertical="center"/>
    </xf>
    <xf numFmtId="0" fontId="173" fillId="3" borderId="121" xfId="0" applyFont="1" applyFill="1" applyBorder="1" applyAlignment="1">
      <alignment horizontal="left" vertical="center"/>
    </xf>
    <xf numFmtId="37" fontId="50" fillId="3" borderId="121" xfId="0" applyNumberFormat="1" applyFont="1" applyFill="1" applyBorder="1" applyAlignment="1">
      <alignment horizontal="center" vertical="center"/>
    </xf>
    <xf numFmtId="0" fontId="50" fillId="13" borderId="121" xfId="0" applyFont="1" applyFill="1" applyBorder="1" applyAlignment="1">
      <alignment vertical="center"/>
    </xf>
    <xf numFmtId="44" fontId="50" fillId="3" borderId="121" xfId="0" applyNumberFormat="1" applyFont="1" applyFill="1" applyBorder="1" applyAlignment="1">
      <alignment horizontal="left" vertical="center"/>
    </xf>
    <xf numFmtId="0" fontId="19" fillId="13" borderId="121" xfId="0" applyFont="1" applyFill="1" applyBorder="1" applyAlignment="1">
      <alignment vertical="center"/>
    </xf>
    <xf numFmtId="0" fontId="20" fillId="30" borderId="121" xfId="0" applyFont="1" applyFill="1" applyBorder="1" applyAlignment="1">
      <alignment vertical="center"/>
    </xf>
    <xf numFmtId="0" fontId="22" fillId="6" borderId="121" xfId="0" applyFont="1" applyFill="1" applyBorder="1" applyAlignment="1">
      <alignment horizontal="left" vertical="center"/>
    </xf>
    <xf numFmtId="44" fontId="16" fillId="6" borderId="121" xfId="1" applyFont="1" applyFill="1" applyBorder="1" applyAlignment="1">
      <alignment horizontal="left" vertical="center"/>
    </xf>
    <xf numFmtId="0" fontId="20" fillId="6" borderId="121" xfId="0" applyFont="1" applyFill="1" applyBorder="1" applyAlignment="1">
      <alignment horizontal="right" vertical="center"/>
    </xf>
    <xf numFmtId="44" fontId="20" fillId="6" borderId="121" xfId="1" applyFont="1" applyFill="1" applyBorder="1" applyAlignment="1">
      <alignment horizontal="left" vertical="center"/>
    </xf>
    <xf numFmtId="0" fontId="19" fillId="5" borderId="121" xfId="0" applyFont="1" applyFill="1" applyBorder="1" applyAlignment="1">
      <alignment vertical="center"/>
    </xf>
    <xf numFmtId="0" fontId="16" fillId="2" borderId="121" xfId="0" applyFont="1" applyFill="1" applyBorder="1" applyAlignment="1">
      <alignment horizontal="right" vertical="center"/>
    </xf>
    <xf numFmtId="44" fontId="52" fillId="6" borderId="121" xfId="1" applyFont="1" applyFill="1" applyBorder="1" applyAlignment="1">
      <alignment horizontal="left" vertical="center"/>
    </xf>
    <xf numFmtId="0" fontId="16" fillId="6" borderId="121" xfId="0" applyFont="1" applyFill="1" applyBorder="1" applyAlignment="1">
      <alignment horizontal="right" vertical="center"/>
    </xf>
    <xf numFmtId="37" fontId="19" fillId="0" borderId="121" xfId="0" applyNumberFormat="1" applyFont="1" applyBorder="1" applyAlignment="1">
      <alignment horizontal="center" vertical="center"/>
    </xf>
    <xf numFmtId="44" fontId="20" fillId="0" borderId="121" xfId="1" applyFont="1" applyFill="1" applyBorder="1" applyAlignment="1">
      <alignment horizontal="left" vertical="center"/>
    </xf>
    <xf numFmtId="44" fontId="47" fillId="3" borderId="121" xfId="0" applyNumberFormat="1" applyFont="1" applyFill="1" applyBorder="1" applyAlignment="1">
      <alignment horizontal="left" vertical="center"/>
    </xf>
    <xf numFmtId="37" fontId="20" fillId="3" borderId="121" xfId="0" applyNumberFormat="1" applyFont="1" applyFill="1" applyBorder="1" applyAlignment="1">
      <alignment horizontal="center" vertical="center"/>
    </xf>
    <xf numFmtId="0" fontId="17" fillId="6" borderId="121" xfId="0" applyFont="1" applyFill="1" applyBorder="1" applyAlignment="1">
      <alignment vertical="center"/>
    </xf>
    <xf numFmtId="0" fontId="17" fillId="6" borderId="121" xfId="0" applyFont="1" applyFill="1" applyBorder="1" applyAlignment="1">
      <alignment horizontal="left" vertical="center"/>
    </xf>
    <xf numFmtId="0" fontId="47" fillId="6" borderId="121" xfId="0" applyFont="1" applyFill="1" applyBorder="1" applyAlignment="1">
      <alignment vertical="center"/>
    </xf>
    <xf numFmtId="0" fontId="20" fillId="6" borderId="121" xfId="0" applyFont="1" applyFill="1" applyBorder="1" applyAlignment="1">
      <alignment horizontal="right" vertical="center" indent="1"/>
    </xf>
    <xf numFmtId="0" fontId="19" fillId="3" borderId="121" xfId="0" applyFont="1" applyFill="1" applyBorder="1" applyAlignment="1">
      <alignment horizontal="right" vertical="center" indent="1"/>
    </xf>
    <xf numFmtId="0" fontId="52" fillId="6" borderId="121" xfId="0" applyFont="1" applyFill="1" applyBorder="1" applyAlignment="1">
      <alignment horizontal="right" vertical="center" indent="1"/>
    </xf>
    <xf numFmtId="0" fontId="22" fillId="6" borderId="121" xfId="0" applyFont="1" applyFill="1" applyBorder="1" applyAlignment="1">
      <alignment horizontal="right" vertical="center"/>
    </xf>
    <xf numFmtId="44" fontId="52" fillId="6" borderId="121" xfId="0" applyNumberFormat="1" applyFont="1" applyFill="1" applyBorder="1" applyAlignment="1">
      <alignment vertical="center"/>
    </xf>
    <xf numFmtId="0" fontId="19" fillId="6" borderId="121" xfId="0" applyFont="1" applyFill="1" applyBorder="1" applyAlignment="1">
      <alignment horizontal="right" vertical="center" indent="1"/>
    </xf>
    <xf numFmtId="0" fontId="192" fillId="0" borderId="121" xfId="0" applyFont="1" applyBorder="1" applyAlignment="1">
      <alignment vertical="center"/>
    </xf>
    <xf numFmtId="0" fontId="193" fillId="4" borderId="121" xfId="0" applyFont="1" applyFill="1" applyBorder="1" applyAlignment="1">
      <alignment vertical="center"/>
    </xf>
    <xf numFmtId="0" fontId="193" fillId="4" borderId="121" xfId="0" applyFont="1" applyFill="1" applyBorder="1"/>
    <xf numFmtId="0" fontId="193" fillId="4" borderId="121" xfId="0" applyFont="1" applyFill="1" applyBorder="1" applyAlignment="1">
      <alignment horizontal="left" vertical="center"/>
    </xf>
    <xf numFmtId="0" fontId="20" fillId="6" borderId="121" xfId="0" applyFont="1" applyFill="1" applyBorder="1"/>
    <xf numFmtId="164" fontId="20" fillId="6" borderId="121" xfId="0" applyNumberFormat="1" applyFont="1" applyFill="1" applyBorder="1" applyAlignment="1">
      <alignment horizontal="left" vertical="center"/>
    </xf>
    <xf numFmtId="37" fontId="22" fillId="6" borderId="121" xfId="0" applyNumberFormat="1" applyFont="1" applyFill="1" applyBorder="1" applyAlignment="1">
      <alignment horizontal="center" vertical="center"/>
    </xf>
    <xf numFmtId="37" fontId="17" fillId="0" borderId="121" xfId="0" applyNumberFormat="1" applyFont="1" applyBorder="1" applyAlignment="1">
      <alignment horizontal="center" vertical="center"/>
    </xf>
    <xf numFmtId="0" fontId="178" fillId="6" borderId="121" xfId="0" applyFont="1" applyFill="1" applyBorder="1"/>
    <xf numFmtId="0" fontId="180" fillId="0" borderId="121" xfId="0" applyFont="1" applyBorder="1"/>
    <xf numFmtId="0" fontId="33" fillId="6" borderId="121" xfId="0" applyFont="1" applyFill="1" applyBorder="1" applyAlignment="1">
      <alignment vertical="center"/>
    </xf>
    <xf numFmtId="0" fontId="33" fillId="5" borderId="121" xfId="0" applyFont="1" applyFill="1" applyBorder="1" applyAlignment="1">
      <alignment horizontal="left" vertical="center"/>
    </xf>
    <xf numFmtId="44" fontId="33" fillId="5" borderId="121" xfId="0" applyNumberFormat="1" applyFont="1" applyFill="1" applyBorder="1" applyAlignment="1">
      <alignment horizontal="right" vertical="center"/>
    </xf>
    <xf numFmtId="0" fontId="33" fillId="6" borderId="121" xfId="0" applyFont="1" applyFill="1" applyBorder="1" applyAlignment="1">
      <alignment horizontal="left" vertical="center"/>
    </xf>
    <xf numFmtId="44" fontId="33" fillId="6" borderId="121" xfId="0" applyNumberFormat="1" applyFont="1" applyFill="1" applyBorder="1" applyAlignment="1">
      <alignment horizontal="right" vertical="center"/>
    </xf>
    <xf numFmtId="0" fontId="33" fillId="5" borderId="121" xfId="0" applyFont="1" applyFill="1" applyBorder="1" applyAlignment="1">
      <alignment vertical="center"/>
    </xf>
    <xf numFmtId="165" fontId="33" fillId="6" borderId="121" xfId="0" applyNumberFormat="1" applyFont="1" applyFill="1" applyBorder="1" applyAlignment="1">
      <alignment vertical="center"/>
    </xf>
    <xf numFmtId="0" fontId="33" fillId="31" borderId="121" xfId="0" applyFont="1" applyFill="1" applyBorder="1" applyAlignment="1">
      <alignment vertical="center"/>
    </xf>
    <xf numFmtId="1" fontId="33" fillId="6" borderId="121" xfId="0" applyNumberFormat="1" applyFont="1" applyFill="1" applyBorder="1" applyAlignment="1">
      <alignment horizontal="left" vertical="center"/>
    </xf>
    <xf numFmtId="0" fontId="52" fillId="23" borderId="121" xfId="0" applyFont="1" applyFill="1" applyBorder="1" applyAlignment="1">
      <alignment vertical="center"/>
    </xf>
    <xf numFmtId="44" fontId="52" fillId="23" borderId="121" xfId="0" applyNumberFormat="1" applyFont="1" applyFill="1" applyBorder="1" applyAlignment="1">
      <alignment horizontal="right" vertical="center"/>
    </xf>
    <xf numFmtId="0" fontId="33" fillId="6" borderId="121" xfId="0" applyFont="1" applyFill="1" applyBorder="1" applyAlignment="1">
      <alignment horizontal="center" vertical="center"/>
    </xf>
    <xf numFmtId="37" fontId="33" fillId="6" borderId="121" xfId="0" applyNumberFormat="1" applyFont="1" applyFill="1" applyBorder="1" applyAlignment="1">
      <alignment horizontal="center" vertical="center"/>
    </xf>
    <xf numFmtId="0" fontId="22" fillId="6" borderId="121" xfId="0" applyFont="1" applyFill="1" applyBorder="1" applyAlignment="1">
      <alignment vertical="center"/>
    </xf>
    <xf numFmtId="0" fontId="33" fillId="0" borderId="121" xfId="0" applyFont="1" applyBorder="1" applyAlignment="1">
      <alignment horizontal="left" vertical="center"/>
    </xf>
    <xf numFmtId="44" fontId="33" fillId="0" borderId="121" xfId="1" applyFont="1" applyFill="1" applyBorder="1" applyAlignment="1">
      <alignment horizontal="left" vertical="center"/>
    </xf>
    <xf numFmtId="0" fontId="231" fillId="6" borderId="121" xfId="0" applyFont="1" applyFill="1" applyBorder="1" applyAlignment="1">
      <alignment horizontal="left" vertical="center"/>
    </xf>
    <xf numFmtId="0" fontId="20" fillId="5" borderId="121" xfId="0" applyFont="1" applyFill="1" applyBorder="1" applyAlignment="1">
      <alignment horizontal="left" vertical="center"/>
    </xf>
    <xf numFmtId="14" fontId="227" fillId="3" borderId="0" xfId="0" applyNumberFormat="1" applyFont="1" applyFill="1" applyAlignment="1">
      <alignment vertical="center" wrapText="1"/>
    </xf>
    <xf numFmtId="44" fontId="16" fillId="2" borderId="27" xfId="1" applyFont="1" applyFill="1" applyBorder="1" applyAlignment="1">
      <alignment horizontal="left"/>
    </xf>
    <xf numFmtId="44" fontId="16" fillId="2" borderId="0" xfId="1" applyFont="1" applyFill="1" applyBorder="1" applyAlignment="1">
      <alignment horizontal="left"/>
    </xf>
    <xf numFmtId="0" fontId="233" fillId="24" borderId="12" xfId="0" applyFont="1" applyFill="1" applyBorder="1" applyAlignment="1">
      <alignment horizontal="center" vertical="center"/>
    </xf>
    <xf numFmtId="0" fontId="216" fillId="24" borderId="44" xfId="0" applyFont="1" applyFill="1" applyBorder="1" applyAlignment="1">
      <alignment vertical="center"/>
    </xf>
    <xf numFmtId="0" fontId="234" fillId="24" borderId="52" xfId="0" applyFont="1" applyFill="1" applyBorder="1" applyAlignment="1">
      <alignment horizontal="left" vertical="center"/>
    </xf>
    <xf numFmtId="0" fontId="178" fillId="6" borderId="121" xfId="0" applyFont="1" applyFill="1" applyBorder="1" applyAlignment="1">
      <alignment vertical="center" wrapText="1"/>
    </xf>
    <xf numFmtId="0" fontId="170" fillId="6" borderId="121" xfId="0" applyFont="1" applyFill="1" applyBorder="1" applyAlignment="1">
      <alignment vertical="center" wrapText="1"/>
    </xf>
    <xf numFmtId="0" fontId="182" fillId="6" borderId="121" xfId="0" applyFont="1" applyFill="1" applyBorder="1" applyAlignment="1">
      <alignment vertical="center" wrapText="1"/>
    </xf>
    <xf numFmtId="44" fontId="18" fillId="6" borderId="0" xfId="1" applyFont="1" applyFill="1" applyBorder="1" applyAlignment="1">
      <alignment vertical="center" wrapText="1"/>
    </xf>
    <xf numFmtId="44" fontId="20" fillId="6" borderId="122" xfId="1" applyFont="1" applyFill="1" applyBorder="1" applyAlignment="1">
      <alignment horizontal="right" vertical="center"/>
    </xf>
    <xf numFmtId="44" fontId="52" fillId="6" borderId="122" xfId="1" applyFont="1" applyFill="1" applyBorder="1" applyAlignment="1">
      <alignment horizontal="right" vertical="center"/>
    </xf>
    <xf numFmtId="44" fontId="20" fillId="3" borderId="122" xfId="1" applyFont="1" applyFill="1" applyBorder="1" applyAlignment="1">
      <alignment horizontal="right" vertical="center"/>
    </xf>
    <xf numFmtId="0" fontId="178" fillId="3" borderId="15" xfId="0" applyFont="1" applyFill="1" applyBorder="1" applyAlignment="1">
      <alignment horizontal="center" vertical="center" wrapText="1"/>
    </xf>
    <xf numFmtId="0" fontId="217" fillId="7" borderId="15" xfId="0" applyFont="1" applyFill="1" applyBorder="1" applyAlignment="1">
      <alignment vertical="center"/>
    </xf>
    <xf numFmtId="0" fontId="219" fillId="7" borderId="15" xfId="0" applyFont="1" applyFill="1" applyBorder="1" applyAlignment="1">
      <alignment horizontal="center" vertical="center"/>
    </xf>
    <xf numFmtId="0" fontId="213" fillId="24" borderId="51" xfId="0" applyFont="1" applyFill="1" applyBorder="1" applyAlignment="1">
      <alignment horizontal="center" vertical="center"/>
    </xf>
    <xf numFmtId="0" fontId="147" fillId="24" borderId="15" xfId="0" applyFont="1" applyFill="1" applyBorder="1" applyAlignment="1">
      <alignment horizontal="center" vertical="center"/>
    </xf>
    <xf numFmtId="0" fontId="219" fillId="3" borderId="49" xfId="0" applyFont="1" applyFill="1" applyBorder="1" applyAlignment="1">
      <alignment horizontal="center" vertical="center"/>
    </xf>
    <xf numFmtId="0" fontId="217" fillId="3" borderId="12" xfId="0" applyFont="1" applyFill="1" applyBorder="1" applyAlignment="1">
      <alignment horizontal="left" vertical="center" indent="1"/>
    </xf>
    <xf numFmtId="0" fontId="11" fillId="6" borderId="13" xfId="0" applyFont="1" applyFill="1" applyBorder="1" applyAlignment="1">
      <alignment vertical="center" wrapText="1"/>
    </xf>
    <xf numFmtId="44" fontId="6" fillId="6" borderId="0" xfId="0" applyNumberFormat="1" applyFont="1" applyFill="1"/>
    <xf numFmtId="0" fontId="10" fillId="6" borderId="13" xfId="0" applyFont="1" applyFill="1" applyBorder="1" applyAlignment="1">
      <alignment vertical="center"/>
    </xf>
    <xf numFmtId="0" fontId="10" fillId="2" borderId="8" xfId="0" applyFont="1" applyFill="1" applyBorder="1"/>
    <xf numFmtId="0" fontId="17" fillId="3" borderId="15" xfId="0" applyFont="1" applyFill="1" applyBorder="1" applyAlignment="1">
      <alignment horizontal="center" vertical="center"/>
    </xf>
    <xf numFmtId="37" fontId="17" fillId="6" borderId="26" xfId="0" applyNumberFormat="1" applyFont="1" applyFill="1" applyBorder="1" applyAlignment="1">
      <alignment horizontal="center" vertical="center"/>
    </xf>
    <xf numFmtId="0" fontId="17" fillId="6" borderId="26" xfId="0" applyFont="1" applyFill="1" applyBorder="1" applyAlignment="1">
      <alignment horizontal="left" vertical="center"/>
    </xf>
    <xf numFmtId="0" fontId="17" fillId="3" borderId="26" xfId="0" applyFont="1" applyFill="1" applyBorder="1" applyAlignment="1">
      <alignment horizontal="center" vertical="center"/>
    </xf>
    <xf numFmtId="0" fontId="17" fillId="3" borderId="15" xfId="0" applyFont="1" applyFill="1" applyBorder="1" applyAlignment="1">
      <alignment vertical="center"/>
    </xf>
    <xf numFmtId="0" fontId="17" fillId="0" borderId="0" xfId="0" applyFont="1" applyAlignment="1">
      <alignment vertical="center"/>
    </xf>
    <xf numFmtId="0" fontId="17" fillId="6" borderId="26" xfId="0" applyFont="1" applyFill="1" applyBorder="1" applyAlignment="1">
      <alignment horizontal="center" vertical="center"/>
    </xf>
    <xf numFmtId="0" fontId="17" fillId="6" borderId="121" xfId="0" applyFont="1" applyFill="1" applyBorder="1" applyAlignment="1">
      <alignment horizontal="center" vertical="center"/>
    </xf>
    <xf numFmtId="0" fontId="16" fillId="3" borderId="121" xfId="0" applyFont="1" applyFill="1" applyBorder="1" applyAlignment="1">
      <alignment horizontal="right" vertical="center"/>
    </xf>
    <xf numFmtId="0" fontId="17" fillId="3" borderId="121" xfId="0" applyFont="1" applyFill="1" applyBorder="1" applyAlignment="1">
      <alignment horizontal="center" vertical="center"/>
    </xf>
    <xf numFmtId="0" fontId="17" fillId="3" borderId="121" xfId="0" applyFont="1" applyFill="1" applyBorder="1" applyAlignment="1">
      <alignment horizontal="left" vertical="center"/>
    </xf>
    <xf numFmtId="0" fontId="17" fillId="3" borderId="121" xfId="0" applyFont="1" applyFill="1" applyBorder="1" applyAlignment="1">
      <alignment vertical="center"/>
    </xf>
    <xf numFmtId="9" fontId="45" fillId="3" borderId="44" xfId="2" applyFont="1" applyFill="1" applyBorder="1" applyAlignment="1" applyProtection="1">
      <alignment horizontal="center" vertical="center" wrapText="1"/>
      <protection locked="0"/>
    </xf>
    <xf numFmtId="0" fontId="17" fillId="3" borderId="12" xfId="0" applyFont="1" applyFill="1" applyBorder="1" applyAlignment="1">
      <alignment horizontal="center" vertical="center"/>
    </xf>
    <xf numFmtId="44" fontId="19" fillId="8" borderId="29" xfId="1" applyFont="1" applyFill="1" applyBorder="1" applyAlignment="1">
      <alignment vertical="center"/>
    </xf>
    <xf numFmtId="44" fontId="19" fillId="8" borderId="28" xfId="1" applyFont="1" applyFill="1" applyBorder="1" applyAlignment="1">
      <alignment vertical="center"/>
    </xf>
    <xf numFmtId="44" fontId="52" fillId="13" borderId="122" xfId="1" applyFont="1" applyFill="1" applyBorder="1" applyAlignment="1">
      <alignment horizontal="right" vertical="center"/>
    </xf>
    <xf numFmtId="0" fontId="22" fillId="0" borderId="121" xfId="0" applyFont="1" applyBorder="1" applyAlignment="1">
      <alignment horizontal="left" vertical="center"/>
    </xf>
    <xf numFmtId="0" fontId="95" fillId="0" borderId="121" xfId="0" applyFont="1" applyBorder="1" applyAlignment="1">
      <alignment horizontal="right" vertical="center"/>
    </xf>
    <xf numFmtId="0" fontId="22" fillId="0" borderId="121" xfId="0" applyFont="1" applyBorder="1" applyAlignment="1">
      <alignment horizontal="center" vertical="center"/>
    </xf>
    <xf numFmtId="37" fontId="17" fillId="6" borderId="12" xfId="0" applyNumberFormat="1" applyFont="1" applyFill="1" applyBorder="1" applyAlignment="1">
      <alignment horizontal="center" vertical="center"/>
    </xf>
    <xf numFmtId="0" fontId="17" fillId="6" borderId="12" xfId="0" applyFont="1" applyFill="1" applyBorder="1" applyAlignment="1">
      <alignment horizontal="left" vertical="center"/>
    </xf>
    <xf numFmtId="0" fontId="17" fillId="3" borderId="12" xfId="0" applyFont="1" applyFill="1" applyBorder="1" applyAlignment="1">
      <alignment horizontal="left" vertical="center"/>
    </xf>
    <xf numFmtId="0" fontId="17" fillId="3" borderId="12" xfId="0" applyFont="1" applyFill="1" applyBorder="1" applyAlignment="1">
      <alignment vertical="center"/>
    </xf>
    <xf numFmtId="0" fontId="233" fillId="24" borderId="44" xfId="0" applyFont="1" applyFill="1" applyBorder="1" applyAlignment="1">
      <alignment horizontal="center" vertical="center"/>
    </xf>
    <xf numFmtId="0" fontId="209" fillId="24" borderId="38" xfId="0" applyFont="1" applyFill="1" applyBorder="1" applyAlignment="1">
      <alignment horizontal="center" vertical="center"/>
    </xf>
    <xf numFmtId="0" fontId="154" fillId="24" borderId="3" xfId="0" applyFont="1" applyFill="1" applyBorder="1" applyAlignment="1">
      <alignment vertical="center"/>
    </xf>
    <xf numFmtId="0" fontId="218" fillId="24" borderId="6" xfId="0" applyFont="1" applyFill="1" applyBorder="1" applyAlignment="1">
      <alignment vertical="center"/>
    </xf>
    <xf numFmtId="0" fontId="216" fillId="24" borderId="44" xfId="0" applyFont="1" applyFill="1" applyBorder="1" applyAlignment="1">
      <alignment horizontal="left" vertical="center"/>
    </xf>
    <xf numFmtId="0" fontId="214" fillId="24" borderId="3" xfId="0" applyFont="1" applyFill="1" applyBorder="1" applyAlignment="1">
      <alignment vertical="center"/>
    </xf>
    <xf numFmtId="0" fontId="213" fillId="24" borderId="3" xfId="0" applyFont="1" applyFill="1" applyBorder="1" applyAlignment="1">
      <alignment horizontal="center" vertical="center"/>
    </xf>
    <xf numFmtId="0" fontId="209" fillId="24" borderId="3" xfId="0" applyFont="1" applyFill="1" applyBorder="1" applyAlignment="1">
      <alignment horizontal="center" vertical="center"/>
    </xf>
    <xf numFmtId="0" fontId="214" fillId="24" borderId="7" xfId="0" applyFont="1" applyFill="1" applyBorder="1" applyAlignment="1">
      <alignment vertical="center"/>
    </xf>
    <xf numFmtId="44" fontId="154" fillId="24" borderId="3" xfId="1" applyFont="1" applyFill="1" applyBorder="1" applyAlignment="1">
      <alignment horizontal="center" vertical="center" wrapText="1"/>
    </xf>
    <xf numFmtId="164" fontId="154" fillId="24" borderId="3" xfId="2" applyNumberFormat="1" applyFont="1" applyFill="1" applyBorder="1" applyAlignment="1">
      <alignment horizontal="center" vertical="center" wrapText="1"/>
    </xf>
    <xf numFmtId="0" fontId="154" fillId="24" borderId="3" xfId="0" applyFont="1" applyFill="1" applyBorder="1" applyAlignment="1">
      <alignment horizontal="left" vertical="center" wrapText="1"/>
    </xf>
    <xf numFmtId="37" fontId="17" fillId="6" borderId="69" xfId="0" applyNumberFormat="1" applyFont="1" applyFill="1" applyBorder="1" applyAlignment="1">
      <alignment horizontal="center" vertical="center"/>
    </xf>
    <xf numFmtId="0" fontId="17" fillId="6" borderId="69" xfId="0" applyFont="1" applyFill="1" applyBorder="1" applyAlignment="1">
      <alignment horizontal="left" vertical="center"/>
    </xf>
    <xf numFmtId="0" fontId="17" fillId="3" borderId="69" xfId="0" applyFont="1" applyFill="1" applyBorder="1" applyAlignment="1">
      <alignment horizontal="left" vertical="center"/>
    </xf>
    <xf numFmtId="0" fontId="17" fillId="3" borderId="69" xfId="0" applyFont="1" applyFill="1" applyBorder="1" applyAlignment="1">
      <alignment horizontal="center" vertical="center"/>
    </xf>
    <xf numFmtId="0" fontId="150" fillId="3" borderId="69" xfId="0" applyFont="1" applyFill="1" applyBorder="1" applyAlignment="1">
      <alignment horizontal="left" vertical="center"/>
    </xf>
    <xf numFmtId="0" fontId="150" fillId="3" borderId="69" xfId="0" applyFont="1" applyFill="1" applyBorder="1" applyAlignment="1">
      <alignment horizontal="center" vertical="center"/>
    </xf>
    <xf numFmtId="0" fontId="17" fillId="3" borderId="69" xfId="0" applyFont="1" applyFill="1" applyBorder="1" applyAlignment="1">
      <alignment vertical="center"/>
    </xf>
    <xf numFmtId="0" fontId="17" fillId="6" borderId="69" xfId="0" applyFont="1" applyFill="1" applyBorder="1" applyAlignment="1">
      <alignment horizontal="center" vertical="center"/>
    </xf>
    <xf numFmtId="44" fontId="50" fillId="3" borderId="42" xfId="1" applyFont="1" applyFill="1" applyBorder="1" applyAlignment="1">
      <alignment vertical="center"/>
    </xf>
    <xf numFmtId="164" fontId="45" fillId="3" borderId="45" xfId="0" applyNumberFormat="1" applyFont="1" applyFill="1" applyBorder="1" applyAlignment="1" applyProtection="1">
      <alignment horizontal="left" vertical="center" wrapText="1"/>
      <protection locked="0"/>
    </xf>
    <xf numFmtId="0" fontId="22" fillId="6" borderId="121" xfId="0" applyFont="1" applyFill="1" applyBorder="1" applyAlignment="1">
      <alignment horizontal="left" vertical="center" indent="1"/>
    </xf>
    <xf numFmtId="37" fontId="17" fillId="6" borderId="121" xfId="0" applyNumberFormat="1" applyFont="1" applyFill="1" applyBorder="1" applyAlignment="1">
      <alignment horizontal="center" vertical="center"/>
    </xf>
    <xf numFmtId="37" fontId="16" fillId="3" borderId="121" xfId="0" applyNumberFormat="1" applyFont="1" applyFill="1" applyBorder="1" applyAlignment="1">
      <alignment horizontal="center" vertical="center"/>
    </xf>
    <xf numFmtId="0" fontId="16" fillId="0" borderId="121" xfId="0" applyFont="1" applyBorder="1" applyAlignment="1">
      <alignment horizontal="left" vertical="center"/>
    </xf>
    <xf numFmtId="0" fontId="95" fillId="3" borderId="121" xfId="0" applyFont="1" applyFill="1" applyBorder="1" applyAlignment="1">
      <alignment vertical="center"/>
    </xf>
    <xf numFmtId="0" fontId="16" fillId="3" borderId="13" xfId="0" applyFont="1" applyFill="1" applyBorder="1" applyAlignment="1">
      <alignment vertical="center"/>
    </xf>
    <xf numFmtId="37" fontId="16" fillId="6" borderId="121" xfId="0" applyNumberFormat="1" applyFont="1" applyFill="1" applyBorder="1" applyAlignment="1">
      <alignment horizontal="center" vertical="center"/>
    </xf>
    <xf numFmtId="37" fontId="20" fillId="6" borderId="124" xfId="0" applyNumberFormat="1" applyFont="1" applyFill="1" applyBorder="1" applyAlignment="1">
      <alignment horizontal="center" vertical="center"/>
    </xf>
    <xf numFmtId="0" fontId="20" fillId="6" borderId="124" xfId="0" applyFont="1" applyFill="1" applyBorder="1" applyAlignment="1">
      <alignment horizontal="left" vertical="center"/>
    </xf>
    <xf numFmtId="0" fontId="231" fillId="6" borderId="124" xfId="0" applyFont="1" applyFill="1" applyBorder="1" applyAlignment="1">
      <alignment horizontal="left" vertical="center"/>
    </xf>
    <xf numFmtId="0" fontId="20" fillId="6" borderId="124" xfId="0" applyFont="1" applyFill="1" applyBorder="1" applyAlignment="1">
      <alignment vertical="center"/>
    </xf>
    <xf numFmtId="44" fontId="20" fillId="0" borderId="124" xfId="1" applyFont="1" applyFill="1" applyBorder="1" applyAlignment="1">
      <alignment horizontal="left" vertical="center"/>
    </xf>
    <xf numFmtId="44" fontId="45" fillId="6" borderId="124" xfId="0" applyNumberFormat="1" applyFont="1" applyFill="1" applyBorder="1" applyAlignment="1">
      <alignment horizontal="right" vertical="center"/>
    </xf>
    <xf numFmtId="0" fontId="202" fillId="0" borderId="0" xfId="0" applyFont="1" applyAlignment="1">
      <alignment horizontal="left" vertical="center"/>
    </xf>
    <xf numFmtId="9" fontId="178" fillId="6" borderId="0" xfId="2" applyFont="1" applyFill="1" applyBorder="1" applyAlignment="1" applyProtection="1">
      <alignment vertical="center" wrapText="1"/>
      <protection locked="0"/>
    </xf>
    <xf numFmtId="0" fontId="20" fillId="6" borderId="0" xfId="0" applyFont="1" applyFill="1" applyAlignment="1">
      <alignment horizontal="center" vertical="center"/>
    </xf>
    <xf numFmtId="37" fontId="20" fillId="6" borderId="125" xfId="0" applyNumberFormat="1" applyFont="1" applyFill="1" applyBorder="1" applyAlignment="1">
      <alignment horizontal="center" vertical="center"/>
    </xf>
    <xf numFmtId="0" fontId="20" fillId="6" borderId="125" xfId="0" applyFont="1" applyFill="1" applyBorder="1" applyAlignment="1">
      <alignment vertical="center"/>
    </xf>
    <xf numFmtId="0" fontId="19" fillId="6" borderId="125" xfId="0" applyFont="1" applyFill="1" applyBorder="1" applyAlignment="1">
      <alignment horizontal="center" vertical="center"/>
    </xf>
    <xf numFmtId="44" fontId="20" fillId="6" borderId="125" xfId="0" applyNumberFormat="1" applyFont="1" applyFill="1" applyBorder="1" applyAlignment="1">
      <alignment horizontal="right" vertical="center"/>
    </xf>
    <xf numFmtId="44" fontId="19" fillId="6" borderId="14" xfId="1" applyFont="1" applyFill="1" applyBorder="1" applyAlignment="1">
      <alignment vertical="center"/>
    </xf>
    <xf numFmtId="44" fontId="19" fillId="8" borderId="32" xfId="1" applyFont="1" applyFill="1" applyBorder="1" applyAlignment="1">
      <alignment vertical="center"/>
    </xf>
    <xf numFmtId="44" fontId="19" fillId="8" borderId="14" xfId="1" applyFont="1" applyFill="1" applyBorder="1" applyAlignment="1">
      <alignment vertical="center"/>
    </xf>
    <xf numFmtId="0" fontId="217" fillId="3" borderId="69" xfId="0" applyFont="1" applyFill="1" applyBorder="1" applyAlignment="1">
      <alignment horizontal="left" vertical="center" indent="1"/>
    </xf>
    <xf numFmtId="9" fontId="20" fillId="3" borderId="44" xfId="2" applyFont="1" applyFill="1" applyBorder="1" applyAlignment="1" applyProtection="1">
      <alignment horizontal="center" vertical="center" wrapText="1"/>
      <protection locked="0"/>
    </xf>
    <xf numFmtId="164" fontId="216" fillId="3" borderId="12" xfId="1" applyNumberFormat="1" applyFont="1" applyFill="1" applyBorder="1" applyAlignment="1">
      <alignment horizontal="center" vertical="center"/>
    </xf>
    <xf numFmtId="44" fontId="19" fillId="29" borderId="28" xfId="1" applyFont="1" applyFill="1" applyBorder="1" applyAlignment="1">
      <alignment vertical="center"/>
    </xf>
    <xf numFmtId="0" fontId="17" fillId="0" borderId="121" xfId="0" applyFont="1" applyBorder="1" applyAlignment="1">
      <alignment vertical="center"/>
    </xf>
    <xf numFmtId="44" fontId="20" fillId="0" borderId="122" xfId="1" applyFont="1" applyFill="1" applyBorder="1" applyAlignment="1">
      <alignment horizontal="right" vertical="center"/>
    </xf>
    <xf numFmtId="0" fontId="20" fillId="3" borderId="121" xfId="0" applyFont="1" applyFill="1" applyBorder="1" applyAlignment="1">
      <alignment horizontal="left" vertical="center" indent="1"/>
    </xf>
    <xf numFmtId="0" fontId="15" fillId="2" borderId="13" xfId="0" applyFont="1" applyFill="1" applyBorder="1"/>
    <xf numFmtId="0" fontId="29" fillId="2" borderId="14" xfId="0" applyFont="1" applyFill="1" applyBorder="1" applyAlignment="1">
      <alignment horizontal="left" vertical="center"/>
    </xf>
    <xf numFmtId="44" fontId="19" fillId="0" borderId="20" xfId="0" applyNumberFormat="1" applyFont="1" applyBorder="1" applyAlignment="1">
      <alignment horizontal="left" vertical="center"/>
    </xf>
    <xf numFmtId="171" fontId="19" fillId="0" borderId="20" xfId="2" applyNumberFormat="1" applyFont="1" applyBorder="1" applyAlignment="1">
      <alignment horizontal="right" vertical="center"/>
    </xf>
    <xf numFmtId="0" fontId="16" fillId="3" borderId="122" xfId="0" applyFont="1" applyFill="1" applyBorder="1" applyAlignment="1">
      <alignment horizontal="left" vertical="center"/>
    </xf>
    <xf numFmtId="0" fontId="19" fillId="3" borderId="126" xfId="0" applyFont="1" applyFill="1" applyBorder="1" applyAlignment="1">
      <alignment horizontal="center" vertical="center"/>
    </xf>
    <xf numFmtId="0" fontId="19" fillId="0" borderId="124" xfId="0" applyFont="1" applyBorder="1" applyAlignment="1">
      <alignment vertical="center"/>
    </xf>
    <xf numFmtId="0" fontId="24" fillId="24" borderId="0" xfId="0" applyFont="1" applyFill="1" applyAlignment="1">
      <alignment vertical="center"/>
    </xf>
    <xf numFmtId="0" fontId="19" fillId="3" borderId="125" xfId="0" applyFont="1" applyFill="1" applyBorder="1" applyAlignment="1">
      <alignment vertical="center"/>
    </xf>
    <xf numFmtId="0" fontId="16" fillId="3" borderId="97" xfId="0" applyFont="1" applyFill="1" applyBorder="1" applyAlignment="1">
      <alignment vertical="center"/>
    </xf>
    <xf numFmtId="0" fontId="217" fillId="3" borderId="43" xfId="0" applyFont="1" applyFill="1" applyBorder="1"/>
    <xf numFmtId="0" fontId="217" fillId="3" borderId="18" xfId="0" applyFont="1" applyFill="1" applyBorder="1" applyAlignment="1">
      <alignment horizontal="center" vertical="center"/>
    </xf>
    <xf numFmtId="0" fontId="10" fillId="6" borderId="0" xfId="0" applyFont="1" applyFill="1" applyAlignment="1">
      <alignment vertical="center"/>
    </xf>
    <xf numFmtId="0" fontId="217" fillId="3" borderId="52" xfId="0" applyFont="1" applyFill="1" applyBorder="1"/>
    <xf numFmtId="0" fontId="147" fillId="2" borderId="0" xfId="0" applyFont="1" applyFill="1" applyAlignment="1">
      <alignment horizontal="center" vertical="center"/>
    </xf>
    <xf numFmtId="37" fontId="20" fillId="6" borderId="12" xfId="0" applyNumberFormat="1" applyFont="1" applyFill="1" applyBorder="1" applyAlignment="1">
      <alignment horizontal="center" vertical="center"/>
    </xf>
    <xf numFmtId="0" fontId="19" fillId="6" borderId="12" xfId="0" applyFont="1" applyFill="1" applyBorder="1" applyAlignment="1">
      <alignment vertical="center"/>
    </xf>
    <xf numFmtId="0" fontId="19" fillId="6" borderId="12" xfId="0" applyFont="1" applyFill="1" applyBorder="1" applyAlignment="1">
      <alignment horizontal="center" vertical="center"/>
    </xf>
    <xf numFmtId="0" fontId="19" fillId="30" borderId="15" xfId="0" applyFont="1" applyFill="1" applyBorder="1" applyAlignment="1">
      <alignment vertical="center"/>
    </xf>
    <xf numFmtId="0" fontId="50" fillId="3" borderId="48" xfId="0" applyFont="1" applyFill="1" applyBorder="1" applyAlignment="1">
      <alignment horizontal="center" vertical="center"/>
    </xf>
    <xf numFmtId="0" fontId="52" fillId="3" borderId="15" xfId="0" applyFont="1" applyFill="1" applyBorder="1" applyAlignment="1">
      <alignment vertical="center"/>
    </xf>
    <xf numFmtId="0" fontId="19" fillId="3" borderId="12" xfId="0" applyFont="1" applyFill="1" applyBorder="1" applyAlignment="1">
      <alignment horizontal="center" vertical="center"/>
    </xf>
    <xf numFmtId="44" fontId="19" fillId="6" borderId="15" xfId="0" applyNumberFormat="1" applyFont="1" applyFill="1" applyBorder="1" applyAlignment="1">
      <alignment horizontal="left" vertical="center"/>
    </xf>
    <xf numFmtId="44" fontId="20" fillId="6" borderId="12" xfId="0" applyNumberFormat="1" applyFont="1" applyFill="1" applyBorder="1" applyAlignment="1">
      <alignment horizontal="right" vertical="center"/>
    </xf>
    <xf numFmtId="0" fontId="19" fillId="3" borderId="15" xfId="0" applyFont="1" applyFill="1" applyBorder="1" applyAlignment="1">
      <alignment vertical="center"/>
    </xf>
    <xf numFmtId="0" fontId="19" fillId="6" borderId="15" xfId="0" applyFont="1" applyFill="1" applyBorder="1" applyAlignment="1">
      <alignment horizontal="center" vertical="center"/>
    </xf>
    <xf numFmtId="0" fontId="19" fillId="3" borderId="15" xfId="0" applyFont="1" applyFill="1" applyBorder="1" applyAlignment="1">
      <alignment horizontal="center" vertical="center"/>
    </xf>
    <xf numFmtId="0" fontId="19" fillId="3" borderId="17" xfId="0" applyFont="1" applyFill="1" applyBorder="1" applyAlignment="1">
      <alignment horizontal="left" vertical="center"/>
    </xf>
    <xf numFmtId="44" fontId="19" fillId="3" borderId="15" xfId="0" applyNumberFormat="1" applyFont="1" applyFill="1" applyBorder="1" applyAlignment="1">
      <alignment horizontal="left" vertical="center"/>
    </xf>
    <xf numFmtId="44" fontId="20" fillId="3" borderId="12" xfId="0" applyNumberFormat="1" applyFont="1" applyFill="1" applyBorder="1" applyAlignment="1">
      <alignment horizontal="right" vertical="center"/>
    </xf>
    <xf numFmtId="164" fontId="216" fillId="3" borderId="69" xfId="1" applyNumberFormat="1" applyFont="1" applyFill="1" applyBorder="1" applyAlignment="1">
      <alignment horizontal="center" vertical="center"/>
    </xf>
    <xf numFmtId="0" fontId="217" fillId="3" borderId="69" xfId="0" applyFont="1" applyFill="1" applyBorder="1" applyAlignment="1">
      <alignment horizontal="center" vertical="center"/>
    </xf>
    <xf numFmtId="44" fontId="16" fillId="3" borderId="121" xfId="0" applyNumberFormat="1" applyFont="1" applyFill="1" applyBorder="1" applyAlignment="1">
      <alignment horizontal="left" vertical="center"/>
    </xf>
    <xf numFmtId="44" fontId="17" fillId="6" borderId="121" xfId="0" applyNumberFormat="1" applyFont="1" applyFill="1" applyBorder="1" applyAlignment="1">
      <alignment horizontal="right" vertical="center"/>
    </xf>
    <xf numFmtId="44" fontId="17" fillId="6" borderId="122" xfId="1" applyFont="1" applyFill="1" applyBorder="1" applyAlignment="1">
      <alignment horizontal="right" vertical="center"/>
    </xf>
    <xf numFmtId="44" fontId="17" fillId="3" borderId="121" xfId="0" applyNumberFormat="1" applyFont="1" applyFill="1" applyBorder="1" applyAlignment="1">
      <alignment horizontal="right" vertical="center"/>
    </xf>
    <xf numFmtId="44" fontId="17" fillId="3" borderId="122" xfId="1" applyFont="1" applyFill="1" applyBorder="1" applyAlignment="1">
      <alignment horizontal="right" vertical="center"/>
    </xf>
    <xf numFmtId="44" fontId="17" fillId="6" borderId="121" xfId="0" applyNumberFormat="1" applyFont="1" applyFill="1" applyBorder="1" applyAlignment="1">
      <alignment horizontal="left" vertical="center"/>
    </xf>
    <xf numFmtId="44" fontId="22" fillId="6" borderId="121" xfId="0" applyNumberFormat="1" applyFont="1" applyFill="1" applyBorder="1" applyAlignment="1">
      <alignment horizontal="right" vertical="center"/>
    </xf>
    <xf numFmtId="44" fontId="22" fillId="6" borderId="122" xfId="1" applyFont="1" applyFill="1" applyBorder="1" applyAlignment="1">
      <alignment horizontal="right" vertical="center"/>
    </xf>
    <xf numFmtId="44" fontId="17" fillId="6" borderId="121" xfId="1" applyFont="1" applyFill="1" applyBorder="1" applyAlignment="1">
      <alignment horizontal="left" vertical="center"/>
    </xf>
    <xf numFmtId="0" fontId="52" fillId="6" borderId="125" xfId="0" applyFont="1" applyFill="1" applyBorder="1" applyAlignment="1">
      <alignment vertical="center"/>
    </xf>
    <xf numFmtId="164" fontId="20" fillId="6" borderId="125" xfId="0" applyNumberFormat="1" applyFont="1" applyFill="1" applyBorder="1" applyAlignment="1">
      <alignment horizontal="left" vertical="center"/>
    </xf>
    <xf numFmtId="44" fontId="52" fillId="6" borderId="125" xfId="0" applyNumberFormat="1" applyFont="1" applyFill="1" applyBorder="1" applyAlignment="1">
      <alignment horizontal="right" vertical="center"/>
    </xf>
    <xf numFmtId="44" fontId="214" fillId="24" borderId="36" xfId="0" applyNumberFormat="1" applyFont="1" applyFill="1" applyBorder="1" applyAlignment="1">
      <alignment vertical="center"/>
    </xf>
    <xf numFmtId="0" fontId="17" fillId="6" borderId="126" xfId="0" applyFont="1" applyFill="1" applyBorder="1" applyAlignment="1">
      <alignment vertical="center"/>
    </xf>
    <xf numFmtId="0" fontId="16" fillId="3" borderId="126" xfId="0" applyFont="1" applyFill="1" applyBorder="1" applyAlignment="1">
      <alignment horizontal="left" vertical="center"/>
    </xf>
    <xf numFmtId="0" fontId="17" fillId="6" borderId="126" xfId="0" applyFont="1" applyFill="1" applyBorder="1" applyAlignment="1">
      <alignment horizontal="left" vertical="center"/>
    </xf>
    <xf numFmtId="0" fontId="16" fillId="3" borderId="126" xfId="0" applyFont="1" applyFill="1" applyBorder="1" applyAlignment="1">
      <alignment vertical="center"/>
    </xf>
    <xf numFmtId="37" fontId="20" fillId="6" borderId="128" xfId="0" applyNumberFormat="1" applyFont="1" applyFill="1" applyBorder="1" applyAlignment="1">
      <alignment horizontal="center" vertical="center"/>
    </xf>
    <xf numFmtId="0" fontId="20" fillId="6" borderId="128" xfId="0" applyFont="1" applyFill="1" applyBorder="1" applyAlignment="1">
      <alignment vertical="center"/>
    </xf>
    <xf numFmtId="0" fontId="19" fillId="6" borderId="128" xfId="0" applyFont="1" applyFill="1" applyBorder="1" applyAlignment="1">
      <alignment vertical="center"/>
    </xf>
    <xf numFmtId="0" fontId="19" fillId="6" borderId="128" xfId="0" applyFont="1" applyFill="1" applyBorder="1" applyAlignment="1">
      <alignment horizontal="center" vertical="center"/>
    </xf>
    <xf numFmtId="0" fontId="47" fillId="6" borderId="128" xfId="0" applyFont="1" applyFill="1" applyBorder="1" applyAlignment="1">
      <alignment vertical="center"/>
    </xf>
    <xf numFmtId="0" fontId="19" fillId="3" borderId="124" xfId="0" applyFont="1" applyFill="1" applyBorder="1" applyAlignment="1">
      <alignment horizontal="left" vertical="center"/>
    </xf>
    <xf numFmtId="0" fontId="50" fillId="3" borderId="124" xfId="0" applyFont="1" applyFill="1" applyBorder="1" applyAlignment="1">
      <alignment horizontal="left" vertical="center"/>
    </xf>
    <xf numFmtId="0" fontId="50" fillId="3" borderId="124" xfId="0" applyFont="1" applyFill="1" applyBorder="1" applyAlignment="1">
      <alignment vertical="center"/>
    </xf>
    <xf numFmtId="0" fontId="19" fillId="3" borderId="124" xfId="0" applyFont="1" applyFill="1" applyBorder="1" applyAlignment="1">
      <alignment vertical="center"/>
    </xf>
    <xf numFmtId="0" fontId="20" fillId="6" borderId="124" xfId="0" applyFont="1" applyFill="1" applyBorder="1" applyAlignment="1">
      <alignment horizontal="center" vertical="center"/>
    </xf>
    <xf numFmtId="37" fontId="19" fillId="3" borderId="124" xfId="0" applyNumberFormat="1" applyFont="1" applyFill="1" applyBorder="1" applyAlignment="1">
      <alignment horizontal="center" vertical="center"/>
    </xf>
    <xf numFmtId="0" fontId="19" fillId="13" borderId="124" xfId="0" applyFont="1" applyFill="1" applyBorder="1" applyAlignment="1">
      <alignment vertical="center"/>
    </xf>
    <xf numFmtId="0" fontId="19" fillId="3" borderId="124" xfId="0" applyFont="1" applyFill="1" applyBorder="1" applyAlignment="1">
      <alignment horizontal="center" vertical="center"/>
    </xf>
    <xf numFmtId="0" fontId="22" fillId="6" borderId="124" xfId="0" applyFont="1" applyFill="1" applyBorder="1" applyAlignment="1">
      <alignment horizontal="left" vertical="center"/>
    </xf>
    <xf numFmtId="0" fontId="17" fillId="6" borderId="124" xfId="0" applyFont="1" applyFill="1" applyBorder="1" applyAlignment="1">
      <alignment vertical="center"/>
    </xf>
    <xf numFmtId="0" fontId="17" fillId="6" borderId="124" xfId="0" applyFont="1" applyFill="1" applyBorder="1" applyAlignment="1">
      <alignment horizontal="center" vertical="center"/>
    </xf>
    <xf numFmtId="0" fontId="19" fillId="3" borderId="125" xfId="0" applyFont="1" applyFill="1" applyBorder="1" applyAlignment="1">
      <alignment horizontal="left" vertical="center"/>
    </xf>
    <xf numFmtId="0" fontId="20" fillId="6" borderId="125" xfId="0" applyFont="1" applyFill="1" applyBorder="1" applyAlignment="1">
      <alignment horizontal="center" vertical="center"/>
    </xf>
    <xf numFmtId="0" fontId="19" fillId="3" borderId="125" xfId="0" applyFont="1" applyFill="1" applyBorder="1" applyAlignment="1">
      <alignment horizontal="center" vertical="center"/>
    </xf>
    <xf numFmtId="0" fontId="20" fillId="6" borderId="125" xfId="0" applyFont="1" applyFill="1" applyBorder="1" applyAlignment="1">
      <alignment horizontal="left" vertical="center"/>
    </xf>
    <xf numFmtId="0" fontId="50" fillId="3" borderId="125" xfId="0" applyFont="1" applyFill="1" applyBorder="1" applyAlignment="1">
      <alignment horizontal="left" vertical="center"/>
    </xf>
    <xf numFmtId="0" fontId="17" fillId="6" borderId="125" xfId="0" applyFont="1" applyFill="1" applyBorder="1" applyAlignment="1">
      <alignment horizontal="left" vertical="center"/>
    </xf>
    <xf numFmtId="0" fontId="22" fillId="6" borderId="125" xfId="0" applyFont="1" applyFill="1" applyBorder="1" applyAlignment="1">
      <alignment vertical="center"/>
    </xf>
    <xf numFmtId="0" fontId="17" fillId="6" borderId="125" xfId="0" applyFont="1" applyFill="1" applyBorder="1" applyAlignment="1">
      <alignment vertical="center"/>
    </xf>
    <xf numFmtId="0" fontId="17" fillId="6" borderId="125" xfId="0" applyFont="1" applyFill="1" applyBorder="1" applyAlignment="1">
      <alignment horizontal="left" vertical="center" indent="1"/>
    </xf>
    <xf numFmtId="0" fontId="17" fillId="6" borderId="125" xfId="0" applyFont="1" applyFill="1" applyBorder="1" applyAlignment="1">
      <alignment horizontal="center" vertical="center"/>
    </xf>
    <xf numFmtId="0" fontId="52" fillId="6" borderId="125" xfId="0" applyFont="1" applyFill="1" applyBorder="1" applyAlignment="1">
      <alignment horizontal="left" vertical="center"/>
    </xf>
    <xf numFmtId="37" fontId="52" fillId="6" borderId="125" xfId="0" applyNumberFormat="1" applyFont="1" applyFill="1" applyBorder="1" applyAlignment="1">
      <alignment horizontal="center" vertical="center"/>
    </xf>
    <xf numFmtId="0" fontId="194" fillId="6" borderId="125" xfId="0" applyFont="1" applyFill="1" applyBorder="1" applyAlignment="1">
      <alignment vertical="center"/>
    </xf>
    <xf numFmtId="0" fontId="213" fillId="24" borderId="44" xfId="0" applyFont="1" applyFill="1" applyBorder="1" applyAlignment="1">
      <alignment horizontal="center" vertical="center"/>
    </xf>
    <xf numFmtId="0" fontId="214" fillId="24" borderId="0" xfId="0" applyFont="1" applyFill="1" applyAlignment="1">
      <alignment vertical="center"/>
    </xf>
    <xf numFmtId="37" fontId="17" fillId="3" borderId="11" xfId="0" applyNumberFormat="1" applyFont="1" applyFill="1" applyBorder="1" applyAlignment="1">
      <alignment horizontal="center" vertical="center"/>
    </xf>
    <xf numFmtId="0" fontId="17" fillId="6" borderId="15" xfId="0" applyFont="1" applyFill="1" applyBorder="1" applyAlignment="1">
      <alignment horizontal="left" vertical="center"/>
    </xf>
    <xf numFmtId="0" fontId="17" fillId="3" borderId="15" xfId="0" applyFont="1" applyFill="1" applyBorder="1" applyAlignment="1">
      <alignment horizontal="left" vertical="center" indent="1"/>
    </xf>
    <xf numFmtId="0" fontId="17" fillId="3" borderId="12" xfId="0" applyFont="1" applyFill="1" applyBorder="1" applyAlignment="1">
      <alignment horizontal="left" vertical="center" indent="1"/>
    </xf>
    <xf numFmtId="0" fontId="17" fillId="0" borderId="15" xfId="0" applyFont="1" applyBorder="1" applyAlignment="1">
      <alignment horizontal="center" vertical="center"/>
    </xf>
    <xf numFmtId="0" fontId="150" fillId="3" borderId="15" xfId="0" applyFont="1" applyFill="1" applyBorder="1" applyAlignment="1">
      <alignment horizontal="center" vertical="center"/>
    </xf>
    <xf numFmtId="0" fontId="17" fillId="3" borderId="29" xfId="0" applyFont="1" applyFill="1" applyBorder="1" applyAlignment="1">
      <alignment horizontal="center" vertical="center"/>
    </xf>
    <xf numFmtId="44" fontId="17" fillId="3" borderId="115" xfId="1" applyFont="1" applyFill="1" applyBorder="1" applyAlignment="1">
      <alignment horizontal="right" vertical="center"/>
    </xf>
    <xf numFmtId="37" fontId="17" fillId="3" borderId="51" xfId="0" applyNumberFormat="1" applyFont="1" applyFill="1" applyBorder="1" applyAlignment="1">
      <alignment horizontal="center" vertical="center"/>
    </xf>
    <xf numFmtId="0" fontId="17" fillId="3" borderId="69" xfId="0" applyFont="1" applyFill="1" applyBorder="1" applyAlignment="1">
      <alignment horizontal="left" vertical="center" indent="1"/>
    </xf>
    <xf numFmtId="0" fontId="17" fillId="3" borderId="85" xfId="0" applyFont="1" applyFill="1" applyBorder="1" applyAlignment="1">
      <alignment horizontal="center" vertical="center"/>
    </xf>
    <xf numFmtId="0" fontId="150" fillId="3" borderId="69" xfId="0" applyFont="1" applyFill="1" applyBorder="1" applyAlignment="1">
      <alignment horizontal="left" vertical="center" indent="1"/>
    </xf>
    <xf numFmtId="0" fontId="150" fillId="3" borderId="69" xfId="0" applyFont="1" applyFill="1" applyBorder="1" applyAlignment="1">
      <alignment vertical="center"/>
    </xf>
    <xf numFmtId="0" fontId="17" fillId="3" borderId="14" xfId="0" applyFont="1" applyFill="1" applyBorder="1" applyAlignment="1">
      <alignment horizontal="center"/>
    </xf>
    <xf numFmtId="0" fontId="17" fillId="3" borderId="41" xfId="0" applyFont="1" applyFill="1" applyBorder="1" applyAlignment="1">
      <alignment vertical="center"/>
    </xf>
    <xf numFmtId="44" fontId="17" fillId="3" borderId="116" xfId="1" applyFont="1" applyFill="1" applyBorder="1" applyAlignment="1">
      <alignment horizontal="right" vertical="center"/>
    </xf>
    <xf numFmtId="0" fontId="17" fillId="0" borderId="12" xfId="0" applyFont="1" applyBorder="1" applyAlignment="1">
      <alignment vertical="center"/>
    </xf>
    <xf numFmtId="0" fontId="17" fillId="3" borderId="14" xfId="0" applyFont="1" applyFill="1" applyBorder="1" applyAlignment="1">
      <alignment horizontal="left" vertical="center"/>
    </xf>
    <xf numFmtId="44" fontId="17" fillId="3" borderId="12" xfId="0" applyNumberFormat="1" applyFont="1" applyFill="1" applyBorder="1" applyAlignment="1">
      <alignment horizontal="left" vertical="center"/>
    </xf>
    <xf numFmtId="44" fontId="17" fillId="3" borderId="15" xfId="0" applyNumberFormat="1" applyFont="1" applyFill="1" applyBorder="1" applyAlignment="1">
      <alignment horizontal="right" vertical="center"/>
    </xf>
    <xf numFmtId="37" fontId="17" fillId="6" borderId="15" xfId="0" applyNumberFormat="1" applyFont="1" applyFill="1" applyBorder="1" applyAlignment="1">
      <alignment horizontal="center" vertical="center"/>
    </xf>
    <xf numFmtId="0" fontId="17" fillId="6" borderId="15" xfId="0" applyFont="1" applyFill="1" applyBorder="1" applyAlignment="1">
      <alignment horizontal="center" vertical="center"/>
    </xf>
    <xf numFmtId="0" fontId="17" fillId="3" borderId="17" xfId="0" applyFont="1" applyFill="1" applyBorder="1" applyAlignment="1">
      <alignment vertical="center"/>
    </xf>
    <xf numFmtId="0" fontId="17" fillId="3" borderId="17" xfId="0" applyFont="1" applyFill="1" applyBorder="1" applyAlignment="1">
      <alignment horizontal="left" vertical="center"/>
    </xf>
    <xf numFmtId="0" fontId="17" fillId="3" borderId="85" xfId="0" applyFont="1" applyFill="1" applyBorder="1" applyAlignment="1">
      <alignment horizontal="left" vertical="center"/>
    </xf>
    <xf numFmtId="44" fontId="17" fillId="3" borderId="69" xfId="0" applyNumberFormat="1" applyFont="1" applyFill="1" applyBorder="1" applyAlignment="1">
      <alignment horizontal="left" vertical="center"/>
    </xf>
    <xf numFmtId="0" fontId="17" fillId="3" borderId="0" xfId="0" applyFont="1" applyFill="1"/>
    <xf numFmtId="0" fontId="17" fillId="3" borderId="69" xfId="0" applyFont="1" applyFill="1" applyBorder="1"/>
    <xf numFmtId="0" fontId="17" fillId="3" borderId="14" xfId="0" applyFont="1" applyFill="1" applyBorder="1" applyAlignment="1">
      <alignment vertical="center"/>
    </xf>
    <xf numFmtId="44" fontId="17" fillId="3" borderId="16" xfId="1" applyFont="1" applyFill="1" applyBorder="1" applyAlignment="1">
      <alignment horizontal="right" vertical="center"/>
    </xf>
    <xf numFmtId="0" fontId="19" fillId="0" borderId="131" xfId="0" applyFont="1" applyBorder="1"/>
    <xf numFmtId="0" fontId="217" fillId="0" borderId="15" xfId="0" applyFont="1" applyBorder="1" applyAlignment="1">
      <alignment vertical="center"/>
    </xf>
    <xf numFmtId="0" fontId="217" fillId="0" borderId="26" xfId="0" applyFont="1" applyBorder="1" applyAlignment="1">
      <alignment vertical="center"/>
    </xf>
    <xf numFmtId="0" fontId="219" fillId="0" borderId="69" xfId="0" applyFont="1" applyBorder="1" applyAlignment="1">
      <alignment horizontal="center" vertical="center"/>
    </xf>
    <xf numFmtId="164" fontId="16" fillId="2" borderId="0" xfId="1" applyNumberFormat="1" applyFont="1" applyFill="1" applyAlignment="1">
      <alignment vertical="center"/>
    </xf>
    <xf numFmtId="44" fontId="47" fillId="3" borderId="121" xfId="0" applyNumberFormat="1" applyFont="1" applyFill="1" applyBorder="1" applyAlignment="1">
      <alignment horizontal="right" vertical="center"/>
    </xf>
    <xf numFmtId="1" fontId="52" fillId="6" borderId="16" xfId="0" applyNumberFormat="1" applyFont="1" applyFill="1" applyBorder="1" applyAlignment="1">
      <alignment vertical="center"/>
    </xf>
    <xf numFmtId="0" fontId="22" fillId="3" borderId="121" xfId="0" applyFont="1" applyFill="1" applyBorder="1" applyAlignment="1">
      <alignment vertical="center"/>
    </xf>
    <xf numFmtId="44" fontId="22" fillId="2" borderId="121" xfId="1" applyFont="1" applyFill="1" applyBorder="1" applyAlignment="1">
      <alignment horizontal="left" vertical="center"/>
    </xf>
    <xf numFmtId="44" fontId="52" fillId="3" borderId="121" xfId="0" applyNumberFormat="1" applyFont="1" applyFill="1" applyBorder="1" applyAlignment="1">
      <alignment horizontal="left" vertical="center"/>
    </xf>
    <xf numFmtId="44" fontId="206" fillId="3" borderId="28" xfId="1" applyFont="1" applyFill="1" applyBorder="1"/>
    <xf numFmtId="164" fontId="206" fillId="3" borderId="20" xfId="1" applyNumberFormat="1" applyFont="1" applyFill="1" applyBorder="1" applyAlignment="1">
      <alignment vertical="center"/>
    </xf>
    <xf numFmtId="44" fontId="206" fillId="3" borderId="22" xfId="0" applyNumberFormat="1" applyFont="1" applyFill="1" applyBorder="1" applyAlignment="1">
      <alignment vertical="center"/>
    </xf>
    <xf numFmtId="10" fontId="206" fillId="3" borderId="20" xfId="2" applyNumberFormat="1" applyFont="1" applyFill="1" applyBorder="1" applyAlignment="1">
      <alignment vertical="center"/>
    </xf>
    <xf numFmtId="10" fontId="52" fillId="3" borderId="22" xfId="2" applyNumberFormat="1" applyFont="1" applyFill="1" applyBorder="1" applyAlignment="1">
      <alignment vertical="center"/>
    </xf>
    <xf numFmtId="0" fontId="52" fillId="3" borderId="0" xfId="0" applyFont="1" applyFill="1" applyAlignment="1">
      <alignment vertical="center"/>
    </xf>
    <xf numFmtId="0" fontId="22" fillId="6" borderId="13" xfId="0" applyFont="1" applyFill="1" applyBorder="1" applyAlignment="1">
      <alignment vertical="center"/>
    </xf>
    <xf numFmtId="0" fontId="20" fillId="6" borderId="132" xfId="0" applyFont="1" applyFill="1" applyBorder="1" applyAlignment="1">
      <alignment vertical="center"/>
    </xf>
    <xf numFmtId="1" fontId="19" fillId="5" borderId="0" xfId="0" applyNumberFormat="1" applyFont="1" applyFill="1" applyAlignment="1">
      <alignment vertical="center"/>
    </xf>
    <xf numFmtId="1" fontId="19" fillId="5" borderId="16" xfId="0" applyNumberFormat="1" applyFont="1" applyFill="1" applyBorder="1" applyAlignment="1">
      <alignment vertical="center"/>
    </xf>
    <xf numFmtId="1" fontId="20" fillId="5" borderId="16" xfId="0" applyNumberFormat="1" applyFont="1" applyFill="1" applyBorder="1" applyAlignment="1">
      <alignment vertical="center"/>
    </xf>
    <xf numFmtId="1" fontId="47" fillId="5" borderId="0" xfId="0" applyNumberFormat="1" applyFont="1" applyFill="1" applyAlignment="1">
      <alignment vertical="center"/>
    </xf>
    <xf numFmtId="1" fontId="17" fillId="5" borderId="13" xfId="0" applyNumberFormat="1" applyFont="1" applyFill="1" applyBorder="1" applyAlignment="1">
      <alignment vertical="center" wrapText="1"/>
    </xf>
    <xf numFmtId="37" fontId="19" fillId="6" borderId="125" xfId="0" applyNumberFormat="1" applyFont="1" applyFill="1" applyBorder="1" applyAlignment="1">
      <alignment horizontal="center" vertical="center"/>
    </xf>
    <xf numFmtId="0" fontId="52" fillId="6" borderId="125" xfId="0" applyFont="1" applyFill="1" applyBorder="1" applyAlignment="1">
      <alignment horizontal="center" vertical="center"/>
    </xf>
    <xf numFmtId="44" fontId="19" fillId="3" borderId="125" xfId="0" applyNumberFormat="1" applyFont="1" applyFill="1" applyBorder="1" applyAlignment="1">
      <alignment horizontal="left" vertical="center"/>
    </xf>
    <xf numFmtId="37" fontId="17" fillId="6" borderId="125" xfId="0" applyNumberFormat="1" applyFont="1" applyFill="1" applyBorder="1" applyAlignment="1">
      <alignment horizontal="center" vertical="center"/>
    </xf>
    <xf numFmtId="37" fontId="17" fillId="6" borderId="124" xfId="0" applyNumberFormat="1" applyFont="1" applyFill="1" applyBorder="1" applyAlignment="1">
      <alignment horizontal="center" vertical="center"/>
    </xf>
    <xf numFmtId="0" fontId="10" fillId="3" borderId="13" xfId="0" applyFont="1" applyFill="1" applyBorder="1" applyAlignment="1">
      <alignment horizontal="left" vertical="top"/>
    </xf>
    <xf numFmtId="0" fontId="10" fillId="2" borderId="13" xfId="0" applyFont="1" applyFill="1" applyBorder="1" applyAlignment="1">
      <alignment horizontal="left"/>
    </xf>
    <xf numFmtId="0" fontId="216" fillId="24" borderId="38" xfId="0" applyFont="1" applyFill="1" applyBorder="1" applyAlignment="1">
      <alignment vertical="center"/>
    </xf>
    <xf numFmtId="0" fontId="228" fillId="24" borderId="44" xfId="0" applyFont="1" applyFill="1" applyBorder="1" applyAlignment="1">
      <alignment horizontal="center" vertical="center"/>
    </xf>
    <xf numFmtId="0" fontId="216" fillId="24" borderId="38" xfId="0" applyFont="1" applyFill="1" applyBorder="1" applyAlignment="1">
      <alignment horizontal="center" vertical="center"/>
    </xf>
    <xf numFmtId="0" fontId="236" fillId="24" borderId="38" xfId="0" applyFont="1" applyFill="1" applyBorder="1" applyAlignment="1">
      <alignment vertical="center"/>
    </xf>
    <xf numFmtId="0" fontId="211" fillId="24" borderId="73" xfId="0" applyFont="1" applyFill="1" applyBorder="1" applyAlignment="1">
      <alignment vertical="center"/>
    </xf>
    <xf numFmtId="0" fontId="228" fillId="24" borderId="79" xfId="0" applyFont="1" applyFill="1" applyBorder="1" applyAlignment="1">
      <alignment horizontal="center" vertical="center"/>
    </xf>
    <xf numFmtId="0" fontId="216" fillId="24" borderId="72" xfId="0" applyFont="1" applyFill="1" applyBorder="1" applyAlignment="1">
      <alignment vertical="center"/>
    </xf>
    <xf numFmtId="0" fontId="34" fillId="24" borderId="72" xfId="0" applyFont="1" applyFill="1" applyBorder="1" applyAlignment="1">
      <alignment vertical="center"/>
    </xf>
    <xf numFmtId="44" fontId="236" fillId="24" borderId="72" xfId="1" applyFont="1" applyFill="1" applyBorder="1" applyAlignment="1">
      <alignment horizontal="center" vertical="center" wrapText="1"/>
    </xf>
    <xf numFmtId="164" fontId="236" fillId="24" borderId="38" xfId="2" applyNumberFormat="1" applyFont="1" applyFill="1" applyBorder="1" applyAlignment="1">
      <alignment horizontal="center" vertical="center" wrapText="1"/>
    </xf>
    <xf numFmtId="0" fontId="236" fillId="24" borderId="38" xfId="0" applyFont="1" applyFill="1" applyBorder="1" applyAlignment="1">
      <alignment horizontal="left" vertical="center" wrapText="1"/>
    </xf>
    <xf numFmtId="37" fontId="22" fillId="6" borderId="15" xfId="0" applyNumberFormat="1" applyFont="1" applyFill="1" applyBorder="1" applyAlignment="1">
      <alignment horizontal="center" vertical="center"/>
    </xf>
    <xf numFmtId="0" fontId="216" fillId="24" borderId="72" xfId="0" applyFont="1" applyFill="1" applyBorder="1" applyAlignment="1">
      <alignment horizontal="center" vertical="center"/>
    </xf>
    <xf numFmtId="0" fontId="236" fillId="24" borderId="3" xfId="0" applyFont="1" applyFill="1" applyBorder="1" applyAlignment="1">
      <alignment vertical="center"/>
    </xf>
    <xf numFmtId="0" fontId="216" fillId="24" borderId="3" xfId="0" applyFont="1" applyFill="1" applyBorder="1" applyAlignment="1">
      <alignment horizontal="center" vertical="center"/>
    </xf>
    <xf numFmtId="0" fontId="216" fillId="24" borderId="7" xfId="0" applyFont="1" applyFill="1" applyBorder="1" applyAlignment="1">
      <alignment horizontal="center" vertical="center"/>
    </xf>
    <xf numFmtId="0" fontId="209" fillId="24" borderId="0" xfId="0" applyFont="1" applyFill="1" applyAlignment="1">
      <alignment horizontal="center" vertical="center"/>
    </xf>
    <xf numFmtId="44" fontId="214" fillId="24" borderId="4" xfId="0" applyNumberFormat="1" applyFont="1" applyFill="1" applyBorder="1" applyAlignment="1">
      <alignment vertical="center"/>
    </xf>
    <xf numFmtId="0" fontId="34" fillId="24" borderId="7" xfId="0" applyFont="1" applyFill="1" applyBorder="1" applyAlignment="1">
      <alignment vertical="center"/>
    </xf>
    <xf numFmtId="44" fontId="236" fillId="24" borderId="45" xfId="1" applyFont="1" applyFill="1" applyBorder="1" applyAlignment="1">
      <alignment horizontal="center" vertical="center" wrapText="1"/>
    </xf>
    <xf numFmtId="164" fontId="236" fillId="24" borderId="3" xfId="2" applyNumberFormat="1" applyFont="1" applyFill="1" applyBorder="1" applyAlignment="1">
      <alignment horizontal="center" vertical="center" wrapText="1"/>
    </xf>
    <xf numFmtId="0" fontId="236" fillId="24" borderId="3" xfId="0" applyFont="1" applyFill="1" applyBorder="1" applyAlignment="1">
      <alignment horizontal="left" vertical="center" wrapText="1"/>
    </xf>
    <xf numFmtId="37" fontId="20" fillId="3" borderId="69" xfId="0" applyNumberFormat="1" applyFont="1" applyFill="1" applyBorder="1" applyAlignment="1">
      <alignment horizontal="center" vertical="center"/>
    </xf>
    <xf numFmtId="37" fontId="17" fillId="3" borderId="12" xfId="0" applyNumberFormat="1" applyFont="1" applyFill="1" applyBorder="1" applyAlignment="1">
      <alignment horizontal="center" vertical="center"/>
    </xf>
    <xf numFmtId="0" fontId="150" fillId="3" borderId="12" xfId="0" applyFont="1" applyFill="1" applyBorder="1" applyAlignment="1">
      <alignment horizontal="left" vertical="center"/>
    </xf>
    <xf numFmtId="44" fontId="150" fillId="3" borderId="12" xfId="0" applyNumberFormat="1" applyFont="1" applyFill="1" applyBorder="1" applyAlignment="1">
      <alignment horizontal="left" vertical="center"/>
    </xf>
    <xf numFmtId="44" fontId="17" fillId="3" borderId="6" xfId="1" applyFont="1" applyFill="1" applyBorder="1" applyAlignment="1">
      <alignment horizontal="right" vertical="center"/>
    </xf>
    <xf numFmtId="44" fontId="18" fillId="3" borderId="99" xfId="1" applyFont="1" applyFill="1" applyBorder="1" applyAlignment="1">
      <alignment vertical="center"/>
    </xf>
    <xf numFmtId="164" fontId="34" fillId="3" borderId="29" xfId="0" applyNumberFormat="1" applyFont="1" applyFill="1" applyBorder="1" applyAlignment="1" applyProtection="1">
      <alignment horizontal="left" vertical="center" wrapText="1"/>
      <protection locked="0"/>
    </xf>
    <xf numFmtId="9" fontId="34" fillId="3" borderId="98" xfId="2" applyFont="1" applyFill="1" applyBorder="1" applyAlignment="1" applyProtection="1">
      <alignment horizontal="center" vertical="center" wrapText="1"/>
      <protection locked="0"/>
    </xf>
    <xf numFmtId="0" fontId="34" fillId="3" borderId="93" xfId="0" applyFont="1" applyFill="1" applyBorder="1" applyAlignment="1">
      <alignment vertical="center"/>
    </xf>
    <xf numFmtId="37" fontId="17" fillId="3" borderId="69" xfId="0" applyNumberFormat="1" applyFont="1" applyFill="1" applyBorder="1" applyAlignment="1">
      <alignment horizontal="center" vertical="center"/>
    </xf>
    <xf numFmtId="44" fontId="150" fillId="3" borderId="69" xfId="0" applyNumberFormat="1" applyFont="1" applyFill="1" applyBorder="1" applyAlignment="1">
      <alignment horizontal="left" vertical="center"/>
    </xf>
    <xf numFmtId="44" fontId="16" fillId="3" borderId="42" xfId="1" applyFont="1" applyFill="1" applyBorder="1" applyAlignment="1">
      <alignment vertical="center"/>
    </xf>
    <xf numFmtId="164" fontId="17" fillId="3" borderId="45" xfId="0" applyNumberFormat="1" applyFont="1" applyFill="1" applyBorder="1" applyAlignment="1" applyProtection="1">
      <alignment horizontal="left" vertical="center" wrapText="1"/>
      <protection locked="0"/>
    </xf>
    <xf numFmtId="9" fontId="17" fillId="3" borderId="44" xfId="2" applyFont="1" applyFill="1" applyBorder="1" applyAlignment="1" applyProtection="1">
      <alignment horizontal="center" vertical="center" wrapText="1"/>
      <protection locked="0"/>
    </xf>
    <xf numFmtId="9" fontId="17" fillId="3" borderId="43" xfId="2" applyFont="1" applyFill="1" applyBorder="1" applyAlignment="1" applyProtection="1">
      <alignment horizontal="left" vertical="center" wrapText="1"/>
      <protection locked="0"/>
    </xf>
    <xf numFmtId="0" fontId="17" fillId="3" borderId="3" xfId="0" applyFont="1" applyFill="1" applyBorder="1" applyAlignment="1">
      <alignment vertical="center"/>
    </xf>
    <xf numFmtId="44" fontId="17" fillId="3" borderId="11" xfId="0" applyNumberFormat="1" applyFont="1" applyFill="1" applyBorder="1" applyAlignment="1">
      <alignment horizontal="right" vertical="center"/>
    </xf>
    <xf numFmtId="0" fontId="209" fillId="24" borderId="3" xfId="0" applyFont="1" applyFill="1" applyBorder="1" applyAlignment="1">
      <alignment horizontal="left" vertical="center" indent="1"/>
    </xf>
    <xf numFmtId="49" fontId="16" fillId="3" borderId="22" xfId="1" applyNumberFormat="1" applyFont="1" applyFill="1" applyBorder="1" applyAlignment="1">
      <alignment vertical="center"/>
    </xf>
    <xf numFmtId="0" fontId="17" fillId="30" borderId="121" xfId="0" applyFont="1" applyFill="1" applyBorder="1" applyAlignment="1">
      <alignment vertical="center"/>
    </xf>
    <xf numFmtId="44" fontId="17" fillId="6" borderId="121" xfId="1" applyFont="1" applyFill="1" applyBorder="1" applyAlignment="1">
      <alignment vertical="center"/>
    </xf>
    <xf numFmtId="44" fontId="17" fillId="3" borderId="51" xfId="0" applyNumberFormat="1" applyFont="1" applyFill="1" applyBorder="1" applyAlignment="1">
      <alignment horizontal="right" vertical="center"/>
    </xf>
    <xf numFmtId="44" fontId="217" fillId="3" borderId="51" xfId="0" applyNumberFormat="1" applyFont="1" applyFill="1" applyBorder="1" applyAlignment="1">
      <alignment horizontal="right" vertical="center"/>
    </xf>
    <xf numFmtId="44" fontId="50" fillId="3" borderId="45" xfId="1" applyFont="1" applyFill="1" applyBorder="1" applyAlignment="1">
      <alignment vertical="center"/>
    </xf>
    <xf numFmtId="0" fontId="17" fillId="3" borderId="26" xfId="0" applyFont="1" applyFill="1" applyBorder="1" applyAlignment="1">
      <alignment horizontal="left" vertical="center" indent="1"/>
    </xf>
    <xf numFmtId="0" fontId="17" fillId="0" borderId="0" xfId="0" applyFont="1" applyAlignment="1">
      <alignment horizontal="left" vertical="center" indent="1"/>
    </xf>
    <xf numFmtId="0" fontId="17" fillId="0" borderId="15" xfId="0" applyFont="1" applyBorder="1" applyAlignment="1">
      <alignment horizontal="left" vertical="center" indent="1"/>
    </xf>
    <xf numFmtId="0" fontId="17" fillId="3" borderId="3" xfId="0" applyFont="1" applyFill="1" applyBorder="1" applyAlignment="1">
      <alignment horizontal="left" vertical="center" indent="1"/>
    </xf>
    <xf numFmtId="0" fontId="216" fillId="24" borderId="45" xfId="0" applyFont="1" applyFill="1" applyBorder="1" applyAlignment="1">
      <alignment horizontal="left" vertical="center"/>
    </xf>
    <xf numFmtId="0" fontId="209" fillId="24" borderId="3" xfId="0" applyFont="1" applyFill="1" applyBorder="1" applyAlignment="1">
      <alignment vertical="center"/>
    </xf>
    <xf numFmtId="0" fontId="20" fillId="5" borderId="0" xfId="0" applyFont="1" applyFill="1" applyAlignment="1">
      <alignment vertical="center"/>
    </xf>
    <xf numFmtId="0" fontId="17" fillId="3" borderId="92" xfId="0" applyFont="1" applyFill="1" applyBorder="1" applyAlignment="1">
      <alignment horizontal="left" vertical="center" indent="1"/>
    </xf>
    <xf numFmtId="44" fontId="17" fillId="3" borderId="13" xfId="1" applyFont="1" applyFill="1" applyBorder="1" applyAlignment="1">
      <alignment horizontal="right" vertical="center"/>
    </xf>
    <xf numFmtId="0" fontId="17" fillId="3" borderId="13" xfId="0" applyFont="1" applyFill="1" applyBorder="1" applyAlignment="1">
      <alignment vertical="center"/>
    </xf>
    <xf numFmtId="0" fontId="17" fillId="3" borderId="19" xfId="0" applyFont="1" applyFill="1" applyBorder="1" applyAlignment="1">
      <alignment horizontal="left" vertical="center"/>
    </xf>
    <xf numFmtId="44" fontId="17" fillId="3" borderId="19" xfId="0" applyNumberFormat="1" applyFont="1" applyFill="1" applyBorder="1" applyAlignment="1">
      <alignment horizontal="left" vertical="center"/>
    </xf>
    <xf numFmtId="37" fontId="17" fillId="3" borderId="15" xfId="0" applyNumberFormat="1" applyFont="1" applyFill="1" applyBorder="1" applyAlignment="1">
      <alignment horizontal="center" vertical="center"/>
    </xf>
    <xf numFmtId="44" fontId="214" fillId="24" borderId="26" xfId="0" applyNumberFormat="1" applyFont="1" applyFill="1" applyBorder="1" applyAlignment="1">
      <alignment vertical="center"/>
    </xf>
    <xf numFmtId="0" fontId="20" fillId="5" borderId="3" xfId="0" applyFont="1" applyFill="1" applyBorder="1" applyAlignment="1">
      <alignment vertical="center"/>
    </xf>
    <xf numFmtId="0" fontId="219" fillId="24" borderId="0" xfId="0" applyFont="1" applyFill="1"/>
    <xf numFmtId="0" fontId="219" fillId="24" borderId="0" xfId="0" applyFont="1" applyFill="1" applyAlignment="1">
      <alignment horizontal="left" vertical="center"/>
    </xf>
    <xf numFmtId="0" fontId="17" fillId="0" borderId="44" xfId="0" applyFont="1" applyBorder="1" applyAlignment="1">
      <alignment vertical="center"/>
    </xf>
    <xf numFmtId="0" fontId="17" fillId="3" borderId="85" xfId="0" applyFont="1" applyFill="1" applyBorder="1" applyAlignment="1">
      <alignment vertical="center"/>
    </xf>
    <xf numFmtId="44" fontId="17" fillId="3" borderId="69" xfId="0" applyNumberFormat="1" applyFont="1" applyFill="1" applyBorder="1" applyAlignment="1">
      <alignment horizontal="right" vertical="center"/>
    </xf>
    <xf numFmtId="37" fontId="214" fillId="24" borderId="44" xfId="0" applyNumberFormat="1" applyFont="1" applyFill="1" applyBorder="1" applyAlignment="1">
      <alignment horizontal="left" vertical="center"/>
    </xf>
    <xf numFmtId="0" fontId="215" fillId="24" borderId="3" xfId="0" applyFont="1" applyFill="1" applyBorder="1" applyAlignment="1">
      <alignment vertical="center"/>
    </xf>
    <xf numFmtId="0" fontId="24" fillId="24" borderId="3" xfId="0" applyFont="1" applyFill="1" applyBorder="1" applyAlignment="1">
      <alignment vertical="center"/>
    </xf>
    <xf numFmtId="164" fontId="45" fillId="24" borderId="45" xfId="0" applyNumberFormat="1" applyFont="1" applyFill="1" applyBorder="1" applyAlignment="1" applyProtection="1">
      <alignment horizontal="left" vertical="center" wrapText="1"/>
      <protection locked="0"/>
    </xf>
    <xf numFmtId="0" fontId="17" fillId="3" borderId="12" xfId="0" applyFont="1" applyFill="1" applyBorder="1" applyAlignment="1">
      <alignment horizontal="left" vertical="center" indent="2"/>
    </xf>
    <xf numFmtId="0" fontId="17" fillId="3" borderId="69" xfId="0" applyFont="1" applyFill="1" applyBorder="1" applyAlignment="1">
      <alignment horizontal="left" vertical="center" indent="2"/>
    </xf>
    <xf numFmtId="164" fontId="17" fillId="3" borderId="69" xfId="1" applyNumberFormat="1" applyFont="1" applyFill="1" applyBorder="1" applyAlignment="1">
      <alignment horizontal="left" vertical="center" indent="1"/>
    </xf>
    <xf numFmtId="0" fontId="216" fillId="24" borderId="79" xfId="0" applyFont="1" applyFill="1" applyBorder="1" applyAlignment="1">
      <alignment horizontal="center" vertical="center"/>
    </xf>
    <xf numFmtId="44" fontId="19" fillId="5" borderId="28" xfId="1" applyFont="1" applyFill="1" applyBorder="1" applyAlignment="1">
      <alignment vertical="center"/>
    </xf>
    <xf numFmtId="44" fontId="17" fillId="3" borderId="15" xfId="1" applyFont="1" applyFill="1" applyBorder="1" applyAlignment="1">
      <alignment horizontal="right" vertical="center"/>
    </xf>
    <xf numFmtId="44" fontId="17" fillId="0" borderId="121" xfId="0" applyNumberFormat="1" applyFont="1" applyBorder="1" applyAlignment="1">
      <alignment vertical="center"/>
    </xf>
    <xf numFmtId="44" fontId="22" fillId="6" borderId="122" xfId="1" applyFont="1" applyFill="1" applyBorder="1" applyAlignment="1">
      <alignment vertical="center"/>
    </xf>
    <xf numFmtId="49" fontId="16" fillId="3" borderId="121" xfId="1" applyNumberFormat="1" applyFont="1" applyFill="1" applyBorder="1" applyAlignment="1">
      <alignment vertical="center"/>
    </xf>
    <xf numFmtId="0" fontId="16" fillId="0" borderId="121" xfId="0" applyFont="1" applyBorder="1" applyAlignment="1">
      <alignment vertical="center"/>
    </xf>
    <xf numFmtId="44" fontId="17" fillId="5" borderId="121" xfId="0" applyNumberFormat="1" applyFont="1" applyFill="1" applyBorder="1" applyAlignment="1">
      <alignment horizontal="right" vertical="center"/>
    </xf>
    <xf numFmtId="0" fontId="16" fillId="3" borderId="0" xfId="0" applyFont="1" applyFill="1" applyAlignment="1">
      <alignment vertical="center"/>
    </xf>
    <xf numFmtId="44" fontId="17" fillId="6" borderId="122" xfId="1" applyFont="1" applyFill="1" applyBorder="1" applyAlignment="1">
      <alignment vertical="center"/>
    </xf>
    <xf numFmtId="0" fontId="52" fillId="6" borderId="124" xfId="0" applyFont="1" applyFill="1" applyBorder="1" applyAlignment="1">
      <alignment vertical="center"/>
    </xf>
    <xf numFmtId="164" fontId="192" fillId="6" borderId="124" xfId="0" applyNumberFormat="1" applyFont="1" applyFill="1" applyBorder="1" applyAlignment="1">
      <alignment horizontal="left" vertical="center"/>
    </xf>
    <xf numFmtId="44" fontId="24" fillId="4" borderId="55" xfId="1" applyFont="1" applyFill="1" applyBorder="1" applyAlignment="1">
      <alignment horizontal="center" vertical="center" wrapText="1"/>
    </xf>
    <xf numFmtId="164" fontId="26" fillId="4" borderId="26" xfId="1" applyNumberFormat="1" applyFont="1" applyFill="1" applyBorder="1" applyAlignment="1">
      <alignment horizontal="center" vertical="center" wrapText="1"/>
    </xf>
    <xf numFmtId="10" fontId="26" fillId="4" borderId="26" xfId="2" applyNumberFormat="1" applyFont="1" applyFill="1" applyBorder="1" applyAlignment="1">
      <alignment horizontal="center" vertical="center" wrapText="1"/>
    </xf>
    <xf numFmtId="0" fontId="26" fillId="4" borderId="26" xfId="0" applyFont="1" applyFill="1" applyBorder="1" applyAlignment="1">
      <alignment horizontal="left" vertical="center" wrapText="1"/>
    </xf>
    <xf numFmtId="0" fontId="27" fillId="6" borderId="0" xfId="0" applyFont="1" applyFill="1"/>
    <xf numFmtId="37" fontId="22" fillId="6" borderId="12" xfId="0" applyNumberFormat="1" applyFont="1" applyFill="1" applyBorder="1" applyAlignment="1">
      <alignment horizontal="center" vertical="center"/>
    </xf>
    <xf numFmtId="0" fontId="22" fillId="6" borderId="12" xfId="0" applyFont="1" applyFill="1" applyBorder="1" applyAlignment="1">
      <alignment vertical="center"/>
    </xf>
    <xf numFmtId="0" fontId="17" fillId="6" borderId="133" xfId="0" applyFont="1" applyFill="1" applyBorder="1" applyAlignment="1">
      <alignment vertical="center"/>
    </xf>
    <xf numFmtId="0" fontId="22" fillId="6" borderId="126" xfId="0" applyFont="1" applyFill="1" applyBorder="1" applyAlignment="1">
      <alignment vertical="center"/>
    </xf>
    <xf numFmtId="0" fontId="16" fillId="6" borderId="126" xfId="0" applyFont="1" applyFill="1" applyBorder="1" applyAlignment="1">
      <alignment horizontal="left" vertical="center"/>
    </xf>
    <xf numFmtId="0" fontId="16" fillId="0" borderId="126" xfId="0" applyFont="1" applyBorder="1" applyAlignment="1">
      <alignment horizontal="left" vertical="center"/>
    </xf>
    <xf numFmtId="0" fontId="17" fillId="6" borderId="127" xfId="0" applyFont="1" applyFill="1" applyBorder="1" applyAlignment="1">
      <alignment horizontal="left" vertical="center"/>
    </xf>
    <xf numFmtId="37" fontId="19" fillId="6" borderId="124" xfId="0" applyNumberFormat="1" applyFont="1" applyFill="1" applyBorder="1" applyAlignment="1">
      <alignment horizontal="center" vertical="center"/>
    </xf>
    <xf numFmtId="37" fontId="20" fillId="0" borderId="124" xfId="0" applyNumberFormat="1" applyFont="1" applyBorder="1" applyAlignment="1">
      <alignment horizontal="center" vertical="center"/>
    </xf>
    <xf numFmtId="37" fontId="19" fillId="3" borderId="124" xfId="0" applyNumberFormat="1" applyFont="1" applyFill="1" applyBorder="1" applyAlignment="1">
      <alignment horizontal="left" vertical="center"/>
    </xf>
    <xf numFmtId="37" fontId="22" fillId="6" borderId="125" xfId="0" applyNumberFormat="1" applyFont="1" applyFill="1" applyBorder="1" applyAlignment="1">
      <alignment horizontal="center" vertical="center"/>
    </xf>
    <xf numFmtId="37" fontId="16" fillId="3" borderId="125" xfId="0" applyNumberFormat="1" applyFont="1" applyFill="1" applyBorder="1" applyAlignment="1">
      <alignment horizontal="center" vertical="center"/>
    </xf>
    <xf numFmtId="37" fontId="19" fillId="3" borderId="125" xfId="0" applyNumberFormat="1" applyFont="1" applyFill="1" applyBorder="1" applyAlignment="1">
      <alignment horizontal="center" vertical="center"/>
    </xf>
    <xf numFmtId="37" fontId="16" fillId="6" borderId="15" xfId="0" applyNumberFormat="1" applyFont="1" applyFill="1" applyBorder="1" applyAlignment="1">
      <alignment horizontal="center" vertical="center"/>
    </xf>
    <xf numFmtId="37" fontId="16" fillId="3" borderId="15" xfId="0" applyNumberFormat="1" applyFont="1" applyFill="1" applyBorder="1" applyAlignment="1">
      <alignment horizontal="center" vertical="center"/>
    </xf>
    <xf numFmtId="37" fontId="19" fillId="3" borderId="12" xfId="0" applyNumberFormat="1" applyFont="1" applyFill="1" applyBorder="1" applyAlignment="1">
      <alignment horizontal="left" vertical="center" wrapText="1" indent="1"/>
    </xf>
    <xf numFmtId="37" fontId="50" fillId="3" borderId="12" xfId="0" applyNumberFormat="1" applyFont="1" applyFill="1" applyBorder="1" applyAlignment="1">
      <alignment horizontal="center" vertical="center"/>
    </xf>
    <xf numFmtId="44" fontId="19" fillId="3" borderId="12" xfId="0" applyNumberFormat="1" applyFont="1" applyFill="1" applyBorder="1" applyAlignment="1">
      <alignment horizontal="left" vertical="center" wrapText="1" indent="1"/>
    </xf>
    <xf numFmtId="0" fontId="165" fillId="6" borderId="26" xfId="0" applyFont="1" applyFill="1" applyBorder="1" applyAlignment="1">
      <alignment horizontal="center"/>
    </xf>
    <xf numFmtId="0" fontId="165" fillId="6" borderId="0" xfId="0" applyFont="1" applyFill="1" applyAlignment="1">
      <alignment horizontal="center"/>
    </xf>
    <xf numFmtId="0" fontId="45" fillId="5" borderId="0" xfId="0" applyFont="1" applyFill="1"/>
    <xf numFmtId="0" fontId="19" fillId="3" borderId="121" xfId="0" applyFont="1" applyFill="1" applyBorder="1" applyAlignment="1">
      <alignment horizontal="left" vertical="center" indent="1"/>
    </xf>
    <xf numFmtId="0" fontId="95" fillId="6" borderId="121" xfId="0" applyFont="1" applyFill="1" applyBorder="1" applyAlignment="1">
      <alignment horizontal="left" vertical="center"/>
    </xf>
    <xf numFmtId="0" fontId="17" fillId="3" borderId="121" xfId="0" applyFont="1" applyFill="1" applyBorder="1" applyAlignment="1">
      <alignment horizontal="left" vertical="center" indent="1"/>
    </xf>
    <xf numFmtId="0" fontId="17" fillId="0" borderId="121" xfId="0" applyFont="1" applyBorder="1" applyAlignment="1">
      <alignment horizontal="left" vertical="center"/>
    </xf>
    <xf numFmtId="0" fontId="240" fillId="6" borderId="121" xfId="0" applyFont="1" applyFill="1" applyBorder="1" applyAlignment="1">
      <alignment vertical="center"/>
    </xf>
    <xf numFmtId="0" fontId="17" fillId="6" borderId="121" xfId="0" applyFont="1" applyFill="1" applyBorder="1" applyAlignment="1">
      <alignment horizontal="right" vertical="center" indent="1"/>
    </xf>
    <xf numFmtId="44" fontId="20" fillId="0" borderId="122" xfId="0" applyNumberFormat="1" applyFont="1" applyBorder="1" applyAlignment="1">
      <alignment horizontal="right" vertical="center"/>
    </xf>
    <xf numFmtId="37" fontId="17" fillId="5" borderId="15" xfId="0" applyNumberFormat="1" applyFont="1" applyFill="1" applyBorder="1" applyAlignment="1">
      <alignment horizontal="center" vertical="center"/>
    </xf>
    <xf numFmtId="0" fontId="16" fillId="5" borderId="126" xfId="0" applyFont="1" applyFill="1" applyBorder="1" applyAlignment="1">
      <alignment horizontal="left" vertical="center"/>
    </xf>
    <xf numFmtId="0" fontId="16" fillId="5" borderId="121" xfId="0" applyFont="1" applyFill="1" applyBorder="1" applyAlignment="1">
      <alignment horizontal="left" vertical="center"/>
    </xf>
    <xf numFmtId="0" fontId="16" fillId="5" borderId="121" xfId="0" applyFont="1" applyFill="1" applyBorder="1" applyAlignment="1">
      <alignment vertical="center"/>
    </xf>
    <xf numFmtId="0" fontId="16" fillId="5" borderId="121" xfId="0" applyFont="1" applyFill="1" applyBorder="1" applyAlignment="1">
      <alignment horizontal="center" vertical="center"/>
    </xf>
    <xf numFmtId="44" fontId="17" fillId="5" borderId="122" xfId="1" applyFont="1" applyFill="1" applyBorder="1" applyAlignment="1">
      <alignment horizontal="right" vertical="center"/>
    </xf>
    <xf numFmtId="164" fontId="19" fillId="5" borderId="20" xfId="2" applyNumberFormat="1" applyFont="1" applyFill="1" applyBorder="1" applyAlignment="1" applyProtection="1">
      <alignment vertical="center" wrapText="1"/>
      <protection locked="0"/>
    </xf>
    <xf numFmtId="10" fontId="19" fillId="5" borderId="20" xfId="2" applyNumberFormat="1" applyFont="1" applyFill="1" applyBorder="1" applyAlignment="1">
      <alignment vertical="center"/>
    </xf>
    <xf numFmtId="0" fontId="22" fillId="3" borderId="121" xfId="0" applyFont="1" applyFill="1" applyBorder="1" applyAlignment="1">
      <alignment horizontal="left" vertical="center"/>
    </xf>
    <xf numFmtId="0" fontId="161" fillId="6" borderId="121" xfId="0" applyFont="1" applyFill="1" applyBorder="1" applyAlignment="1">
      <alignment vertical="center"/>
    </xf>
    <xf numFmtId="0" fontId="50" fillId="2" borderId="14" xfId="0" applyFont="1" applyFill="1" applyBorder="1" applyAlignment="1">
      <alignment horizontal="right"/>
    </xf>
    <xf numFmtId="37" fontId="130" fillId="6" borderId="15" xfId="0" applyNumberFormat="1" applyFont="1" applyFill="1" applyBorder="1" applyAlignment="1">
      <alignment horizontal="center" vertical="center"/>
    </xf>
    <xf numFmtId="0" fontId="241" fillId="3" borderId="121" xfId="0" applyFont="1" applyFill="1" applyBorder="1" applyAlignment="1">
      <alignment horizontal="left" vertical="center"/>
    </xf>
    <xf numFmtId="0" fontId="241" fillId="3" borderId="121" xfId="0" applyFont="1" applyFill="1" applyBorder="1" applyAlignment="1">
      <alignment vertical="center"/>
    </xf>
    <xf numFmtId="0" fontId="130" fillId="6" borderId="121" xfId="0" applyFont="1" applyFill="1" applyBorder="1" applyAlignment="1">
      <alignment vertical="center"/>
    </xf>
    <xf numFmtId="0" fontId="241" fillId="6" borderId="121" xfId="0" applyFont="1" applyFill="1" applyBorder="1" applyAlignment="1">
      <alignment vertical="center"/>
    </xf>
    <xf numFmtId="0" fontId="241" fillId="6" borderId="121" xfId="0" applyFont="1" applyFill="1" applyBorder="1" applyAlignment="1">
      <alignment horizontal="center" vertical="center"/>
    </xf>
    <xf numFmtId="37" fontId="130" fillId="6" borderId="121" xfId="0" applyNumberFormat="1" applyFont="1" applyFill="1" applyBorder="1" applyAlignment="1">
      <alignment horizontal="center" vertical="center"/>
    </xf>
    <xf numFmtId="0" fontId="241" fillId="6" borderId="121" xfId="0" applyFont="1" applyFill="1" applyBorder="1" applyAlignment="1">
      <alignment horizontal="left" vertical="center"/>
    </xf>
    <xf numFmtId="0" fontId="130" fillId="6" borderId="121" xfId="0" applyFont="1" applyFill="1" applyBorder="1" applyAlignment="1">
      <alignment horizontal="left" vertical="center" indent="1"/>
    </xf>
    <xf numFmtId="0" fontId="130" fillId="6" borderId="126" xfId="0" applyFont="1" applyFill="1" applyBorder="1" applyAlignment="1">
      <alignment vertical="center"/>
    </xf>
    <xf numFmtId="0" fontId="242" fillId="6" borderId="121" xfId="0" applyFont="1" applyFill="1" applyBorder="1" applyAlignment="1">
      <alignment horizontal="left" vertical="center"/>
    </xf>
    <xf numFmtId="0" fontId="242" fillId="6" borderId="121" xfId="0" applyFont="1" applyFill="1" applyBorder="1" applyAlignment="1">
      <alignment vertical="center"/>
    </xf>
    <xf numFmtId="37" fontId="241" fillId="6" borderId="121" xfId="0" applyNumberFormat="1" applyFont="1" applyFill="1" applyBorder="1" applyAlignment="1">
      <alignment horizontal="center" vertical="center"/>
    </xf>
    <xf numFmtId="37" fontId="242" fillId="6" borderId="15" xfId="0" applyNumberFormat="1" applyFont="1" applyFill="1" applyBorder="1" applyAlignment="1">
      <alignment horizontal="center" vertical="center"/>
    </xf>
    <xf numFmtId="0" fontId="241" fillId="3" borderId="126" xfId="0" applyFont="1" applyFill="1" applyBorder="1" applyAlignment="1">
      <alignment vertical="center"/>
    </xf>
    <xf numFmtId="0" fontId="243" fillId="6" borderId="121" xfId="0" applyFont="1" applyFill="1" applyBorder="1" applyAlignment="1">
      <alignment vertical="center"/>
    </xf>
    <xf numFmtId="0" fontId="243" fillId="3" borderId="121" xfId="0" applyFont="1" applyFill="1" applyBorder="1" applyAlignment="1">
      <alignment vertical="center"/>
    </xf>
    <xf numFmtId="0" fontId="217" fillId="3" borderId="85" xfId="0" applyFont="1" applyFill="1" applyBorder="1" applyAlignment="1">
      <alignment horizontal="center" vertical="center"/>
    </xf>
    <xf numFmtId="44" fontId="20" fillId="6" borderId="122" xfId="0" applyNumberFormat="1" applyFont="1" applyFill="1" applyBorder="1" applyAlignment="1">
      <alignment horizontal="right" vertical="center"/>
    </xf>
    <xf numFmtId="44" fontId="45" fillId="3" borderId="122" xfId="1" applyFont="1" applyFill="1" applyBorder="1" applyAlignment="1">
      <alignment horizontal="right" vertical="center"/>
    </xf>
    <xf numFmtId="44" fontId="17" fillId="3" borderId="0" xfId="1" applyFont="1" applyFill="1" applyBorder="1" applyAlignment="1">
      <alignment horizontal="right" vertical="center"/>
    </xf>
    <xf numFmtId="44" fontId="184" fillId="2" borderId="45" xfId="0" applyNumberFormat="1" applyFont="1" applyFill="1" applyBorder="1" applyAlignment="1">
      <alignment vertical="center"/>
    </xf>
    <xf numFmtId="164" fontId="17" fillId="2" borderId="0" xfId="1" applyNumberFormat="1" applyFont="1" applyFill="1"/>
    <xf numFmtId="164" fontId="17" fillId="2" borderId="13" xfId="1" applyNumberFormat="1" applyFont="1" applyFill="1" applyBorder="1"/>
    <xf numFmtId="164" fontId="17" fillId="2" borderId="8" xfId="1" applyNumberFormat="1" applyFont="1" applyFill="1" applyBorder="1"/>
    <xf numFmtId="164" fontId="15" fillId="2" borderId="0" xfId="0" applyNumberFormat="1" applyFont="1" applyFill="1" applyAlignment="1">
      <alignment vertical="center" wrapText="1"/>
    </xf>
    <xf numFmtId="164" fontId="15" fillId="2" borderId="0" xfId="0" applyNumberFormat="1" applyFont="1" applyFill="1"/>
    <xf numFmtId="164" fontId="23" fillId="3" borderId="45" xfId="1" applyNumberFormat="1" applyFont="1" applyFill="1" applyBorder="1" applyAlignment="1">
      <alignment horizontal="left" vertical="center" wrapText="1" indent="1"/>
    </xf>
    <xf numFmtId="164" fontId="22" fillId="0" borderId="27" xfId="1" applyNumberFormat="1" applyFont="1" applyBorder="1"/>
    <xf numFmtId="164" fontId="0" fillId="0" borderId="27" xfId="1" applyNumberFormat="1" applyFont="1" applyBorder="1"/>
    <xf numFmtId="164" fontId="22" fillId="0" borderId="0" xfId="1" applyNumberFormat="1" applyFont="1"/>
    <xf numFmtId="0" fontId="17" fillId="3" borderId="52" xfId="0" applyFont="1" applyFill="1" applyBorder="1" applyAlignment="1">
      <alignment horizontal="left" vertical="center" indent="1"/>
    </xf>
    <xf numFmtId="0" fontId="17" fillId="3" borderId="26" xfId="0" applyFont="1" applyFill="1" applyBorder="1" applyAlignment="1">
      <alignment horizontal="left" vertical="center" indent="2"/>
    </xf>
    <xf numFmtId="0" fontId="216" fillId="24" borderId="15" xfId="0" applyFont="1" applyFill="1" applyBorder="1" applyAlignment="1">
      <alignment horizontal="center" vertical="center"/>
    </xf>
    <xf numFmtId="0" fontId="214" fillId="24" borderId="18" xfId="0" applyFont="1" applyFill="1" applyBorder="1" applyAlignment="1">
      <alignment vertical="center"/>
    </xf>
    <xf numFmtId="0" fontId="17" fillId="6" borderId="52" xfId="0" applyFont="1" applyFill="1" applyBorder="1" applyAlignment="1">
      <alignment horizontal="left" vertical="center"/>
    </xf>
    <xf numFmtId="9" fontId="20" fillId="3" borderId="26" xfId="2" applyFont="1" applyFill="1" applyBorder="1" applyAlignment="1" applyProtection="1">
      <alignment horizontal="center" vertical="center" wrapText="1"/>
      <protection locked="0"/>
    </xf>
    <xf numFmtId="9" fontId="20" fillId="3" borderId="33" xfId="2" applyFont="1" applyFill="1" applyBorder="1" applyAlignment="1" applyProtection="1">
      <alignment horizontal="left" vertical="center" wrapText="1"/>
      <protection locked="0"/>
    </xf>
    <xf numFmtId="0" fontId="215" fillId="24" borderId="8" xfId="0" applyFont="1" applyFill="1" applyBorder="1" applyAlignment="1">
      <alignment vertical="center"/>
    </xf>
    <xf numFmtId="164" fontId="45" fillId="24" borderId="17" xfId="0" applyNumberFormat="1" applyFont="1" applyFill="1" applyBorder="1" applyAlignment="1" applyProtection="1">
      <alignment horizontal="left" vertical="center" wrapText="1"/>
      <protection locked="0"/>
    </xf>
    <xf numFmtId="44" fontId="17" fillId="6" borderId="122" xfId="0" applyNumberFormat="1" applyFont="1" applyFill="1" applyBorder="1" applyAlignment="1">
      <alignment horizontal="right" vertical="center"/>
    </xf>
    <xf numFmtId="44" fontId="45" fillId="0" borderId="122" xfId="0" applyNumberFormat="1" applyFont="1" applyBorder="1" applyAlignment="1">
      <alignment horizontal="right" vertical="center"/>
    </xf>
    <xf numFmtId="44" fontId="52" fillId="3" borderId="122" xfId="0" applyNumberFormat="1" applyFont="1" applyFill="1" applyBorder="1" applyAlignment="1">
      <alignment horizontal="right" vertical="center"/>
    </xf>
    <xf numFmtId="44" fontId="52" fillId="6" borderId="122" xfId="0" applyNumberFormat="1" applyFont="1" applyFill="1" applyBorder="1" applyAlignment="1">
      <alignment vertical="center"/>
    </xf>
    <xf numFmtId="44" fontId="52" fillId="6" borderId="122" xfId="0" applyNumberFormat="1" applyFont="1" applyFill="1" applyBorder="1" applyAlignment="1">
      <alignment horizontal="right" vertical="center"/>
    </xf>
    <xf numFmtId="0" fontId="17" fillId="6" borderId="129" xfId="0" applyFont="1" applyFill="1" applyBorder="1" applyAlignment="1">
      <alignment horizontal="center" vertical="center"/>
    </xf>
    <xf numFmtId="0" fontId="19" fillId="6" borderId="129" xfId="0" applyFont="1" applyFill="1" applyBorder="1" applyAlignment="1">
      <alignment vertical="center"/>
    </xf>
    <xf numFmtId="0" fontId="241" fillId="6" borderId="126" xfId="0" applyFont="1" applyFill="1" applyBorder="1" applyAlignment="1">
      <alignment vertical="center"/>
    </xf>
    <xf numFmtId="0" fontId="20" fillId="6" borderId="129" xfId="0" applyFont="1" applyFill="1" applyBorder="1" applyAlignment="1">
      <alignment horizontal="left" vertical="center"/>
    </xf>
    <xf numFmtId="0" fontId="50" fillId="3" borderId="129" xfId="0" applyFont="1" applyFill="1" applyBorder="1" applyAlignment="1">
      <alignment vertical="center"/>
    </xf>
    <xf numFmtId="0" fontId="20" fillId="6" borderId="129" xfId="0" applyFont="1" applyFill="1" applyBorder="1" applyAlignment="1">
      <alignment vertical="center"/>
    </xf>
    <xf numFmtId="0" fontId="22" fillId="3" borderId="48" xfId="0" applyFont="1" applyFill="1" applyBorder="1" applyAlignment="1">
      <alignment vertical="center"/>
    </xf>
    <xf numFmtId="0" fontId="20" fillId="6" borderId="129" xfId="0" applyFont="1" applyFill="1" applyBorder="1" applyAlignment="1">
      <alignment horizontal="right" vertical="center" indent="1"/>
    </xf>
    <xf numFmtId="0" fontId="130" fillId="6" borderId="126" xfId="0" applyFont="1" applyFill="1" applyBorder="1" applyAlignment="1">
      <alignment horizontal="left" vertical="center"/>
    </xf>
    <xf numFmtId="0" fontId="52" fillId="6" borderId="129" xfId="0" applyFont="1" applyFill="1" applyBorder="1" applyAlignment="1">
      <alignment vertical="center"/>
    </xf>
    <xf numFmtId="0" fontId="241" fillId="3" borderId="15" xfId="0" applyFont="1" applyFill="1" applyBorder="1" applyAlignment="1">
      <alignment horizontal="left" vertical="center"/>
    </xf>
    <xf numFmtId="0" fontId="241" fillId="3" borderId="15" xfId="0" applyFont="1" applyFill="1" applyBorder="1" applyAlignment="1">
      <alignment vertical="center"/>
    </xf>
    <xf numFmtId="0" fontId="130" fillId="6" borderId="15" xfId="0" applyFont="1" applyFill="1" applyBorder="1" applyAlignment="1">
      <alignment vertical="center"/>
    </xf>
    <xf numFmtId="0" fontId="241" fillId="6" borderId="15" xfId="0" applyFont="1" applyFill="1" applyBorder="1" applyAlignment="1">
      <alignment vertical="center"/>
    </xf>
    <xf numFmtId="37" fontId="241" fillId="6" borderId="15" xfId="0" applyNumberFormat="1" applyFont="1" applyFill="1" applyBorder="1" applyAlignment="1">
      <alignment horizontal="center" vertical="center"/>
    </xf>
    <xf numFmtId="0" fontId="242" fillId="6" borderId="15" xfId="0" applyFont="1" applyFill="1" applyBorder="1" applyAlignment="1">
      <alignment horizontal="center" vertical="center"/>
    </xf>
    <xf numFmtId="37" fontId="241" fillId="3" borderId="15" xfId="0" applyNumberFormat="1" applyFont="1" applyFill="1" applyBorder="1" applyAlignment="1">
      <alignment horizontal="center" vertical="center"/>
    </xf>
    <xf numFmtId="0" fontId="130" fillId="6" borderId="15" xfId="0" applyFont="1" applyFill="1" applyBorder="1" applyAlignment="1">
      <alignment horizontal="left" vertical="center"/>
    </xf>
    <xf numFmtId="0" fontId="130" fillId="6" borderId="15" xfId="0" applyFont="1" applyFill="1" applyBorder="1" applyAlignment="1">
      <alignment horizontal="center" vertical="center"/>
    </xf>
    <xf numFmtId="0" fontId="243" fillId="3" borderId="15" xfId="0" applyFont="1" applyFill="1" applyBorder="1" applyAlignment="1">
      <alignment vertical="center"/>
    </xf>
    <xf numFmtId="0" fontId="241" fillId="3" borderId="15" xfId="0" applyFont="1" applyFill="1" applyBorder="1" applyAlignment="1">
      <alignment horizontal="center" vertical="center"/>
    </xf>
    <xf numFmtId="0" fontId="17" fillId="3" borderId="17" xfId="0" applyFont="1" applyFill="1" applyBorder="1" applyAlignment="1">
      <alignment horizontal="center" vertical="center"/>
    </xf>
    <xf numFmtId="0" fontId="17" fillId="3" borderId="14" xfId="0" applyFont="1" applyFill="1" applyBorder="1" applyAlignment="1">
      <alignment horizontal="left" vertical="center" indent="1"/>
    </xf>
    <xf numFmtId="0" fontId="17" fillId="3" borderId="17" xfId="0" applyFont="1" applyFill="1" applyBorder="1" applyAlignment="1">
      <alignment horizontal="left" vertical="center" indent="1"/>
    </xf>
    <xf numFmtId="0" fontId="20" fillId="3" borderId="125" xfId="0" applyFont="1" applyFill="1" applyBorder="1" applyAlignment="1">
      <alignment horizontal="left" vertical="center"/>
    </xf>
    <xf numFmtId="0" fontId="20" fillId="3" borderId="125" xfId="0" applyFont="1" applyFill="1" applyBorder="1" applyAlignment="1">
      <alignment vertical="center"/>
    </xf>
    <xf numFmtId="0" fontId="20" fillId="3" borderId="125" xfId="0" applyFont="1" applyFill="1" applyBorder="1" applyAlignment="1">
      <alignment horizontal="center" vertical="center"/>
    </xf>
    <xf numFmtId="0" fontId="19" fillId="6" borderId="125" xfId="0" applyFont="1" applyFill="1" applyBorder="1" applyAlignment="1">
      <alignment vertical="center"/>
    </xf>
    <xf numFmtId="37" fontId="19" fillId="3" borderId="125" xfId="0" applyNumberFormat="1" applyFont="1" applyFill="1" applyBorder="1" applyAlignment="1">
      <alignment horizontal="left" vertical="center"/>
    </xf>
    <xf numFmtId="44" fontId="147" fillId="2" borderId="73" xfId="0" applyNumberFormat="1" applyFont="1" applyFill="1" applyBorder="1" applyAlignment="1">
      <alignment horizontal="center" vertical="center"/>
    </xf>
    <xf numFmtId="0" fontId="147" fillId="2" borderId="131" xfId="0" applyFont="1" applyFill="1" applyBorder="1" applyAlignment="1">
      <alignment horizontal="center" vertical="center"/>
    </xf>
    <xf numFmtId="0" fontId="147" fillId="2" borderId="130" xfId="0" applyFont="1" applyFill="1" applyBorder="1" applyAlignment="1">
      <alignment horizontal="center" vertical="center"/>
    </xf>
    <xf numFmtId="0" fontId="241" fillId="3" borderId="15" xfId="0" applyFont="1" applyFill="1" applyBorder="1" applyAlignment="1">
      <alignment horizontal="left" vertical="center" indent="1"/>
    </xf>
    <xf numFmtId="0" fontId="130" fillId="6" borderId="15" xfId="0" applyFont="1" applyFill="1" applyBorder="1" applyAlignment="1">
      <alignment horizontal="left" vertical="center" indent="1"/>
    </xf>
    <xf numFmtId="0" fontId="22" fillId="2" borderId="121" xfId="0" applyFont="1" applyFill="1" applyBorder="1" applyAlignment="1">
      <alignment horizontal="center" vertical="center"/>
    </xf>
    <xf numFmtId="1" fontId="34" fillId="24" borderId="16" xfId="0" applyNumberFormat="1" applyFont="1" applyFill="1" applyBorder="1" applyAlignment="1">
      <alignment vertical="center" wrapText="1"/>
    </xf>
    <xf numFmtId="37" fontId="216" fillId="24" borderId="15" xfId="0" applyNumberFormat="1" applyFont="1" applyFill="1" applyBorder="1" applyAlignment="1">
      <alignment horizontal="left" vertical="center"/>
    </xf>
    <xf numFmtId="0" fontId="216" fillId="24" borderId="8" xfId="0" applyFont="1" applyFill="1" applyBorder="1" applyAlignment="1">
      <alignment horizontal="left" vertical="center" indent="1"/>
    </xf>
    <xf numFmtId="0" fontId="216" fillId="24" borderId="8" xfId="0" applyFont="1" applyFill="1" applyBorder="1" applyAlignment="1">
      <alignment vertical="center"/>
    </xf>
    <xf numFmtId="44" fontId="216" fillId="24" borderId="15" xfId="0" applyNumberFormat="1" applyFont="1" applyFill="1" applyBorder="1" applyAlignment="1">
      <alignment vertical="center"/>
    </xf>
    <xf numFmtId="0" fontId="34" fillId="24" borderId="8" xfId="0" applyFont="1" applyFill="1" applyBorder="1" applyAlignment="1">
      <alignment vertical="center"/>
    </xf>
    <xf numFmtId="44" fontId="34" fillId="24" borderId="15" xfId="1" applyFont="1" applyFill="1" applyBorder="1" applyAlignment="1">
      <alignment horizontal="center" vertical="center" wrapText="1"/>
    </xf>
    <xf numFmtId="0" fontId="34" fillId="24" borderId="15" xfId="0" applyFont="1" applyFill="1" applyBorder="1" applyAlignment="1">
      <alignment horizontal="left" vertical="center" wrapText="1"/>
    </xf>
    <xf numFmtId="0" fontId="35" fillId="24" borderId="8" xfId="0" applyFont="1" applyFill="1" applyBorder="1" applyAlignment="1">
      <alignment vertical="center"/>
    </xf>
    <xf numFmtId="37" fontId="17" fillId="6" borderId="52" xfId="0" applyNumberFormat="1" applyFont="1" applyFill="1" applyBorder="1" applyAlignment="1">
      <alignment horizontal="center" vertical="center"/>
    </xf>
    <xf numFmtId="0" fontId="17" fillId="3" borderId="52" xfId="0" applyFont="1" applyFill="1" applyBorder="1" applyAlignment="1">
      <alignment horizontal="left" vertical="center"/>
    </xf>
    <xf numFmtId="0" fontId="17" fillId="3" borderId="52" xfId="0" applyFont="1" applyFill="1" applyBorder="1" applyAlignment="1">
      <alignment horizontal="center" vertical="center"/>
    </xf>
    <xf numFmtId="0" fontId="150" fillId="3" borderId="52" xfId="0" applyFont="1" applyFill="1" applyBorder="1" applyAlignment="1">
      <alignment horizontal="left" vertical="center"/>
    </xf>
    <xf numFmtId="0" fontId="150" fillId="3" borderId="52" xfId="0" applyFont="1" applyFill="1" applyBorder="1" applyAlignment="1">
      <alignment horizontal="center" vertical="center"/>
    </xf>
    <xf numFmtId="0" fontId="17" fillId="6" borderId="52" xfId="0" applyFont="1" applyFill="1" applyBorder="1" applyAlignment="1">
      <alignment horizontal="center" vertical="center"/>
    </xf>
    <xf numFmtId="44" fontId="17" fillId="3" borderId="49" xfId="1" applyFont="1" applyFill="1" applyBorder="1" applyAlignment="1">
      <alignment horizontal="right" vertical="center"/>
    </xf>
    <xf numFmtId="9" fontId="45" fillId="3" borderId="26" xfId="2" applyFont="1" applyFill="1" applyBorder="1" applyAlignment="1" applyProtection="1">
      <alignment horizontal="center" vertical="center" wrapText="1"/>
      <protection locked="0"/>
    </xf>
    <xf numFmtId="1" fontId="34" fillId="24" borderId="8" xfId="0" applyNumberFormat="1" applyFont="1" applyFill="1" applyBorder="1" applyAlignment="1">
      <alignment vertical="center" wrapText="1"/>
    </xf>
    <xf numFmtId="0" fontId="211" fillId="24" borderId="8" xfId="0" applyFont="1" applyFill="1" applyBorder="1" applyAlignment="1">
      <alignment vertical="center"/>
    </xf>
    <xf numFmtId="0" fontId="211" fillId="24" borderId="8" xfId="0" applyFont="1" applyFill="1" applyBorder="1" applyAlignment="1">
      <alignment horizontal="center" vertical="center"/>
    </xf>
    <xf numFmtId="0" fontId="216" fillId="24" borderId="8" xfId="0" applyFont="1" applyFill="1" applyBorder="1" applyAlignment="1">
      <alignment horizontal="center" vertical="center"/>
    </xf>
    <xf numFmtId="44" fontId="34" fillId="24" borderId="8" xfId="1" applyFont="1" applyFill="1" applyBorder="1" applyAlignment="1">
      <alignment horizontal="center" vertical="center" wrapText="1"/>
    </xf>
    <xf numFmtId="164" fontId="45" fillId="3" borderId="8" xfId="0" applyNumberFormat="1" applyFont="1" applyFill="1" applyBorder="1" applyAlignment="1" applyProtection="1">
      <alignment horizontal="left" vertical="center" wrapText="1"/>
      <protection locked="0"/>
    </xf>
    <xf numFmtId="0" fontId="150" fillId="24" borderId="8" xfId="0" applyFont="1" applyFill="1" applyBorder="1" applyAlignment="1">
      <alignment horizontal="center" vertical="center" wrapText="1"/>
    </xf>
    <xf numFmtId="0" fontId="34" fillId="24" borderId="8" xfId="0" applyFont="1" applyFill="1" applyBorder="1" applyAlignment="1">
      <alignment horizontal="left" vertical="center" wrapText="1"/>
    </xf>
    <xf numFmtId="44" fontId="190" fillId="24" borderId="8" xfId="0" applyNumberFormat="1" applyFont="1" applyFill="1" applyBorder="1" applyAlignment="1">
      <alignment horizontal="center" vertical="center" wrapText="1"/>
    </xf>
    <xf numFmtId="164" fontId="190" fillId="24" borderId="8" xfId="1" applyNumberFormat="1" applyFont="1" applyFill="1" applyBorder="1" applyAlignment="1" applyProtection="1">
      <alignment horizontal="center" vertical="center" wrapText="1"/>
    </xf>
    <xf numFmtId="0" fontId="241" fillId="3" borderId="121" xfId="0" applyFont="1" applyFill="1" applyBorder="1" applyAlignment="1">
      <alignment horizontal="center" vertical="center"/>
    </xf>
    <xf numFmtId="37" fontId="242" fillId="3" borderId="121" xfId="0" applyNumberFormat="1" applyFont="1" applyFill="1" applyBorder="1" applyAlignment="1">
      <alignment horizontal="center" vertical="center"/>
    </xf>
    <xf numFmtId="44" fontId="130" fillId="6" borderId="16" xfId="1" applyFont="1" applyFill="1" applyBorder="1" applyAlignment="1">
      <alignment horizontal="right" vertical="center"/>
    </xf>
    <xf numFmtId="0" fontId="217" fillId="3" borderId="0" xfId="0" applyFont="1" applyFill="1" applyAlignment="1">
      <alignment horizontal="left" vertical="center" indent="1"/>
    </xf>
    <xf numFmtId="0" fontId="217" fillId="3" borderId="52" xfId="0" applyFont="1" applyFill="1" applyBorder="1" applyAlignment="1">
      <alignment horizontal="left" vertical="center" indent="1"/>
    </xf>
    <xf numFmtId="0" fontId="217" fillId="3" borderId="92" xfId="0" applyFont="1" applyFill="1" applyBorder="1" applyAlignment="1">
      <alignment horizontal="left" vertical="center" indent="1"/>
    </xf>
    <xf numFmtId="0" fontId="217" fillId="3" borderId="94" xfId="0" applyFont="1" applyFill="1" applyBorder="1" applyAlignment="1">
      <alignment horizontal="left" vertical="center" indent="1"/>
    </xf>
    <xf numFmtId="44" fontId="162" fillId="3" borderId="27" xfId="1" applyFont="1" applyFill="1" applyBorder="1" applyAlignment="1">
      <alignment vertical="center"/>
    </xf>
    <xf numFmtId="0" fontId="130" fillId="3" borderId="15" xfId="0" applyFont="1" applyFill="1" applyBorder="1" applyAlignment="1">
      <alignment horizontal="left" vertical="center" indent="1"/>
    </xf>
    <xf numFmtId="37" fontId="130" fillId="3" borderId="15" xfId="0" applyNumberFormat="1" applyFont="1" applyFill="1" applyBorder="1" applyAlignment="1">
      <alignment horizontal="center" vertical="center"/>
    </xf>
    <xf numFmtId="0" fontId="130" fillId="3" borderId="15" xfId="0" applyFont="1" applyFill="1" applyBorder="1" applyAlignment="1">
      <alignment horizontal="left" indent="1"/>
    </xf>
    <xf numFmtId="164" fontId="132" fillId="3" borderId="15" xfId="1" applyNumberFormat="1" applyFont="1" applyFill="1" applyBorder="1" applyAlignment="1">
      <alignment horizontal="right" vertical="center"/>
    </xf>
    <xf numFmtId="164" fontId="130" fillId="3" borderId="15" xfId="1" applyNumberFormat="1" applyFont="1" applyFill="1" applyBorder="1" applyAlignment="1">
      <alignment horizontal="right" vertical="center"/>
    </xf>
    <xf numFmtId="44" fontId="20" fillId="6" borderId="140" xfId="1" applyFont="1" applyFill="1" applyBorder="1" applyAlignment="1">
      <alignment horizontal="right" vertical="center"/>
    </xf>
    <xf numFmtId="44" fontId="20" fillId="3" borderId="122" xfId="1" applyFont="1" applyFill="1" applyBorder="1" applyAlignment="1">
      <alignment vertical="center"/>
    </xf>
    <xf numFmtId="44" fontId="20" fillId="6" borderId="122" xfId="1" applyFont="1" applyFill="1" applyBorder="1" applyAlignment="1">
      <alignment vertical="center"/>
    </xf>
    <xf numFmtId="44" fontId="20" fillId="3" borderId="140" xfId="1" applyFont="1" applyFill="1" applyBorder="1" applyAlignment="1">
      <alignment horizontal="right" vertical="center"/>
    </xf>
    <xf numFmtId="44" fontId="52" fillId="6" borderId="140" xfId="1" applyFont="1" applyFill="1" applyBorder="1" applyAlignment="1">
      <alignment horizontal="right" vertical="center"/>
    </xf>
    <xf numFmtId="44" fontId="167" fillId="0" borderId="122" xfId="1" applyFont="1" applyFill="1" applyBorder="1" applyAlignment="1">
      <alignment horizontal="right" vertical="center"/>
    </xf>
    <xf numFmtId="44" fontId="130" fillId="3" borderId="16" xfId="1" applyFont="1" applyFill="1" applyBorder="1" applyAlignment="1">
      <alignment horizontal="right" vertical="center"/>
    </xf>
    <xf numFmtId="44" fontId="52" fillId="3" borderId="122" xfId="1" applyFont="1" applyFill="1" applyBorder="1" applyAlignment="1">
      <alignment horizontal="right" vertical="center"/>
    </xf>
    <xf numFmtId="44" fontId="242" fillId="3" borderId="16" xfId="1" applyFont="1" applyFill="1" applyBorder="1" applyAlignment="1">
      <alignment horizontal="right" vertical="center"/>
    </xf>
    <xf numFmtId="44" fontId="130" fillId="6" borderId="16" xfId="1" applyFont="1" applyFill="1" applyBorder="1" applyAlignment="1">
      <alignment vertical="center"/>
    </xf>
    <xf numFmtId="44" fontId="20" fillId="6" borderId="141" xfId="1" applyFont="1" applyFill="1" applyBorder="1" applyAlignment="1">
      <alignment horizontal="right" vertical="center"/>
    </xf>
    <xf numFmtId="44" fontId="52" fillId="6" borderId="140" xfId="0" applyNumberFormat="1" applyFont="1" applyFill="1" applyBorder="1" applyAlignment="1">
      <alignment horizontal="right" vertical="center"/>
    </xf>
    <xf numFmtId="44" fontId="47" fillId="3" borderId="17" xfId="1" applyFont="1" applyFill="1" applyBorder="1" applyAlignment="1">
      <alignment vertical="center"/>
    </xf>
    <xf numFmtId="44" fontId="17" fillId="0" borderId="122" xfId="1" applyFont="1" applyFill="1" applyBorder="1" applyAlignment="1">
      <alignment horizontal="right" vertical="center"/>
    </xf>
    <xf numFmtId="0" fontId="130" fillId="3" borderId="15" xfId="0" applyFont="1" applyFill="1" applyBorder="1" applyAlignment="1">
      <alignment horizontal="left" vertical="center"/>
    </xf>
    <xf numFmtId="0" fontId="213" fillId="28" borderId="13" xfId="0" applyFont="1" applyFill="1" applyBorder="1" applyAlignment="1">
      <alignment horizontal="center" vertical="center"/>
    </xf>
    <xf numFmtId="0" fontId="150" fillId="3" borderId="14" xfId="0" applyFont="1" applyFill="1" applyBorder="1" applyAlignment="1">
      <alignment horizontal="left" vertical="center"/>
    </xf>
    <xf numFmtId="0" fontId="150" fillId="3" borderId="17" xfId="0" applyFont="1" applyFill="1" applyBorder="1" applyAlignment="1">
      <alignment vertical="center"/>
    </xf>
    <xf numFmtId="0" fontId="150" fillId="3" borderId="17" xfId="0" applyFont="1" applyFill="1" applyBorder="1" applyAlignment="1">
      <alignment horizontal="left" vertical="center"/>
    </xf>
    <xf numFmtId="0" fontId="150" fillId="3" borderId="0" xfId="0" applyFont="1" applyFill="1" applyAlignment="1">
      <alignment vertical="center"/>
    </xf>
    <xf numFmtId="0" fontId="150" fillId="3" borderId="12" xfId="0" applyFont="1" applyFill="1" applyBorder="1" applyAlignment="1">
      <alignment vertical="center"/>
    </xf>
    <xf numFmtId="0" fontId="150" fillId="3" borderId="12" xfId="0" applyFont="1" applyFill="1" applyBorder="1" applyAlignment="1">
      <alignment horizontal="center" vertical="center"/>
    </xf>
    <xf numFmtId="0" fontId="150" fillId="3" borderId="0" xfId="0" applyFont="1" applyFill="1" applyAlignment="1">
      <alignment horizontal="center" vertical="center"/>
    </xf>
    <xf numFmtId="44" fontId="247" fillId="3" borderId="29" xfId="1" applyFont="1" applyFill="1" applyBorder="1" applyAlignment="1">
      <alignment vertical="center"/>
    </xf>
    <xf numFmtId="164" fontId="150" fillId="3" borderId="29" xfId="0" applyNumberFormat="1" applyFont="1" applyFill="1" applyBorder="1" applyAlignment="1" applyProtection="1">
      <alignment horizontal="left" vertical="center" wrapText="1"/>
      <protection locked="0"/>
    </xf>
    <xf numFmtId="9" fontId="150" fillId="3" borderId="20" xfId="2" applyFont="1" applyFill="1" applyBorder="1" applyAlignment="1" applyProtection="1">
      <alignment horizontal="center" vertical="center" wrapText="1"/>
      <protection locked="0"/>
    </xf>
    <xf numFmtId="9" fontId="150" fillId="3" borderId="20" xfId="2" applyFont="1" applyFill="1" applyBorder="1" applyAlignment="1" applyProtection="1">
      <alignment horizontal="left" vertical="center" wrapText="1"/>
      <protection locked="0"/>
    </xf>
    <xf numFmtId="0" fontId="150" fillId="3" borderId="3" xfId="0" applyFont="1" applyFill="1" applyBorder="1" applyAlignment="1">
      <alignment vertical="center"/>
    </xf>
    <xf numFmtId="0" fontId="150" fillId="3" borderId="15" xfId="0" applyFont="1" applyFill="1" applyBorder="1" applyAlignment="1">
      <alignment horizontal="left" vertical="center" indent="1"/>
    </xf>
    <xf numFmtId="44" fontId="150" fillId="3" borderId="16" xfId="0" applyNumberFormat="1" applyFont="1" applyFill="1" applyBorder="1" applyAlignment="1">
      <alignment horizontal="right" vertical="center"/>
    </xf>
    <xf numFmtId="44" fontId="247" fillId="3" borderId="42" xfId="1" applyFont="1" applyFill="1" applyBorder="1" applyAlignment="1">
      <alignment vertical="center"/>
    </xf>
    <xf numFmtId="9" fontId="150" fillId="3" borderId="43" xfId="2" applyFont="1" applyFill="1" applyBorder="1" applyAlignment="1" applyProtection="1">
      <alignment horizontal="left" vertical="center" wrapText="1"/>
      <protection locked="0"/>
    </xf>
    <xf numFmtId="164" fontId="15" fillId="2" borderId="0" xfId="0" applyNumberFormat="1" applyFont="1" applyFill="1" applyAlignment="1">
      <alignment horizontal="left" vertical="center" wrapText="1"/>
    </xf>
    <xf numFmtId="0" fontId="217" fillId="24" borderId="41" xfId="0" applyFont="1" applyFill="1" applyBorder="1" applyAlignment="1">
      <alignment horizontal="left" vertical="center"/>
    </xf>
    <xf numFmtId="0" fontId="224" fillId="24" borderId="44" xfId="0" applyFont="1" applyFill="1" applyBorder="1" applyAlignment="1">
      <alignment horizontal="center" vertical="center"/>
    </xf>
    <xf numFmtId="164" fontId="150" fillId="3" borderId="45" xfId="0" applyNumberFormat="1" applyFont="1" applyFill="1" applyBorder="1" applyAlignment="1" applyProtection="1">
      <alignment horizontal="left" vertical="center" wrapText="1"/>
      <protection locked="0"/>
    </xf>
    <xf numFmtId="9" fontId="150" fillId="3" borderId="44" xfId="2" applyFont="1" applyFill="1" applyBorder="1" applyAlignment="1" applyProtection="1">
      <alignment horizontal="center" vertical="center" wrapText="1"/>
      <protection locked="0"/>
    </xf>
    <xf numFmtId="0" fontId="150" fillId="3" borderId="40" xfId="0" applyFont="1" applyFill="1" applyBorder="1" applyAlignment="1">
      <alignment horizontal="center" vertical="center"/>
    </xf>
    <xf numFmtId="0" fontId="150" fillId="3" borderId="17" xfId="0" applyFont="1" applyFill="1" applyBorder="1" applyAlignment="1">
      <alignment horizontal="center" vertical="center"/>
    </xf>
    <xf numFmtId="0" fontId="150" fillId="3" borderId="26" xfId="0" applyFont="1" applyFill="1" applyBorder="1" applyAlignment="1">
      <alignment horizontal="left" vertical="center" indent="1"/>
    </xf>
    <xf numFmtId="0" fontId="150" fillId="3" borderId="26" xfId="0" applyFont="1" applyFill="1" applyBorder="1" applyAlignment="1">
      <alignment vertical="center"/>
    </xf>
    <xf numFmtId="49" fontId="185" fillId="3" borderId="0" xfId="0" applyNumberFormat="1" applyFont="1" applyFill="1" applyAlignment="1">
      <alignment horizontal="left" vertical="center"/>
    </xf>
    <xf numFmtId="49" fontId="186" fillId="2" borderId="0" xfId="0" applyNumberFormat="1" applyFont="1" applyFill="1" applyAlignment="1">
      <alignment horizontal="left" vertical="center" wrapText="1"/>
    </xf>
    <xf numFmtId="172" fontId="132" fillId="3" borderId="15" xfId="0" applyNumberFormat="1" applyFont="1" applyFill="1" applyBorder="1" applyAlignment="1">
      <alignment horizontal="right" vertical="center"/>
    </xf>
    <xf numFmtId="44" fontId="17" fillId="3" borderId="12" xfId="0" applyNumberFormat="1" applyFont="1" applyFill="1" applyBorder="1" applyAlignment="1">
      <alignment horizontal="right" vertical="center"/>
    </xf>
    <xf numFmtId="44" fontId="17" fillId="3" borderId="12" xfId="1" applyFont="1" applyFill="1" applyBorder="1" applyAlignment="1">
      <alignment horizontal="right" vertical="center"/>
    </xf>
    <xf numFmtId="1" fontId="24" fillId="24" borderId="8" xfId="0" applyNumberFormat="1" applyFont="1" applyFill="1" applyBorder="1" applyAlignment="1">
      <alignment vertical="center" wrapText="1"/>
    </xf>
    <xf numFmtId="0" fontId="218" fillId="24" borderId="16" xfId="0" applyFont="1" applyFill="1" applyBorder="1" applyAlignment="1">
      <alignment vertical="center"/>
    </xf>
    <xf numFmtId="0" fontId="218" fillId="24" borderId="15" xfId="0" applyFont="1" applyFill="1" applyBorder="1" applyAlignment="1">
      <alignment horizontal="center" vertical="center"/>
    </xf>
    <xf numFmtId="0" fontId="220" fillId="24" borderId="8" xfId="0" applyFont="1" applyFill="1" applyBorder="1" applyAlignment="1">
      <alignment vertical="center"/>
    </xf>
    <xf numFmtId="0" fontId="213" fillId="24" borderId="8" xfId="0" applyFont="1" applyFill="1" applyBorder="1" applyAlignment="1">
      <alignment horizontal="center" vertical="center"/>
    </xf>
    <xf numFmtId="0" fontId="213" fillId="24" borderId="15" xfId="0" applyFont="1" applyFill="1" applyBorder="1" applyAlignment="1">
      <alignment horizontal="center" vertical="center"/>
    </xf>
    <xf numFmtId="0" fontId="214" fillId="24" borderId="17" xfId="0" applyFont="1" applyFill="1" applyBorder="1" applyAlignment="1">
      <alignment vertical="center"/>
    </xf>
    <xf numFmtId="0" fontId="214" fillId="24" borderId="16" xfId="0" applyFont="1" applyFill="1" applyBorder="1" applyAlignment="1">
      <alignment horizontal="left" vertical="center"/>
    </xf>
    <xf numFmtId="44" fontId="214" fillId="24" borderId="15" xfId="1" applyFont="1" applyFill="1" applyBorder="1" applyAlignment="1">
      <alignment horizontal="left" vertical="center"/>
    </xf>
    <xf numFmtId="0" fontId="24" fillId="24" borderId="15" xfId="0" applyFont="1" applyFill="1" applyBorder="1" applyAlignment="1">
      <alignment vertical="center"/>
    </xf>
    <xf numFmtId="44" fontId="24" fillId="24" borderId="17" xfId="1" applyFont="1" applyFill="1" applyBorder="1" applyAlignment="1">
      <alignment horizontal="center" vertical="center" wrapText="1"/>
    </xf>
    <xf numFmtId="0" fontId="25" fillId="24" borderId="8" xfId="0" applyFont="1" applyFill="1" applyBorder="1" applyAlignment="1">
      <alignment vertical="center"/>
    </xf>
    <xf numFmtId="164" fontId="188" fillId="24" borderId="17" xfId="2" applyNumberFormat="1" applyFont="1" applyFill="1" applyBorder="1" applyAlignment="1">
      <alignment horizontal="center" vertical="center" wrapText="1"/>
    </xf>
    <xf numFmtId="0" fontId="188" fillId="24" borderId="15" xfId="0" applyFont="1" applyFill="1" applyBorder="1" applyAlignment="1">
      <alignment horizontal="center" vertical="center" wrapText="1"/>
    </xf>
    <xf numFmtId="0" fontId="24" fillId="24" borderId="15" xfId="0" applyFont="1" applyFill="1" applyBorder="1" applyAlignment="1">
      <alignment horizontal="left" vertical="center" wrapText="1"/>
    </xf>
    <xf numFmtId="1" fontId="153" fillId="6" borderId="13" xfId="0" applyNumberFormat="1" applyFont="1" applyFill="1" applyBorder="1" applyAlignment="1">
      <alignment vertical="center"/>
    </xf>
    <xf numFmtId="44" fontId="158" fillId="3" borderId="17" xfId="1" applyFont="1" applyFill="1" applyBorder="1" applyAlignment="1">
      <alignment vertical="center"/>
    </xf>
    <xf numFmtId="164" fontId="45" fillId="3" borderId="14" xfId="0" applyNumberFormat="1" applyFont="1" applyFill="1" applyBorder="1" applyAlignment="1" applyProtection="1">
      <alignment horizontal="left" vertical="center" wrapText="1"/>
      <protection locked="0"/>
    </xf>
    <xf numFmtId="9" fontId="153" fillId="3" borderId="47" xfId="2" applyFont="1" applyFill="1" applyBorder="1" applyAlignment="1" applyProtection="1">
      <alignment horizontal="left" vertical="center" wrapText="1"/>
      <protection locked="0"/>
    </xf>
    <xf numFmtId="0" fontId="153" fillId="3" borderId="13" xfId="0" applyFont="1" applyFill="1" applyBorder="1"/>
    <xf numFmtId="9" fontId="248" fillId="0" borderId="0" xfId="2" applyFont="1" applyAlignment="1">
      <alignment vertical="center" wrapText="1"/>
    </xf>
    <xf numFmtId="173" fontId="6" fillId="2" borderId="0" xfId="2" applyNumberFormat="1" applyFont="1" applyFill="1"/>
    <xf numFmtId="173" fontId="6" fillId="2" borderId="0" xfId="0" applyNumberFormat="1" applyFont="1" applyFill="1"/>
    <xf numFmtId="173" fontId="9" fillId="2" borderId="0" xfId="1" applyNumberFormat="1" applyFont="1" applyFill="1"/>
    <xf numFmtId="173" fontId="9" fillId="2" borderId="0" xfId="2" applyNumberFormat="1" applyFont="1" applyFill="1"/>
    <xf numFmtId="173" fontId="208" fillId="0" borderId="0" xfId="0" applyNumberFormat="1" applyFont="1"/>
    <xf numFmtId="173" fontId="48" fillId="0" borderId="0" xfId="3" applyNumberFormat="1" applyAlignment="1">
      <alignment vertical="center"/>
    </xf>
    <xf numFmtId="173" fontId="16" fillId="2" borderId="0" xfId="2" applyNumberFormat="1" applyFont="1" applyFill="1" applyAlignment="1">
      <alignment vertical="center" wrapText="1"/>
    </xf>
    <xf numFmtId="173" fontId="207" fillId="0" borderId="0" xfId="0" applyNumberFormat="1" applyFont="1" applyAlignment="1">
      <alignment vertical="center"/>
    </xf>
    <xf numFmtId="173" fontId="16" fillId="2" borderId="0" xfId="1" applyNumberFormat="1" applyFont="1" applyFill="1" applyAlignment="1">
      <alignment vertical="center" wrapText="1"/>
    </xf>
    <xf numFmtId="173" fontId="16" fillId="0" borderId="0" xfId="2" applyNumberFormat="1" applyFont="1" applyAlignment="1">
      <alignment vertical="center" wrapText="1"/>
    </xf>
    <xf numFmtId="173" fontId="16" fillId="0" borderId="0" xfId="1" applyNumberFormat="1" applyFont="1" applyAlignment="1">
      <alignment vertical="center" wrapText="1"/>
    </xf>
    <xf numFmtId="173" fontId="16" fillId="2" borderId="0" xfId="1" applyNumberFormat="1" applyFont="1" applyFill="1" applyAlignment="1">
      <alignment horizontal="center" vertical="center"/>
    </xf>
    <xf numFmtId="173" fontId="16" fillId="2" borderId="0" xfId="2" applyNumberFormat="1" applyFont="1" applyFill="1"/>
    <xf numFmtId="173" fontId="16" fillId="2" borderId="0" xfId="1" applyNumberFormat="1" applyFont="1" applyFill="1" applyAlignment="1">
      <alignment vertical="center"/>
    </xf>
    <xf numFmtId="173" fontId="16" fillId="3" borderId="0" xfId="1" applyNumberFormat="1" applyFont="1" applyFill="1" applyAlignment="1">
      <alignment horizontal="center" vertical="center"/>
    </xf>
    <xf numFmtId="173" fontId="16" fillId="2" borderId="0" xfId="1" applyNumberFormat="1" applyFont="1" applyFill="1"/>
    <xf numFmtId="173" fontId="16" fillId="3" borderId="0" xfId="1" applyNumberFormat="1" applyFont="1" applyFill="1" applyAlignment="1">
      <alignment vertical="center"/>
    </xf>
    <xf numFmtId="173" fontId="16" fillId="2" borderId="0" xfId="1" applyNumberFormat="1" applyFont="1" applyFill="1" applyAlignment="1">
      <alignment horizontal="center"/>
    </xf>
    <xf numFmtId="173" fontId="17" fillId="3" borderId="0" xfId="0" applyNumberFormat="1" applyFont="1" applyFill="1" applyAlignment="1">
      <alignment vertical="center"/>
    </xf>
    <xf numFmtId="173" fontId="17" fillId="3" borderId="13" xfId="0" applyNumberFormat="1" applyFont="1" applyFill="1" applyBorder="1" applyAlignment="1">
      <alignment vertical="center"/>
    </xf>
    <xf numFmtId="173" fontId="236" fillId="24" borderId="38" xfId="1" applyNumberFormat="1" applyFont="1" applyFill="1" applyBorder="1" applyAlignment="1">
      <alignment horizontal="center" vertical="center" wrapText="1"/>
    </xf>
    <xf numFmtId="173" fontId="236" fillId="24" borderId="38" xfId="2" applyNumberFormat="1" applyFont="1" applyFill="1" applyBorder="1" applyAlignment="1">
      <alignment horizontal="center" vertical="center" wrapText="1"/>
    </xf>
    <xf numFmtId="173" fontId="236" fillId="24" borderId="79" xfId="1" applyNumberFormat="1" applyFont="1" applyFill="1" applyBorder="1" applyAlignment="1">
      <alignment horizontal="center" vertical="center" wrapText="1"/>
    </xf>
    <xf numFmtId="173" fontId="45" fillId="3" borderId="20" xfId="1" applyNumberFormat="1" applyFont="1" applyFill="1" applyBorder="1" applyAlignment="1">
      <alignment vertical="center"/>
    </xf>
    <xf numFmtId="173" fontId="45" fillId="3" borderId="92" xfId="0" applyNumberFormat="1" applyFont="1" applyFill="1" applyBorder="1" applyAlignment="1">
      <alignment vertical="center"/>
    </xf>
    <xf numFmtId="173" fontId="45" fillId="3" borderId="20" xfId="2" applyNumberFormat="1" applyFont="1" applyFill="1" applyBorder="1" applyAlignment="1">
      <alignment vertical="center"/>
    </xf>
    <xf numFmtId="173" fontId="45" fillId="3" borderId="111" xfId="1" applyNumberFormat="1" applyFont="1" applyFill="1" applyBorder="1" applyAlignment="1" applyProtection="1">
      <alignment vertical="center" wrapText="1"/>
      <protection locked="0"/>
    </xf>
    <xf numFmtId="173" fontId="45" fillId="3" borderId="15" xfId="0" applyNumberFormat="1" applyFont="1" applyFill="1" applyBorder="1" applyAlignment="1" applyProtection="1">
      <alignment horizontal="left" vertical="center" wrapText="1"/>
      <protection locked="0"/>
    </xf>
    <xf numFmtId="173" fontId="45" fillId="3" borderId="22" xfId="1" applyNumberFormat="1" applyFont="1" applyFill="1" applyBorder="1"/>
    <xf numFmtId="173" fontId="45" fillId="3" borderId="91" xfId="0" applyNumberFormat="1" applyFont="1" applyFill="1" applyBorder="1" applyAlignment="1">
      <alignment vertical="center"/>
    </xf>
    <xf numFmtId="173" fontId="45" fillId="3" borderId="47" xfId="1" applyNumberFormat="1" applyFont="1" applyFill="1" applyBorder="1"/>
    <xf numFmtId="173" fontId="157" fillId="3" borderId="20" xfId="1" applyNumberFormat="1" applyFont="1" applyFill="1" applyBorder="1"/>
    <xf numFmtId="173" fontId="153" fillId="3" borderId="111" xfId="1" applyNumberFormat="1" applyFont="1" applyFill="1" applyBorder="1" applyAlignment="1" applyProtection="1">
      <alignment vertical="center" wrapText="1"/>
      <protection locked="0"/>
    </xf>
    <xf numFmtId="173" fontId="153" fillId="3" borderId="15" xfId="0" applyNumberFormat="1" applyFont="1" applyFill="1" applyBorder="1" applyAlignment="1" applyProtection="1">
      <alignment horizontal="left" vertical="center" wrapText="1"/>
      <protection locked="0"/>
    </xf>
    <xf numFmtId="173" fontId="20" fillId="3" borderId="111" xfId="2" applyNumberFormat="1" applyFont="1" applyFill="1" applyBorder="1" applyAlignment="1" applyProtection="1">
      <alignment vertical="center" wrapText="1"/>
      <protection locked="0"/>
    </xf>
    <xf numFmtId="173" fontId="187" fillId="3" borderId="47" xfId="1" applyNumberFormat="1" applyFont="1" applyFill="1" applyBorder="1"/>
    <xf numFmtId="173" fontId="45" fillId="3" borderId="118" xfId="0" applyNumberFormat="1" applyFont="1" applyFill="1" applyBorder="1" applyAlignment="1">
      <alignment vertical="center"/>
    </xf>
    <xf numFmtId="173" fontId="45" fillId="3" borderId="12" xfId="2" applyNumberFormat="1" applyFont="1" applyFill="1" applyBorder="1" applyAlignment="1">
      <alignment vertical="center"/>
    </xf>
    <xf numFmtId="173" fontId="20" fillId="3" borderId="11" xfId="2" applyNumberFormat="1" applyFont="1" applyFill="1" applyBorder="1" applyAlignment="1" applyProtection="1">
      <alignment vertical="center" wrapText="1"/>
      <protection locked="0"/>
    </xf>
    <xf numFmtId="173" fontId="34" fillId="3" borderId="20" xfId="1" applyNumberFormat="1" applyFont="1" applyFill="1" applyBorder="1" applyAlignment="1">
      <alignment vertical="center"/>
    </xf>
    <xf numFmtId="173" fontId="34" fillId="3" borderId="111" xfId="1" applyNumberFormat="1" applyFont="1" applyFill="1" applyBorder="1" applyAlignment="1" applyProtection="1">
      <alignment vertical="center" wrapText="1"/>
      <protection locked="0"/>
    </xf>
    <xf numFmtId="173" fontId="34" fillId="3" borderId="12" xfId="0" applyNumberFormat="1" applyFont="1" applyFill="1" applyBorder="1" applyAlignment="1" applyProtection="1">
      <alignment horizontal="left" vertical="center" wrapText="1"/>
      <protection locked="0"/>
    </xf>
    <xf numFmtId="173" fontId="17" fillId="3" borderId="44" xfId="1" applyNumberFormat="1" applyFont="1" applyFill="1" applyBorder="1" applyAlignment="1">
      <alignment vertical="center"/>
    </xf>
    <xf numFmtId="173" fontId="17" fillId="3" borderId="100" xfId="0" applyNumberFormat="1" applyFont="1" applyFill="1" applyBorder="1" applyAlignment="1">
      <alignment vertical="center"/>
    </xf>
    <xf numFmtId="173" fontId="17" fillId="3" borderId="41" xfId="1" applyNumberFormat="1" applyFont="1" applyFill="1" applyBorder="1" applyAlignment="1" applyProtection="1">
      <alignment vertical="center" wrapText="1"/>
      <protection locked="0"/>
    </xf>
    <xf numFmtId="173" fontId="17" fillId="3" borderId="69" xfId="0" applyNumberFormat="1" applyFont="1" applyFill="1" applyBorder="1" applyAlignment="1" applyProtection="1">
      <alignment horizontal="left" vertical="center" wrapText="1"/>
      <protection locked="0"/>
    </xf>
    <xf numFmtId="173" fontId="24" fillId="24" borderId="69" xfId="1" applyNumberFormat="1" applyFont="1" applyFill="1" applyBorder="1" applyAlignment="1">
      <alignment horizontal="center" vertical="center" wrapText="1"/>
    </xf>
    <xf numFmtId="173" fontId="24" fillId="24" borderId="69" xfId="2" applyNumberFormat="1" applyFont="1" applyFill="1" applyBorder="1" applyAlignment="1">
      <alignment vertical="center" wrapText="1"/>
    </xf>
    <xf numFmtId="173" fontId="30" fillId="24" borderId="69" xfId="1" applyNumberFormat="1" applyFont="1" applyFill="1" applyBorder="1" applyAlignment="1" applyProtection="1">
      <alignment horizontal="center" vertical="center" wrapText="1"/>
    </xf>
    <xf numFmtId="173" fontId="25" fillId="24" borderId="5" xfId="0" applyNumberFormat="1" applyFont="1" applyFill="1" applyBorder="1" applyAlignment="1">
      <alignment vertical="center"/>
    </xf>
    <xf numFmtId="173" fontId="25" fillId="24" borderId="69" xfId="0" applyNumberFormat="1" applyFont="1" applyFill="1" applyBorder="1" applyAlignment="1">
      <alignment vertical="center"/>
    </xf>
    <xf numFmtId="173" fontId="34" fillId="3" borderId="92" xfId="4" applyNumberFormat="1" applyFont="1" applyFill="1" applyBorder="1" applyAlignment="1">
      <alignment vertical="center"/>
    </xf>
    <xf numFmtId="173" fontId="17" fillId="3" borderId="20" xfId="2" applyNumberFormat="1" applyFont="1" applyFill="1" applyBorder="1" applyAlignment="1">
      <alignment vertical="center"/>
    </xf>
    <xf numFmtId="173" fontId="17" fillId="3" borderId="44" xfId="2" applyNumberFormat="1" applyFont="1" applyFill="1" applyBorder="1" applyAlignment="1">
      <alignment vertical="center"/>
    </xf>
    <xf numFmtId="173" fontId="236" fillId="24" borderId="3" xfId="1" applyNumberFormat="1" applyFont="1" applyFill="1" applyBorder="1" applyAlignment="1">
      <alignment horizontal="center" vertical="center" wrapText="1"/>
    </xf>
    <xf numFmtId="173" fontId="236" fillId="24" borderId="3" xfId="2" applyNumberFormat="1" applyFont="1" applyFill="1" applyBorder="1" applyAlignment="1">
      <alignment horizontal="center" vertical="center" wrapText="1"/>
    </xf>
    <xf numFmtId="173" fontId="236" fillId="24" borderId="44" xfId="1" applyNumberFormat="1" applyFont="1" applyFill="1" applyBorder="1" applyAlignment="1">
      <alignment horizontal="center" vertical="center" wrapText="1"/>
    </xf>
    <xf numFmtId="173" fontId="45" fillId="3" borderId="92" xfId="4" applyNumberFormat="1" applyFont="1" applyFill="1" applyBorder="1" applyAlignment="1">
      <alignment vertical="center"/>
    </xf>
    <xf numFmtId="173" fontId="20" fillId="3" borderId="20" xfId="2" applyNumberFormat="1" applyFont="1" applyFill="1" applyBorder="1" applyAlignment="1">
      <alignment vertical="center"/>
    </xf>
    <xf numFmtId="173" fontId="45" fillId="3" borderId="12" xfId="0" applyNumberFormat="1" applyFont="1" applyFill="1" applyBorder="1" applyAlignment="1" applyProtection="1">
      <alignment horizontal="left" vertical="center" wrapText="1"/>
      <protection locked="0"/>
    </xf>
    <xf numFmtId="173" fontId="23" fillId="3" borderId="43" xfId="1" applyNumberFormat="1" applyFont="1" applyFill="1" applyBorder="1" applyAlignment="1">
      <alignment vertical="center"/>
    </xf>
    <xf numFmtId="173" fontId="45" fillId="3" borderId="100" xfId="4" applyNumberFormat="1" applyFont="1" applyFill="1" applyBorder="1" applyAlignment="1">
      <alignment vertical="center"/>
    </xf>
    <xf numFmtId="173" fontId="20" fillId="3" borderId="44" xfId="2" applyNumberFormat="1" applyFont="1" applyFill="1" applyBorder="1" applyAlignment="1">
      <alignment vertical="center"/>
    </xf>
    <xf numFmtId="173" fontId="45" fillId="3" borderId="41" xfId="1" applyNumberFormat="1" applyFont="1" applyFill="1" applyBorder="1" applyAlignment="1" applyProtection="1">
      <alignment vertical="center" wrapText="1"/>
      <protection locked="0"/>
    </xf>
    <xf numFmtId="173" fontId="45" fillId="3" borderId="69" xfId="0" applyNumberFormat="1" applyFont="1" applyFill="1" applyBorder="1" applyAlignment="1" applyProtection="1">
      <alignment horizontal="left" vertical="center" wrapText="1"/>
      <protection locked="0"/>
    </xf>
    <xf numFmtId="173" fontId="154" fillId="24" borderId="3" xfId="1" applyNumberFormat="1" applyFont="1" applyFill="1" applyBorder="1" applyAlignment="1">
      <alignment horizontal="center" vertical="center" wrapText="1"/>
    </xf>
    <xf numFmtId="173" fontId="154" fillId="24" borderId="3" xfId="2" applyNumberFormat="1" applyFont="1" applyFill="1" applyBorder="1" applyAlignment="1">
      <alignment horizontal="center" vertical="center" wrapText="1"/>
    </xf>
    <xf numFmtId="173" fontId="154" fillId="24" borderId="44" xfId="1" applyNumberFormat="1" applyFont="1" applyFill="1" applyBorder="1" applyAlignment="1">
      <alignment horizontal="center" vertical="center" wrapText="1"/>
    </xf>
    <xf numFmtId="173" fontId="45" fillId="3" borderId="100" xfId="0" applyNumberFormat="1" applyFont="1" applyFill="1" applyBorder="1" applyAlignment="1">
      <alignment vertical="center"/>
    </xf>
    <xf numFmtId="173" fontId="45" fillId="3" borderId="44" xfId="2" applyNumberFormat="1" applyFont="1" applyFill="1" applyBorder="1" applyAlignment="1">
      <alignment vertical="center"/>
    </xf>
    <xf numFmtId="173" fontId="20" fillId="3" borderId="20" xfId="1" applyNumberFormat="1" applyFont="1" applyFill="1" applyBorder="1"/>
    <xf numFmtId="173" fontId="20" fillId="3" borderId="43" xfId="1" applyNumberFormat="1" applyFont="1" applyFill="1" applyBorder="1"/>
    <xf numFmtId="173" fontId="20" fillId="3" borderId="43" xfId="2" applyNumberFormat="1" applyFont="1" applyFill="1" applyBorder="1" applyAlignment="1">
      <alignment vertical="center"/>
    </xf>
    <xf numFmtId="173" fontId="47" fillId="3" borderId="20" xfId="1" applyNumberFormat="1" applyFont="1" applyFill="1" applyBorder="1" applyAlignment="1">
      <alignment vertical="center"/>
    </xf>
    <xf numFmtId="173" fontId="20" fillId="3" borderId="20" xfId="1" applyNumberFormat="1" applyFont="1" applyFill="1" applyBorder="1" applyAlignment="1">
      <alignment vertical="center"/>
    </xf>
    <xf numFmtId="173" fontId="20" fillId="3" borderId="92" xfId="0" applyNumberFormat="1" applyFont="1" applyFill="1" applyBorder="1" applyAlignment="1">
      <alignment vertical="center"/>
    </xf>
    <xf numFmtId="173" fontId="20" fillId="3" borderId="26" xfId="0" applyNumberFormat="1" applyFont="1" applyFill="1" applyBorder="1" applyAlignment="1" applyProtection="1">
      <alignment horizontal="left" vertical="center" wrapText="1"/>
      <protection locked="0"/>
    </xf>
    <xf numFmtId="173" fontId="20" fillId="3" borderId="44" xfId="1" applyNumberFormat="1" applyFont="1" applyFill="1" applyBorder="1" applyAlignment="1">
      <alignment vertical="center"/>
    </xf>
    <xf numFmtId="173" fontId="20" fillId="3" borderId="100" xfId="0" applyNumberFormat="1" applyFont="1" applyFill="1" applyBorder="1" applyAlignment="1">
      <alignment vertical="center"/>
    </xf>
    <xf numFmtId="173" fontId="20" fillId="3" borderId="69" xfId="1" applyNumberFormat="1" applyFont="1" applyFill="1" applyBorder="1" applyAlignment="1" applyProtection="1">
      <alignment vertical="center" wrapText="1"/>
      <protection locked="0"/>
    </xf>
    <xf numFmtId="173" fontId="20" fillId="3" borderId="69" xfId="0" applyNumberFormat="1" applyFont="1" applyFill="1" applyBorder="1" applyAlignment="1" applyProtection="1">
      <alignment horizontal="left" vertical="center" wrapText="1"/>
      <protection locked="0"/>
    </xf>
    <xf numFmtId="173" fontId="45" fillId="24" borderId="44" xfId="1" applyNumberFormat="1" applyFont="1" applyFill="1" applyBorder="1"/>
    <xf numFmtId="173" fontId="45" fillId="24" borderId="100" xfId="0" applyNumberFormat="1" applyFont="1" applyFill="1" applyBorder="1" applyAlignment="1">
      <alignment vertical="center"/>
    </xf>
    <xf numFmtId="173" fontId="45" fillId="24" borderId="44" xfId="2" applyNumberFormat="1" applyFont="1" applyFill="1" applyBorder="1" applyAlignment="1">
      <alignment vertical="center"/>
    </xf>
    <xf numFmtId="173" fontId="45" fillId="24" borderId="41" xfId="1" applyNumberFormat="1" applyFont="1" applyFill="1" applyBorder="1" applyAlignment="1" applyProtection="1">
      <alignment vertical="center" wrapText="1"/>
      <protection locked="0"/>
    </xf>
    <xf numFmtId="173" fontId="45" fillId="24" borderId="44" xfId="0" applyNumberFormat="1" applyFont="1" applyFill="1" applyBorder="1" applyAlignment="1" applyProtection="1">
      <alignment horizontal="left" vertical="center" wrapText="1"/>
      <protection locked="0"/>
    </xf>
    <xf numFmtId="173" fontId="45" fillId="3" borderId="98" xfId="1" applyNumberFormat="1" applyFont="1" applyFill="1" applyBorder="1" applyAlignment="1">
      <alignment vertical="center"/>
    </xf>
    <xf numFmtId="173" fontId="20" fillId="3" borderId="111" xfId="1" applyNumberFormat="1" applyFont="1" applyFill="1" applyBorder="1" applyAlignment="1" applyProtection="1">
      <alignment vertical="center" wrapText="1"/>
      <protection locked="0"/>
    </xf>
    <xf numFmtId="173" fontId="20" fillId="3" borderId="22" xfId="1" applyNumberFormat="1" applyFont="1" applyFill="1" applyBorder="1" applyAlignment="1">
      <alignment vertical="center"/>
    </xf>
    <xf numFmtId="173" fontId="20" fillId="3" borderId="47" xfId="1" applyNumberFormat="1" applyFont="1" applyFill="1" applyBorder="1" applyAlignment="1">
      <alignment vertical="center"/>
    </xf>
    <xf numFmtId="173" fontId="20" fillId="3" borderId="11" xfId="1" applyNumberFormat="1" applyFont="1" applyFill="1" applyBorder="1" applyAlignment="1" applyProtection="1">
      <alignment vertical="center" wrapText="1"/>
      <protection locked="0"/>
    </xf>
    <xf numFmtId="173" fontId="45" fillId="0" borderId="12" xfId="0" applyNumberFormat="1" applyFont="1" applyBorder="1" applyAlignment="1" applyProtection="1">
      <alignment horizontal="left" vertical="center" wrapText="1"/>
      <protection locked="0"/>
    </xf>
    <xf numFmtId="173" fontId="45" fillId="0" borderId="15" xfId="0" applyNumberFormat="1" applyFont="1" applyBorder="1" applyAlignment="1" applyProtection="1">
      <alignment horizontal="left" vertical="center" wrapText="1"/>
      <protection locked="0"/>
    </xf>
    <xf numFmtId="173" fontId="23" fillId="3" borderId="33" xfId="1" applyNumberFormat="1" applyFont="1" applyFill="1" applyBorder="1" applyAlignment="1">
      <alignment vertical="center"/>
    </xf>
    <xf numFmtId="173" fontId="45" fillId="3" borderId="18" xfId="1" applyNumberFormat="1" applyFont="1" applyFill="1" applyBorder="1" applyAlignment="1" applyProtection="1">
      <alignment vertical="center" wrapText="1"/>
      <protection locked="0"/>
    </xf>
    <xf numFmtId="173" fontId="45" fillId="0" borderId="52" xfId="0" applyNumberFormat="1" applyFont="1" applyBorder="1" applyAlignment="1" applyProtection="1">
      <alignment horizontal="left" vertical="center" wrapText="1"/>
      <protection locked="0"/>
    </xf>
    <xf numFmtId="173" fontId="34" fillId="24" borderId="8" xfId="1" applyNumberFormat="1" applyFont="1" applyFill="1" applyBorder="1" applyAlignment="1">
      <alignment horizontal="center" vertical="center" wrapText="1"/>
    </xf>
    <xf numFmtId="173" fontId="34" fillId="24" borderId="8" xfId="2" applyNumberFormat="1" applyFont="1" applyFill="1" applyBorder="1" applyAlignment="1">
      <alignment vertical="center" wrapText="1"/>
    </xf>
    <xf numFmtId="173" fontId="245" fillId="24" borderId="8" xfId="1" applyNumberFormat="1" applyFont="1" applyFill="1" applyBorder="1" applyAlignment="1" applyProtection="1">
      <alignment horizontal="center" vertical="center" wrapText="1"/>
    </xf>
    <xf numFmtId="173" fontId="45" fillId="3" borderId="8" xfId="1" applyNumberFormat="1" applyFont="1" applyFill="1" applyBorder="1" applyAlignment="1" applyProtection="1">
      <alignment vertical="center" wrapText="1"/>
      <protection locked="0"/>
    </xf>
    <xf numFmtId="173" fontId="45" fillId="3" borderId="8" xfId="0" applyNumberFormat="1" applyFont="1" applyFill="1" applyBorder="1" applyAlignment="1" applyProtection="1">
      <alignment horizontal="left" vertical="center" wrapText="1"/>
      <protection locked="0"/>
    </xf>
    <xf numFmtId="173" fontId="20" fillId="5" borderId="33" xfId="1" applyNumberFormat="1" applyFont="1" applyFill="1" applyBorder="1" applyAlignment="1">
      <alignment vertical="center"/>
    </xf>
    <xf numFmtId="173" fontId="20" fillId="3" borderId="26" xfId="1" applyNumberFormat="1" applyFont="1" applyFill="1" applyBorder="1" applyAlignment="1">
      <alignment vertical="center"/>
    </xf>
    <xf numFmtId="173" fontId="20" fillId="3" borderId="94" xfId="0" applyNumberFormat="1" applyFont="1" applyFill="1" applyBorder="1" applyAlignment="1">
      <alignment vertical="center"/>
    </xf>
    <xf numFmtId="173" fontId="20" fillId="3" borderId="52" xfId="0" applyNumberFormat="1" applyFont="1" applyFill="1" applyBorder="1" applyAlignment="1" applyProtection="1">
      <alignment horizontal="left" vertical="center" wrapText="1"/>
      <protection locked="0"/>
    </xf>
    <xf numFmtId="173" fontId="45" fillId="24" borderId="15" xfId="1" applyNumberFormat="1" applyFont="1" applyFill="1" applyBorder="1"/>
    <xf numFmtId="173" fontId="45" fillId="24" borderId="139" xfId="0" applyNumberFormat="1" applyFont="1" applyFill="1" applyBorder="1" applyAlignment="1">
      <alignment vertical="center"/>
    </xf>
    <xf numFmtId="173" fontId="45" fillId="24" borderId="16" xfId="1" applyNumberFormat="1" applyFont="1" applyFill="1" applyBorder="1" applyAlignment="1" applyProtection="1">
      <alignment vertical="center" wrapText="1"/>
      <protection locked="0"/>
    </xf>
    <xf numFmtId="173" fontId="45" fillId="24" borderId="15" xfId="0" applyNumberFormat="1" applyFont="1" applyFill="1" applyBorder="1" applyAlignment="1" applyProtection="1">
      <alignment horizontal="left" vertical="center" wrapText="1"/>
      <protection locked="0"/>
    </xf>
    <xf numFmtId="173" fontId="20" fillId="3" borderId="43" xfId="1" applyNumberFormat="1" applyFont="1" applyFill="1" applyBorder="1" applyAlignment="1">
      <alignment vertical="center"/>
    </xf>
    <xf numFmtId="173" fontId="20" fillId="3" borderId="41" xfId="1" applyNumberFormat="1" applyFont="1" applyFill="1" applyBorder="1" applyAlignment="1" applyProtection="1">
      <alignment vertical="center" wrapText="1"/>
      <protection locked="0"/>
    </xf>
    <xf numFmtId="173" fontId="150" fillId="24" borderId="44" xfId="1" applyNumberFormat="1" applyFont="1" applyFill="1" applyBorder="1" applyAlignment="1">
      <alignment horizontal="center" vertical="center" wrapText="1"/>
    </xf>
    <xf numFmtId="173" fontId="150" fillId="24" borderId="44" xfId="2" applyNumberFormat="1" applyFont="1" applyFill="1" applyBorder="1" applyAlignment="1">
      <alignment vertical="center" wrapText="1"/>
    </xf>
    <xf numFmtId="173" fontId="204" fillId="24" borderId="44" xfId="1" applyNumberFormat="1" applyFont="1" applyFill="1" applyBorder="1" applyAlignment="1" applyProtection="1">
      <alignment horizontal="center" vertical="center" wrapText="1"/>
    </xf>
    <xf numFmtId="173" fontId="150" fillId="24" borderId="3" xfId="0" applyNumberFormat="1" applyFont="1" applyFill="1" applyBorder="1"/>
    <xf numFmtId="173" fontId="150" fillId="24" borderId="12" xfId="0" applyNumberFormat="1" applyFont="1" applyFill="1" applyBorder="1"/>
    <xf numFmtId="173" fontId="187" fillId="3" borderId="33" xfId="1" applyNumberFormat="1" applyFont="1" applyFill="1" applyBorder="1"/>
    <xf numFmtId="173" fontId="45" fillId="3" borderId="94" xfId="0" applyNumberFormat="1" applyFont="1" applyFill="1" applyBorder="1" applyAlignment="1">
      <alignment vertical="center"/>
    </xf>
    <xf numFmtId="173" fontId="45" fillId="3" borderId="26" xfId="2" applyNumberFormat="1" applyFont="1" applyFill="1" applyBorder="1" applyAlignment="1">
      <alignment vertical="center"/>
    </xf>
    <xf numFmtId="173" fontId="20" fillId="3" borderId="18" xfId="2" applyNumberFormat="1" applyFont="1" applyFill="1" applyBorder="1" applyAlignment="1" applyProtection="1">
      <alignment vertical="center" wrapText="1"/>
      <protection locked="0"/>
    </xf>
    <xf numFmtId="173" fontId="45" fillId="27" borderId="52" xfId="0" applyNumberFormat="1" applyFont="1" applyFill="1" applyBorder="1" applyAlignment="1" applyProtection="1">
      <alignment horizontal="left" vertical="center" wrapText="1"/>
      <protection locked="0"/>
    </xf>
    <xf numFmtId="173" fontId="17" fillId="24" borderId="85" xfId="1" applyNumberFormat="1" applyFont="1" applyFill="1" applyBorder="1" applyAlignment="1">
      <alignment horizontal="center" vertical="center" wrapText="1"/>
    </xf>
    <xf numFmtId="173" fontId="17" fillId="24" borderId="69" xfId="1" applyNumberFormat="1" applyFont="1" applyFill="1" applyBorder="1" applyAlignment="1">
      <alignment horizontal="center" vertical="center" wrapText="1"/>
    </xf>
    <xf numFmtId="173" fontId="17" fillId="24" borderId="69" xfId="2" applyNumberFormat="1" applyFont="1" applyFill="1" applyBorder="1" applyAlignment="1">
      <alignment vertical="center" wrapText="1"/>
    </xf>
    <xf numFmtId="173" fontId="205" fillId="24" borderId="69" xfId="1" applyNumberFormat="1" applyFont="1" applyFill="1" applyBorder="1" applyAlignment="1" applyProtection="1">
      <alignment horizontal="center" vertical="center" wrapText="1"/>
    </xf>
    <xf numFmtId="173" fontId="43" fillId="24" borderId="5" xfId="0" applyNumberFormat="1" applyFont="1" applyFill="1" applyBorder="1" applyAlignment="1">
      <alignment vertical="center"/>
    </xf>
    <xf numFmtId="173" fontId="150" fillId="3" borderId="20" xfId="1" applyNumberFormat="1" applyFont="1" applyFill="1" applyBorder="1" applyAlignment="1">
      <alignment vertical="center"/>
    </xf>
    <xf numFmtId="173" fontId="150" fillId="3" borderId="92" xfId="0" applyNumberFormat="1" applyFont="1" applyFill="1" applyBorder="1" applyAlignment="1">
      <alignment vertical="center"/>
    </xf>
    <xf numFmtId="173" fontId="150" fillId="3" borderId="26" xfId="2" applyNumberFormat="1" applyFont="1" applyFill="1" applyBorder="1" applyAlignment="1">
      <alignment vertical="center"/>
    </xf>
    <xf numFmtId="173" fontId="150" fillId="3" borderId="15" xfId="1" applyNumberFormat="1" applyFont="1" applyFill="1" applyBorder="1" applyAlignment="1" applyProtection="1">
      <alignment vertical="center" wrapText="1"/>
      <protection locked="0"/>
    </xf>
    <xf numFmtId="173" fontId="150" fillId="3" borderId="52" xfId="0" applyNumberFormat="1" applyFont="1" applyFill="1" applyBorder="1" applyAlignment="1" applyProtection="1">
      <alignment horizontal="left" vertical="center" wrapText="1"/>
      <protection locked="0"/>
    </xf>
    <xf numFmtId="173" fontId="150" fillId="3" borderId="44" xfId="1" applyNumberFormat="1" applyFont="1" applyFill="1" applyBorder="1" applyAlignment="1">
      <alignment vertical="center"/>
    </xf>
    <xf numFmtId="173" fontId="150" fillId="3" borderId="100" xfId="0" applyNumberFormat="1" applyFont="1" applyFill="1" applyBorder="1" applyAlignment="1">
      <alignment vertical="center"/>
    </xf>
    <xf numFmtId="173" fontId="150" fillId="3" borderId="44" xfId="2" applyNumberFormat="1" applyFont="1" applyFill="1" applyBorder="1" applyAlignment="1">
      <alignment vertical="center"/>
    </xf>
    <xf numFmtId="173" fontId="150" fillId="3" borderId="69" xfId="1" applyNumberFormat="1" applyFont="1" applyFill="1" applyBorder="1" applyAlignment="1" applyProtection="1">
      <alignment vertical="center" wrapText="1"/>
      <protection locked="0"/>
    </xf>
    <xf numFmtId="173" fontId="150" fillId="3" borderId="69" xfId="0" applyNumberFormat="1" applyFont="1" applyFill="1" applyBorder="1" applyAlignment="1" applyProtection="1">
      <alignment horizontal="left" vertical="center" wrapText="1"/>
      <protection locked="0"/>
    </xf>
    <xf numFmtId="173" fontId="24" fillId="24" borderId="44" xfId="1" applyNumberFormat="1" applyFont="1" applyFill="1" applyBorder="1" applyAlignment="1">
      <alignment horizontal="center" vertical="center" wrapText="1"/>
    </xf>
    <xf numFmtId="173" fontId="24" fillId="24" borderId="44" xfId="2" applyNumberFormat="1" applyFont="1" applyFill="1" applyBorder="1" applyAlignment="1">
      <alignment vertical="center" wrapText="1"/>
    </xf>
    <xf numFmtId="173" fontId="30" fillId="24" borderId="44" xfId="1" applyNumberFormat="1" applyFont="1" applyFill="1" applyBorder="1" applyAlignment="1" applyProtection="1">
      <alignment horizontal="center" vertical="center" wrapText="1"/>
    </xf>
    <xf numFmtId="173" fontId="25" fillId="24" borderId="3" xfId="0" applyNumberFormat="1" applyFont="1" applyFill="1" applyBorder="1" applyAlignment="1">
      <alignment vertical="center"/>
    </xf>
    <xf numFmtId="173" fontId="25" fillId="24" borderId="44" xfId="0" applyNumberFormat="1" applyFont="1" applyFill="1" applyBorder="1" applyAlignment="1">
      <alignment vertical="center"/>
    </xf>
    <xf numFmtId="173" fontId="157" fillId="3" borderId="20" xfId="1" applyNumberFormat="1" applyFont="1" applyFill="1" applyBorder="1" applyAlignment="1">
      <alignment vertical="center"/>
    </xf>
    <xf numFmtId="173" fontId="157" fillId="3" borderId="20" xfId="2" applyNumberFormat="1" applyFont="1" applyFill="1" applyBorder="1" applyAlignment="1">
      <alignment vertical="center"/>
    </xf>
    <xf numFmtId="173" fontId="157" fillId="3" borderId="15" xfId="0" applyNumberFormat="1" applyFont="1" applyFill="1" applyBorder="1" applyAlignment="1" applyProtection="1">
      <alignment horizontal="left" vertical="center" wrapText="1"/>
      <protection locked="0"/>
    </xf>
    <xf numFmtId="173" fontId="157" fillId="3" borderId="43" xfId="1" applyNumberFormat="1" applyFont="1" applyFill="1" applyBorder="1"/>
    <xf numFmtId="173" fontId="153" fillId="3" borderId="112" xfId="1" applyNumberFormat="1" applyFont="1" applyFill="1" applyBorder="1" applyAlignment="1" applyProtection="1">
      <alignment vertical="center" wrapText="1"/>
      <protection locked="0"/>
    </xf>
    <xf numFmtId="173" fontId="24" fillId="24" borderId="79" xfId="1" applyNumberFormat="1" applyFont="1" applyFill="1" applyBorder="1" applyAlignment="1">
      <alignment horizontal="center" vertical="center" wrapText="1"/>
    </xf>
    <xf numFmtId="173" fontId="24" fillId="24" borderId="79" xfId="2" applyNumberFormat="1" applyFont="1" applyFill="1" applyBorder="1" applyAlignment="1">
      <alignment vertical="center" wrapText="1"/>
    </xf>
    <xf numFmtId="173" fontId="30" fillId="24" borderId="79" xfId="1" applyNumberFormat="1" applyFont="1" applyFill="1" applyBorder="1" applyAlignment="1" applyProtection="1">
      <alignment horizontal="center" vertical="center" wrapText="1"/>
    </xf>
    <xf numFmtId="173" fontId="25" fillId="24" borderId="38" xfId="0" applyNumberFormat="1" applyFont="1" applyFill="1" applyBorder="1" applyAlignment="1">
      <alignment vertical="center"/>
    </xf>
    <xf numFmtId="173" fontId="25" fillId="24" borderId="15" xfId="0" applyNumberFormat="1" applyFont="1" applyFill="1" applyBorder="1" applyAlignment="1">
      <alignment vertical="center"/>
    </xf>
    <xf numFmtId="173" fontId="189" fillId="24" borderId="15" xfId="0" applyNumberFormat="1" applyFont="1" applyFill="1" applyBorder="1" applyAlignment="1">
      <alignment vertical="center"/>
    </xf>
    <xf numFmtId="173" fontId="157" fillId="3" borderId="43" xfId="1" applyNumberFormat="1" applyFont="1" applyFill="1" applyBorder="1" applyAlignment="1">
      <alignment vertical="center"/>
    </xf>
    <xf numFmtId="173" fontId="157" fillId="3" borderId="43" xfId="2" applyNumberFormat="1" applyFont="1" applyFill="1" applyBorder="1" applyAlignment="1">
      <alignment vertical="center"/>
    </xf>
    <xf numFmtId="173" fontId="153" fillId="3" borderId="41" xfId="1" applyNumberFormat="1" applyFont="1" applyFill="1" applyBorder="1" applyAlignment="1" applyProtection="1">
      <alignment vertical="center" wrapText="1"/>
      <protection locked="0"/>
    </xf>
    <xf numFmtId="173" fontId="20" fillId="3" borderId="15" xfId="0" applyNumberFormat="1" applyFont="1" applyFill="1" applyBorder="1" applyAlignment="1" applyProtection="1">
      <alignment horizontal="left" vertical="center" wrapText="1"/>
      <protection locked="0"/>
    </xf>
    <xf numFmtId="173" fontId="46" fillId="24" borderId="79" xfId="1" applyNumberFormat="1" applyFont="1" applyFill="1" applyBorder="1" applyAlignment="1">
      <alignment horizontal="center" vertical="center" wrapText="1"/>
    </xf>
    <xf numFmtId="173" fontId="46" fillId="24" borderId="79" xfId="2" applyNumberFormat="1" applyFont="1" applyFill="1" applyBorder="1" applyAlignment="1">
      <alignment vertical="center" wrapText="1"/>
    </xf>
    <xf numFmtId="173" fontId="195" fillId="24" borderId="79" xfId="1" applyNumberFormat="1" applyFont="1" applyFill="1" applyBorder="1" applyAlignment="1" applyProtection="1">
      <alignment horizontal="center" vertical="center" wrapText="1"/>
    </xf>
    <xf numFmtId="173" fontId="155" fillId="24" borderId="38" xfId="0" applyNumberFormat="1" applyFont="1" applyFill="1" applyBorder="1" applyAlignment="1">
      <alignment vertical="center"/>
    </xf>
    <xf numFmtId="173" fontId="155" fillId="24" borderId="15" xfId="0" applyNumberFormat="1" applyFont="1" applyFill="1" applyBorder="1" applyAlignment="1">
      <alignment vertical="center"/>
    </xf>
    <xf numFmtId="173" fontId="157" fillId="3" borderId="12" xfId="0" applyNumberFormat="1" applyFont="1" applyFill="1" applyBorder="1" applyAlignment="1" applyProtection="1">
      <alignment horizontal="left" vertical="center" wrapText="1"/>
      <protection locked="0"/>
    </xf>
    <xf numFmtId="173" fontId="189" fillId="24" borderId="69" xfId="0" applyNumberFormat="1" applyFont="1" applyFill="1" applyBorder="1" applyAlignment="1">
      <alignment vertical="center"/>
    </xf>
    <xf numFmtId="173" fontId="157" fillId="3" borderId="44" xfId="2" applyNumberFormat="1" applyFont="1" applyFill="1" applyBorder="1" applyAlignment="1">
      <alignment vertical="center"/>
    </xf>
    <xf numFmtId="173" fontId="157" fillId="3" borderId="69" xfId="0" applyNumberFormat="1" applyFont="1" applyFill="1" applyBorder="1" applyAlignment="1" applyProtection="1">
      <alignment horizontal="left" vertical="center" wrapText="1"/>
      <protection locked="0"/>
    </xf>
    <xf numFmtId="173" fontId="154" fillId="24" borderId="44" xfId="2" applyNumberFormat="1" applyFont="1" applyFill="1" applyBorder="1" applyAlignment="1">
      <alignment vertical="center" wrapText="1"/>
    </xf>
    <xf numFmtId="173" fontId="171" fillId="24" borderId="44" xfId="1" applyNumberFormat="1" applyFont="1" applyFill="1" applyBorder="1" applyAlignment="1" applyProtection="1">
      <alignment horizontal="center" vertical="center" wrapText="1"/>
    </xf>
    <xf numFmtId="173" fontId="154" fillId="24" borderId="3" xfId="0" applyNumberFormat="1" applyFont="1" applyFill="1" applyBorder="1"/>
    <xf numFmtId="173" fontId="153" fillId="3" borderId="20" xfId="1" applyNumberFormat="1" applyFont="1" applyFill="1" applyBorder="1" applyAlignment="1" applyProtection="1">
      <alignment vertical="center" wrapText="1"/>
      <protection locked="0"/>
    </xf>
    <xf numFmtId="173" fontId="153" fillId="3" borderId="20" xfId="0" applyNumberFormat="1" applyFont="1" applyFill="1" applyBorder="1" applyAlignment="1" applyProtection="1">
      <alignment horizontal="left" vertical="center" wrapText="1"/>
      <protection locked="0"/>
    </xf>
    <xf numFmtId="173" fontId="157" fillId="3" borderId="44" xfId="1" applyNumberFormat="1" applyFont="1" applyFill="1" applyBorder="1" applyAlignment="1">
      <alignment vertical="center"/>
    </xf>
    <xf numFmtId="173" fontId="153" fillId="3" borderId="44" xfId="1" applyNumberFormat="1" applyFont="1" applyFill="1" applyBorder="1" applyAlignment="1" applyProtection="1">
      <alignment vertical="center" wrapText="1"/>
      <protection locked="0"/>
    </xf>
    <xf numFmtId="173" fontId="153" fillId="3" borderId="43" xfId="0" applyNumberFormat="1" applyFont="1" applyFill="1" applyBorder="1" applyAlignment="1" applyProtection="1">
      <alignment horizontal="left" vertical="center" wrapText="1"/>
      <protection locked="0"/>
    </xf>
    <xf numFmtId="173" fontId="0" fillId="0" borderId="0" xfId="0" applyNumberFormat="1"/>
    <xf numFmtId="173" fontId="0" fillId="0" borderId="0" xfId="2" applyNumberFormat="1" applyFont="1"/>
    <xf numFmtId="173" fontId="0" fillId="2" borderId="0" xfId="0" applyNumberFormat="1" applyFill="1"/>
    <xf numFmtId="173" fontId="0" fillId="2" borderId="0" xfId="2" applyNumberFormat="1" applyFont="1" applyFill="1"/>
    <xf numFmtId="173" fontId="19" fillId="3" borderId="20" xfId="2" applyNumberFormat="1" applyFont="1" applyFill="1" applyBorder="1" applyAlignment="1">
      <alignment vertical="center"/>
    </xf>
    <xf numFmtId="173" fontId="19" fillId="3" borderId="20" xfId="1" applyNumberFormat="1" applyFont="1" applyFill="1" applyBorder="1" applyAlignment="1">
      <alignment vertical="center"/>
    </xf>
    <xf numFmtId="173" fontId="19" fillId="3" borderId="26" xfId="1" applyNumberFormat="1" applyFont="1" applyFill="1" applyBorder="1" applyAlignment="1" applyProtection="1">
      <alignment vertical="center" wrapText="1"/>
      <protection locked="0"/>
    </xf>
    <xf numFmtId="173" fontId="19" fillId="3" borderId="12" xfId="1" applyNumberFormat="1" applyFont="1" applyFill="1" applyBorder="1" applyAlignment="1">
      <alignment vertical="center"/>
    </xf>
    <xf numFmtId="173" fontId="19" fillId="3" borderId="12" xfId="2" applyNumberFormat="1" applyFont="1" applyFill="1" applyBorder="1" applyAlignment="1">
      <alignment vertical="center"/>
    </xf>
    <xf numFmtId="173" fontId="19" fillId="3" borderId="12" xfId="2" applyNumberFormat="1" applyFont="1" applyFill="1" applyBorder="1" applyAlignment="1" applyProtection="1">
      <alignment vertical="center" wrapText="1"/>
      <protection locked="0"/>
    </xf>
    <xf numFmtId="173" fontId="248" fillId="0" borderId="27" xfId="0" applyNumberFormat="1" applyFont="1" applyBorder="1" applyAlignment="1">
      <alignment vertical="center" wrapText="1"/>
    </xf>
    <xf numFmtId="173" fontId="19" fillId="3" borderId="22" xfId="2" applyNumberFormat="1" applyFont="1" applyFill="1" applyBorder="1" applyAlignment="1">
      <alignment vertical="center"/>
    </xf>
    <xf numFmtId="173" fontId="19" fillId="3" borderId="20" xfId="2" applyNumberFormat="1" applyFont="1" applyFill="1" applyBorder="1" applyAlignment="1" applyProtection="1">
      <alignment vertical="center" wrapText="1"/>
      <protection locked="0"/>
    </xf>
    <xf numFmtId="173" fontId="19" fillId="3" borderId="22" xfId="1" applyNumberFormat="1" applyFont="1" applyFill="1" applyBorder="1" applyAlignment="1">
      <alignment vertical="center"/>
    </xf>
    <xf numFmtId="173" fontId="19" fillId="3" borderId="33" xfId="1" applyNumberFormat="1" applyFont="1" applyFill="1" applyBorder="1" applyAlignment="1">
      <alignment vertical="center"/>
    </xf>
    <xf numFmtId="173" fontId="19" fillId="3" borderId="26" xfId="1" applyNumberFormat="1" applyFont="1" applyFill="1" applyBorder="1" applyAlignment="1">
      <alignment vertical="center"/>
    </xf>
    <xf numFmtId="173" fontId="19" fillId="6" borderId="22" xfId="1" applyNumberFormat="1" applyFont="1" applyFill="1" applyBorder="1" applyAlignment="1">
      <alignment vertical="center"/>
    </xf>
    <xf numFmtId="173" fontId="19" fillId="6" borderId="20" xfId="1" applyNumberFormat="1" applyFont="1" applyFill="1" applyBorder="1" applyAlignment="1">
      <alignment vertical="center"/>
    </xf>
    <xf numFmtId="173" fontId="19" fillId="6" borderId="20" xfId="2" applyNumberFormat="1" applyFont="1" applyFill="1" applyBorder="1" applyAlignment="1" applyProtection="1">
      <alignment vertical="center" wrapText="1"/>
      <protection locked="0"/>
    </xf>
    <xf numFmtId="173" fontId="19" fillId="3" borderId="47" xfId="1" applyNumberFormat="1" applyFont="1" applyFill="1" applyBorder="1" applyAlignment="1">
      <alignment vertical="center"/>
    </xf>
    <xf numFmtId="173" fontId="19" fillId="3" borderId="14" xfId="1" applyNumberFormat="1" applyFont="1" applyFill="1" applyBorder="1" applyAlignment="1">
      <alignment vertical="center"/>
    </xf>
    <xf numFmtId="173" fontId="19" fillId="6" borderId="22" xfId="2" applyNumberFormat="1" applyFont="1" applyFill="1" applyBorder="1" applyAlignment="1">
      <alignment vertical="center"/>
    </xf>
    <xf numFmtId="173" fontId="19" fillId="5" borderId="20" xfId="1" applyNumberFormat="1" applyFont="1" applyFill="1" applyBorder="1" applyAlignment="1">
      <alignment vertical="center"/>
    </xf>
    <xf numFmtId="173" fontId="19" fillId="3" borderId="33" xfId="2" applyNumberFormat="1" applyFont="1" applyFill="1" applyBorder="1" applyAlignment="1">
      <alignment vertical="center"/>
    </xf>
    <xf numFmtId="173" fontId="44" fillId="6" borderId="22" xfId="2" applyNumberFormat="1" applyFont="1" applyFill="1" applyBorder="1" applyAlignment="1">
      <alignment vertical="center"/>
    </xf>
    <xf numFmtId="173" fontId="44" fillId="6" borderId="20" xfId="1" applyNumberFormat="1" applyFont="1" applyFill="1" applyBorder="1" applyAlignment="1">
      <alignment vertical="center"/>
    </xf>
    <xf numFmtId="173" fontId="19" fillId="5" borderId="12" xfId="1" applyNumberFormat="1" applyFont="1" applyFill="1" applyBorder="1" applyAlignment="1">
      <alignment vertical="center"/>
    </xf>
    <xf numFmtId="173" fontId="50" fillId="3" borderId="33" xfId="2" applyNumberFormat="1" applyFont="1" applyFill="1" applyBorder="1" applyAlignment="1">
      <alignment vertical="center"/>
    </xf>
    <xf numFmtId="173" fontId="50" fillId="3" borderId="26" xfId="1" applyNumberFormat="1" applyFont="1" applyFill="1" applyBorder="1" applyAlignment="1">
      <alignment vertical="center"/>
    </xf>
    <xf numFmtId="173" fontId="50" fillId="3" borderId="20" xfId="1" applyNumberFormat="1" applyFont="1" applyFill="1" applyBorder="1" applyAlignment="1">
      <alignment vertical="center"/>
    </xf>
    <xf numFmtId="173" fontId="20" fillId="0" borderId="0" xfId="0" applyNumberFormat="1" applyFont="1" applyAlignment="1">
      <alignment vertical="center"/>
    </xf>
    <xf numFmtId="173" fontId="44" fillId="3" borderId="22" xfId="1" applyNumberFormat="1" applyFont="1" applyFill="1" applyBorder="1" applyAlignment="1">
      <alignment vertical="center"/>
    </xf>
    <xf numFmtId="173" fontId="44" fillId="3" borderId="20" xfId="1" applyNumberFormat="1" applyFont="1" applyFill="1" applyBorder="1" applyAlignment="1">
      <alignment vertical="center"/>
    </xf>
    <xf numFmtId="173" fontId="44" fillId="3" borderId="0" xfId="1" applyNumberFormat="1" applyFont="1" applyFill="1" applyBorder="1" applyAlignment="1">
      <alignment vertical="center"/>
    </xf>
    <xf numFmtId="173" fontId="162" fillId="0" borderId="28" xfId="1" applyNumberFormat="1" applyFont="1" applyFill="1" applyBorder="1" applyAlignment="1">
      <alignment vertical="center" wrapText="1"/>
    </xf>
    <xf numFmtId="173" fontId="19" fillId="0" borderId="0" xfId="0" applyNumberFormat="1" applyFont="1" applyAlignment="1">
      <alignment vertical="center"/>
    </xf>
    <xf numFmtId="173" fontId="19" fillId="0" borderId="0" xfId="1" applyNumberFormat="1" applyFont="1" applyFill="1" applyBorder="1" applyAlignment="1">
      <alignment vertical="center"/>
    </xf>
    <xf numFmtId="173" fontId="19" fillId="0" borderId="20" xfId="2" applyNumberFormat="1" applyFont="1" applyFill="1" applyBorder="1" applyAlignment="1" applyProtection="1">
      <alignment vertical="center" wrapText="1"/>
      <protection locked="0"/>
    </xf>
    <xf numFmtId="173" fontId="20" fillId="6" borderId="27" xfId="1" applyNumberFormat="1" applyFont="1" applyFill="1" applyBorder="1"/>
    <xf numFmtId="173" fontId="20" fillId="6" borderId="27" xfId="1" applyNumberFormat="1" applyFont="1" applyFill="1" applyBorder="1" applyAlignment="1">
      <alignment vertical="center"/>
    </xf>
    <xf numFmtId="173" fontId="20" fillId="6" borderId="20" xfId="1" applyNumberFormat="1" applyFont="1" applyFill="1" applyBorder="1" applyAlignment="1">
      <alignment vertical="center"/>
    </xf>
    <xf numFmtId="173" fontId="20" fillId="6" borderId="20" xfId="2" applyNumberFormat="1" applyFont="1" applyFill="1" applyBorder="1" applyAlignment="1" applyProtection="1">
      <alignment vertical="center" wrapText="1"/>
      <protection locked="0"/>
    </xf>
    <xf numFmtId="173" fontId="19" fillId="5" borderId="26" xfId="1" applyNumberFormat="1" applyFont="1" applyFill="1" applyBorder="1" applyAlignment="1">
      <alignment vertical="center"/>
    </xf>
    <xf numFmtId="173" fontId="19" fillId="3" borderId="26" xfId="2" applyNumberFormat="1" applyFont="1" applyFill="1" applyBorder="1" applyAlignment="1" applyProtection="1">
      <alignment vertical="center" wrapText="1"/>
      <protection locked="0"/>
    </xf>
    <xf numFmtId="173" fontId="19" fillId="3" borderId="33" xfId="0" applyNumberFormat="1" applyFont="1" applyFill="1" applyBorder="1" applyAlignment="1">
      <alignment vertical="center"/>
    </xf>
    <xf numFmtId="173" fontId="19" fillId="3" borderId="26" xfId="0" applyNumberFormat="1" applyFont="1" applyFill="1" applyBorder="1" applyAlignment="1">
      <alignment vertical="center"/>
    </xf>
    <xf numFmtId="173" fontId="19" fillId="3" borderId="22" xfId="0" applyNumberFormat="1" applyFont="1" applyFill="1" applyBorder="1" applyAlignment="1">
      <alignment vertical="center"/>
    </xf>
    <xf numFmtId="173" fontId="19" fillId="3" borderId="27" xfId="1" applyNumberFormat="1" applyFont="1" applyFill="1" applyBorder="1" applyAlignment="1">
      <alignment vertical="center"/>
    </xf>
    <xf numFmtId="173" fontId="19" fillId="3" borderId="0" xfId="0" applyNumberFormat="1" applyFont="1" applyFill="1" applyAlignment="1">
      <alignment vertical="center"/>
    </xf>
    <xf numFmtId="173" fontId="19" fillId="3" borderId="0" xfId="2" applyNumberFormat="1" applyFont="1" applyFill="1" applyBorder="1" applyAlignment="1">
      <alignment vertical="center"/>
    </xf>
    <xf numFmtId="173" fontId="19" fillId="5" borderId="0" xfId="1" applyNumberFormat="1" applyFont="1" applyFill="1" applyBorder="1" applyAlignment="1">
      <alignment vertical="center"/>
    </xf>
    <xf numFmtId="173" fontId="19" fillId="3" borderId="22" xfId="2" applyNumberFormat="1" applyFont="1" applyFill="1" applyBorder="1"/>
    <xf numFmtId="173" fontId="19" fillId="3" borderId="20" xfId="1" applyNumberFormat="1" applyFont="1" applyFill="1" applyBorder="1"/>
    <xf numFmtId="173" fontId="19" fillId="3" borderId="0" xfId="1" applyNumberFormat="1" applyFont="1" applyFill="1" applyBorder="1"/>
    <xf numFmtId="173" fontId="19" fillId="3" borderId="27" xfId="2" applyNumberFormat="1" applyFont="1" applyFill="1" applyBorder="1"/>
    <xf numFmtId="173" fontId="19" fillId="3" borderId="27" xfId="1" applyNumberFormat="1" applyFont="1" applyFill="1" applyBorder="1"/>
    <xf numFmtId="173" fontId="19" fillId="3" borderId="20" xfId="2" applyNumberFormat="1" applyFont="1" applyFill="1" applyBorder="1"/>
    <xf numFmtId="173" fontId="44" fillId="3" borderId="22" xfId="2" applyNumberFormat="1" applyFont="1" applyFill="1" applyBorder="1" applyAlignment="1">
      <alignment vertical="center"/>
    </xf>
    <xf numFmtId="173" fontId="44" fillId="6" borderId="22" xfId="1" applyNumberFormat="1" applyFont="1" applyFill="1" applyBorder="1" applyAlignment="1">
      <alignment vertical="center"/>
    </xf>
    <xf numFmtId="173" fontId="44" fillId="3" borderId="12" xfId="1" applyNumberFormat="1" applyFont="1" applyFill="1" applyBorder="1" applyAlignment="1">
      <alignment vertical="center"/>
    </xf>
    <xf numFmtId="173" fontId="44" fillId="3" borderId="12" xfId="2" applyNumberFormat="1" applyFont="1" applyFill="1" applyBorder="1" applyAlignment="1">
      <alignment vertical="center"/>
    </xf>
    <xf numFmtId="173" fontId="19" fillId="3" borderId="0" xfId="1" applyNumberFormat="1" applyFont="1" applyFill="1" applyBorder="1" applyAlignment="1">
      <alignment vertical="center"/>
    </xf>
    <xf numFmtId="173" fontId="19" fillId="3" borderId="27" xfId="2" applyNumberFormat="1" applyFont="1" applyFill="1" applyBorder="1" applyAlignment="1">
      <alignment vertical="center"/>
    </xf>
    <xf numFmtId="173" fontId="19" fillId="3" borderId="13" xfId="1" applyNumberFormat="1" applyFont="1" applyFill="1" applyBorder="1" applyAlignment="1">
      <alignment vertical="center"/>
    </xf>
    <xf numFmtId="173" fontId="19" fillId="3" borderId="14" xfId="2" applyNumberFormat="1" applyFont="1" applyFill="1" applyBorder="1" applyAlignment="1">
      <alignment vertical="center"/>
    </xf>
    <xf numFmtId="173" fontId="19" fillId="3" borderId="15" xfId="1" applyNumberFormat="1" applyFont="1" applyFill="1" applyBorder="1" applyAlignment="1">
      <alignment vertical="center"/>
    </xf>
    <xf numFmtId="173" fontId="19" fillId="3" borderId="15" xfId="2" applyNumberFormat="1" applyFont="1" applyFill="1" applyBorder="1" applyAlignment="1">
      <alignment vertical="center"/>
    </xf>
    <xf numFmtId="173" fontId="19" fillId="3" borderId="8" xfId="1" applyNumberFormat="1" applyFont="1" applyFill="1" applyBorder="1" applyAlignment="1">
      <alignment vertical="center"/>
    </xf>
    <xf numFmtId="173" fontId="19" fillId="3" borderId="43" xfId="1" applyNumberFormat="1" applyFont="1" applyFill="1" applyBorder="1" applyAlignment="1">
      <alignment vertical="center"/>
    </xf>
    <xf numFmtId="173" fontId="19" fillId="3" borderId="43" xfId="2" applyNumberFormat="1" applyFont="1" applyFill="1" applyBorder="1" applyAlignment="1">
      <alignment vertical="center"/>
    </xf>
    <xf numFmtId="173" fontId="19" fillId="3" borderId="44" xfId="1" applyNumberFormat="1" applyFont="1" applyFill="1" applyBorder="1" applyAlignment="1">
      <alignment vertical="center"/>
    </xf>
    <xf numFmtId="173" fontId="44" fillId="6" borderId="12" xfId="1" applyNumberFormat="1" applyFont="1" applyFill="1" applyBorder="1" applyAlignment="1">
      <alignment vertical="center"/>
    </xf>
    <xf numFmtId="173" fontId="19" fillId="3" borderId="20" xfId="2" applyNumberFormat="1" applyFont="1" applyFill="1" applyBorder="1" applyAlignment="1">
      <alignment horizontal="right" vertical="center"/>
    </xf>
    <xf numFmtId="173" fontId="19" fillId="29" borderId="22" xfId="2" applyNumberFormat="1" applyFont="1" applyFill="1" applyBorder="1" applyAlignment="1">
      <alignment vertical="center"/>
    </xf>
    <xf numFmtId="173" fontId="179" fillId="29" borderId="20" xfId="1" applyNumberFormat="1" applyFont="1" applyFill="1" applyBorder="1" applyAlignment="1">
      <alignment vertical="center"/>
    </xf>
    <xf numFmtId="173" fontId="179" fillId="5" borderId="20" xfId="1" applyNumberFormat="1" applyFont="1" applyFill="1" applyBorder="1" applyAlignment="1">
      <alignment vertical="center"/>
    </xf>
    <xf numFmtId="173" fontId="19" fillId="3" borderId="0" xfId="2" applyNumberFormat="1" applyFont="1" applyFill="1" applyBorder="1" applyAlignment="1" applyProtection="1">
      <alignment vertical="center" wrapText="1"/>
      <protection locked="0"/>
    </xf>
    <xf numFmtId="173" fontId="19" fillId="6" borderId="0" xfId="1" applyNumberFormat="1" applyFont="1" applyFill="1" applyBorder="1" applyAlignment="1">
      <alignment vertical="center"/>
    </xf>
    <xf numFmtId="173" fontId="19" fillId="6" borderId="27" xfId="1" applyNumberFormat="1" applyFont="1" applyFill="1" applyBorder="1" applyAlignment="1">
      <alignment vertical="center"/>
    </xf>
    <xf numFmtId="173" fontId="19" fillId="6" borderId="20" xfId="2" applyNumberFormat="1" applyFont="1" applyFill="1" applyBorder="1" applyAlignment="1">
      <alignment vertical="center"/>
    </xf>
    <xf numFmtId="173" fontId="50" fillId="3" borderId="12" xfId="2" applyNumberFormat="1" applyFont="1" applyFill="1" applyBorder="1" applyAlignment="1">
      <alignment vertical="center"/>
    </xf>
    <xf numFmtId="173" fontId="50" fillId="3" borderId="47" xfId="1" applyNumberFormat="1" applyFont="1" applyFill="1" applyBorder="1" applyAlignment="1">
      <alignment horizontal="left" vertical="center"/>
    </xf>
    <xf numFmtId="173" fontId="19" fillId="8" borderId="15" xfId="1" applyNumberFormat="1" applyFont="1" applyFill="1" applyBorder="1" applyAlignment="1">
      <alignment vertical="center"/>
    </xf>
    <xf numFmtId="173" fontId="19" fillId="3" borderId="50" xfId="2" applyNumberFormat="1" applyFont="1" applyFill="1" applyBorder="1" applyAlignment="1" applyProtection="1">
      <alignment vertical="center" wrapText="1"/>
      <protection locked="0"/>
    </xf>
    <xf numFmtId="173" fontId="19" fillId="3" borderId="15" xfId="2" applyNumberFormat="1" applyFont="1" applyFill="1" applyBorder="1" applyAlignment="1" applyProtection="1">
      <alignment vertical="center" wrapText="1"/>
      <protection locked="0"/>
    </xf>
    <xf numFmtId="173" fontId="19" fillId="5" borderId="44" xfId="1" applyNumberFormat="1" applyFont="1" applyFill="1" applyBorder="1" applyAlignment="1">
      <alignment vertical="center"/>
    </xf>
    <xf numFmtId="173" fontId="19" fillId="3" borderId="44" xfId="2" applyNumberFormat="1" applyFont="1" applyFill="1" applyBorder="1" applyAlignment="1" applyProtection="1">
      <alignment vertical="center" wrapText="1"/>
      <protection locked="0"/>
    </xf>
    <xf numFmtId="173" fontId="44" fillId="3" borderId="33" xfId="2" applyNumberFormat="1" applyFont="1" applyFill="1" applyBorder="1" applyAlignment="1">
      <alignment vertical="center"/>
    </xf>
    <xf numFmtId="173" fontId="44" fillId="3" borderId="33" xfId="1" applyNumberFormat="1" applyFont="1" applyFill="1" applyBorder="1" applyAlignment="1">
      <alignment vertical="center"/>
    </xf>
    <xf numFmtId="173" fontId="19" fillId="3" borderId="35" xfId="1" applyNumberFormat="1" applyFont="1" applyFill="1" applyBorder="1" applyAlignment="1">
      <alignment vertical="center"/>
    </xf>
    <xf numFmtId="173" fontId="19" fillId="3" borderId="35" xfId="2" applyNumberFormat="1" applyFont="1" applyFill="1" applyBorder="1" applyAlignment="1">
      <alignment vertical="center"/>
    </xf>
    <xf numFmtId="173" fontId="19" fillId="6" borderId="15" xfId="1" applyNumberFormat="1" applyFont="1" applyFill="1" applyBorder="1" applyAlignment="1">
      <alignment vertical="center"/>
    </xf>
    <xf numFmtId="173" fontId="19" fillId="6" borderId="15" xfId="2" applyNumberFormat="1" applyFont="1" applyFill="1" applyBorder="1" applyAlignment="1">
      <alignment vertical="center"/>
    </xf>
    <xf numFmtId="173" fontId="19" fillId="6" borderId="50" xfId="2" applyNumberFormat="1" applyFont="1" applyFill="1" applyBorder="1" applyAlignment="1" applyProtection="1">
      <alignment vertical="center" wrapText="1"/>
      <protection locked="0"/>
    </xf>
    <xf numFmtId="173" fontId="19" fillId="6" borderId="15" xfId="2" applyNumberFormat="1" applyFont="1" applyFill="1" applyBorder="1" applyAlignment="1" applyProtection="1">
      <alignment vertical="center" wrapText="1"/>
      <protection locked="0"/>
    </xf>
    <xf numFmtId="173" fontId="19" fillId="3" borderId="0" xfId="1" applyNumberFormat="1" applyFont="1" applyFill="1" applyBorder="1" applyAlignment="1" applyProtection="1">
      <alignment vertical="center" wrapText="1"/>
      <protection locked="0"/>
    </xf>
    <xf numFmtId="173" fontId="179" fillId="20" borderId="20" xfId="1" applyNumberFormat="1" applyFont="1" applyFill="1" applyBorder="1" applyAlignment="1">
      <alignment vertical="center"/>
    </xf>
    <xf numFmtId="173" fontId="44" fillId="5" borderId="27" xfId="1" applyNumberFormat="1" applyFont="1" applyFill="1" applyBorder="1" applyAlignment="1">
      <alignment vertical="center"/>
    </xf>
    <xf numFmtId="173" fontId="19" fillId="5" borderId="20" xfId="2" applyNumberFormat="1" applyFont="1" applyFill="1" applyBorder="1" applyAlignment="1" applyProtection="1">
      <alignment vertical="center" wrapText="1"/>
      <protection locked="0"/>
    </xf>
    <xf numFmtId="173" fontId="44" fillId="3" borderId="27" xfId="1" applyNumberFormat="1" applyFont="1" applyFill="1" applyBorder="1" applyAlignment="1">
      <alignment vertical="center"/>
    </xf>
    <xf numFmtId="173" fontId="44" fillId="3" borderId="26" xfId="1" applyNumberFormat="1" applyFont="1" applyFill="1" applyBorder="1" applyAlignment="1">
      <alignment vertical="center"/>
    </xf>
    <xf numFmtId="173" fontId="44" fillId="5" borderId="26" xfId="1" applyNumberFormat="1" applyFont="1" applyFill="1" applyBorder="1" applyAlignment="1">
      <alignment vertical="center"/>
    </xf>
    <xf numFmtId="173" fontId="44" fillId="6" borderId="0" xfId="1" applyNumberFormat="1" applyFont="1" applyFill="1" applyBorder="1" applyAlignment="1">
      <alignment vertical="center"/>
    </xf>
    <xf numFmtId="173" fontId="19" fillId="22" borderId="20" xfId="2" applyNumberFormat="1" applyFont="1" applyFill="1" applyBorder="1" applyAlignment="1">
      <alignment vertical="center"/>
    </xf>
    <xf numFmtId="173" fontId="19" fillId="3" borderId="20" xfId="1" applyNumberFormat="1" applyFont="1" applyFill="1" applyBorder="1" applyAlignment="1" applyProtection="1">
      <alignment vertical="center" wrapText="1"/>
      <protection locked="0"/>
    </xf>
    <xf numFmtId="173" fontId="19" fillId="3" borderId="29" xfId="2" applyNumberFormat="1" applyFont="1" applyFill="1" applyBorder="1" applyAlignment="1" applyProtection="1">
      <alignment vertical="center" wrapText="1"/>
      <protection locked="0"/>
    </xf>
    <xf numFmtId="173" fontId="19" fillId="3" borderId="27" xfId="0" applyNumberFormat="1" applyFont="1" applyFill="1" applyBorder="1" applyAlignment="1">
      <alignment horizontal="left" vertical="center"/>
    </xf>
    <xf numFmtId="173" fontId="19" fillId="3" borderId="13" xfId="2" applyNumberFormat="1" applyFont="1" applyFill="1" applyBorder="1" applyAlignment="1" applyProtection="1">
      <alignment vertical="center" wrapText="1"/>
      <protection locked="0"/>
    </xf>
    <xf numFmtId="173" fontId="19" fillId="3" borderId="8" xfId="2" applyNumberFormat="1" applyFont="1" applyFill="1" applyBorder="1" applyAlignment="1" applyProtection="1">
      <alignment vertical="center" wrapText="1"/>
      <protection locked="0"/>
    </xf>
    <xf numFmtId="173" fontId="19" fillId="3" borderId="0" xfId="2" applyNumberFormat="1" applyFont="1" applyFill="1" applyAlignment="1">
      <alignment vertical="center"/>
    </xf>
    <xf numFmtId="173" fontId="50" fillId="3" borderId="22" xfId="2" applyNumberFormat="1" applyFont="1" applyFill="1" applyBorder="1" applyAlignment="1">
      <alignment vertical="center"/>
    </xf>
    <xf numFmtId="173" fontId="50" fillId="3" borderId="22" xfId="1" applyNumberFormat="1" applyFont="1" applyFill="1" applyBorder="1" applyAlignment="1">
      <alignment vertical="center"/>
    </xf>
    <xf numFmtId="173" fontId="50" fillId="3" borderId="20" xfId="2" applyNumberFormat="1" applyFont="1" applyFill="1" applyBorder="1" applyAlignment="1" applyProtection="1">
      <alignment vertical="center" wrapText="1"/>
      <protection locked="0"/>
    </xf>
    <xf numFmtId="173" fontId="20" fillId="0" borderId="22" xfId="2" applyNumberFormat="1" applyFont="1" applyFill="1" applyBorder="1" applyAlignment="1">
      <alignment vertical="center"/>
    </xf>
    <xf numFmtId="173" fontId="20" fillId="0" borderId="22" xfId="1" applyNumberFormat="1" applyFont="1" applyFill="1" applyBorder="1" applyAlignment="1">
      <alignment vertical="center"/>
    </xf>
    <xf numFmtId="173" fontId="20" fillId="0" borderId="20" xfId="1" applyNumberFormat="1" applyFont="1" applyFill="1" applyBorder="1" applyAlignment="1">
      <alignment vertical="center"/>
    </xf>
    <xf numFmtId="173" fontId="20" fillId="0" borderId="20" xfId="2" applyNumberFormat="1" applyFont="1" applyFill="1" applyBorder="1" applyAlignment="1">
      <alignment vertical="center"/>
    </xf>
    <xf numFmtId="173" fontId="20" fillId="0" borderId="20" xfId="2" applyNumberFormat="1" applyFont="1" applyFill="1" applyBorder="1" applyAlignment="1" applyProtection="1">
      <alignment vertical="center" wrapText="1"/>
      <protection locked="0"/>
    </xf>
    <xf numFmtId="173" fontId="20" fillId="0" borderId="0" xfId="1" applyNumberFormat="1" applyFont="1" applyFill="1" applyBorder="1" applyAlignment="1">
      <alignment vertical="center"/>
    </xf>
    <xf numFmtId="173" fontId="19" fillId="3" borderId="26" xfId="1" applyNumberFormat="1" applyFont="1" applyFill="1" applyBorder="1"/>
    <xf numFmtId="173" fontId="206" fillId="3" borderId="22" xfId="2" applyNumberFormat="1" applyFont="1" applyFill="1" applyBorder="1"/>
    <xf numFmtId="173" fontId="206" fillId="3" borderId="20" xfId="1" applyNumberFormat="1" applyFont="1" applyFill="1" applyBorder="1"/>
    <xf numFmtId="173" fontId="52" fillId="0" borderId="20" xfId="1" applyNumberFormat="1" applyFont="1" applyFill="1" applyBorder="1" applyAlignment="1">
      <alignment vertical="center"/>
    </xf>
    <xf numFmtId="173" fontId="52" fillId="3" borderId="20" xfId="1" applyNumberFormat="1" applyFont="1" applyFill="1" applyBorder="1" applyAlignment="1">
      <alignment vertical="center"/>
    </xf>
    <xf numFmtId="173" fontId="206" fillId="3" borderId="20" xfId="1" applyNumberFormat="1" applyFont="1" applyFill="1" applyBorder="1" applyAlignment="1">
      <alignment vertical="center"/>
    </xf>
    <xf numFmtId="173" fontId="44" fillId="3" borderId="20" xfId="1" applyNumberFormat="1" applyFont="1" applyFill="1" applyBorder="1"/>
    <xf numFmtId="173" fontId="44" fillId="3" borderId="22" xfId="2" applyNumberFormat="1" applyFont="1" applyFill="1" applyBorder="1"/>
    <xf numFmtId="173" fontId="44" fillId="3" borderId="22" xfId="1" applyNumberFormat="1" applyFont="1" applyFill="1" applyBorder="1"/>
    <xf numFmtId="173" fontId="44" fillId="3" borderId="47" xfId="2" applyNumberFormat="1" applyFont="1" applyFill="1" applyBorder="1"/>
    <xf numFmtId="173" fontId="44" fillId="3" borderId="12" xfId="1" applyNumberFormat="1" applyFont="1" applyFill="1" applyBorder="1"/>
    <xf numFmtId="173" fontId="19" fillId="6" borderId="12" xfId="1" applyNumberFormat="1" applyFont="1" applyFill="1" applyBorder="1" applyAlignment="1">
      <alignment vertical="center"/>
    </xf>
    <xf numFmtId="173" fontId="44" fillId="6" borderId="22" xfId="1" applyNumberFormat="1" applyFont="1" applyFill="1" applyBorder="1"/>
    <xf numFmtId="173" fontId="44" fillId="6" borderId="22" xfId="2" applyNumberFormat="1" applyFont="1" applyFill="1" applyBorder="1"/>
    <xf numFmtId="173" fontId="19" fillId="6" borderId="27" xfId="2" applyNumberFormat="1" applyFont="1" applyFill="1" applyBorder="1" applyAlignment="1">
      <alignment vertical="center"/>
    </xf>
    <xf numFmtId="173" fontId="47" fillId="3" borderId="22" xfId="2" applyNumberFormat="1" applyFont="1" applyFill="1" applyBorder="1" applyAlignment="1">
      <alignment vertical="center"/>
    </xf>
    <xf numFmtId="173" fontId="47" fillId="3" borderId="22" xfId="1" applyNumberFormat="1" applyFont="1" applyFill="1" applyBorder="1" applyAlignment="1">
      <alignment vertical="center"/>
    </xf>
    <xf numFmtId="173" fontId="20" fillId="3" borderId="22" xfId="2" applyNumberFormat="1" applyFont="1" applyFill="1" applyBorder="1" applyAlignment="1">
      <alignment vertical="center"/>
    </xf>
    <xf numFmtId="173" fontId="47" fillId="3" borderId="33" xfId="2" applyNumberFormat="1" applyFont="1" applyFill="1" applyBorder="1" applyAlignment="1">
      <alignment vertical="center"/>
    </xf>
    <xf numFmtId="173" fontId="47" fillId="3" borderId="26" xfId="1" applyNumberFormat="1" applyFont="1" applyFill="1" applyBorder="1" applyAlignment="1">
      <alignment vertical="center"/>
    </xf>
    <xf numFmtId="173" fontId="47" fillId="3" borderId="15" xfId="1" applyNumberFormat="1" applyFont="1" applyFill="1" applyBorder="1" applyAlignment="1">
      <alignment vertical="center"/>
    </xf>
    <xf numFmtId="173" fontId="47" fillId="3" borderId="15" xfId="2" applyNumberFormat="1" applyFont="1" applyFill="1" applyBorder="1" applyAlignment="1">
      <alignment vertical="center"/>
    </xf>
    <xf numFmtId="173" fontId="19" fillId="3" borderId="15" xfId="1" applyNumberFormat="1" applyFont="1" applyFill="1" applyBorder="1" applyAlignment="1" applyProtection="1">
      <alignment vertical="center" wrapText="1"/>
      <protection locked="0"/>
    </xf>
    <xf numFmtId="173" fontId="47" fillId="3" borderId="69" xfId="2" applyNumberFormat="1" applyFont="1" applyFill="1" applyBorder="1" applyAlignment="1">
      <alignment vertical="center"/>
    </xf>
    <xf numFmtId="173" fontId="47" fillId="3" borderId="69" xfId="1" applyNumberFormat="1" applyFont="1" applyFill="1" applyBorder="1" applyAlignment="1">
      <alignment vertical="center"/>
    </xf>
    <xf numFmtId="173" fontId="19" fillId="5" borderId="26" xfId="2" applyNumberFormat="1" applyFont="1" applyFill="1" applyBorder="1" applyAlignment="1">
      <alignment vertical="center"/>
    </xf>
    <xf numFmtId="173" fontId="179" fillId="6" borderId="26" xfId="1" applyNumberFormat="1" applyFont="1" applyFill="1" applyBorder="1" applyAlignment="1">
      <alignment vertical="center"/>
    </xf>
    <xf numFmtId="173" fontId="19" fillId="5" borderId="33" xfId="2" applyNumberFormat="1" applyFont="1" applyFill="1" applyBorder="1" applyAlignment="1">
      <alignment vertical="center"/>
    </xf>
    <xf numFmtId="173" fontId="19" fillId="5" borderId="47" xfId="2" applyNumberFormat="1" applyFont="1" applyFill="1" applyBorder="1" applyAlignment="1">
      <alignment vertical="center"/>
    </xf>
    <xf numFmtId="173" fontId="179" fillId="6" borderId="12" xfId="1" applyNumberFormat="1" applyFont="1" applyFill="1" applyBorder="1" applyAlignment="1">
      <alignment vertical="center"/>
    </xf>
    <xf numFmtId="173" fontId="26" fillId="4" borderId="12" xfId="1" applyNumberFormat="1" applyFont="1" applyFill="1" applyBorder="1" applyAlignment="1">
      <alignment horizontal="center" vertical="center" wrapText="1"/>
    </xf>
    <xf numFmtId="173" fontId="24" fillId="4" borderId="52" xfId="1" applyNumberFormat="1" applyFont="1" applyFill="1" applyBorder="1" applyAlignment="1">
      <alignment vertical="center" wrapText="1"/>
    </xf>
    <xf numFmtId="173" fontId="24" fillId="4" borderId="52" xfId="1" applyNumberFormat="1" applyFont="1" applyFill="1" applyBorder="1" applyAlignment="1">
      <alignment horizontal="center" vertical="center" wrapText="1"/>
    </xf>
    <xf numFmtId="173" fontId="19" fillId="4" borderId="52" xfId="2" applyNumberFormat="1" applyFont="1" applyFill="1" applyBorder="1" applyAlignment="1" applyProtection="1">
      <alignment vertical="center" wrapText="1"/>
      <protection locked="0"/>
    </xf>
    <xf numFmtId="173" fontId="26" fillId="4" borderId="26" xfId="1" applyNumberFormat="1" applyFont="1" applyFill="1" applyBorder="1" applyAlignment="1">
      <alignment horizontal="center" vertical="center" wrapText="1"/>
    </xf>
    <xf numFmtId="173" fontId="17" fillId="6" borderId="13" xfId="1" applyNumberFormat="1" applyFont="1" applyFill="1" applyBorder="1" applyAlignment="1">
      <alignment horizontal="center" vertical="center" wrapText="1"/>
    </xf>
    <xf numFmtId="173" fontId="17" fillId="6" borderId="13" xfId="2" applyNumberFormat="1" applyFont="1" applyFill="1" applyBorder="1" applyAlignment="1">
      <alignment vertical="center" wrapText="1"/>
    </xf>
    <xf numFmtId="173" fontId="17" fillId="6" borderId="12" xfId="1" applyNumberFormat="1" applyFont="1" applyFill="1" applyBorder="1" applyAlignment="1">
      <alignment horizontal="center" vertical="center" wrapText="1"/>
    </xf>
    <xf numFmtId="173" fontId="19" fillId="3" borderId="0" xfId="0" applyNumberFormat="1" applyFont="1" applyFill="1"/>
    <xf numFmtId="173" fontId="19" fillId="3" borderId="0" xfId="2" applyNumberFormat="1" applyFont="1" applyFill="1"/>
    <xf numFmtId="173" fontId="17" fillId="6" borderId="0" xfId="1" applyNumberFormat="1" applyFont="1" applyFill="1" applyBorder="1" applyAlignment="1">
      <alignment horizontal="center" vertical="center" wrapText="1"/>
    </xf>
    <xf numFmtId="173" fontId="19" fillId="6" borderId="0" xfId="2" applyNumberFormat="1" applyFont="1" applyFill="1"/>
    <xf numFmtId="173" fontId="19" fillId="6" borderId="0" xfId="0" applyNumberFormat="1" applyFont="1" applyFill="1"/>
    <xf numFmtId="173" fontId="19" fillId="6" borderId="26" xfId="1" applyNumberFormat="1" applyFont="1" applyFill="1" applyBorder="1" applyAlignment="1">
      <alignment vertical="center"/>
    </xf>
    <xf numFmtId="173" fontId="52" fillId="0" borderId="22" xfId="2" applyNumberFormat="1" applyFont="1" applyFill="1" applyBorder="1" applyAlignment="1">
      <alignment vertical="center"/>
    </xf>
    <xf numFmtId="173" fontId="52" fillId="29" borderId="22" xfId="2" applyNumberFormat="1" applyFont="1" applyFill="1" applyBorder="1" applyAlignment="1">
      <alignment vertical="center"/>
    </xf>
    <xf numFmtId="173" fontId="19" fillId="29" borderId="22" xfId="1" applyNumberFormat="1" applyFont="1" applyFill="1" applyBorder="1" applyAlignment="1">
      <alignment vertical="center"/>
    </xf>
    <xf numFmtId="173" fontId="33" fillId="5" borderId="0" xfId="1" applyNumberFormat="1" applyFont="1" applyFill="1" applyBorder="1" applyAlignment="1">
      <alignment vertical="center"/>
    </xf>
    <xf numFmtId="173" fontId="33" fillId="5" borderId="0" xfId="2" applyNumberFormat="1" applyFont="1" applyFill="1" applyBorder="1" applyAlignment="1">
      <alignment vertical="center"/>
    </xf>
    <xf numFmtId="173" fontId="170" fillId="6" borderId="0" xfId="1" applyNumberFormat="1" applyFont="1" applyFill="1" applyBorder="1" applyAlignment="1">
      <alignment vertical="center" wrapText="1"/>
    </xf>
    <xf numFmtId="173" fontId="33" fillId="6" borderId="0" xfId="2" applyNumberFormat="1" applyFont="1" applyFill="1" applyBorder="1" applyAlignment="1">
      <alignment vertical="center"/>
    </xf>
    <xf numFmtId="173" fontId="33" fillId="6" borderId="0" xfId="1" applyNumberFormat="1" applyFont="1" applyFill="1" applyBorder="1" applyAlignment="1">
      <alignment vertical="center"/>
    </xf>
    <xf numFmtId="173" fontId="33" fillId="5" borderId="15" xfId="0" applyNumberFormat="1" applyFont="1" applyFill="1" applyBorder="1" applyAlignment="1">
      <alignment horizontal="left" vertical="center"/>
    </xf>
    <xf numFmtId="173" fontId="33" fillId="5" borderId="15" xfId="0" applyNumberFormat="1" applyFont="1" applyFill="1" applyBorder="1" applyAlignment="1">
      <alignment horizontal="right" vertical="center"/>
    </xf>
    <xf numFmtId="173" fontId="33" fillId="29" borderId="0" xfId="2" applyNumberFormat="1" applyFont="1" applyFill="1" applyBorder="1" applyAlignment="1">
      <alignment vertical="center"/>
    </xf>
    <xf numFmtId="173" fontId="33" fillId="29" borderId="0" xfId="1" applyNumberFormat="1" applyFont="1" applyFill="1" applyBorder="1" applyAlignment="1">
      <alignment vertical="center"/>
    </xf>
    <xf numFmtId="173" fontId="51" fillId="6" borderId="0" xfId="0" applyNumberFormat="1" applyFont="1" applyFill="1" applyAlignment="1">
      <alignment vertical="center" wrapText="1"/>
    </xf>
    <xf numFmtId="173" fontId="191" fillId="0" borderId="0" xfId="0" applyNumberFormat="1" applyFont="1" applyAlignment="1">
      <alignment vertical="center" wrapText="1"/>
    </xf>
    <xf numFmtId="173" fontId="52" fillId="23" borderId="12" xfId="2" applyNumberFormat="1" applyFont="1" applyFill="1" applyBorder="1" applyAlignment="1">
      <alignment vertical="center"/>
    </xf>
    <xf numFmtId="173" fontId="52" fillId="23" borderId="12" xfId="1" applyNumberFormat="1" applyFont="1" applyFill="1" applyBorder="1" applyAlignment="1">
      <alignment vertical="center"/>
    </xf>
    <xf numFmtId="173" fontId="20" fillId="6" borderId="0" xfId="1" applyNumberFormat="1" applyFont="1" applyFill="1" applyBorder="1" applyAlignment="1">
      <alignment vertical="center"/>
    </xf>
    <xf numFmtId="173" fontId="20" fillId="6" borderId="0" xfId="2" applyNumberFormat="1" applyFont="1" applyFill="1" applyBorder="1" applyAlignment="1">
      <alignment vertical="center"/>
    </xf>
    <xf numFmtId="173" fontId="175" fillId="6" borderId="0" xfId="0" applyNumberFormat="1" applyFont="1" applyFill="1" applyAlignment="1">
      <alignment vertical="center"/>
    </xf>
    <xf numFmtId="173" fontId="232" fillId="0" borderId="0" xfId="0" applyNumberFormat="1" applyFont="1" applyAlignment="1">
      <alignment horizontal="left" vertical="center"/>
    </xf>
    <xf numFmtId="173" fontId="20" fillId="6" borderId="3" xfId="1" applyNumberFormat="1" applyFont="1" applyFill="1" applyBorder="1" applyAlignment="1">
      <alignment vertical="center"/>
    </xf>
    <xf numFmtId="173" fontId="20" fillId="6" borderId="3" xfId="2" applyNumberFormat="1" applyFont="1" applyFill="1" applyBorder="1" applyAlignment="1">
      <alignment vertical="center"/>
    </xf>
    <xf numFmtId="173" fontId="177" fillId="0" borderId="3" xfId="0" applyNumberFormat="1" applyFont="1" applyBorder="1" applyAlignment="1">
      <alignment horizontal="left" vertical="center"/>
    </xf>
    <xf numFmtId="173" fontId="177" fillId="0" borderId="0" xfId="0" applyNumberFormat="1" applyFont="1" applyAlignment="1">
      <alignment horizontal="left" vertical="center"/>
    </xf>
    <xf numFmtId="173" fontId="19" fillId="2" borderId="0" xfId="0" applyNumberFormat="1" applyFont="1" applyFill="1"/>
    <xf numFmtId="173" fontId="19" fillId="2" borderId="0" xfId="2" applyNumberFormat="1" applyFont="1" applyFill="1"/>
    <xf numFmtId="173" fontId="19" fillId="2" borderId="3" xfId="1" applyNumberFormat="1" applyFont="1" applyFill="1" applyBorder="1"/>
    <xf numFmtId="173" fontId="19" fillId="2" borderId="3" xfId="2" applyNumberFormat="1" applyFont="1" applyFill="1" applyBorder="1"/>
    <xf numFmtId="173" fontId="19" fillId="2" borderId="0" xfId="1" applyNumberFormat="1" applyFont="1" applyFill="1" applyBorder="1"/>
    <xf numFmtId="173" fontId="19" fillId="2" borderId="0" xfId="2" applyNumberFormat="1" applyFont="1" applyFill="1" applyBorder="1"/>
    <xf numFmtId="173" fontId="19" fillId="3" borderId="0" xfId="2" applyNumberFormat="1" applyFont="1" applyFill="1" applyBorder="1"/>
    <xf numFmtId="173" fontId="0" fillId="6" borderId="0" xfId="0" applyNumberFormat="1" applyFill="1"/>
    <xf numFmtId="173" fontId="0" fillId="6" borderId="0" xfId="2" applyNumberFormat="1" applyFont="1" applyFill="1"/>
    <xf numFmtId="173" fontId="249" fillId="0" borderId="18" xfId="0" applyNumberFormat="1" applyFont="1" applyBorder="1" applyAlignment="1">
      <alignment vertical="center" wrapText="1"/>
    </xf>
    <xf numFmtId="44" fontId="111" fillId="0" borderId="0" xfId="1" applyFont="1" applyAlignment="1">
      <alignment vertical="center" wrapText="1"/>
    </xf>
    <xf numFmtId="173" fontId="250" fillId="0" borderId="0" xfId="1" applyNumberFormat="1" applyFont="1" applyAlignment="1">
      <alignment vertical="center" wrapText="1"/>
    </xf>
    <xf numFmtId="0" fontId="176" fillId="6" borderId="121" xfId="0" applyFont="1" applyFill="1" applyBorder="1" applyAlignment="1">
      <alignment horizontal="left" vertical="center"/>
    </xf>
    <xf numFmtId="0" fontId="176" fillId="6" borderId="121" xfId="0" applyFont="1" applyFill="1" applyBorder="1" applyAlignment="1">
      <alignment horizontal="left" vertical="center" indent="1"/>
    </xf>
    <xf numFmtId="0" fontId="17" fillId="6" borderId="134" xfId="0" applyFont="1" applyFill="1" applyBorder="1" applyAlignment="1">
      <alignment vertical="center"/>
    </xf>
    <xf numFmtId="0" fontId="16" fillId="3" borderId="125" xfId="0" applyFont="1" applyFill="1" applyBorder="1" applyAlignment="1">
      <alignment vertical="center"/>
    </xf>
    <xf numFmtId="0" fontId="17" fillId="6" borderId="125" xfId="0" applyFont="1" applyFill="1" applyBorder="1"/>
    <xf numFmtId="1" fontId="17" fillId="6" borderId="16" xfId="0" applyNumberFormat="1" applyFont="1" applyFill="1" applyBorder="1" applyAlignment="1">
      <alignment horizontal="right" vertical="center" wrapText="1"/>
    </xf>
    <xf numFmtId="0" fontId="130" fillId="6" borderId="144" xfId="0" applyFont="1" applyFill="1" applyBorder="1" applyAlignment="1">
      <alignment vertical="center"/>
    </xf>
    <xf numFmtId="0" fontId="130" fillId="6" borderId="145" xfId="0" applyFont="1" applyFill="1" applyBorder="1" applyAlignment="1">
      <alignment vertical="center"/>
    </xf>
    <xf numFmtId="0" fontId="131" fillId="6" borderId="145" xfId="0" applyFont="1" applyFill="1" applyBorder="1" applyAlignment="1">
      <alignment vertical="center"/>
    </xf>
    <xf numFmtId="0" fontId="130" fillId="6" borderId="132" xfId="0" applyFont="1" applyFill="1" applyBorder="1" applyAlignment="1">
      <alignment vertical="center"/>
    </xf>
    <xf numFmtId="0" fontId="17" fillId="6" borderId="132" xfId="0" applyFont="1" applyFill="1" applyBorder="1" applyAlignment="1">
      <alignment vertical="center"/>
    </xf>
    <xf numFmtId="0" fontId="20" fillId="6" borderId="132" xfId="0" applyFont="1" applyFill="1" applyBorder="1"/>
    <xf numFmtId="0" fontId="20" fillId="6" borderId="132" xfId="0" applyFont="1" applyFill="1" applyBorder="1" applyAlignment="1">
      <alignment horizontal="left" vertical="center"/>
    </xf>
    <xf numFmtId="164" fontId="20" fillId="6" borderId="145" xfId="0" applyNumberFormat="1" applyFont="1" applyFill="1" applyBorder="1" applyAlignment="1">
      <alignment horizontal="left" vertical="center"/>
    </xf>
    <xf numFmtId="44" fontId="20" fillId="6" borderId="146" xfId="0" applyNumberFormat="1" applyFont="1" applyFill="1" applyBorder="1" applyAlignment="1">
      <alignment horizontal="right" vertical="center"/>
    </xf>
    <xf numFmtId="44" fontId="17" fillId="6" borderId="8" xfId="1" applyFont="1" applyFill="1" applyBorder="1" applyAlignment="1">
      <alignment horizontal="center" vertical="center" wrapText="1"/>
    </xf>
    <xf numFmtId="173" fontId="17" fillId="6" borderId="8" xfId="1" applyNumberFormat="1" applyFont="1" applyFill="1" applyBorder="1" applyAlignment="1">
      <alignment horizontal="center" vertical="center" wrapText="1"/>
    </xf>
    <xf numFmtId="173" fontId="17" fillId="6" borderId="8" xfId="2" applyNumberFormat="1" applyFont="1" applyFill="1" applyBorder="1" applyAlignment="1">
      <alignment vertical="center" wrapText="1"/>
    </xf>
    <xf numFmtId="173" fontId="17" fillId="6" borderId="15" xfId="1" applyNumberFormat="1" applyFont="1" applyFill="1" applyBorder="1" applyAlignment="1">
      <alignment horizontal="center" vertical="center" wrapText="1"/>
    </xf>
    <xf numFmtId="164" fontId="17" fillId="6" borderId="8" xfId="1" applyNumberFormat="1" applyFont="1" applyFill="1" applyBorder="1" applyAlignment="1">
      <alignment horizontal="center" vertical="center" wrapText="1"/>
    </xf>
    <xf numFmtId="10" fontId="17" fillId="6" borderId="8" xfId="2" applyNumberFormat="1" applyFont="1" applyFill="1" applyBorder="1" applyAlignment="1">
      <alignment horizontal="center" vertical="center" wrapText="1"/>
    </xf>
    <xf numFmtId="0" fontId="17" fillId="6" borderId="17" xfId="0" applyFont="1" applyFill="1" applyBorder="1" applyAlignment="1">
      <alignment horizontal="left" vertical="center" wrapText="1"/>
    </xf>
    <xf numFmtId="0" fontId="43" fillId="6" borderId="8" xfId="0" applyFont="1" applyFill="1" applyBorder="1"/>
    <xf numFmtId="0" fontId="16" fillId="3" borderId="15" xfId="0" applyFont="1" applyFill="1" applyBorder="1" applyAlignment="1">
      <alignment horizontal="left" vertical="center"/>
    </xf>
    <xf numFmtId="0" fontId="16" fillId="3" borderId="15" xfId="0" applyFont="1" applyFill="1" applyBorder="1" applyAlignment="1">
      <alignment vertical="center"/>
    </xf>
    <xf numFmtId="0" fontId="17" fillId="6" borderId="15" xfId="0" applyFont="1" applyFill="1" applyBorder="1" applyAlignment="1">
      <alignment vertical="center"/>
    </xf>
    <xf numFmtId="0" fontId="16" fillId="6" borderId="15" xfId="0" applyFont="1" applyFill="1" applyBorder="1" applyAlignment="1">
      <alignment vertical="center"/>
    </xf>
    <xf numFmtId="0" fontId="16" fillId="6" borderId="15" xfId="0" applyFont="1" applyFill="1" applyBorder="1" applyAlignment="1">
      <alignment horizontal="center" vertical="center"/>
    </xf>
    <xf numFmtId="0" fontId="16" fillId="6" borderId="127" xfId="0" applyFont="1" applyFill="1" applyBorder="1" applyAlignment="1">
      <alignment horizontal="center" vertical="center"/>
    </xf>
    <xf numFmtId="44" fontId="17" fillId="6" borderId="16" xfId="1" applyFont="1" applyFill="1" applyBorder="1" applyAlignment="1">
      <alignment horizontal="right" vertical="center"/>
    </xf>
    <xf numFmtId="37" fontId="16" fillId="6" borderId="124" xfId="0" applyNumberFormat="1" applyFont="1" applyFill="1" applyBorder="1" applyAlignment="1">
      <alignment horizontal="center" vertical="center"/>
    </xf>
    <xf numFmtId="0" fontId="22" fillId="6" borderId="15" xfId="0" applyFont="1" applyFill="1" applyBorder="1" applyAlignment="1">
      <alignment vertical="center"/>
    </xf>
    <xf numFmtId="0" fontId="95" fillId="3" borderId="121" xfId="0" applyFont="1" applyFill="1" applyBorder="1" applyAlignment="1">
      <alignment horizontal="left" vertical="center"/>
    </xf>
    <xf numFmtId="44" fontId="95" fillId="3" borderId="121" xfId="0" applyNumberFormat="1" applyFont="1" applyFill="1" applyBorder="1" applyAlignment="1">
      <alignment horizontal="left" vertical="center"/>
    </xf>
    <xf numFmtId="0" fontId="16" fillId="3" borderId="121" xfId="0" applyFont="1" applyFill="1" applyBorder="1" applyAlignment="1">
      <alignment horizontal="left" vertical="center" indent="1"/>
    </xf>
    <xf numFmtId="0" fontId="17" fillId="6" borderId="121" xfId="0" applyFont="1" applyFill="1" applyBorder="1" applyAlignment="1">
      <alignment horizontal="left" vertical="center" indent="1"/>
    </xf>
    <xf numFmtId="0" fontId="209" fillId="24" borderId="8" xfId="0" applyFont="1" applyFill="1" applyBorder="1" applyAlignment="1">
      <alignment vertical="center"/>
    </xf>
    <xf numFmtId="0" fontId="228" fillId="24" borderId="15" xfId="0" applyFont="1" applyFill="1" applyBorder="1" applyAlignment="1">
      <alignment horizontal="center" vertical="center"/>
    </xf>
    <xf numFmtId="0" fontId="216" fillId="24" borderId="149" xfId="0" applyFont="1" applyFill="1" applyBorder="1" applyAlignment="1">
      <alignment horizontal="center" vertical="center"/>
    </xf>
    <xf numFmtId="0" fontId="209" fillId="24" borderId="8" xfId="0" applyFont="1" applyFill="1" applyBorder="1" applyAlignment="1">
      <alignment horizontal="center" vertical="center"/>
    </xf>
    <xf numFmtId="173" fontId="24" fillId="24" borderId="15" xfId="1" applyNumberFormat="1" applyFont="1" applyFill="1" applyBorder="1" applyAlignment="1">
      <alignment horizontal="center" vertical="center" wrapText="1"/>
    </xf>
    <xf numFmtId="173" fontId="24" fillId="24" borderId="15" xfId="2" applyNumberFormat="1" applyFont="1" applyFill="1" applyBorder="1" applyAlignment="1">
      <alignment vertical="center" wrapText="1"/>
    </xf>
    <xf numFmtId="173" fontId="30" fillId="24" borderId="15" xfId="1" applyNumberFormat="1" applyFont="1" applyFill="1" applyBorder="1" applyAlignment="1" applyProtection="1">
      <alignment horizontal="center" vertical="center" wrapText="1"/>
    </xf>
    <xf numFmtId="173" fontId="25" fillId="24" borderId="8" xfId="0" applyNumberFormat="1" applyFont="1" applyFill="1" applyBorder="1" applyAlignment="1">
      <alignment vertical="center"/>
    </xf>
    <xf numFmtId="0" fontId="211" fillId="24" borderId="41" xfId="0" applyFont="1" applyFill="1" applyBorder="1" applyAlignment="1">
      <alignment vertical="center"/>
    </xf>
    <xf numFmtId="0" fontId="216" fillId="24" borderId="45" xfId="0" applyFont="1" applyFill="1" applyBorder="1" applyAlignment="1">
      <alignment vertical="center"/>
    </xf>
    <xf numFmtId="0" fontId="34" fillId="24" borderId="45" xfId="0" applyFont="1" applyFill="1" applyBorder="1" applyAlignment="1">
      <alignment vertical="center"/>
    </xf>
    <xf numFmtId="1" fontId="238" fillId="21" borderId="13" xfId="0" applyNumberFormat="1" applyFont="1" applyFill="1" applyBorder="1" applyAlignment="1">
      <alignment vertical="center" wrapText="1"/>
    </xf>
    <xf numFmtId="37" fontId="238" fillId="21" borderId="11" xfId="0" applyNumberFormat="1" applyFont="1" applyFill="1" applyBorder="1" applyAlignment="1">
      <alignment horizontal="center" vertical="center"/>
    </xf>
    <xf numFmtId="0" fontId="212" fillId="28" borderId="13" xfId="0" applyFont="1" applyFill="1" applyBorder="1" applyAlignment="1">
      <alignment vertical="center"/>
    </xf>
    <xf numFmtId="44" fontId="212" fillId="28" borderId="13" xfId="0" applyNumberFormat="1" applyFont="1" applyFill="1" applyBorder="1" applyAlignment="1">
      <alignment horizontal="right" vertical="center"/>
    </xf>
    <xf numFmtId="44" fontId="190" fillId="21" borderId="13" xfId="0" applyNumberFormat="1" applyFont="1" applyFill="1" applyBorder="1" applyAlignment="1">
      <alignment horizontal="center" vertical="center" wrapText="1"/>
    </xf>
    <xf numFmtId="164" fontId="190" fillId="21" borderId="13" xfId="1" applyNumberFormat="1" applyFont="1" applyFill="1" applyBorder="1" applyAlignment="1" applyProtection="1">
      <alignment horizontal="center" vertical="center" wrapText="1"/>
    </xf>
    <xf numFmtId="44" fontId="238" fillId="21" borderId="12" xfId="1" applyFont="1" applyFill="1" applyBorder="1" applyAlignment="1" applyProtection="1">
      <alignment horizontal="center" vertical="center"/>
    </xf>
    <xf numFmtId="173" fontId="190" fillId="21" borderId="12" xfId="0" applyNumberFormat="1" applyFont="1" applyFill="1" applyBorder="1" applyAlignment="1">
      <alignment horizontal="center" vertical="center" wrapText="1"/>
    </xf>
    <xf numFmtId="173" fontId="190" fillId="21" borderId="12" xfId="2" applyNumberFormat="1" applyFont="1" applyFill="1" applyBorder="1" applyAlignment="1">
      <alignment horizontal="center" vertical="center" wrapText="1"/>
    </xf>
    <xf numFmtId="173" fontId="190" fillId="21" borderId="11" xfId="1" applyNumberFormat="1" applyFont="1" applyFill="1" applyBorder="1" applyAlignment="1">
      <alignment horizontal="center" vertical="center" wrapText="1"/>
    </xf>
    <xf numFmtId="173" fontId="190" fillId="21" borderId="12" xfId="1" applyNumberFormat="1" applyFont="1" applyFill="1" applyBorder="1" applyAlignment="1">
      <alignment horizontal="center" vertical="center" wrapText="1"/>
    </xf>
    <xf numFmtId="164" fontId="238" fillId="21" borderId="14" xfId="1" applyNumberFormat="1" applyFont="1" applyFill="1" applyBorder="1" applyAlignment="1" applyProtection="1">
      <alignment horizontal="center" vertical="center" wrapText="1"/>
    </xf>
    <xf numFmtId="9" fontId="238" fillId="21" borderId="12" xfId="2" applyFont="1" applyFill="1" applyBorder="1" applyAlignment="1" applyProtection="1">
      <alignment horizontal="center" vertical="center"/>
    </xf>
    <xf numFmtId="0" fontId="190" fillId="21" borderId="13" xfId="0" applyFont="1" applyFill="1" applyBorder="1"/>
    <xf numFmtId="0" fontId="238" fillId="21" borderId="12" xfId="0" applyFont="1" applyFill="1" applyBorder="1" applyAlignment="1">
      <alignment horizontal="left" vertical="center" wrapText="1"/>
    </xf>
    <xf numFmtId="164" fontId="17" fillId="6" borderId="145" xfId="0" applyNumberFormat="1" applyFont="1" applyFill="1" applyBorder="1" applyAlignment="1">
      <alignment horizontal="left" vertical="center"/>
    </xf>
    <xf numFmtId="44" fontId="17" fillId="6" borderId="150" xfId="0" applyNumberFormat="1" applyFont="1" applyFill="1" applyBorder="1" applyAlignment="1">
      <alignment horizontal="right" vertical="center"/>
    </xf>
    <xf numFmtId="0" fontId="17" fillId="6" borderId="3" xfId="0" applyFont="1" applyFill="1" applyBorder="1"/>
    <xf numFmtId="44" fontId="16" fillId="2" borderId="45" xfId="1" applyFont="1" applyFill="1" applyBorder="1" applyAlignment="1"/>
    <xf numFmtId="173" fontId="17" fillId="3" borderId="3" xfId="0" applyNumberFormat="1" applyFont="1" applyFill="1" applyBorder="1" applyAlignment="1">
      <alignment vertical="center"/>
    </xf>
    <xf numFmtId="173" fontId="17" fillId="3" borderId="3" xfId="2" applyNumberFormat="1" applyFont="1" applyFill="1" applyBorder="1" applyAlignment="1">
      <alignment vertical="center"/>
    </xf>
    <xf numFmtId="164" fontId="161" fillId="26" borderId="3" xfId="1" applyNumberFormat="1" applyFont="1" applyFill="1" applyBorder="1" applyAlignment="1">
      <alignment vertical="center"/>
    </xf>
    <xf numFmtId="0" fontId="161" fillId="26" borderId="3" xfId="0" applyFont="1" applyFill="1" applyBorder="1" applyAlignment="1">
      <alignment vertical="center"/>
    </xf>
    <xf numFmtId="10" fontId="161" fillId="26" borderId="3" xfId="2" applyNumberFormat="1" applyFont="1" applyFill="1" applyBorder="1" applyAlignment="1">
      <alignment vertical="center"/>
    </xf>
    <xf numFmtId="0" fontId="18" fillId="3" borderId="41" xfId="0" applyFont="1" applyFill="1" applyBorder="1" applyAlignment="1">
      <alignment vertical="center"/>
    </xf>
    <xf numFmtId="0" fontId="18" fillId="3" borderId="3" xfId="0" applyFont="1" applyFill="1" applyBorder="1" applyAlignment="1">
      <alignment vertical="center"/>
    </xf>
    <xf numFmtId="0" fontId="17" fillId="6" borderId="15" xfId="0" applyFont="1" applyFill="1" applyBorder="1" applyAlignment="1">
      <alignment horizontal="left" vertical="center" indent="1"/>
    </xf>
    <xf numFmtId="0" fontId="22" fillId="0" borderId="121" xfId="0" applyFont="1" applyBorder="1" applyAlignment="1">
      <alignment horizontal="left" vertical="center" indent="1"/>
    </xf>
    <xf numFmtId="0" fontId="252" fillId="3" borderId="121" xfId="0" applyFont="1" applyFill="1" applyBorder="1" applyAlignment="1">
      <alignment vertical="center"/>
    </xf>
    <xf numFmtId="49" fontId="185" fillId="3" borderId="0" xfId="0" applyNumberFormat="1" applyFont="1" applyFill="1" applyAlignment="1">
      <alignment vertical="center"/>
    </xf>
    <xf numFmtId="49" fontId="186" fillId="2" borderId="0" xfId="0" applyNumberFormat="1" applyFont="1" applyFill="1" applyAlignment="1">
      <alignment vertical="center" wrapText="1"/>
    </xf>
    <xf numFmtId="37" fontId="22" fillId="3" borderId="121" xfId="0" applyNumberFormat="1" applyFont="1" applyFill="1" applyBorder="1" applyAlignment="1">
      <alignment horizontal="center" vertical="center"/>
    </xf>
    <xf numFmtId="0" fontId="34" fillId="3" borderId="0" xfId="0" applyFont="1" applyFill="1" applyAlignment="1">
      <alignment vertical="center"/>
    </xf>
    <xf numFmtId="0" fontId="34" fillId="3" borderId="3" xfId="0" applyFont="1" applyFill="1" applyBorder="1" applyAlignment="1">
      <alignment vertical="center"/>
    </xf>
    <xf numFmtId="44" fontId="16" fillId="3" borderId="29" xfId="1" applyFont="1" applyFill="1" applyBorder="1" applyAlignment="1">
      <alignment vertical="center"/>
    </xf>
    <xf numFmtId="173" fontId="17" fillId="3" borderId="20" xfId="1" applyNumberFormat="1" applyFont="1" applyFill="1" applyBorder="1" applyAlignment="1">
      <alignment vertical="center"/>
    </xf>
    <xf numFmtId="173" fontId="34" fillId="3" borderId="92" xfId="0" applyNumberFormat="1" applyFont="1" applyFill="1" applyBorder="1" applyAlignment="1">
      <alignment vertical="center"/>
    </xf>
    <xf numFmtId="173" fontId="34" fillId="3" borderId="20" xfId="2" applyNumberFormat="1" applyFont="1" applyFill="1" applyBorder="1" applyAlignment="1">
      <alignment vertical="center"/>
    </xf>
    <xf numFmtId="173" fontId="17" fillId="3" borderId="111" xfId="1" applyNumberFormat="1" applyFont="1" applyFill="1" applyBorder="1" applyAlignment="1" applyProtection="1">
      <alignment vertical="center" wrapText="1"/>
      <protection locked="0"/>
    </xf>
    <xf numFmtId="173" fontId="34" fillId="3" borderId="15" xfId="0" applyNumberFormat="1" applyFont="1" applyFill="1" applyBorder="1" applyAlignment="1" applyProtection="1">
      <alignment horizontal="left" vertical="center" wrapText="1"/>
      <protection locked="0"/>
    </xf>
    <xf numFmtId="9" fontId="34" fillId="3" borderId="22" xfId="2" applyFont="1" applyFill="1" applyBorder="1" applyAlignment="1" applyProtection="1">
      <alignment horizontal="center" vertical="center" wrapText="1"/>
      <protection locked="0"/>
    </xf>
    <xf numFmtId="9" fontId="34" fillId="3" borderId="20" xfId="2" applyFont="1" applyFill="1" applyBorder="1" applyAlignment="1" applyProtection="1">
      <alignment horizontal="left" vertical="center" wrapText="1"/>
      <protection locked="0"/>
    </xf>
    <xf numFmtId="9" fontId="34" fillId="3" borderId="43" xfId="2" applyFont="1" applyFill="1" applyBorder="1" applyAlignment="1" applyProtection="1">
      <alignment horizontal="left" vertical="center" wrapText="1"/>
      <protection locked="0"/>
    </xf>
    <xf numFmtId="44" fontId="226" fillId="2" borderId="0" xfId="0" applyNumberFormat="1" applyFont="1" applyFill="1" applyAlignment="1">
      <alignment horizontal="right" vertical="center" indent="1" readingOrder="1"/>
    </xf>
    <xf numFmtId="44" fontId="226" fillId="2" borderId="0" xfId="0" applyNumberFormat="1" applyFont="1" applyFill="1" applyAlignment="1">
      <alignment horizontal="right" vertical="center" indent="1"/>
    </xf>
    <xf numFmtId="0" fontId="2" fillId="3" borderId="0" xfId="0" applyFont="1" applyFill="1" applyAlignment="1">
      <alignment horizontal="left" vertical="center"/>
    </xf>
    <xf numFmtId="0" fontId="16" fillId="3" borderId="125" xfId="0" applyFont="1" applyFill="1" applyBorder="1" applyAlignment="1">
      <alignment horizontal="left" vertical="center"/>
    </xf>
    <xf numFmtId="44" fontId="17" fillId="6" borderId="140" xfId="1" applyFont="1" applyFill="1" applyBorder="1" applyAlignment="1">
      <alignment horizontal="right" vertical="center"/>
    </xf>
    <xf numFmtId="17" fontId="16" fillId="3" borderId="121" xfId="0" applyNumberFormat="1" applyFont="1" applyFill="1" applyBorder="1" applyAlignment="1">
      <alignment vertical="center"/>
    </xf>
    <xf numFmtId="0" fontId="222" fillId="24" borderId="38" xfId="0" applyFont="1" applyFill="1" applyBorder="1" applyAlignment="1">
      <alignment vertical="center"/>
    </xf>
    <xf numFmtId="44" fontId="214" fillId="24" borderId="137" xfId="0" applyNumberFormat="1" applyFont="1" applyFill="1" applyBorder="1" applyAlignment="1">
      <alignment vertical="center"/>
    </xf>
    <xf numFmtId="0" fontId="222" fillId="24" borderId="3" xfId="0" applyFont="1" applyFill="1" applyBorder="1" applyAlignment="1">
      <alignment vertical="center"/>
    </xf>
    <xf numFmtId="0" fontId="17" fillId="6" borderId="124" xfId="0" applyFont="1" applyFill="1" applyBorder="1" applyAlignment="1">
      <alignment horizontal="left" vertical="center"/>
    </xf>
    <xf numFmtId="0" fontId="46" fillId="2" borderId="0" xfId="0" applyFont="1" applyFill="1" applyAlignment="1">
      <alignment vertical="center"/>
    </xf>
    <xf numFmtId="0" fontId="251" fillId="6" borderId="121" xfId="0" applyFont="1" applyFill="1" applyBorder="1" applyAlignment="1">
      <alignment horizontal="left" vertical="center"/>
    </xf>
    <xf numFmtId="0" fontId="251" fillId="6" borderId="121" xfId="0" applyFont="1" applyFill="1" applyBorder="1" applyAlignment="1">
      <alignment vertical="center"/>
    </xf>
    <xf numFmtId="0" fontId="16" fillId="3" borderId="125" xfId="0" applyFont="1" applyFill="1" applyBorder="1" applyAlignment="1">
      <alignment horizontal="center" vertical="center"/>
    </xf>
    <xf numFmtId="0" fontId="24" fillId="24" borderId="9" xfId="0" applyFont="1" applyFill="1" applyBorder="1" applyAlignment="1">
      <alignment vertical="center"/>
    </xf>
    <xf numFmtId="0" fontId="153" fillId="21" borderId="0" xfId="0" applyFont="1" applyFill="1"/>
    <xf numFmtId="37" fontId="219" fillId="21" borderId="11" xfId="0" applyNumberFormat="1" applyFont="1" applyFill="1" applyBorder="1" applyAlignment="1">
      <alignment horizontal="center" vertical="center"/>
    </xf>
    <xf numFmtId="0" fontId="219" fillId="21" borderId="15" xfId="0" applyFont="1" applyFill="1" applyBorder="1" applyAlignment="1">
      <alignment horizontal="left" vertical="center"/>
    </xf>
    <xf numFmtId="0" fontId="219" fillId="21" borderId="15" xfId="0" applyFont="1" applyFill="1" applyBorder="1" applyAlignment="1">
      <alignment horizontal="left" vertical="center" indent="1"/>
    </xf>
    <xf numFmtId="0" fontId="219" fillId="21" borderId="0" xfId="0" applyFont="1" applyFill="1" applyAlignment="1">
      <alignment horizontal="left"/>
    </xf>
    <xf numFmtId="0" fontId="219" fillId="21" borderId="11" xfId="0" applyFont="1" applyFill="1" applyBorder="1" applyAlignment="1">
      <alignment horizontal="left"/>
    </xf>
    <xf numFmtId="0" fontId="217" fillId="21" borderId="15" xfId="0" applyFont="1" applyFill="1" applyBorder="1" applyAlignment="1">
      <alignment vertical="center"/>
    </xf>
    <xf numFmtId="0" fontId="219" fillId="21" borderId="0" xfId="0" applyFont="1" applyFill="1"/>
    <xf numFmtId="0" fontId="211" fillId="21" borderId="0" xfId="0" applyFont="1" applyFill="1"/>
    <xf numFmtId="0" fontId="219" fillId="21" borderId="0" xfId="0" applyFont="1" applyFill="1" applyAlignment="1">
      <alignment horizontal="left" vertical="center"/>
    </xf>
    <xf numFmtId="0" fontId="219" fillId="21" borderId="19" xfId="0" applyFont="1" applyFill="1" applyBorder="1" applyAlignment="1">
      <alignment horizontal="left" vertical="center"/>
    </xf>
    <xf numFmtId="44" fontId="219" fillId="21" borderId="19" xfId="0" applyNumberFormat="1" applyFont="1" applyFill="1" applyBorder="1" applyAlignment="1">
      <alignment horizontal="left" vertical="center"/>
    </xf>
    <xf numFmtId="44" fontId="211" fillId="21" borderId="15" xfId="0" applyNumberFormat="1" applyFont="1" applyFill="1" applyBorder="1" applyAlignment="1">
      <alignment horizontal="right" vertical="center"/>
    </xf>
    <xf numFmtId="44" fontId="219" fillId="21" borderId="115" xfId="1" applyFont="1" applyFill="1" applyBorder="1" applyAlignment="1">
      <alignment horizontal="right" vertical="center"/>
    </xf>
    <xf numFmtId="44" fontId="158" fillId="21" borderId="29" xfId="1" applyFont="1" applyFill="1" applyBorder="1" applyAlignment="1">
      <alignment vertical="center"/>
    </xf>
    <xf numFmtId="173" fontId="157" fillId="21" borderId="20" xfId="1" applyNumberFormat="1" applyFont="1" applyFill="1" applyBorder="1"/>
    <xf numFmtId="173" fontId="157" fillId="21" borderId="20" xfId="1" applyNumberFormat="1" applyFont="1" applyFill="1" applyBorder="1" applyAlignment="1">
      <alignment vertical="center"/>
    </xf>
    <xf numFmtId="173" fontId="157" fillId="21" borderId="20" xfId="2" applyNumberFormat="1" applyFont="1" applyFill="1" applyBorder="1" applyAlignment="1">
      <alignment vertical="center"/>
    </xf>
    <xf numFmtId="173" fontId="153" fillId="21" borderId="111" xfId="1" applyNumberFormat="1" applyFont="1" applyFill="1" applyBorder="1" applyAlignment="1" applyProtection="1">
      <alignment vertical="center" wrapText="1"/>
      <protection locked="0"/>
    </xf>
    <xf numFmtId="173" fontId="157" fillId="21" borderId="15" xfId="0" applyNumberFormat="1" applyFont="1" applyFill="1" applyBorder="1" applyAlignment="1" applyProtection="1">
      <alignment horizontal="left" vertical="center" wrapText="1"/>
      <protection locked="0"/>
    </xf>
    <xf numFmtId="164" fontId="20" fillId="21" borderId="29" xfId="0" applyNumberFormat="1" applyFont="1" applyFill="1" applyBorder="1" applyAlignment="1" applyProtection="1">
      <alignment horizontal="left" vertical="center" wrapText="1"/>
      <protection locked="0"/>
    </xf>
    <xf numFmtId="9" fontId="157" fillId="21" borderId="20" xfId="2" applyFont="1" applyFill="1" applyBorder="1" applyAlignment="1" applyProtection="1">
      <alignment horizontal="center" vertical="center" wrapText="1"/>
      <protection locked="0"/>
    </xf>
    <xf numFmtId="9" fontId="153" fillId="21" borderId="20" xfId="2" applyFont="1" applyFill="1" applyBorder="1" applyAlignment="1" applyProtection="1">
      <alignment horizontal="left" vertical="center" wrapText="1"/>
      <protection locked="0"/>
    </xf>
    <xf numFmtId="0" fontId="235" fillId="3" borderId="121" xfId="0" applyFont="1" applyFill="1" applyBorder="1" applyAlignment="1">
      <alignment vertical="center"/>
    </xf>
    <xf numFmtId="0" fontId="16" fillId="6" borderId="126" xfId="0" applyFont="1" applyFill="1" applyBorder="1" applyAlignment="1">
      <alignment vertical="center"/>
    </xf>
    <xf numFmtId="0" fontId="95" fillId="13" borderId="121" xfId="0" applyFont="1" applyFill="1" applyBorder="1" applyAlignment="1">
      <alignment vertical="center"/>
    </xf>
    <xf numFmtId="0" fontId="22" fillId="0" borderId="121" xfId="0" applyFont="1" applyBorder="1" applyAlignment="1">
      <alignment vertical="center"/>
    </xf>
    <xf numFmtId="44" fontId="22" fillId="0" borderId="121" xfId="0" applyNumberFormat="1" applyFont="1" applyBorder="1" applyAlignment="1">
      <alignment horizontal="right" vertical="center"/>
    </xf>
    <xf numFmtId="173" fontId="45" fillId="3" borderId="12" xfId="0" applyNumberFormat="1" applyFont="1" applyFill="1" applyBorder="1" applyAlignment="1" applyProtection="1">
      <alignment vertical="center" wrapText="1"/>
      <protection locked="0"/>
    </xf>
    <xf numFmtId="173" fontId="20" fillId="3" borderId="44" xfId="1" applyNumberFormat="1" applyFont="1" applyFill="1" applyBorder="1" applyAlignment="1" applyProtection="1">
      <alignment vertical="center" wrapText="1"/>
      <protection locked="0"/>
    </xf>
    <xf numFmtId="9" fontId="157" fillId="3" borderId="20" xfId="2" applyFont="1" applyFill="1" applyBorder="1" applyAlignment="1" applyProtection="1">
      <alignment vertical="center" wrapText="1"/>
      <protection locked="0"/>
    </xf>
    <xf numFmtId="0" fontId="254" fillId="0" borderId="121" xfId="0" applyFont="1" applyBorder="1" applyAlignment="1">
      <alignment vertical="center"/>
    </xf>
    <xf numFmtId="44" fontId="20" fillId="0" borderId="0" xfId="1" applyFont="1" applyFill="1" applyBorder="1" applyAlignment="1">
      <alignment vertical="center"/>
    </xf>
    <xf numFmtId="173" fontId="20" fillId="0" borderId="0" xfId="2" applyNumberFormat="1" applyFont="1" applyFill="1" applyBorder="1" applyAlignment="1">
      <alignment vertical="center"/>
    </xf>
    <xf numFmtId="173" fontId="20" fillId="0" borderId="26" xfId="1" applyNumberFormat="1" applyFont="1" applyFill="1" applyBorder="1" applyAlignment="1">
      <alignment vertical="center"/>
    </xf>
    <xf numFmtId="164" fontId="20" fillId="0" borderId="0" xfId="1" applyNumberFormat="1" applyFont="1" applyFill="1" applyBorder="1" applyAlignment="1">
      <alignment vertical="center"/>
    </xf>
    <xf numFmtId="10" fontId="20" fillId="0" borderId="0" xfId="2" applyNumberFormat="1" applyFont="1" applyFill="1" applyBorder="1" applyAlignment="1">
      <alignment vertical="center"/>
    </xf>
    <xf numFmtId="44" fontId="20" fillId="0" borderId="27" xfId="2" applyNumberFormat="1" applyFont="1" applyFill="1" applyBorder="1" applyAlignment="1" applyProtection="1">
      <alignment vertical="center" wrapText="1"/>
      <protection locked="0"/>
    </xf>
    <xf numFmtId="9" fontId="20" fillId="0" borderId="0" xfId="2" applyFont="1" applyBorder="1" applyAlignment="1">
      <alignment vertical="center"/>
    </xf>
    <xf numFmtId="164" fontId="17" fillId="3" borderId="52" xfId="1" applyNumberFormat="1" applyFont="1" applyFill="1" applyBorder="1" applyAlignment="1">
      <alignment horizontal="center" vertical="center"/>
    </xf>
    <xf numFmtId="0" fontId="147" fillId="21" borderId="15" xfId="0" applyFont="1" applyFill="1" applyBorder="1" applyAlignment="1">
      <alignment vertical="center"/>
    </xf>
    <xf numFmtId="0" fontId="43" fillId="3" borderId="17" xfId="0" applyFont="1" applyFill="1" applyBorder="1" applyAlignment="1">
      <alignment horizontal="left" vertical="center" wrapText="1" indent="1"/>
    </xf>
    <xf numFmtId="173" fontId="19" fillId="3" borderId="22" xfId="0" applyNumberFormat="1" applyFont="1" applyFill="1" applyBorder="1" applyAlignment="1">
      <alignment horizontal="left" vertical="center"/>
    </xf>
    <xf numFmtId="0" fontId="241" fillId="6" borderId="15" xfId="0" applyFont="1" applyFill="1" applyBorder="1" applyAlignment="1">
      <alignment horizontal="left" vertical="center"/>
    </xf>
    <xf numFmtId="0" fontId="243" fillId="3" borderId="122" xfId="0" applyFont="1" applyFill="1" applyBorder="1" applyAlignment="1">
      <alignment vertical="center"/>
    </xf>
    <xf numFmtId="0" fontId="52" fillId="6" borderId="122" xfId="0" applyFont="1" applyFill="1" applyBorder="1" applyAlignment="1">
      <alignment vertical="center"/>
    </xf>
    <xf numFmtId="0" fontId="19" fillId="3" borderId="122" xfId="0" applyFont="1" applyFill="1" applyBorder="1" applyAlignment="1">
      <alignment vertical="center"/>
    </xf>
    <xf numFmtId="0" fontId="16" fillId="3" borderId="122" xfId="0" applyFont="1" applyFill="1" applyBorder="1" applyAlignment="1">
      <alignment horizontal="center" vertical="center"/>
    </xf>
    <xf numFmtId="0" fontId="17" fillId="6" borderId="141" xfId="0" applyFont="1" applyFill="1" applyBorder="1" applyAlignment="1">
      <alignment horizontal="left" vertical="center" indent="1"/>
    </xf>
    <xf numFmtId="0" fontId="20" fillId="6" borderId="122" xfId="0" applyFont="1" applyFill="1" applyBorder="1" applyAlignment="1">
      <alignment vertical="center"/>
    </xf>
    <xf numFmtId="0" fontId="20" fillId="6" borderId="126" xfId="0" applyFont="1" applyFill="1" applyBorder="1" applyAlignment="1">
      <alignment horizontal="center" vertical="center"/>
    </xf>
    <xf numFmtId="0" fontId="17" fillId="6" borderId="126" xfId="0" applyFont="1" applyFill="1" applyBorder="1" applyAlignment="1">
      <alignment horizontal="center" vertical="center"/>
    </xf>
    <xf numFmtId="0" fontId="17" fillId="6" borderId="135" xfId="0" applyFont="1" applyFill="1" applyBorder="1" applyAlignment="1">
      <alignment horizontal="center" vertical="center"/>
    </xf>
    <xf numFmtId="0" fontId="20" fillId="6" borderId="126" xfId="0" applyFont="1" applyFill="1" applyBorder="1" applyAlignment="1">
      <alignment vertical="center"/>
    </xf>
    <xf numFmtId="0" fontId="19" fillId="3" borderId="126" xfId="0" applyFont="1" applyFill="1" applyBorder="1" applyAlignment="1">
      <alignment horizontal="left" vertical="center"/>
    </xf>
    <xf numFmtId="0" fontId="20" fillId="0" borderId="124" xfId="0" applyFont="1" applyBorder="1" applyAlignment="1">
      <alignment horizontal="center" vertical="center"/>
    </xf>
    <xf numFmtId="49" fontId="150" fillId="2" borderId="0" xfId="1" applyNumberFormat="1" applyFont="1" applyFill="1" applyAlignment="1">
      <alignment vertical="center"/>
    </xf>
    <xf numFmtId="49" fontId="150" fillId="2" borderId="0" xfId="1" applyNumberFormat="1" applyFont="1" applyFill="1" applyBorder="1" applyAlignment="1">
      <alignment vertical="center"/>
    </xf>
    <xf numFmtId="0" fontId="218" fillId="2" borderId="0" xfId="0" applyFont="1" applyFill="1" applyAlignment="1">
      <alignment horizontal="right" vertical="center" indent="1"/>
    </xf>
    <xf numFmtId="0" fontId="19" fillId="3" borderId="122" xfId="0" applyFont="1" applyFill="1" applyBorder="1" applyAlignment="1">
      <alignment horizontal="left" vertical="center"/>
    </xf>
    <xf numFmtId="0" fontId="19" fillId="0" borderId="126" xfId="0" applyFont="1" applyBorder="1" applyAlignment="1">
      <alignment vertical="center"/>
    </xf>
    <xf numFmtId="44" fontId="44" fillId="3" borderId="0" xfId="1" applyFont="1" applyFill="1" applyBorder="1"/>
    <xf numFmtId="173" fontId="44" fillId="3" borderId="27" xfId="2" applyNumberFormat="1" applyFont="1" applyFill="1" applyBorder="1"/>
    <xf numFmtId="173" fontId="44" fillId="3" borderId="27" xfId="1" applyNumberFormat="1" applyFont="1" applyFill="1" applyBorder="1"/>
    <xf numFmtId="37" fontId="19" fillId="5" borderId="121" xfId="0" applyNumberFormat="1" applyFont="1" applyFill="1" applyBorder="1" applyAlignment="1">
      <alignment horizontal="center" vertical="center"/>
    </xf>
    <xf numFmtId="44" fontId="19" fillId="0" borderId="32" xfId="1" applyFont="1" applyFill="1" applyBorder="1" applyAlignment="1">
      <alignment vertical="center"/>
    </xf>
    <xf numFmtId="173" fontId="19" fillId="0" borderId="33" xfId="1" applyNumberFormat="1" applyFont="1" applyFill="1" applyBorder="1" applyAlignment="1">
      <alignment vertical="center"/>
    </xf>
    <xf numFmtId="173" fontId="19" fillId="0" borderId="26" xfId="1" applyNumberFormat="1" applyFont="1" applyFill="1" applyBorder="1" applyAlignment="1">
      <alignment vertical="center"/>
    </xf>
    <xf numFmtId="173" fontId="19" fillId="0" borderId="20" xfId="2" applyNumberFormat="1" applyFont="1" applyFill="1" applyBorder="1" applyAlignment="1">
      <alignment vertical="center"/>
    </xf>
    <xf numFmtId="0" fontId="19" fillId="0" borderId="22" xfId="0" applyFont="1" applyBorder="1" applyAlignment="1">
      <alignment horizontal="left" vertical="center"/>
    </xf>
    <xf numFmtId="0" fontId="19" fillId="0" borderId="16" xfId="0" applyFont="1" applyBorder="1" applyAlignment="1">
      <alignment vertical="center"/>
    </xf>
    <xf numFmtId="0" fontId="235" fillId="0" borderId="121" xfId="0" applyFont="1" applyBorder="1" applyAlignment="1">
      <alignment vertical="center"/>
    </xf>
    <xf numFmtId="44" fontId="19" fillId="0" borderId="28" xfId="1" applyFont="1" applyFill="1" applyBorder="1" applyAlignment="1">
      <alignment vertical="center"/>
    </xf>
    <xf numFmtId="173" fontId="19" fillId="0" borderId="22" xfId="1" applyNumberFormat="1" applyFont="1" applyFill="1" applyBorder="1" applyAlignment="1">
      <alignment vertical="center"/>
    </xf>
    <xf numFmtId="173" fontId="19" fillId="0" borderId="22" xfId="2" applyNumberFormat="1" applyFont="1" applyFill="1" applyBorder="1" applyAlignment="1">
      <alignment vertical="center"/>
    </xf>
    <xf numFmtId="173" fontId="19" fillId="0" borderId="20" xfId="1" applyNumberFormat="1" applyFont="1" applyFill="1" applyBorder="1" applyAlignment="1">
      <alignment vertical="center"/>
    </xf>
    <xf numFmtId="164" fontId="19" fillId="0" borderId="20" xfId="1" applyNumberFormat="1" applyFont="1" applyFill="1" applyBorder="1" applyAlignment="1">
      <alignment vertical="center"/>
    </xf>
    <xf numFmtId="44" fontId="19" fillId="0" borderId="20" xfId="1" applyFont="1" applyFill="1" applyBorder="1" applyAlignment="1">
      <alignment vertical="center"/>
    </xf>
    <xf numFmtId="10" fontId="19" fillId="0" borderId="20" xfId="2" applyNumberFormat="1" applyFont="1" applyFill="1" applyBorder="1" applyAlignment="1">
      <alignment vertical="center"/>
    </xf>
    <xf numFmtId="10" fontId="19" fillId="0" borderId="22" xfId="2" applyNumberFormat="1" applyFont="1" applyFill="1" applyBorder="1" applyAlignment="1">
      <alignment vertical="center"/>
    </xf>
    <xf numFmtId="44" fontId="22" fillId="0" borderId="121" xfId="1" applyFont="1" applyFill="1" applyBorder="1" applyAlignment="1">
      <alignment horizontal="left" vertical="center"/>
    </xf>
    <xf numFmtId="44" fontId="19" fillId="0" borderId="28" xfId="1" applyFont="1" applyFill="1" applyBorder="1"/>
    <xf numFmtId="173" fontId="19" fillId="0" borderId="22" xfId="2" applyNumberFormat="1" applyFont="1" applyFill="1" applyBorder="1"/>
    <xf numFmtId="173" fontId="19" fillId="0" borderId="22" xfId="1" applyNumberFormat="1" applyFont="1" applyFill="1" applyBorder="1"/>
    <xf numFmtId="173" fontId="19" fillId="0" borderId="20" xfId="1" applyNumberFormat="1" applyFont="1" applyFill="1" applyBorder="1"/>
    <xf numFmtId="44" fontId="19" fillId="0" borderId="20" xfId="0" applyNumberFormat="1" applyFont="1" applyBorder="1" applyAlignment="1">
      <alignment vertical="center"/>
    </xf>
    <xf numFmtId="44" fontId="19" fillId="0" borderId="0" xfId="1" applyFont="1" applyFill="1" applyBorder="1" applyAlignment="1">
      <alignment vertical="center"/>
    </xf>
    <xf numFmtId="173" fontId="19" fillId="0" borderId="27" xfId="2" applyNumberFormat="1" applyFont="1" applyFill="1" applyBorder="1" applyAlignment="1">
      <alignment vertical="center"/>
    </xf>
    <xf numFmtId="173" fontId="19" fillId="0" borderId="27" xfId="1" applyNumberFormat="1" applyFont="1" applyFill="1" applyBorder="1" applyAlignment="1">
      <alignment vertical="center"/>
    </xf>
    <xf numFmtId="173" fontId="44" fillId="0" borderId="20" xfId="1" applyNumberFormat="1" applyFont="1" applyFill="1" applyBorder="1" applyAlignment="1">
      <alignment vertical="center"/>
    </xf>
    <xf numFmtId="173" fontId="19" fillId="0" borderId="26" xfId="1" applyNumberFormat="1" applyFont="1" applyFill="1" applyBorder="1" applyAlignment="1" applyProtection="1">
      <alignment vertical="center" wrapText="1"/>
      <protection locked="0"/>
    </xf>
    <xf numFmtId="164" fontId="19" fillId="0" borderId="26" xfId="2" applyNumberFormat="1" applyFont="1" applyFill="1" applyBorder="1" applyAlignment="1" applyProtection="1">
      <alignment vertical="center" wrapText="1"/>
      <protection locked="0"/>
    </xf>
    <xf numFmtId="10" fontId="44" fillId="0" borderId="20" xfId="2" applyNumberFormat="1" applyFont="1" applyFill="1" applyBorder="1" applyAlignment="1">
      <alignment vertical="center"/>
    </xf>
    <xf numFmtId="10" fontId="19" fillId="0" borderId="0" xfId="2" applyNumberFormat="1" applyFont="1" applyFill="1" applyBorder="1" applyAlignment="1">
      <alignment vertical="center"/>
    </xf>
    <xf numFmtId="44" fontId="19" fillId="0" borderId="29" xfId="1" applyFont="1" applyFill="1" applyBorder="1" applyAlignment="1">
      <alignment vertical="center"/>
    </xf>
    <xf numFmtId="37" fontId="17" fillId="0" borderId="122" xfId="0" applyNumberFormat="1" applyFont="1" applyBorder="1" applyAlignment="1">
      <alignment horizontal="center" vertical="center"/>
    </xf>
    <xf numFmtId="0" fontId="241" fillId="6" borderId="122" xfId="0" applyFont="1" applyFill="1" applyBorder="1" applyAlignment="1">
      <alignment horizontal="left" vertical="center"/>
    </xf>
    <xf numFmtId="44" fontId="17" fillId="3" borderId="122" xfId="0" applyNumberFormat="1" applyFont="1" applyFill="1" applyBorder="1" applyAlignment="1">
      <alignment horizontal="right" vertical="center"/>
    </xf>
    <xf numFmtId="44" fontId="22" fillId="13" borderId="122" xfId="1" applyFont="1" applyFill="1" applyBorder="1" applyAlignment="1">
      <alignment horizontal="left" vertical="center"/>
    </xf>
    <xf numFmtId="44" fontId="52" fillId="13" borderId="122" xfId="0" applyNumberFormat="1" applyFont="1" applyFill="1" applyBorder="1" applyAlignment="1">
      <alignment horizontal="right" vertical="center"/>
    </xf>
    <xf numFmtId="44" fontId="20" fillId="3" borderId="122" xfId="0" applyNumberFormat="1" applyFont="1" applyFill="1" applyBorder="1" applyAlignment="1">
      <alignment horizontal="right" vertical="center"/>
    </xf>
    <xf numFmtId="0" fontId="241" fillId="3" borderId="122" xfId="0" applyFont="1" applyFill="1" applyBorder="1" applyAlignment="1">
      <alignment vertical="center"/>
    </xf>
    <xf numFmtId="0" fontId="19" fillId="3" borderId="129" xfId="0" applyFont="1" applyFill="1" applyBorder="1" applyAlignment="1">
      <alignment vertical="center"/>
    </xf>
    <xf numFmtId="0" fontId="19" fillId="3" borderId="126" xfId="0" applyFont="1" applyFill="1" applyBorder="1" applyAlignment="1">
      <alignment vertical="center"/>
    </xf>
    <xf numFmtId="0" fontId="19" fillId="6" borderId="129" xfId="0" applyFont="1" applyFill="1" applyBorder="1" applyAlignment="1">
      <alignment horizontal="left" vertical="center"/>
    </xf>
    <xf numFmtId="0" fontId="19" fillId="6" borderId="126" xfId="0" applyFont="1" applyFill="1" applyBorder="1" applyAlignment="1">
      <alignment horizontal="center" vertical="center"/>
    </xf>
    <xf numFmtId="0" fontId="19" fillId="3" borderId="152" xfId="0" applyFont="1" applyFill="1" applyBorder="1" applyAlignment="1">
      <alignment vertical="center"/>
    </xf>
    <xf numFmtId="0" fontId="52" fillId="13" borderId="129" xfId="0" applyFont="1" applyFill="1" applyBorder="1" applyAlignment="1">
      <alignment vertical="center"/>
    </xf>
    <xf numFmtId="44" fontId="22" fillId="13" borderId="126" xfId="1" applyFont="1" applyFill="1" applyBorder="1" applyAlignment="1">
      <alignment horizontal="left" vertical="center"/>
    </xf>
    <xf numFmtId="44" fontId="22" fillId="6" borderId="126" xfId="1" applyFont="1" applyFill="1" applyBorder="1" applyAlignment="1">
      <alignment horizontal="left" vertical="center"/>
    </xf>
    <xf numFmtId="0" fontId="128" fillId="6" borderId="129" xfId="0" applyFont="1" applyFill="1" applyBorder="1" applyAlignment="1">
      <alignment vertical="center"/>
    </xf>
    <xf numFmtId="0" fontId="243" fillId="3" borderId="129" xfId="0" applyFont="1" applyFill="1" applyBorder="1" applyAlignment="1">
      <alignment vertical="center"/>
    </xf>
    <xf numFmtId="0" fontId="52" fillId="6" borderId="48" xfId="0" applyFont="1" applyFill="1" applyBorder="1" applyAlignment="1">
      <alignment vertical="center"/>
    </xf>
    <xf numFmtId="0" fontId="52" fillId="6" borderId="126" xfId="0" applyFont="1" applyFill="1" applyBorder="1" applyAlignment="1">
      <alignment vertical="center"/>
    </xf>
    <xf numFmtId="0" fontId="192" fillId="0" borderId="126" xfId="0" applyFont="1" applyBorder="1" applyAlignment="1">
      <alignment vertical="center"/>
    </xf>
    <xf numFmtId="44" fontId="45" fillId="3" borderId="141" xfId="1" applyFont="1" applyFill="1" applyBorder="1" applyAlignment="1">
      <alignment horizontal="right" vertical="center"/>
    </xf>
    <xf numFmtId="44" fontId="20" fillId="3" borderId="141" xfId="1" applyFont="1" applyFill="1" applyBorder="1" applyAlignment="1">
      <alignment horizontal="right" vertical="center"/>
    </xf>
    <xf numFmtId="0" fontId="52" fillId="6" borderId="124" xfId="0" applyFont="1" applyFill="1" applyBorder="1" applyAlignment="1">
      <alignment horizontal="left" vertical="center"/>
    </xf>
    <xf numFmtId="0" fontId="16" fillId="2" borderId="124" xfId="0" applyFont="1" applyFill="1" applyBorder="1" applyAlignment="1">
      <alignment horizontal="right" vertical="center"/>
    </xf>
    <xf numFmtId="44" fontId="16" fillId="2" borderId="124" xfId="1" applyFont="1" applyFill="1" applyBorder="1" applyAlignment="1">
      <alignment horizontal="left" vertical="center"/>
    </xf>
    <xf numFmtId="0" fontId="130" fillId="6" borderId="124" xfId="0" applyFont="1" applyFill="1" applyBorder="1" applyAlignment="1">
      <alignment vertical="center"/>
    </xf>
    <xf numFmtId="0" fontId="20" fillId="3" borderId="124" xfId="0" applyFont="1" applyFill="1" applyBorder="1" applyAlignment="1">
      <alignment horizontal="left" vertical="center"/>
    </xf>
    <xf numFmtId="0" fontId="242" fillId="6" borderId="135" xfId="0" applyFont="1" applyFill="1" applyBorder="1" applyAlignment="1">
      <alignment horizontal="left" vertical="center"/>
    </xf>
    <xf numFmtId="0" fontId="242" fillId="6" borderId="124" xfId="0" applyFont="1" applyFill="1" applyBorder="1" applyAlignment="1">
      <alignment horizontal="left" vertical="center"/>
    </xf>
    <xf numFmtId="0" fontId="242" fillId="6" borderId="124" xfId="0" applyFont="1" applyFill="1" applyBorder="1" applyAlignment="1">
      <alignment vertical="center"/>
    </xf>
    <xf numFmtId="0" fontId="130" fillId="6" borderId="124" xfId="0" applyFont="1" applyFill="1" applyBorder="1" applyAlignment="1">
      <alignment horizontal="center" vertical="center"/>
    </xf>
    <xf numFmtId="0" fontId="130" fillId="6" borderId="124" xfId="0" applyFont="1" applyFill="1" applyBorder="1" applyAlignment="1">
      <alignment horizontal="left" vertical="center"/>
    </xf>
    <xf numFmtId="44" fontId="52" fillId="6" borderId="141" xfId="1" applyFont="1" applyFill="1" applyBorder="1" applyAlignment="1">
      <alignment horizontal="right" vertical="center"/>
    </xf>
    <xf numFmtId="0" fontId="19" fillId="0" borderId="125" xfId="0" applyFont="1" applyBorder="1" applyAlignment="1">
      <alignment vertical="center"/>
    </xf>
    <xf numFmtId="0" fontId="16" fillId="3" borderId="125" xfId="0" applyFont="1" applyFill="1" applyBorder="1" applyAlignment="1">
      <alignment horizontal="right" vertical="center"/>
    </xf>
    <xf numFmtId="0" fontId="17" fillId="0" borderId="48" xfId="0" applyFont="1" applyBorder="1" applyAlignment="1">
      <alignment vertical="center"/>
    </xf>
    <xf numFmtId="0" fontId="17" fillId="3" borderId="125" xfId="0" applyFont="1" applyFill="1" applyBorder="1" applyAlignment="1">
      <alignment horizontal="center" vertical="center"/>
    </xf>
    <xf numFmtId="44" fontId="17" fillId="3" borderId="140" xfId="1" applyFont="1" applyFill="1" applyBorder="1" applyAlignment="1">
      <alignment horizontal="right" vertical="center"/>
    </xf>
    <xf numFmtId="0" fontId="52" fillId="13" borderId="125" xfId="0" applyFont="1" applyFill="1" applyBorder="1" applyAlignment="1">
      <alignment horizontal="left" vertical="center"/>
    </xf>
    <xf numFmtId="0" fontId="52" fillId="13" borderId="125" xfId="0" applyFont="1" applyFill="1" applyBorder="1" applyAlignment="1">
      <alignment vertical="center"/>
    </xf>
    <xf numFmtId="44" fontId="22" fillId="13" borderId="125" xfId="1" applyFont="1" applyFill="1" applyBorder="1" applyAlignment="1">
      <alignment horizontal="left" vertical="center"/>
    </xf>
    <xf numFmtId="0" fontId="16" fillId="2" borderId="125" xfId="0" applyFont="1" applyFill="1" applyBorder="1" applyAlignment="1">
      <alignment horizontal="center" vertical="center"/>
    </xf>
    <xf numFmtId="1" fontId="22" fillId="13" borderId="125" xfId="1" applyNumberFormat="1" applyFont="1" applyFill="1" applyBorder="1" applyAlignment="1">
      <alignment horizontal="right" vertical="center"/>
    </xf>
    <xf numFmtId="0" fontId="130" fillId="6" borderId="125" xfId="0" applyFont="1" applyFill="1" applyBorder="1" applyAlignment="1">
      <alignment vertical="center"/>
    </xf>
    <xf numFmtId="44" fontId="52" fillId="6" borderId="125" xfId="1" applyFont="1" applyFill="1" applyBorder="1" applyAlignment="1">
      <alignment horizontal="left" vertical="center"/>
    </xf>
    <xf numFmtId="0" fontId="242" fillId="6" borderId="127" xfId="0" applyFont="1" applyFill="1" applyBorder="1" applyAlignment="1">
      <alignment horizontal="left" vertical="center"/>
    </xf>
    <xf numFmtId="0" fontId="242" fillId="6" borderId="125" xfId="0" applyFont="1" applyFill="1" applyBorder="1" applyAlignment="1">
      <alignment horizontal="left" vertical="center"/>
    </xf>
    <xf numFmtId="0" fontId="242" fillId="6" borderId="125" xfId="0" applyFont="1" applyFill="1" applyBorder="1" applyAlignment="1">
      <alignment vertical="center"/>
    </xf>
    <xf numFmtId="0" fontId="130" fillId="6" borderId="125" xfId="0" applyFont="1" applyFill="1" applyBorder="1" applyAlignment="1">
      <alignment horizontal="center" vertical="center"/>
    </xf>
    <xf numFmtId="0" fontId="130" fillId="6" borderId="125" xfId="0" applyFont="1" applyFill="1" applyBorder="1" applyAlignment="1">
      <alignment horizontal="left" vertical="center"/>
    </xf>
    <xf numFmtId="0" fontId="19" fillId="3" borderId="12" xfId="0" applyFont="1" applyFill="1" applyBorder="1" applyAlignment="1">
      <alignment vertical="center"/>
    </xf>
    <xf numFmtId="44" fontId="22" fillId="6" borderId="140" xfId="1" applyFont="1" applyFill="1" applyBorder="1" applyAlignment="1">
      <alignment horizontal="right" vertical="center"/>
    </xf>
    <xf numFmtId="0" fontId="52" fillId="6" borderId="128" xfId="0" applyFont="1" applyFill="1" applyBorder="1" applyAlignment="1">
      <alignment vertical="center"/>
    </xf>
    <xf numFmtId="0" fontId="192" fillId="6" borderId="128" xfId="0" applyFont="1" applyFill="1" applyBorder="1" applyAlignment="1">
      <alignment vertical="center"/>
    </xf>
    <xf numFmtId="44" fontId="20" fillId="6" borderId="153" xfId="1" applyFont="1" applyFill="1" applyBorder="1" applyAlignment="1">
      <alignment horizontal="right" vertical="center"/>
    </xf>
    <xf numFmtId="0" fontId="16" fillId="0" borderId="121" xfId="0" applyFont="1" applyBorder="1" applyAlignment="1">
      <alignment horizontal="center" vertical="center"/>
    </xf>
    <xf numFmtId="0" fontId="17" fillId="0" borderId="121" xfId="0" applyFont="1" applyBorder="1" applyAlignment="1">
      <alignment horizontal="center" vertical="center"/>
    </xf>
    <xf numFmtId="0" fontId="16" fillId="0" borderId="122" xfId="0" applyFont="1" applyBorder="1" applyAlignment="1">
      <alignment vertical="center"/>
    </xf>
    <xf numFmtId="0" fontId="22" fillId="0" borderId="121" xfId="0" applyFont="1" applyBorder="1" applyAlignment="1">
      <alignment horizontal="right" vertical="center"/>
    </xf>
    <xf numFmtId="37" fontId="17" fillId="0" borderId="16" xfId="0" applyNumberFormat="1" applyFont="1" applyBorder="1" applyAlignment="1">
      <alignment horizontal="center" vertical="center"/>
    </xf>
    <xf numFmtId="37" fontId="17" fillId="0" borderId="140" xfId="0" applyNumberFormat="1" applyFont="1" applyBorder="1" applyAlignment="1">
      <alignment horizontal="center" vertical="center"/>
    </xf>
    <xf numFmtId="0" fontId="19" fillId="0" borderId="129" xfId="0" applyFont="1" applyBorder="1"/>
    <xf numFmtId="1" fontId="33" fillId="6" borderId="129" xfId="0" applyNumberFormat="1" applyFont="1" applyFill="1" applyBorder="1" applyAlignment="1">
      <alignment vertical="center"/>
    </xf>
    <xf numFmtId="173" fontId="19" fillId="2" borderId="129" xfId="0" applyNumberFormat="1" applyFont="1" applyFill="1" applyBorder="1"/>
    <xf numFmtId="173" fontId="19" fillId="2" borderId="129" xfId="2" applyNumberFormat="1" applyFont="1" applyFill="1" applyBorder="1"/>
    <xf numFmtId="164" fontId="19" fillId="2" borderId="129" xfId="0" applyNumberFormat="1" applyFont="1" applyFill="1" applyBorder="1"/>
    <xf numFmtId="10" fontId="19" fillId="2" borderId="129" xfId="2" applyNumberFormat="1" applyFont="1" applyFill="1" applyBorder="1"/>
    <xf numFmtId="44" fontId="22" fillId="0" borderId="122" xfId="1" applyFont="1" applyFill="1" applyBorder="1" applyAlignment="1">
      <alignment horizontal="right" vertical="center"/>
    </xf>
    <xf numFmtId="0" fontId="150" fillId="6" borderId="27" xfId="0" applyFont="1" applyFill="1" applyBorder="1" applyAlignment="1">
      <alignment horizontal="left" vertical="center"/>
    </xf>
    <xf numFmtId="0" fontId="150" fillId="6" borderId="17" xfId="0" applyFont="1" applyFill="1" applyBorder="1" applyAlignment="1">
      <alignment horizontal="left" vertical="center"/>
    </xf>
    <xf numFmtId="0" fontId="219" fillId="24" borderId="49" xfId="0" applyFont="1" applyFill="1" applyBorder="1" applyAlignment="1">
      <alignment vertical="center"/>
    </xf>
    <xf numFmtId="37" fontId="150" fillId="3" borderId="121" xfId="0" applyNumberFormat="1" applyFont="1" applyFill="1" applyBorder="1" applyAlignment="1">
      <alignment horizontal="center" vertical="center"/>
    </xf>
    <xf numFmtId="44" fontId="17" fillId="24" borderId="52" xfId="1" applyFont="1" applyFill="1" applyBorder="1" applyAlignment="1">
      <alignment horizontal="left" vertical="center"/>
    </xf>
    <xf numFmtId="0" fontId="17" fillId="6" borderId="14" xfId="0" applyFont="1" applyFill="1" applyBorder="1" applyAlignment="1">
      <alignment horizontal="left" vertical="center"/>
    </xf>
    <xf numFmtId="0" fontId="148" fillId="0" borderId="0" xfId="0" applyFont="1" applyAlignment="1">
      <alignment horizontal="center" vertical="center"/>
    </xf>
    <xf numFmtId="0" fontId="235" fillId="6" borderId="121" xfId="0" applyFont="1" applyFill="1" applyBorder="1" applyAlignment="1">
      <alignment vertical="center"/>
    </xf>
    <xf numFmtId="0" fontId="16" fillId="0" borderId="125" xfId="0" applyFont="1" applyBorder="1" applyAlignment="1">
      <alignment horizontal="left" vertical="center"/>
    </xf>
    <xf numFmtId="0" fontId="22" fillId="6" borderId="125" xfId="0" applyFont="1" applyFill="1" applyBorder="1" applyAlignment="1">
      <alignment horizontal="left" vertical="center"/>
    </xf>
    <xf numFmtId="0" fontId="16" fillId="6" borderId="125" xfId="0" applyFont="1" applyFill="1" applyBorder="1" applyAlignment="1">
      <alignment horizontal="left" vertical="center" indent="1"/>
    </xf>
    <xf numFmtId="0" fontId="22" fillId="6" borderId="125" xfId="0" applyFont="1" applyFill="1" applyBorder="1" applyAlignment="1">
      <alignment horizontal="left" vertical="center" indent="1"/>
    </xf>
    <xf numFmtId="0" fontId="22" fillId="6" borderId="125" xfId="0" applyFont="1" applyFill="1" applyBorder="1" applyAlignment="1">
      <alignment horizontal="center" vertical="center"/>
    </xf>
    <xf numFmtId="49" fontId="186" fillId="2" borderId="0" xfId="0" quotePrefix="1" applyNumberFormat="1" applyFont="1" applyFill="1" applyAlignment="1">
      <alignment vertical="center" wrapText="1"/>
    </xf>
    <xf numFmtId="44" fontId="17" fillId="6" borderId="0" xfId="1" applyFont="1" applyFill="1" applyBorder="1" applyAlignment="1">
      <alignment horizontal="center" vertical="center" wrapText="1"/>
    </xf>
    <xf numFmtId="173" fontId="17" fillId="6" borderId="0" xfId="1" applyNumberFormat="1" applyFont="1" applyFill="1" applyBorder="1" applyAlignment="1">
      <alignment horizontal="left" vertical="center" wrapText="1"/>
    </xf>
    <xf numFmtId="0" fontId="163" fillId="2" borderId="4" xfId="0" quotePrefix="1" applyFont="1" applyFill="1" applyBorder="1" applyAlignment="1">
      <alignment horizontal="center"/>
    </xf>
    <xf numFmtId="0" fontId="29" fillId="0" borderId="143" xfId="0" applyFont="1" applyBorder="1"/>
    <xf numFmtId="0" fontId="169" fillId="2" borderId="130" xfId="0" applyFont="1" applyFill="1" applyBorder="1" applyAlignment="1">
      <alignment vertical="center"/>
    </xf>
    <xf numFmtId="0" fontId="169" fillId="2" borderId="131" xfId="0" applyFont="1" applyFill="1" applyBorder="1" applyAlignment="1">
      <alignment vertical="center"/>
    </xf>
    <xf numFmtId="0" fontId="19" fillId="2" borderId="76" xfId="0" applyFont="1" applyFill="1" applyBorder="1"/>
    <xf numFmtId="0" fontId="29" fillId="2" borderId="154" xfId="0" applyFont="1" applyFill="1" applyBorder="1"/>
    <xf numFmtId="0" fontId="19" fillId="2" borderId="45" xfId="0" applyFont="1" applyFill="1" applyBorder="1" applyAlignment="1">
      <alignment horizontal="left" vertical="center"/>
    </xf>
    <xf numFmtId="0" fontId="19" fillId="2" borderId="3" xfId="0" applyFont="1" applyFill="1" applyBorder="1" applyAlignment="1">
      <alignment horizontal="left" vertical="center"/>
    </xf>
    <xf numFmtId="0" fontId="19" fillId="2" borderId="148" xfId="0" applyFont="1" applyFill="1" applyBorder="1"/>
    <xf numFmtId="44" fontId="19" fillId="2" borderId="1" xfId="0" applyNumberFormat="1" applyFont="1" applyFill="1" applyBorder="1" applyAlignment="1">
      <alignment horizontal="center" vertical="center"/>
    </xf>
    <xf numFmtId="0" fontId="165" fillId="6" borderId="4" xfId="0" applyFont="1" applyFill="1" applyBorder="1" applyAlignment="1">
      <alignment horizontal="center"/>
    </xf>
    <xf numFmtId="0" fontId="45" fillId="29" borderId="93" xfId="0" applyFont="1" applyFill="1" applyBorder="1" applyAlignment="1">
      <alignment vertical="center"/>
    </xf>
    <xf numFmtId="0" fontId="20" fillId="29" borderId="0" xfId="0" applyFont="1" applyFill="1" applyAlignment="1">
      <alignment vertical="center"/>
    </xf>
    <xf numFmtId="0" fontId="45" fillId="29" borderId="3" xfId="0" applyFont="1" applyFill="1" applyBorder="1" applyAlignment="1">
      <alignment vertical="center"/>
    </xf>
    <xf numFmtId="0" fontId="45" fillId="29" borderId="0" xfId="0" applyFont="1" applyFill="1"/>
    <xf numFmtId="164" fontId="211" fillId="3" borderId="15" xfId="0" applyNumberFormat="1" applyFont="1" applyFill="1" applyBorder="1" applyAlignment="1">
      <alignment horizontal="right" vertical="center"/>
    </xf>
    <xf numFmtId="37" fontId="22" fillId="3" borderId="15" xfId="0" applyNumberFormat="1" applyFont="1" applyFill="1" applyBorder="1" applyAlignment="1">
      <alignment horizontal="center" vertical="center"/>
    </xf>
    <xf numFmtId="0" fontId="22" fillId="6" borderId="15" xfId="0" applyFont="1" applyFill="1" applyBorder="1" applyAlignment="1">
      <alignment horizontal="left" vertical="center"/>
    </xf>
    <xf numFmtId="0" fontId="22" fillId="3" borderId="15" xfId="0" applyFont="1" applyFill="1" applyBorder="1" applyAlignment="1">
      <alignment vertical="center"/>
    </xf>
    <xf numFmtId="0" fontId="22" fillId="3" borderId="126" xfId="0" applyFont="1" applyFill="1" applyBorder="1" applyAlignment="1">
      <alignment vertical="center"/>
    </xf>
    <xf numFmtId="37" fontId="150" fillId="3" borderId="15" xfId="0" applyNumberFormat="1" applyFont="1" applyFill="1" applyBorder="1" applyAlignment="1">
      <alignment horizontal="center" vertical="center"/>
    </xf>
    <xf numFmtId="37" fontId="150" fillId="3" borderId="52" xfId="0" applyNumberFormat="1" applyFont="1" applyFill="1" applyBorder="1" applyAlignment="1">
      <alignment horizontal="center" vertical="center"/>
    </xf>
    <xf numFmtId="0" fontId="17" fillId="3" borderId="15" xfId="0" applyFont="1" applyFill="1" applyBorder="1" applyAlignment="1">
      <alignment horizontal="left" indent="1"/>
    </xf>
    <xf numFmtId="0" fontId="150" fillId="3" borderId="52" xfId="0" applyFont="1" applyFill="1" applyBorder="1" applyAlignment="1">
      <alignment horizontal="left" vertical="center" indent="1"/>
    </xf>
    <xf numFmtId="0" fontId="150" fillId="3" borderId="52" xfId="0" applyFont="1" applyFill="1" applyBorder="1"/>
    <xf numFmtId="0" fontId="48" fillId="0" borderId="0" xfId="3"/>
    <xf numFmtId="44" fontId="44" fillId="5" borderId="28" xfId="1" applyFont="1" applyFill="1" applyBorder="1" applyAlignment="1">
      <alignment vertical="center"/>
    </xf>
    <xf numFmtId="173" fontId="19" fillId="3" borderId="20" xfId="0" applyNumberFormat="1" applyFont="1" applyFill="1" applyBorder="1" applyAlignment="1">
      <alignment horizontal="left" vertical="center"/>
    </xf>
    <xf numFmtId="0" fontId="16" fillId="6" borderId="15" xfId="0" applyFont="1" applyFill="1" applyBorder="1" applyAlignment="1">
      <alignment horizontal="left" vertical="center"/>
    </xf>
    <xf numFmtId="0" fontId="17" fillId="0" borderId="0" xfId="0" applyFont="1" applyAlignment="1">
      <alignment horizontal="left" vertical="center"/>
    </xf>
    <xf numFmtId="0" fontId="16" fillId="0" borderId="125" xfId="0" applyFont="1" applyBorder="1" applyAlignment="1">
      <alignment vertical="center"/>
    </xf>
    <xf numFmtId="0" fontId="16" fillId="6" borderId="125" xfId="0" applyFont="1" applyFill="1" applyBorder="1" applyAlignment="1">
      <alignment horizontal="left" vertical="center"/>
    </xf>
    <xf numFmtId="0" fontId="17" fillId="6" borderId="122" xfId="0" applyFont="1" applyFill="1" applyBorder="1" applyAlignment="1">
      <alignment horizontal="left" vertical="center"/>
    </xf>
    <xf numFmtId="0" fontId="0" fillId="6" borderId="0" xfId="0" applyFill="1" applyAlignment="1">
      <alignment vertical="center"/>
    </xf>
    <xf numFmtId="0" fontId="0" fillId="6" borderId="121" xfId="0" applyFill="1" applyBorder="1" applyAlignment="1">
      <alignment horizontal="center" vertical="center"/>
    </xf>
    <xf numFmtId="0" fontId="0" fillId="6" borderId="121" xfId="0" applyFill="1" applyBorder="1" applyAlignment="1">
      <alignment vertical="center"/>
    </xf>
    <xf numFmtId="173" fontId="182" fillId="0" borderId="0" xfId="0" applyNumberFormat="1" applyFont="1" applyAlignment="1">
      <alignment vertical="center" wrapText="1"/>
    </xf>
    <xf numFmtId="173" fontId="0" fillId="0" borderId="0" xfId="0" applyNumberFormat="1" applyAlignment="1">
      <alignment vertical="center"/>
    </xf>
    <xf numFmtId="164" fontId="0" fillId="0" borderId="0" xfId="0" applyNumberFormat="1" applyAlignment="1">
      <alignment vertical="center"/>
    </xf>
    <xf numFmtId="0" fontId="19" fillId="0" borderId="143" xfId="0" applyFont="1" applyBorder="1"/>
    <xf numFmtId="0" fontId="19" fillId="0" borderId="123" xfId="0" applyFont="1" applyBorder="1"/>
    <xf numFmtId="0" fontId="169" fillId="2" borderId="54" xfId="0" applyFont="1" applyFill="1" applyBorder="1" applyAlignment="1">
      <alignment vertical="center"/>
    </xf>
    <xf numFmtId="0" fontId="130" fillId="6" borderId="127" xfId="0" applyFont="1" applyFill="1" applyBorder="1" applyAlignment="1">
      <alignment vertical="center"/>
    </xf>
    <xf numFmtId="0" fontId="22" fillId="6" borderId="128" xfId="0" applyFont="1" applyFill="1" applyBorder="1" applyAlignment="1">
      <alignment horizontal="left" vertical="center" indent="1"/>
    </xf>
    <xf numFmtId="173" fontId="20" fillId="21" borderId="26" xfId="2" applyNumberFormat="1" applyFont="1" applyFill="1" applyBorder="1" applyAlignment="1">
      <alignment vertical="center"/>
    </xf>
    <xf numFmtId="173" fontId="34" fillId="21" borderId="8" xfId="1" applyNumberFormat="1" applyFont="1" applyFill="1" applyBorder="1" applyAlignment="1">
      <alignment horizontal="center" vertical="center" wrapText="1"/>
    </xf>
    <xf numFmtId="173" fontId="45" fillId="21" borderId="20" xfId="2" applyNumberFormat="1" applyFont="1" applyFill="1" applyBorder="1" applyAlignment="1">
      <alignment vertical="center"/>
    </xf>
    <xf numFmtId="173" fontId="45" fillId="21" borderId="44" xfId="2" applyNumberFormat="1" applyFont="1" applyFill="1" applyBorder="1" applyAlignment="1">
      <alignment vertical="center"/>
    </xf>
    <xf numFmtId="164" fontId="17" fillId="3" borderId="12" xfId="1" applyNumberFormat="1" applyFont="1" applyFill="1" applyBorder="1" applyAlignment="1">
      <alignment horizontal="center" vertical="center"/>
    </xf>
    <xf numFmtId="173" fontId="44" fillId="3" borderId="22" xfId="1" applyNumberFormat="1" applyFont="1" applyFill="1" applyBorder="1" applyAlignment="1">
      <alignment vertical="center" wrapText="1"/>
    </xf>
    <xf numFmtId="173" fontId="44" fillId="6" borderId="22" xfId="1" applyNumberFormat="1" applyFont="1" applyFill="1" applyBorder="1" applyAlignment="1">
      <alignment vertical="center" wrapText="1"/>
    </xf>
    <xf numFmtId="173" fontId="44" fillId="3" borderId="28" xfId="1" applyNumberFormat="1" applyFont="1" applyFill="1" applyBorder="1" applyAlignment="1">
      <alignment vertical="center" wrapText="1"/>
    </xf>
    <xf numFmtId="173" fontId="258" fillId="3" borderId="22" xfId="1" applyNumberFormat="1" applyFont="1" applyFill="1" applyBorder="1" applyAlignment="1">
      <alignment vertical="center" wrapText="1"/>
    </xf>
    <xf numFmtId="173" fontId="258" fillId="6" borderId="22" xfId="1" applyNumberFormat="1" applyFont="1" applyFill="1" applyBorder="1" applyAlignment="1">
      <alignment vertical="center" wrapText="1"/>
    </xf>
    <xf numFmtId="173" fontId="258" fillId="3" borderId="28" xfId="1" applyNumberFormat="1" applyFont="1" applyFill="1" applyBorder="1" applyAlignment="1">
      <alignment vertical="center" wrapText="1"/>
    </xf>
    <xf numFmtId="173" fontId="258" fillId="3" borderId="12" xfId="1" applyNumberFormat="1" applyFont="1" applyFill="1" applyBorder="1" applyAlignment="1">
      <alignment vertical="center" wrapText="1"/>
    </xf>
    <xf numFmtId="173" fontId="9" fillId="2" borderId="0" xfId="1" applyNumberFormat="1" applyFont="1" applyFill="1" applyAlignment="1">
      <alignment horizontal="left" wrapText="1"/>
    </xf>
    <xf numFmtId="173" fontId="17" fillId="3" borderId="0" xfId="0" applyNumberFormat="1" applyFont="1" applyFill="1" applyAlignment="1">
      <alignment vertical="center" wrapText="1"/>
    </xf>
    <xf numFmtId="173" fontId="17" fillId="3" borderId="3" xfId="0" applyNumberFormat="1" applyFont="1" applyFill="1" applyBorder="1" applyAlignment="1">
      <alignment vertical="center" wrapText="1"/>
    </xf>
    <xf numFmtId="173" fontId="45" fillId="3" borderId="29" xfId="1" applyNumberFormat="1" applyFont="1" applyFill="1" applyBorder="1" applyAlignment="1">
      <alignment vertical="center" wrapText="1"/>
    </xf>
    <xf numFmtId="173" fontId="45" fillId="3" borderId="22" xfId="1" applyNumberFormat="1" applyFont="1" applyFill="1" applyBorder="1" applyAlignment="1">
      <alignment vertical="center" wrapText="1"/>
    </xf>
    <xf numFmtId="173" fontId="45" fillId="3" borderId="22" xfId="1" applyNumberFormat="1" applyFont="1" applyFill="1" applyBorder="1" applyAlignment="1">
      <alignment wrapText="1"/>
    </xf>
    <xf numFmtId="173" fontId="45" fillId="3" borderId="46" xfId="1" applyNumberFormat="1" applyFont="1" applyFill="1" applyBorder="1" applyAlignment="1">
      <alignment wrapText="1"/>
    </xf>
    <xf numFmtId="173" fontId="157" fillId="3" borderId="20" xfId="1" applyNumberFormat="1" applyFont="1" applyFill="1" applyBorder="1" applyAlignment="1">
      <alignment wrapText="1"/>
    </xf>
    <xf numFmtId="173" fontId="157" fillId="3" borderId="47" xfId="1" applyNumberFormat="1" applyFont="1" applyFill="1" applyBorder="1" applyAlignment="1">
      <alignment wrapText="1"/>
    </xf>
    <xf numFmtId="173" fontId="34" fillId="3" borderId="29" xfId="1" applyNumberFormat="1" applyFont="1" applyFill="1" applyBorder="1" applyAlignment="1">
      <alignment vertical="center" wrapText="1"/>
    </xf>
    <xf numFmtId="173" fontId="17" fillId="3" borderId="43" xfId="1" applyNumberFormat="1" applyFont="1" applyFill="1" applyBorder="1" applyAlignment="1">
      <alignment vertical="center" wrapText="1"/>
    </xf>
    <xf numFmtId="173" fontId="45" fillId="3" borderId="47" xfId="1" applyNumberFormat="1" applyFont="1" applyFill="1" applyBorder="1" applyAlignment="1">
      <alignment wrapText="1"/>
    </xf>
    <xf numFmtId="173" fontId="45" fillId="3" borderId="42" xfId="1" applyNumberFormat="1" applyFont="1" applyFill="1" applyBorder="1" applyAlignment="1">
      <alignment vertical="center" wrapText="1"/>
    </xf>
    <xf numFmtId="173" fontId="47" fillId="3" borderId="20" xfId="1" applyNumberFormat="1" applyFont="1" applyFill="1" applyBorder="1" applyAlignment="1">
      <alignment wrapText="1"/>
    </xf>
    <xf numFmtId="173" fontId="20" fillId="3" borderId="43" xfId="1" applyNumberFormat="1" applyFont="1" applyFill="1" applyBorder="1" applyAlignment="1">
      <alignment wrapText="1"/>
    </xf>
    <xf numFmtId="173" fontId="47" fillId="3" borderId="20" xfId="1" applyNumberFormat="1" applyFont="1" applyFill="1" applyBorder="1" applyAlignment="1">
      <alignment vertical="center" wrapText="1"/>
    </xf>
    <xf numFmtId="173" fontId="20" fillId="5" borderId="43" xfId="1" applyNumberFormat="1" applyFont="1" applyFill="1" applyBorder="1" applyAlignment="1">
      <alignment vertical="center" wrapText="1"/>
    </xf>
    <xf numFmtId="173" fontId="45" fillId="24" borderId="44" xfId="1" applyNumberFormat="1" applyFont="1" applyFill="1" applyBorder="1" applyAlignment="1">
      <alignment wrapText="1"/>
    </xf>
    <xf numFmtId="173" fontId="20" fillId="3" borderId="12" xfId="1" applyNumberFormat="1" applyFont="1" applyFill="1" applyBorder="1" applyAlignment="1">
      <alignment vertical="center" wrapText="1"/>
    </xf>
    <xf numFmtId="173" fontId="20" fillId="3" borderId="15" xfId="1" applyNumberFormat="1" applyFont="1" applyFill="1" applyBorder="1" applyAlignment="1">
      <alignment vertical="center" wrapText="1"/>
    </xf>
    <xf numFmtId="173" fontId="45" fillId="3" borderId="32" xfId="1" applyNumberFormat="1" applyFont="1" applyFill="1" applyBorder="1" applyAlignment="1">
      <alignment vertical="center" wrapText="1"/>
    </xf>
    <xf numFmtId="173" fontId="20" fillId="5" borderId="33" xfId="1" applyNumberFormat="1" applyFont="1" applyFill="1" applyBorder="1" applyAlignment="1">
      <alignment vertical="center" wrapText="1"/>
    </xf>
    <xf numFmtId="173" fontId="45" fillId="24" borderId="15" xfId="1" applyNumberFormat="1" applyFont="1" applyFill="1" applyBorder="1" applyAlignment="1">
      <alignment wrapText="1"/>
    </xf>
    <xf numFmtId="173" fontId="20" fillId="3" borderId="22" xfId="1" applyNumberFormat="1" applyFont="1" applyFill="1" applyBorder="1" applyAlignment="1">
      <alignment wrapText="1"/>
    </xf>
    <xf numFmtId="173" fontId="157" fillId="3" borderId="33" xfId="1" applyNumberFormat="1" applyFont="1" applyFill="1" applyBorder="1" applyAlignment="1">
      <alignment wrapText="1"/>
    </xf>
    <xf numFmtId="173" fontId="150" fillId="3" borderId="20" xfId="1" applyNumberFormat="1" applyFont="1" applyFill="1" applyBorder="1" applyAlignment="1">
      <alignment vertical="center" wrapText="1"/>
    </xf>
    <xf numFmtId="173" fontId="150" fillId="5" borderId="43" xfId="1" applyNumberFormat="1" applyFont="1" applyFill="1" applyBorder="1" applyAlignment="1">
      <alignment vertical="center" wrapText="1"/>
    </xf>
    <xf numFmtId="173" fontId="157" fillId="3" borderId="43" xfId="1" applyNumberFormat="1" applyFont="1" applyFill="1" applyBorder="1" applyAlignment="1">
      <alignment wrapText="1"/>
    </xf>
    <xf numFmtId="173" fontId="47" fillId="3" borderId="22" xfId="1" applyNumberFormat="1" applyFont="1" applyFill="1" applyBorder="1" applyAlignment="1">
      <alignment wrapText="1"/>
    </xf>
    <xf numFmtId="173" fontId="20" fillId="3" borderId="20" xfId="1" applyNumberFormat="1" applyFont="1" applyFill="1" applyBorder="1" applyAlignment="1">
      <alignment vertical="center" wrapText="1"/>
    </xf>
    <xf numFmtId="173" fontId="20" fillId="3" borderId="43" xfId="1" applyNumberFormat="1" applyFont="1" applyFill="1" applyBorder="1" applyAlignment="1">
      <alignment vertical="center" wrapText="1"/>
    </xf>
    <xf numFmtId="173" fontId="17" fillId="3" borderId="20" xfId="1" applyNumberFormat="1" applyFont="1" applyFill="1" applyBorder="1" applyAlignment="1">
      <alignment vertical="center" wrapText="1"/>
    </xf>
    <xf numFmtId="173" fontId="157" fillId="21" borderId="20" xfId="1" applyNumberFormat="1" applyFont="1" applyFill="1" applyBorder="1" applyAlignment="1">
      <alignment wrapText="1"/>
    </xf>
    <xf numFmtId="173" fontId="0" fillId="0" borderId="0" xfId="0" applyNumberFormat="1" applyAlignment="1">
      <alignment wrapText="1"/>
    </xf>
    <xf numFmtId="173" fontId="0" fillId="2" borderId="0" xfId="0" applyNumberFormat="1" applyFill="1" applyAlignment="1">
      <alignment wrapText="1"/>
    </xf>
    <xf numFmtId="173" fontId="19" fillId="3" borderId="29" xfId="1" applyNumberFormat="1" applyFont="1" applyFill="1" applyBorder="1" applyAlignment="1">
      <alignment vertical="center" wrapText="1"/>
    </xf>
    <xf numFmtId="173" fontId="19" fillId="3" borderId="12" xfId="1" applyNumberFormat="1" applyFont="1" applyFill="1" applyBorder="1" applyAlignment="1">
      <alignment vertical="center" wrapText="1"/>
    </xf>
    <xf numFmtId="173" fontId="19" fillId="3" borderId="28" xfId="1" applyNumberFormat="1" applyFont="1" applyFill="1" applyBorder="1" applyAlignment="1">
      <alignment vertical="center" wrapText="1"/>
    </xf>
    <xf numFmtId="173" fontId="19" fillId="3" borderId="20" xfId="1" applyNumberFormat="1" applyFont="1" applyFill="1" applyBorder="1" applyAlignment="1">
      <alignment vertical="center" wrapText="1"/>
    </xf>
    <xf numFmtId="173" fontId="19" fillId="3" borderId="22" xfId="1" applyNumberFormat="1" applyFont="1" applyFill="1" applyBorder="1" applyAlignment="1">
      <alignment vertical="center" wrapText="1"/>
    </xf>
    <xf numFmtId="173" fontId="19" fillId="3" borderId="33" xfId="1" applyNumberFormat="1" applyFont="1" applyFill="1" applyBorder="1" applyAlignment="1">
      <alignment vertical="center" wrapText="1"/>
    </xf>
    <xf numFmtId="173" fontId="19" fillId="0" borderId="33" xfId="1" applyNumberFormat="1" applyFont="1" applyFill="1" applyBorder="1" applyAlignment="1">
      <alignment vertical="center" wrapText="1"/>
    </xf>
    <xf numFmtId="173" fontId="19" fillId="0" borderId="22" xfId="1" applyNumberFormat="1" applyFont="1" applyFill="1" applyBorder="1" applyAlignment="1">
      <alignment vertical="center" wrapText="1"/>
    </xf>
    <xf numFmtId="173" fontId="19" fillId="3" borderId="47" xfId="1" applyNumberFormat="1" applyFont="1" applyFill="1" applyBorder="1" applyAlignment="1">
      <alignment vertical="center" wrapText="1"/>
    </xf>
    <xf numFmtId="173" fontId="19" fillId="3" borderId="14" xfId="1" applyNumberFormat="1" applyFont="1" applyFill="1" applyBorder="1" applyAlignment="1">
      <alignment vertical="center" wrapText="1"/>
    </xf>
    <xf numFmtId="173" fontId="19" fillId="6" borderId="28" xfId="1" applyNumberFormat="1" applyFont="1" applyFill="1" applyBorder="1" applyAlignment="1">
      <alignment vertical="center" wrapText="1"/>
    </xf>
    <xf numFmtId="173" fontId="44" fillId="6" borderId="22" xfId="2" applyNumberFormat="1" applyFont="1" applyFill="1" applyBorder="1" applyAlignment="1">
      <alignment vertical="center" wrapText="1"/>
    </xf>
    <xf numFmtId="173" fontId="50" fillId="3" borderId="33" xfId="1" applyNumberFormat="1" applyFont="1" applyFill="1" applyBorder="1" applyAlignment="1">
      <alignment vertical="center" wrapText="1"/>
    </xf>
    <xf numFmtId="173" fontId="49" fillId="3" borderId="28" xfId="1" applyNumberFormat="1" applyFont="1" applyFill="1" applyBorder="1" applyAlignment="1">
      <alignment vertical="center" wrapText="1"/>
    </xf>
    <xf numFmtId="173" fontId="23" fillId="3" borderId="22" xfId="1" applyNumberFormat="1" applyFont="1" applyFill="1" applyBorder="1" applyAlignment="1">
      <alignment vertical="center" wrapText="1"/>
    </xf>
    <xf numFmtId="173" fontId="20" fillId="0" borderId="0" xfId="0" applyNumberFormat="1" applyFont="1" applyAlignment="1">
      <alignment vertical="center" wrapText="1"/>
    </xf>
    <xf numFmtId="173" fontId="19" fillId="3" borderId="32" xfId="1" applyNumberFormat="1" applyFont="1" applyFill="1" applyBorder="1" applyAlignment="1">
      <alignment vertical="center" wrapText="1"/>
    </xf>
    <xf numFmtId="173" fontId="44" fillId="3" borderId="0" xfId="1" applyNumberFormat="1" applyFont="1" applyFill="1" applyBorder="1" applyAlignment="1">
      <alignment vertical="center" wrapText="1"/>
    </xf>
    <xf numFmtId="173" fontId="19" fillId="6" borderId="20" xfId="1" applyNumberFormat="1" applyFont="1" applyFill="1" applyBorder="1" applyAlignment="1">
      <alignment vertical="center" wrapText="1"/>
    </xf>
    <xf numFmtId="173" fontId="20" fillId="6" borderId="0" xfId="1" applyNumberFormat="1" applyFont="1" applyFill="1" applyBorder="1" applyAlignment="1">
      <alignment wrapText="1"/>
    </xf>
    <xf numFmtId="173" fontId="19" fillId="12" borderId="33" xfId="1" applyNumberFormat="1" applyFont="1" applyFill="1" applyBorder="1" applyAlignment="1">
      <alignment vertical="center" wrapText="1"/>
    </xf>
    <xf numFmtId="173" fontId="19" fillId="3" borderId="27" xfId="1" applyNumberFormat="1" applyFont="1" applyFill="1" applyBorder="1" applyAlignment="1">
      <alignment vertical="center" wrapText="1"/>
    </xf>
    <xf numFmtId="173" fontId="19" fillId="3" borderId="26" xfId="1" applyNumberFormat="1" applyFont="1" applyFill="1" applyBorder="1" applyAlignment="1">
      <alignment vertical="center" wrapText="1"/>
    </xf>
    <xf numFmtId="173" fontId="19" fillId="3" borderId="33" xfId="2" applyNumberFormat="1" applyFont="1" applyFill="1" applyBorder="1" applyAlignment="1">
      <alignment vertical="center" wrapText="1"/>
    </xf>
    <xf numFmtId="173" fontId="19" fillId="0" borderId="28" xfId="1" applyNumberFormat="1" applyFont="1" applyFill="1" applyBorder="1" applyAlignment="1">
      <alignment wrapText="1"/>
    </xf>
    <xf numFmtId="173" fontId="19" fillId="3" borderId="0" xfId="1" applyNumberFormat="1" applyFont="1" applyFill="1" applyBorder="1" applyAlignment="1">
      <alignment wrapText="1"/>
    </xf>
    <xf numFmtId="173" fontId="19" fillId="3" borderId="29" xfId="1" applyNumberFormat="1" applyFont="1" applyFill="1" applyBorder="1" applyAlignment="1">
      <alignment wrapText="1"/>
    </xf>
    <xf numFmtId="173" fontId="19" fillId="3" borderId="22" xfId="1" applyNumberFormat="1" applyFont="1" applyFill="1" applyBorder="1" applyAlignment="1">
      <alignment wrapText="1"/>
    </xf>
    <xf numFmtId="173" fontId="19" fillId="3" borderId="0" xfId="1" applyNumberFormat="1" applyFont="1" applyFill="1" applyBorder="1" applyAlignment="1">
      <alignment vertical="center" wrapText="1"/>
    </xf>
    <xf numFmtId="173" fontId="19" fillId="3" borderId="13" xfId="1" applyNumberFormat="1" applyFont="1" applyFill="1" applyBorder="1" applyAlignment="1">
      <alignment vertical="center" wrapText="1"/>
    </xf>
    <xf numFmtId="173" fontId="19" fillId="3" borderId="15" xfId="1" applyNumberFormat="1" applyFont="1" applyFill="1" applyBorder="1" applyAlignment="1">
      <alignment vertical="center" wrapText="1"/>
    </xf>
    <xf numFmtId="173" fontId="19" fillId="3" borderId="43" xfId="1" applyNumberFormat="1" applyFont="1" applyFill="1" applyBorder="1" applyAlignment="1">
      <alignment vertical="center" wrapText="1"/>
    </xf>
    <xf numFmtId="0" fontId="20" fillId="0" borderId="0" xfId="0" applyFont="1" applyAlignment="1">
      <alignment vertical="center" wrapText="1"/>
    </xf>
    <xf numFmtId="173" fontId="49" fillId="3" borderId="33" xfId="1" applyNumberFormat="1" applyFont="1" applyFill="1" applyBorder="1" applyAlignment="1">
      <alignment vertical="center" wrapText="1"/>
    </xf>
    <xf numFmtId="173" fontId="49" fillId="3" borderId="22" xfId="1" applyNumberFormat="1" applyFont="1" applyFill="1" applyBorder="1" applyAlignment="1">
      <alignment vertical="center" wrapText="1"/>
    </xf>
    <xf numFmtId="173" fontId="49" fillId="3" borderId="20" xfId="1" applyNumberFormat="1" applyFont="1" applyFill="1" applyBorder="1" applyAlignment="1">
      <alignment vertical="center" wrapText="1"/>
    </xf>
    <xf numFmtId="173" fontId="156" fillId="3" borderId="20" xfId="1" applyNumberFormat="1" applyFont="1" applyFill="1" applyBorder="1" applyAlignment="1">
      <alignment vertical="center" wrapText="1"/>
    </xf>
    <xf numFmtId="173" fontId="19" fillId="6" borderId="22" xfId="1" applyNumberFormat="1" applyFont="1" applyFill="1" applyBorder="1" applyAlignment="1">
      <alignment vertical="center" wrapText="1"/>
    </xf>
    <xf numFmtId="173" fontId="19" fillId="3" borderId="35" xfId="1" applyNumberFormat="1" applyFont="1" applyFill="1" applyBorder="1" applyAlignment="1">
      <alignment vertical="center" wrapText="1"/>
    </xf>
    <xf numFmtId="173" fontId="19" fillId="6" borderId="15" xfId="1" applyNumberFormat="1" applyFont="1" applyFill="1" applyBorder="1" applyAlignment="1">
      <alignment vertical="center" wrapText="1"/>
    </xf>
    <xf numFmtId="173" fontId="19" fillId="5" borderId="0" xfId="1" applyNumberFormat="1" applyFont="1" applyFill="1" applyBorder="1" applyAlignment="1">
      <alignment vertical="center" wrapText="1"/>
    </xf>
    <xf numFmtId="173" fontId="19" fillId="6" borderId="0" xfId="1" applyNumberFormat="1" applyFont="1" applyFill="1" applyBorder="1" applyAlignment="1">
      <alignment vertical="center" wrapText="1"/>
    </xf>
    <xf numFmtId="173" fontId="19" fillId="3" borderId="0" xfId="0" applyNumberFormat="1" applyFont="1" applyFill="1" applyAlignment="1">
      <alignment vertical="center" wrapText="1"/>
    </xf>
    <xf numFmtId="1" fontId="19" fillId="3" borderId="0" xfId="1" applyNumberFormat="1" applyFont="1" applyFill="1" applyBorder="1" applyAlignment="1">
      <alignment vertical="center" wrapText="1"/>
    </xf>
    <xf numFmtId="173" fontId="162" fillId="3" borderId="22" xfId="1" applyNumberFormat="1" applyFont="1" applyFill="1" applyBorder="1" applyAlignment="1">
      <alignment vertical="center" wrapText="1"/>
    </xf>
    <xf numFmtId="173" fontId="164" fillId="3" borderId="22" xfId="1" applyNumberFormat="1" applyFont="1" applyFill="1" applyBorder="1" applyAlignment="1">
      <alignment vertical="center" wrapText="1"/>
    </xf>
    <xf numFmtId="173" fontId="50" fillId="3" borderId="0" xfId="0" applyNumberFormat="1" applyFont="1" applyFill="1" applyAlignment="1">
      <alignment vertical="center" wrapText="1"/>
    </xf>
    <xf numFmtId="173" fontId="20" fillId="0" borderId="29" xfId="2" applyNumberFormat="1" applyFont="1" applyFill="1" applyBorder="1" applyAlignment="1">
      <alignment vertical="center" wrapText="1"/>
    </xf>
    <xf numFmtId="173" fontId="20" fillId="0" borderId="28" xfId="2" applyNumberFormat="1" applyFont="1" applyFill="1" applyBorder="1" applyAlignment="1">
      <alignment vertical="center" wrapText="1"/>
    </xf>
    <xf numFmtId="173" fontId="20" fillId="0" borderId="22" xfId="2" applyNumberFormat="1" applyFont="1" applyFill="1" applyBorder="1" applyAlignment="1">
      <alignment vertical="center" wrapText="1"/>
    </xf>
    <xf numFmtId="173" fontId="19" fillId="21" borderId="32" xfId="1" applyNumberFormat="1" applyFont="1" applyFill="1" applyBorder="1" applyAlignment="1">
      <alignment wrapText="1"/>
    </xf>
    <xf numFmtId="173" fontId="19" fillId="6" borderId="15" xfId="1" applyNumberFormat="1" applyFont="1" applyFill="1" applyBorder="1" applyAlignment="1">
      <alignment wrapText="1"/>
    </xf>
    <xf numFmtId="173" fontId="19" fillId="21" borderId="29" xfId="1" applyNumberFormat="1" applyFont="1" applyFill="1" applyBorder="1" applyAlignment="1">
      <alignment wrapText="1"/>
    </xf>
    <xf numFmtId="173" fontId="206" fillId="21" borderId="22" xfId="1" applyNumberFormat="1" applyFont="1" applyFill="1" applyBorder="1" applyAlignment="1">
      <alignment wrapText="1"/>
    </xf>
    <xf numFmtId="173" fontId="44" fillId="3" borderId="20" xfId="1" applyNumberFormat="1" applyFont="1" applyFill="1" applyBorder="1" applyAlignment="1">
      <alignment wrapText="1"/>
    </xf>
    <xf numFmtId="173" fontId="44" fillId="3" borderId="22" xfId="1" applyNumberFormat="1" applyFont="1" applyFill="1" applyBorder="1" applyAlignment="1">
      <alignment wrapText="1"/>
    </xf>
    <xf numFmtId="173" fontId="44" fillId="3" borderId="47" xfId="1" applyNumberFormat="1" applyFont="1" applyFill="1" applyBorder="1" applyAlignment="1">
      <alignment wrapText="1"/>
    </xf>
    <xf numFmtId="173" fontId="19" fillId="0" borderId="0" xfId="1" applyNumberFormat="1" applyFont="1" applyFill="1" applyBorder="1" applyAlignment="1">
      <alignment vertical="center" wrapText="1"/>
    </xf>
    <xf numFmtId="173" fontId="44" fillId="6" borderId="22" xfId="1" applyNumberFormat="1" applyFont="1" applyFill="1" applyBorder="1" applyAlignment="1">
      <alignment wrapText="1"/>
    </xf>
    <xf numFmtId="173" fontId="44" fillId="3" borderId="0" xfId="1" applyNumberFormat="1" applyFont="1" applyFill="1" applyBorder="1" applyAlignment="1">
      <alignment wrapText="1"/>
    </xf>
    <xf numFmtId="49" fontId="19" fillId="0" borderId="28" xfId="1" applyNumberFormat="1" applyFont="1" applyFill="1" applyBorder="1" applyAlignment="1">
      <alignment vertical="center" wrapText="1"/>
    </xf>
    <xf numFmtId="49" fontId="19" fillId="3" borderId="28" xfId="1" applyNumberFormat="1" applyFont="1" applyFill="1" applyBorder="1" applyAlignment="1">
      <alignment vertical="center" wrapText="1"/>
    </xf>
    <xf numFmtId="49" fontId="49" fillId="0" borderId="28" xfId="1" applyNumberFormat="1" applyFont="1" applyFill="1" applyBorder="1" applyAlignment="1">
      <alignment vertical="center" wrapText="1"/>
    </xf>
    <xf numFmtId="173" fontId="47" fillId="3" borderId="28" xfId="1" applyNumberFormat="1" applyFont="1" applyFill="1" applyBorder="1" applyAlignment="1">
      <alignment vertical="center" wrapText="1"/>
    </xf>
    <xf numFmtId="173" fontId="20" fillId="3" borderId="28" xfId="1" applyNumberFormat="1" applyFont="1" applyFill="1" applyBorder="1" applyAlignment="1">
      <alignment vertical="center" wrapText="1"/>
    </xf>
    <xf numFmtId="49" fontId="47" fillId="3" borderId="28" xfId="1" applyNumberFormat="1" applyFont="1" applyFill="1" applyBorder="1" applyAlignment="1">
      <alignment vertical="center" wrapText="1"/>
    </xf>
    <xf numFmtId="173" fontId="156" fillId="3" borderId="32" xfId="1" applyNumberFormat="1" applyFont="1" applyFill="1" applyBorder="1" applyAlignment="1">
      <alignment vertical="center" wrapText="1"/>
    </xf>
    <xf numFmtId="173" fontId="47" fillId="3" borderId="15" xfId="1" applyNumberFormat="1" applyFont="1" applyFill="1" applyBorder="1" applyAlignment="1">
      <alignment vertical="center" wrapText="1"/>
    </xf>
    <xf numFmtId="173" fontId="47" fillId="3" borderId="85" xfId="1" applyNumberFormat="1" applyFont="1" applyFill="1" applyBorder="1" applyAlignment="1">
      <alignment vertical="center" wrapText="1"/>
    </xf>
    <xf numFmtId="173" fontId="19" fillId="5" borderId="26" xfId="1" applyNumberFormat="1" applyFont="1" applyFill="1" applyBorder="1" applyAlignment="1">
      <alignment vertical="center" wrapText="1"/>
    </xf>
    <xf numFmtId="173" fontId="19" fillId="5" borderId="33" xfId="1" applyNumberFormat="1" applyFont="1" applyFill="1" applyBorder="1" applyAlignment="1">
      <alignment vertical="center" wrapText="1"/>
    </xf>
    <xf numFmtId="173" fontId="19" fillId="5" borderId="28" xfId="1" applyNumberFormat="1" applyFont="1" applyFill="1" applyBorder="1" applyAlignment="1">
      <alignment vertical="center" wrapText="1"/>
    </xf>
    <xf numFmtId="173" fontId="19" fillId="5" borderId="13" xfId="1" applyNumberFormat="1" applyFont="1" applyFill="1" applyBorder="1" applyAlignment="1">
      <alignment vertical="center" wrapText="1"/>
    </xf>
    <xf numFmtId="173" fontId="19" fillId="3" borderId="0" xfId="0" applyNumberFormat="1" applyFont="1" applyFill="1" applyAlignment="1">
      <alignment wrapText="1"/>
    </xf>
    <xf numFmtId="173" fontId="20" fillId="0" borderId="22" xfId="1" applyNumberFormat="1" applyFont="1" applyFill="1" applyBorder="1" applyAlignment="1">
      <alignment vertical="center" wrapText="1"/>
    </xf>
    <xf numFmtId="173" fontId="20" fillId="0" borderId="0" xfId="1" applyNumberFormat="1" applyFont="1" applyFill="1" applyBorder="1" applyAlignment="1">
      <alignment vertical="center" wrapText="1"/>
    </xf>
    <xf numFmtId="173" fontId="33" fillId="5" borderId="0" xfId="1" applyNumberFormat="1" applyFont="1" applyFill="1" applyBorder="1" applyAlignment="1">
      <alignment vertical="center" wrapText="1"/>
    </xf>
    <xf numFmtId="173" fontId="33" fillId="6" borderId="0" xfId="1" applyNumberFormat="1" applyFont="1" applyFill="1" applyBorder="1" applyAlignment="1">
      <alignment vertical="center" wrapText="1"/>
    </xf>
    <xf numFmtId="173" fontId="20" fillId="6" borderId="0" xfId="1" applyNumberFormat="1" applyFont="1" applyFill="1" applyBorder="1" applyAlignment="1">
      <alignment vertical="center" wrapText="1"/>
    </xf>
    <xf numFmtId="173" fontId="20" fillId="6" borderId="3" xfId="1" applyNumberFormat="1" applyFont="1" applyFill="1" applyBorder="1" applyAlignment="1">
      <alignment vertical="center" wrapText="1"/>
    </xf>
    <xf numFmtId="173" fontId="19" fillId="2" borderId="129" xfId="0" applyNumberFormat="1" applyFont="1" applyFill="1" applyBorder="1" applyAlignment="1">
      <alignment wrapText="1"/>
    </xf>
    <xf numFmtId="173" fontId="19" fillId="2" borderId="0" xfId="0" applyNumberFormat="1" applyFont="1" applyFill="1" applyAlignment="1">
      <alignment wrapText="1"/>
    </xf>
    <xf numFmtId="173" fontId="239" fillId="2" borderId="3" xfId="0" applyNumberFormat="1" applyFont="1" applyFill="1" applyBorder="1" applyAlignment="1">
      <alignment vertical="center" wrapText="1"/>
    </xf>
    <xf numFmtId="173" fontId="28" fillId="2" borderId="0" xfId="0" applyNumberFormat="1" applyFont="1" applyFill="1" applyAlignment="1">
      <alignment vertical="center" wrapText="1"/>
    </xf>
    <xf numFmtId="173" fontId="28" fillId="2" borderId="3" xfId="0" applyNumberFormat="1" applyFont="1" applyFill="1" applyBorder="1" applyAlignment="1">
      <alignment vertical="center" wrapText="1"/>
    </xf>
    <xf numFmtId="173" fontId="0" fillId="6" borderId="0" xfId="0" applyNumberFormat="1" applyFill="1" applyAlignment="1">
      <alignment wrapText="1"/>
    </xf>
    <xf numFmtId="44" fontId="162" fillId="3" borderId="29" xfId="1" applyFont="1" applyFill="1" applyBorder="1" applyAlignment="1">
      <alignment vertical="center" wrapText="1"/>
    </xf>
    <xf numFmtId="37" fontId="17" fillId="3" borderId="122" xfId="0" applyNumberFormat="1" applyFont="1" applyFill="1" applyBorder="1" applyAlignment="1">
      <alignment horizontal="center" vertical="center"/>
    </xf>
    <xf numFmtId="0" fontId="17" fillId="3" borderId="122" xfId="0" applyFont="1" applyFill="1" applyBorder="1" applyAlignment="1">
      <alignment vertical="center"/>
    </xf>
    <xf numFmtId="0" fontId="17" fillId="3" borderId="126" xfId="0" applyFont="1" applyFill="1" applyBorder="1" applyAlignment="1">
      <alignment horizontal="center" vertical="center"/>
    </xf>
    <xf numFmtId="0" fontId="19" fillId="6" borderId="13" xfId="0" applyFont="1" applyFill="1" applyBorder="1" applyAlignment="1">
      <alignment vertical="center"/>
    </xf>
    <xf numFmtId="173" fontId="19" fillId="6" borderId="12" xfId="1" applyNumberFormat="1" applyFont="1" applyFill="1" applyBorder="1" applyAlignment="1">
      <alignment vertical="center" wrapText="1"/>
    </xf>
    <xf numFmtId="173" fontId="19" fillId="6" borderId="12" xfId="2" applyNumberFormat="1" applyFont="1" applyFill="1" applyBorder="1" applyAlignment="1">
      <alignment vertical="center"/>
    </xf>
    <xf numFmtId="173" fontId="19" fillId="6" borderId="12" xfId="2" applyNumberFormat="1" applyFont="1" applyFill="1" applyBorder="1" applyAlignment="1" applyProtection="1">
      <alignment vertical="center" wrapText="1"/>
      <protection locked="0"/>
    </xf>
    <xf numFmtId="164" fontId="19" fillId="6" borderId="12" xfId="2" applyNumberFormat="1" applyFont="1" applyFill="1" applyBorder="1" applyAlignment="1" applyProtection="1">
      <alignment vertical="center" wrapText="1"/>
      <protection locked="0"/>
    </xf>
    <xf numFmtId="44" fontId="19" fillId="6" borderId="12" xfId="1" applyFont="1" applyFill="1" applyBorder="1" applyAlignment="1">
      <alignment vertical="center"/>
    </xf>
    <xf numFmtId="10" fontId="19" fillId="6" borderId="12" xfId="2" applyNumberFormat="1" applyFont="1" applyFill="1" applyBorder="1" applyAlignment="1">
      <alignment vertical="center"/>
    </xf>
    <xf numFmtId="173" fontId="19" fillId="6" borderId="32" xfId="1" applyNumberFormat="1" applyFont="1" applyFill="1" applyBorder="1" applyAlignment="1">
      <alignment vertical="center" wrapText="1"/>
    </xf>
    <xf numFmtId="173" fontId="19" fillId="6" borderId="33" xfId="2" applyNumberFormat="1" applyFont="1" applyFill="1" applyBorder="1" applyAlignment="1">
      <alignment vertical="center"/>
    </xf>
    <xf numFmtId="173" fontId="19" fillId="6" borderId="26" xfId="2" applyNumberFormat="1" applyFont="1" applyFill="1" applyBorder="1" applyAlignment="1" applyProtection="1">
      <alignment vertical="center" wrapText="1"/>
      <protection locked="0"/>
    </xf>
    <xf numFmtId="164" fontId="19" fillId="6" borderId="26" xfId="2" applyNumberFormat="1" applyFont="1" applyFill="1" applyBorder="1" applyAlignment="1" applyProtection="1">
      <alignment vertical="center" wrapText="1"/>
      <protection locked="0"/>
    </xf>
    <xf numFmtId="44" fontId="19" fillId="6" borderId="26" xfId="1" applyFont="1" applyFill="1" applyBorder="1" applyAlignment="1">
      <alignment vertical="center"/>
    </xf>
    <xf numFmtId="10" fontId="19" fillId="6" borderId="26" xfId="2" applyNumberFormat="1" applyFont="1" applyFill="1" applyBorder="1" applyAlignment="1">
      <alignment vertical="center"/>
    </xf>
    <xf numFmtId="173" fontId="19" fillId="6" borderId="33" xfId="1" applyNumberFormat="1" applyFont="1" applyFill="1" applyBorder="1" applyAlignment="1">
      <alignment vertical="center" wrapText="1"/>
    </xf>
    <xf numFmtId="44" fontId="19" fillId="6" borderId="32" xfId="1" applyFont="1" applyFill="1" applyBorder="1" applyAlignment="1">
      <alignment vertical="center"/>
    </xf>
    <xf numFmtId="37" fontId="19" fillId="6" borderId="155" xfId="0" applyNumberFormat="1" applyFont="1" applyFill="1" applyBorder="1" applyAlignment="1">
      <alignment horizontal="center" vertical="center"/>
    </xf>
    <xf numFmtId="0" fontId="16" fillId="6" borderId="155" xfId="0" applyFont="1" applyFill="1" applyBorder="1" applyAlignment="1">
      <alignment horizontal="left" vertical="center"/>
    </xf>
    <xf numFmtId="0" fontId="19" fillId="6" borderId="155" xfId="0" applyFont="1" applyFill="1" applyBorder="1" applyAlignment="1">
      <alignment horizontal="left" vertical="center"/>
    </xf>
    <xf numFmtId="0" fontId="19" fillId="6" borderId="155" xfId="0" applyFont="1" applyFill="1" applyBorder="1" applyAlignment="1">
      <alignment vertical="center"/>
    </xf>
    <xf numFmtId="0" fontId="52" fillId="6" borderId="155" xfId="0" applyFont="1" applyFill="1" applyBorder="1" applyAlignment="1">
      <alignment horizontal="center" vertical="center"/>
    </xf>
    <xf numFmtId="44" fontId="19" fillId="6" borderId="155" xfId="0" applyNumberFormat="1" applyFont="1" applyFill="1" applyBorder="1" applyAlignment="1">
      <alignment horizontal="left" vertical="center"/>
    </xf>
    <xf numFmtId="44" fontId="20" fillId="6" borderId="155" xfId="0" applyNumberFormat="1" applyFont="1" applyFill="1" applyBorder="1" applyAlignment="1">
      <alignment horizontal="right" vertical="center"/>
    </xf>
    <xf numFmtId="44" fontId="20" fillId="6" borderId="156" xfId="1" applyFont="1" applyFill="1" applyBorder="1" applyAlignment="1">
      <alignment horizontal="right" vertical="center"/>
    </xf>
    <xf numFmtId="44" fontId="19" fillId="6" borderId="42" xfId="1" applyFont="1" applyFill="1" applyBorder="1" applyAlignment="1">
      <alignment vertical="center"/>
    </xf>
    <xf numFmtId="173" fontId="19" fillId="6" borderId="43" xfId="1" applyNumberFormat="1" applyFont="1" applyFill="1" applyBorder="1" applyAlignment="1">
      <alignment vertical="center" wrapText="1"/>
    </xf>
    <xf numFmtId="173" fontId="19" fillId="6" borderId="43" xfId="2" applyNumberFormat="1" applyFont="1" applyFill="1" applyBorder="1" applyAlignment="1">
      <alignment vertical="center"/>
    </xf>
    <xf numFmtId="173" fontId="19" fillId="6" borderId="44" xfId="1" applyNumberFormat="1" applyFont="1" applyFill="1" applyBorder="1" applyAlignment="1">
      <alignment vertical="center"/>
    </xf>
    <xf numFmtId="173" fontId="19" fillId="6" borderId="44" xfId="2" applyNumberFormat="1" applyFont="1" applyFill="1" applyBorder="1" applyAlignment="1" applyProtection="1">
      <alignment vertical="center" wrapText="1"/>
      <protection locked="0"/>
    </xf>
    <xf numFmtId="164" fontId="19" fillId="6" borderId="44" xfId="2" applyNumberFormat="1" applyFont="1" applyFill="1" applyBorder="1" applyAlignment="1" applyProtection="1">
      <alignment vertical="center" wrapText="1"/>
      <protection locked="0"/>
    </xf>
    <xf numFmtId="44" fontId="19" fillId="6" borderId="44" xfId="1" applyFont="1" applyFill="1" applyBorder="1" applyAlignment="1">
      <alignment vertical="center"/>
    </xf>
    <xf numFmtId="10" fontId="19" fillId="6" borderId="44" xfId="2" applyNumberFormat="1" applyFont="1" applyFill="1" applyBorder="1" applyAlignment="1">
      <alignment vertical="center"/>
    </xf>
    <xf numFmtId="0" fontId="19" fillId="6" borderId="3" xfId="0" applyFont="1" applyFill="1" applyBorder="1" applyAlignment="1">
      <alignment vertical="center"/>
    </xf>
    <xf numFmtId="0" fontId="16" fillId="6" borderId="125" xfId="0" applyFont="1" applyFill="1" applyBorder="1" applyAlignment="1">
      <alignment vertical="center"/>
    </xf>
    <xf numFmtId="0" fontId="235" fillId="6" borderId="125" xfId="0" applyFont="1" applyFill="1" applyBorder="1" applyAlignment="1">
      <alignment vertical="center"/>
    </xf>
    <xf numFmtId="0" fontId="241" fillId="6" borderId="125" xfId="0" applyFont="1" applyFill="1" applyBorder="1" applyAlignment="1">
      <alignment vertical="center"/>
    </xf>
    <xf numFmtId="0" fontId="47" fillId="6" borderId="125" xfId="0" applyFont="1" applyFill="1" applyBorder="1" applyAlignment="1">
      <alignment horizontal="left" vertical="center"/>
    </xf>
    <xf numFmtId="0" fontId="19" fillId="6" borderId="125" xfId="0" applyFont="1" applyFill="1" applyBorder="1" applyAlignment="1">
      <alignment horizontal="left" vertical="center"/>
    </xf>
    <xf numFmtId="44" fontId="19" fillId="6" borderId="125" xfId="0" applyNumberFormat="1" applyFont="1" applyFill="1" applyBorder="1" applyAlignment="1">
      <alignment horizontal="left" vertical="center"/>
    </xf>
    <xf numFmtId="0" fontId="16" fillId="6" borderId="129" xfId="0" applyFont="1" applyFill="1" applyBorder="1" applyAlignment="1">
      <alignment horizontal="left" vertical="center"/>
    </xf>
    <xf numFmtId="0" fontId="22" fillId="3" borderId="121" xfId="0" applyFont="1" applyFill="1" applyBorder="1" applyAlignment="1">
      <alignment horizontal="center" vertical="center"/>
    </xf>
    <xf numFmtId="37" fontId="16" fillId="6" borderId="125" xfId="0" applyNumberFormat="1" applyFont="1" applyFill="1" applyBorder="1" applyAlignment="1">
      <alignment horizontal="center" vertical="center"/>
    </xf>
    <xf numFmtId="0" fontId="16" fillId="6" borderId="125" xfId="0" applyFont="1" applyFill="1" applyBorder="1" applyAlignment="1">
      <alignment horizontal="center" vertical="center"/>
    </xf>
    <xf numFmtId="0" fontId="17" fillId="6" borderId="140" xfId="0" applyFont="1" applyFill="1" applyBorder="1" applyAlignment="1">
      <alignment vertical="center"/>
    </xf>
    <xf numFmtId="0" fontId="17" fillId="6" borderId="127" xfId="0" applyFont="1" applyFill="1" applyBorder="1" applyAlignment="1">
      <alignment vertical="center"/>
    </xf>
    <xf numFmtId="0" fontId="17" fillId="6" borderId="122" xfId="0" applyFont="1" applyFill="1" applyBorder="1" applyAlignment="1">
      <alignment vertical="center"/>
    </xf>
    <xf numFmtId="0" fontId="17" fillId="0" borderId="121" xfId="0" applyFont="1" applyBorder="1" applyAlignment="1">
      <alignment horizontal="right" vertical="center"/>
    </xf>
    <xf numFmtId="44" fontId="17" fillId="0" borderId="122" xfId="0" applyNumberFormat="1" applyFont="1" applyBorder="1" applyAlignment="1">
      <alignment horizontal="right" vertical="center"/>
    </xf>
    <xf numFmtId="0" fontId="50" fillId="20" borderId="13" xfId="0" applyFont="1" applyFill="1" applyBorder="1" applyAlignment="1">
      <alignment horizontal="left" vertical="center"/>
    </xf>
    <xf numFmtId="1" fontId="50" fillId="20" borderId="0" xfId="0" applyNumberFormat="1" applyFont="1" applyFill="1" applyAlignment="1">
      <alignment horizontal="left" vertical="center"/>
    </xf>
    <xf numFmtId="1" fontId="50" fillId="20" borderId="3" xfId="0" applyNumberFormat="1" applyFont="1" applyFill="1" applyBorder="1" applyAlignment="1">
      <alignment horizontal="left" vertical="center"/>
    </xf>
    <xf numFmtId="0" fontId="22" fillId="3" borderId="15" xfId="0" applyFont="1" applyFill="1" applyBorder="1" applyAlignment="1">
      <alignment horizontal="left" vertical="center"/>
    </xf>
    <xf numFmtId="0" fontId="22" fillId="3" borderId="125" xfId="0" applyFont="1" applyFill="1" applyBorder="1" applyAlignment="1">
      <alignment horizontal="center" vertical="center"/>
    </xf>
    <xf numFmtId="164" fontId="34" fillId="24" borderId="52" xfId="0" applyNumberFormat="1" applyFont="1" applyFill="1" applyBorder="1" applyAlignment="1">
      <alignment vertical="center"/>
    </xf>
    <xf numFmtId="37" fontId="50" fillId="3" borderId="12" xfId="0" applyNumberFormat="1" applyFont="1" applyFill="1" applyBorder="1" applyAlignment="1">
      <alignment horizontal="left" vertical="center" indent="1"/>
    </xf>
    <xf numFmtId="37" fontId="50" fillId="3" borderId="15" xfId="0" applyNumberFormat="1" applyFont="1" applyFill="1" applyBorder="1" applyAlignment="1">
      <alignment horizontal="left" vertical="center" indent="1"/>
    </xf>
    <xf numFmtId="164" fontId="50" fillId="3" borderId="12" xfId="0" applyNumberFormat="1" applyFont="1" applyFill="1" applyBorder="1" applyAlignment="1">
      <alignment horizontal="left" vertical="center" indent="1"/>
    </xf>
    <xf numFmtId="37" fontId="50" fillId="3" borderId="3" xfId="0" applyNumberFormat="1" applyFont="1" applyFill="1" applyBorder="1" applyAlignment="1">
      <alignment horizontal="center" vertical="center"/>
    </xf>
    <xf numFmtId="164" fontId="50" fillId="3" borderId="15" xfId="0" applyNumberFormat="1" applyFont="1" applyFill="1" applyBorder="1" applyAlignment="1">
      <alignment horizontal="left" vertical="center" indent="1"/>
    </xf>
    <xf numFmtId="0" fontId="253" fillId="2" borderId="6" xfId="0" quotePrefix="1" applyFont="1" applyFill="1" applyBorder="1" applyAlignment="1">
      <alignment horizontal="left" vertical="center" wrapText="1" indent="1"/>
    </xf>
    <xf numFmtId="0" fontId="253" fillId="2" borderId="3" xfId="0" quotePrefix="1" applyFont="1" applyFill="1" applyBorder="1" applyAlignment="1">
      <alignment horizontal="left" vertical="center" wrapText="1" indent="1"/>
    </xf>
    <xf numFmtId="164" fontId="253" fillId="2" borderId="7" xfId="0" quotePrefix="1" applyNumberFormat="1" applyFont="1" applyFill="1" applyBorder="1" applyAlignment="1">
      <alignment horizontal="left" vertical="center" wrapText="1" indent="1"/>
    </xf>
    <xf numFmtId="0" fontId="20" fillId="2" borderId="49" xfId="0" quotePrefix="1" applyFont="1" applyFill="1" applyBorder="1" applyAlignment="1">
      <alignment horizontal="center" vertical="center" wrapText="1"/>
    </xf>
    <xf numFmtId="0" fontId="20" fillId="2" borderId="40" xfId="0" quotePrefix="1" applyFont="1" applyFill="1" applyBorder="1" applyAlignment="1">
      <alignment horizontal="center" vertical="center" wrapText="1"/>
    </xf>
    <xf numFmtId="0" fontId="20" fillId="2" borderId="8" xfId="0" quotePrefix="1" applyFont="1" applyFill="1" applyBorder="1" applyAlignment="1">
      <alignment horizontal="center" vertical="center" wrapText="1"/>
    </xf>
    <xf numFmtId="0" fontId="20" fillId="2" borderId="16" xfId="0" quotePrefix="1" applyFont="1" applyFill="1" applyBorder="1" applyAlignment="1">
      <alignment horizontal="center" vertical="center" wrapText="1"/>
    </xf>
    <xf numFmtId="37" fontId="50" fillId="3" borderId="12" xfId="0" applyNumberFormat="1" applyFont="1" applyFill="1" applyBorder="1" applyAlignment="1">
      <alignment horizontal="left" vertical="center" wrapText="1" indent="1"/>
    </xf>
    <xf numFmtId="37" fontId="50" fillId="3" borderId="3" xfId="0" applyNumberFormat="1" applyFont="1" applyFill="1" applyBorder="1" applyAlignment="1">
      <alignment horizontal="left" vertical="center" wrapText="1" indent="1"/>
    </xf>
    <xf numFmtId="37" fontId="50" fillId="3" borderId="45" xfId="0" applyNumberFormat="1" applyFont="1" applyFill="1" applyBorder="1" applyAlignment="1">
      <alignment horizontal="left" vertical="center" wrapText="1" indent="1"/>
    </xf>
    <xf numFmtId="37" fontId="50" fillId="3" borderId="44" xfId="0" applyNumberFormat="1" applyFont="1" applyFill="1" applyBorder="1" applyAlignment="1">
      <alignment horizontal="left" vertical="center" indent="1"/>
    </xf>
    <xf numFmtId="37" fontId="50" fillId="3" borderId="3" xfId="0" applyNumberFormat="1" applyFont="1" applyFill="1" applyBorder="1" applyAlignment="1">
      <alignment horizontal="left" vertical="center" indent="1"/>
    </xf>
    <xf numFmtId="37" fontId="50" fillId="3" borderId="41" xfId="0" applyNumberFormat="1" applyFont="1" applyFill="1" applyBorder="1" applyAlignment="1">
      <alignment horizontal="left" vertical="center" indent="1"/>
    </xf>
    <xf numFmtId="164" fontId="50" fillId="3" borderId="12" xfId="0" applyNumberFormat="1" applyFont="1" applyFill="1" applyBorder="1" applyAlignment="1">
      <alignment horizontal="left" vertical="center" wrapText="1" indent="1"/>
    </xf>
    <xf numFmtId="0" fontId="256" fillId="2" borderId="37" xfId="0" applyFont="1" applyFill="1" applyBorder="1" applyAlignment="1">
      <alignment horizontal="center" vertical="center"/>
    </xf>
    <xf numFmtId="37" fontId="95" fillId="3" borderId="36" xfId="0" applyNumberFormat="1" applyFont="1" applyFill="1" applyBorder="1" applyAlignment="1">
      <alignment horizontal="center" vertical="center" wrapText="1"/>
    </xf>
    <xf numFmtId="37" fontId="95" fillId="3" borderId="38" xfId="0" applyNumberFormat="1" applyFont="1" applyFill="1" applyBorder="1" applyAlignment="1">
      <alignment horizontal="center" vertical="center" wrapText="1"/>
    </xf>
    <xf numFmtId="37" fontId="95" fillId="3" borderId="37" xfId="0" applyNumberFormat="1" applyFont="1" applyFill="1" applyBorder="1" applyAlignment="1">
      <alignment horizontal="center" vertical="center" wrapText="1"/>
    </xf>
    <xf numFmtId="164" fontId="95" fillId="3" borderId="97" xfId="0" applyNumberFormat="1" applyFont="1" applyFill="1" applyBorder="1" applyAlignment="1">
      <alignment horizontal="center" vertical="center" wrapText="1"/>
    </xf>
    <xf numFmtId="0" fontId="23" fillId="2" borderId="38" xfId="0" quotePrefix="1" applyFont="1" applyFill="1" applyBorder="1" applyAlignment="1">
      <alignment horizontal="left" vertical="center" wrapText="1" indent="1"/>
    </xf>
    <xf numFmtId="0" fontId="46" fillId="3" borderId="36" xfId="0" applyFont="1" applyFill="1" applyBorder="1" applyAlignment="1">
      <alignment horizontal="left" vertical="center" indent="1"/>
    </xf>
    <xf numFmtId="0" fontId="19" fillId="3" borderId="38" xfId="0" applyFont="1" applyFill="1" applyBorder="1" applyAlignment="1">
      <alignment horizontal="center"/>
    </xf>
    <xf numFmtId="0" fontId="16" fillId="3" borderId="121" xfId="0" applyFont="1" applyFill="1" applyBorder="1" applyAlignment="1">
      <alignment horizontal="left" vertical="center" indent="2"/>
    </xf>
    <xf numFmtId="0" fontId="19" fillId="3" borderId="122" xfId="0" applyFont="1" applyFill="1" applyBorder="1" applyAlignment="1">
      <alignment horizontal="center" vertical="center"/>
    </xf>
    <xf numFmtId="0" fontId="19" fillId="6" borderId="122" xfId="0" applyFont="1" applyFill="1" applyBorder="1" applyAlignment="1">
      <alignment horizontal="center" vertical="center"/>
    </xf>
    <xf numFmtId="164" fontId="24" fillId="24" borderId="44" xfId="0" applyNumberFormat="1" applyFont="1" applyFill="1" applyBorder="1" applyAlignment="1">
      <alignment vertical="center"/>
    </xf>
    <xf numFmtId="0" fontId="19" fillId="0" borderId="129" xfId="0" applyFont="1" applyBorder="1" applyAlignment="1">
      <alignment horizontal="center" vertical="center"/>
    </xf>
    <xf numFmtId="0" fontId="161" fillId="6" borderId="125" xfId="0" applyFont="1" applyFill="1" applyBorder="1" applyAlignment="1">
      <alignment vertical="center"/>
    </xf>
    <xf numFmtId="44" fontId="24" fillId="4" borderId="14" xfId="1" applyFont="1" applyFill="1" applyBorder="1" applyAlignment="1">
      <alignment horizontal="center" vertical="center" wrapText="1"/>
    </xf>
    <xf numFmtId="173" fontId="24" fillId="4" borderId="12" xfId="1" applyNumberFormat="1" applyFont="1" applyFill="1" applyBorder="1" applyAlignment="1">
      <alignment vertical="center" wrapText="1"/>
    </xf>
    <xf numFmtId="173" fontId="24" fillId="4" borderId="12" xfId="1" applyNumberFormat="1" applyFont="1" applyFill="1" applyBorder="1" applyAlignment="1">
      <alignment horizontal="center" vertical="center" wrapText="1"/>
    </xf>
    <xf numFmtId="173" fontId="19" fillId="4" borderId="20" xfId="2" applyNumberFormat="1" applyFont="1" applyFill="1" applyBorder="1" applyAlignment="1" applyProtection="1">
      <alignment vertical="center" wrapText="1"/>
      <protection locked="0"/>
    </xf>
    <xf numFmtId="0" fontId="27" fillId="6" borderId="3" xfId="0" applyFont="1" applyFill="1" applyBorder="1"/>
    <xf numFmtId="1" fontId="26" fillId="6" borderId="3" xfId="0" applyNumberFormat="1" applyFont="1" applyFill="1" applyBorder="1" applyAlignment="1">
      <alignment vertical="center" wrapText="1"/>
    </xf>
    <xf numFmtId="44" fontId="24" fillId="4" borderId="85" xfId="1" applyFont="1" applyFill="1" applyBorder="1" applyAlignment="1">
      <alignment horizontal="center" vertical="center" wrapText="1"/>
    </xf>
    <xf numFmtId="173" fontId="24" fillId="4" borderId="69" xfId="1" applyNumberFormat="1" applyFont="1" applyFill="1" applyBorder="1" applyAlignment="1">
      <alignment vertical="center" wrapText="1"/>
    </xf>
    <xf numFmtId="173" fontId="24" fillId="4" borderId="69" xfId="1" applyNumberFormat="1" applyFont="1" applyFill="1" applyBorder="1" applyAlignment="1">
      <alignment horizontal="center" vertical="center" wrapText="1"/>
    </xf>
    <xf numFmtId="173" fontId="19" fillId="4" borderId="69" xfId="2" applyNumberFormat="1" applyFont="1" applyFill="1" applyBorder="1" applyAlignment="1" applyProtection="1">
      <alignment vertical="center" wrapText="1"/>
      <protection locked="0"/>
    </xf>
    <xf numFmtId="173" fontId="26" fillId="4" borderId="44" xfId="1" applyNumberFormat="1" applyFont="1" applyFill="1" applyBorder="1" applyAlignment="1">
      <alignment horizontal="center" vertical="center" wrapText="1"/>
    </xf>
    <xf numFmtId="164" fontId="26" fillId="4" borderId="44" xfId="1" applyNumberFormat="1" applyFont="1" applyFill="1" applyBorder="1" applyAlignment="1">
      <alignment horizontal="center" vertical="center" wrapText="1"/>
    </xf>
    <xf numFmtId="10" fontId="26" fillId="4" borderId="44" xfId="2" applyNumberFormat="1" applyFont="1" applyFill="1" applyBorder="1" applyAlignment="1">
      <alignment horizontal="center" vertical="center" wrapText="1"/>
    </xf>
    <xf numFmtId="0" fontId="26" fillId="4" borderId="44" xfId="0" applyFont="1" applyFill="1" applyBorder="1" applyAlignment="1">
      <alignment horizontal="left" vertical="center" wrapText="1"/>
    </xf>
    <xf numFmtId="0" fontId="19" fillId="21" borderId="13" xfId="0" applyFont="1" applyFill="1" applyBorder="1" applyAlignment="1">
      <alignment vertical="center"/>
    </xf>
    <xf numFmtId="0" fontId="0" fillId="21" borderId="11" xfId="0" applyFill="1" applyBorder="1" applyAlignment="1">
      <alignment vertical="center"/>
    </xf>
    <xf numFmtId="0" fontId="209" fillId="21" borderId="12" xfId="0" applyFont="1" applyFill="1" applyBorder="1" applyAlignment="1">
      <alignment horizontal="center" vertical="center"/>
    </xf>
    <xf numFmtId="0" fontId="209" fillId="21" borderId="12" xfId="0" applyFont="1" applyFill="1" applyBorder="1" applyAlignment="1">
      <alignment vertical="center"/>
    </xf>
    <xf numFmtId="0" fontId="147" fillId="21" borderId="12" xfId="0" applyFont="1" applyFill="1" applyBorder="1" applyAlignment="1">
      <alignment vertical="center"/>
    </xf>
    <xf numFmtId="0" fontId="147" fillId="21" borderId="12" xfId="0" applyFont="1" applyFill="1" applyBorder="1" applyAlignment="1">
      <alignment horizontal="center" vertical="center"/>
    </xf>
    <xf numFmtId="164" fontId="22" fillId="21" borderId="14" xfId="1" applyNumberFormat="1" applyFont="1" applyFill="1" applyBorder="1" applyAlignment="1">
      <alignment horizontal="center" vertical="center"/>
    </xf>
    <xf numFmtId="0" fontId="0" fillId="21" borderId="12" xfId="0" applyFill="1" applyBorder="1" applyAlignment="1">
      <alignment vertical="center"/>
    </xf>
    <xf numFmtId="173" fontId="0" fillId="21" borderId="13" xfId="0" applyNumberFormat="1" applyFill="1" applyBorder="1" applyAlignment="1">
      <alignment vertical="center" wrapText="1"/>
    </xf>
    <xf numFmtId="173" fontId="0" fillId="21" borderId="13" xfId="2" applyNumberFormat="1" applyFont="1" applyFill="1" applyBorder="1" applyAlignment="1">
      <alignment vertical="center"/>
    </xf>
    <xf numFmtId="173" fontId="0" fillId="21" borderId="13" xfId="0" applyNumberFormat="1" applyFill="1" applyBorder="1" applyAlignment="1">
      <alignment vertical="center"/>
    </xf>
    <xf numFmtId="44" fontId="22" fillId="21" borderId="12" xfId="1" applyFont="1" applyFill="1" applyBorder="1" applyAlignment="1">
      <alignment horizontal="center" vertical="center"/>
    </xf>
    <xf numFmtId="0" fontId="0" fillId="21" borderId="13" xfId="0" applyFill="1" applyBorder="1" applyAlignment="1">
      <alignment vertical="center"/>
    </xf>
    <xf numFmtId="0" fontId="20" fillId="24" borderId="5" xfId="0" applyFont="1" applyFill="1" applyBorder="1" applyAlignment="1">
      <alignment vertical="center"/>
    </xf>
    <xf numFmtId="1" fontId="246" fillId="24" borderId="51" xfId="0" applyNumberFormat="1" applyFont="1" applyFill="1" applyBorder="1" applyAlignment="1">
      <alignment vertical="center" wrapText="1"/>
    </xf>
    <xf numFmtId="37" fontId="216" fillId="24" borderId="51" xfId="0" applyNumberFormat="1" applyFont="1" applyFill="1" applyBorder="1" applyAlignment="1">
      <alignment horizontal="left" vertical="center"/>
    </xf>
    <xf numFmtId="0" fontId="216" fillId="24" borderId="5" xfId="0" applyFont="1" applyFill="1" applyBorder="1" applyAlignment="1">
      <alignment horizontal="left" vertical="center" indent="1"/>
    </xf>
    <xf numFmtId="0" fontId="216" fillId="24" borderId="85" xfId="0" applyFont="1" applyFill="1" applyBorder="1" applyAlignment="1">
      <alignment vertical="center"/>
    </xf>
    <xf numFmtId="0" fontId="216" fillId="24" borderId="51" xfId="0" applyFont="1" applyFill="1" applyBorder="1" applyAlignment="1">
      <alignment vertical="center"/>
    </xf>
    <xf numFmtId="44" fontId="34" fillId="24" borderId="85" xfId="1" applyFont="1" applyFill="1" applyBorder="1" applyAlignment="1">
      <alignment horizontal="center" vertical="center" wrapText="1"/>
    </xf>
    <xf numFmtId="173" fontId="34" fillId="24" borderId="85" xfId="1" applyNumberFormat="1" applyFont="1" applyFill="1" applyBorder="1" applyAlignment="1">
      <alignment horizontal="center" vertical="center" wrapText="1"/>
    </xf>
    <xf numFmtId="173" fontId="34" fillId="24" borderId="69" xfId="1" applyNumberFormat="1" applyFont="1" applyFill="1" applyBorder="1" applyAlignment="1">
      <alignment horizontal="center" vertical="center" wrapText="1"/>
    </xf>
    <xf numFmtId="173" fontId="20" fillId="24" borderId="69" xfId="2" applyNumberFormat="1" applyFont="1" applyFill="1" applyBorder="1" applyAlignment="1" applyProtection="1">
      <alignment vertical="center" wrapText="1"/>
      <protection locked="0"/>
    </xf>
    <xf numFmtId="173" fontId="34" fillId="24" borderId="69" xfId="0" applyNumberFormat="1" applyFont="1" applyFill="1" applyBorder="1" applyAlignment="1">
      <alignment horizontal="left" vertical="center" wrapText="1"/>
    </xf>
    <xf numFmtId="0" fontId="34" fillId="24" borderId="69" xfId="0" applyFont="1" applyFill="1" applyBorder="1" applyAlignment="1">
      <alignment horizontal="left" vertical="center" wrapText="1"/>
    </xf>
    <xf numFmtId="0" fontId="17" fillId="3" borderId="44" xfId="0" applyFont="1" applyFill="1" applyBorder="1" applyAlignment="1">
      <alignment horizontal="left" vertical="center" indent="2"/>
    </xf>
    <xf numFmtId="0" fontId="20" fillId="24" borderId="131" xfId="0" applyFont="1" applyFill="1" applyBorder="1" applyAlignment="1">
      <alignment vertical="center"/>
    </xf>
    <xf numFmtId="1" fontId="246" fillId="24" borderId="157" xfId="0" applyNumberFormat="1" applyFont="1" applyFill="1" applyBorder="1" applyAlignment="1">
      <alignment vertical="center" wrapText="1"/>
    </xf>
    <xf numFmtId="37" fontId="216" fillId="24" borderId="157" xfId="0" applyNumberFormat="1" applyFont="1" applyFill="1" applyBorder="1" applyAlignment="1">
      <alignment horizontal="left" vertical="center"/>
    </xf>
    <xf numFmtId="0" fontId="216" fillId="24" borderId="131" xfId="0" applyFont="1" applyFill="1" applyBorder="1" applyAlignment="1">
      <alignment horizontal="left" vertical="center" indent="1"/>
    </xf>
    <xf numFmtId="0" fontId="216" fillId="24" borderId="131" xfId="0" applyFont="1" applyFill="1" applyBorder="1" applyAlignment="1">
      <alignment vertical="center"/>
    </xf>
    <xf numFmtId="0" fontId="216" fillId="24" borderId="130" xfId="0" applyFont="1" applyFill="1" applyBorder="1" applyAlignment="1">
      <alignment vertical="center"/>
    </xf>
    <xf numFmtId="0" fontId="216" fillId="24" borderId="157" xfId="0" applyFont="1" applyFill="1" applyBorder="1" applyAlignment="1">
      <alignment vertical="center"/>
    </xf>
    <xf numFmtId="44" fontId="34" fillId="24" borderId="130" xfId="1" applyFont="1" applyFill="1" applyBorder="1" applyAlignment="1">
      <alignment horizontal="center" vertical="center" wrapText="1"/>
    </xf>
    <xf numFmtId="173" fontId="34" fillId="24" borderId="130" xfId="1" applyNumberFormat="1" applyFont="1" applyFill="1" applyBorder="1" applyAlignment="1">
      <alignment horizontal="center" vertical="center" wrapText="1"/>
    </xf>
    <xf numFmtId="173" fontId="34" fillId="24" borderId="142" xfId="1" applyNumberFormat="1" applyFont="1" applyFill="1" applyBorder="1" applyAlignment="1">
      <alignment horizontal="center" vertical="center" wrapText="1"/>
    </xf>
    <xf numFmtId="173" fontId="34" fillId="24" borderId="142" xfId="0" applyNumberFormat="1" applyFont="1" applyFill="1" applyBorder="1" applyAlignment="1">
      <alignment horizontal="left" vertical="center" wrapText="1"/>
    </xf>
    <xf numFmtId="164" fontId="150" fillId="24" borderId="130" xfId="2" applyNumberFormat="1" applyFont="1" applyFill="1" applyBorder="1" applyAlignment="1">
      <alignment horizontal="center" vertical="center" wrapText="1"/>
    </xf>
    <xf numFmtId="0" fontId="150" fillId="24" borderId="142" xfId="0" applyFont="1" applyFill="1" applyBorder="1" applyAlignment="1">
      <alignment horizontal="center" vertical="center" wrapText="1"/>
    </xf>
    <xf numFmtId="0" fontId="34" fillId="24" borderId="142" xfId="0" applyFont="1" applyFill="1" applyBorder="1" applyAlignment="1">
      <alignment horizontal="left" vertical="center" wrapText="1"/>
    </xf>
    <xf numFmtId="0" fontId="47" fillId="3" borderId="0" xfId="0" applyFont="1" applyFill="1" applyAlignment="1">
      <alignment vertical="center" wrapText="1"/>
    </xf>
    <xf numFmtId="164" fontId="192" fillId="6" borderId="140" xfId="0" applyNumberFormat="1" applyFont="1" applyFill="1" applyBorder="1" applyAlignment="1">
      <alignment horizontal="left" vertical="center"/>
    </xf>
    <xf numFmtId="164" fontId="192" fillId="6" borderId="158" xfId="0" applyNumberFormat="1" applyFont="1" applyFill="1" applyBorder="1" applyAlignment="1">
      <alignment horizontal="left" vertical="center"/>
    </xf>
    <xf numFmtId="49" fontId="15" fillId="2" borderId="0" xfId="0" quotePrefix="1" applyNumberFormat="1" applyFont="1" applyFill="1" applyAlignment="1">
      <alignment vertical="center"/>
    </xf>
    <xf numFmtId="44" fontId="15" fillId="2" borderId="0" xfId="0" applyNumberFormat="1" applyFont="1" applyFill="1" applyAlignment="1">
      <alignment horizontal="left" vertical="center"/>
    </xf>
    <xf numFmtId="44" fontId="15" fillId="2" borderId="0" xfId="0" applyNumberFormat="1" applyFont="1" applyFill="1" applyAlignment="1">
      <alignment horizontal="left" vertical="center" wrapText="1"/>
    </xf>
    <xf numFmtId="44" fontId="251" fillId="2" borderId="0" xfId="0" applyNumberFormat="1" applyFont="1" applyFill="1" applyAlignment="1">
      <alignment vertical="center" wrapText="1"/>
    </xf>
    <xf numFmtId="44" fontId="219" fillId="3" borderId="105" xfId="1" applyFont="1" applyFill="1" applyBorder="1" applyAlignment="1">
      <alignment vertical="center" wrapText="1"/>
    </xf>
    <xf numFmtId="44" fontId="219" fillId="3" borderId="107" xfId="1" applyFont="1" applyFill="1" applyBorder="1" applyAlignment="1">
      <alignment vertical="center" wrapText="1"/>
    </xf>
    <xf numFmtId="37" fontId="130" fillId="6" borderId="125" xfId="0" applyNumberFormat="1" applyFont="1" applyFill="1" applyBorder="1" applyAlignment="1">
      <alignment horizontal="center" vertical="center"/>
    </xf>
    <xf numFmtId="0" fontId="241" fillId="3" borderId="125" xfId="0" applyFont="1" applyFill="1" applyBorder="1" applyAlignment="1">
      <alignment horizontal="left" vertical="center" indent="1"/>
    </xf>
    <xf numFmtId="0" fontId="241" fillId="3" borderId="125" xfId="0" applyFont="1" applyFill="1" applyBorder="1" applyAlignment="1">
      <alignment vertical="center"/>
    </xf>
    <xf numFmtId="0" fontId="241" fillId="0" borderId="15" xfId="0" applyFont="1" applyBorder="1" applyAlignment="1">
      <alignment horizontal="left" vertical="center"/>
    </xf>
    <xf numFmtId="0" fontId="241" fillId="6" borderId="15" xfId="0" applyFont="1" applyFill="1" applyBorder="1" applyAlignment="1">
      <alignment horizontal="left" vertical="center" indent="1"/>
    </xf>
    <xf numFmtId="37" fontId="130" fillId="0" borderId="141" xfId="0" applyNumberFormat="1" applyFont="1" applyBorder="1" applyAlignment="1">
      <alignment horizontal="center" vertical="center"/>
    </xf>
    <xf numFmtId="0" fontId="241" fillId="0" borderId="121" xfId="0" applyFont="1" applyBorder="1" applyAlignment="1">
      <alignment horizontal="left" vertical="center"/>
    </xf>
    <xf numFmtId="0" fontId="241" fillId="0" borderId="121" xfId="0" applyFont="1" applyBorder="1" applyAlignment="1">
      <alignment vertical="center"/>
    </xf>
    <xf numFmtId="0" fontId="241" fillId="3" borderId="152" xfId="0" applyFont="1" applyFill="1" applyBorder="1" applyAlignment="1">
      <alignment vertical="center"/>
    </xf>
    <xf numFmtId="0" fontId="130" fillId="0" borderId="122" xfId="0" applyFont="1" applyBorder="1" applyAlignment="1">
      <alignment vertical="center"/>
    </xf>
    <xf numFmtId="0" fontId="130" fillId="0" borderId="121" xfId="0" applyFont="1" applyBorder="1" applyAlignment="1">
      <alignment horizontal="center" vertical="center"/>
    </xf>
    <xf numFmtId="0" fontId="242" fillId="6" borderId="121" xfId="0" applyFont="1" applyFill="1" applyBorder="1" applyAlignment="1">
      <alignment horizontal="center" vertical="center"/>
    </xf>
    <xf numFmtId="37" fontId="242" fillId="6" borderId="121" xfId="0" applyNumberFormat="1" applyFont="1" applyFill="1" applyBorder="1" applyAlignment="1">
      <alignment horizontal="center" vertical="center"/>
    </xf>
    <xf numFmtId="37" fontId="241" fillId="3" borderId="69" xfId="0" applyNumberFormat="1" applyFont="1" applyFill="1" applyBorder="1" applyAlignment="1">
      <alignment horizontal="center" vertical="center"/>
    </xf>
    <xf numFmtId="0" fontId="242" fillId="6" borderId="134" xfId="0" applyFont="1" applyFill="1" applyBorder="1" applyAlignment="1">
      <alignment vertical="center"/>
    </xf>
    <xf numFmtId="0" fontId="242" fillId="6" borderId="69" xfId="0" applyFont="1" applyFill="1" applyBorder="1" applyAlignment="1">
      <alignment vertical="center"/>
    </xf>
    <xf numFmtId="0" fontId="242" fillId="6" borderId="15" xfId="0" applyFont="1" applyFill="1" applyBorder="1" applyAlignment="1">
      <alignment vertical="center"/>
    </xf>
    <xf numFmtId="0" fontId="259" fillId="6" borderId="69" xfId="0" applyFont="1" applyFill="1" applyBorder="1" applyAlignment="1">
      <alignment vertical="center"/>
    </xf>
    <xf numFmtId="0" fontId="241" fillId="6" borderId="121" xfId="0" applyFont="1" applyFill="1" applyBorder="1" applyAlignment="1">
      <alignment horizontal="left" vertical="center" indent="1"/>
    </xf>
    <xf numFmtId="37" fontId="95" fillId="3" borderId="36" xfId="0" applyNumberFormat="1" applyFont="1" applyFill="1" applyBorder="1" applyAlignment="1">
      <alignment horizontal="left" vertical="center"/>
    </xf>
    <xf numFmtId="37" fontId="16" fillId="6" borderId="12" xfId="0" applyNumberFormat="1" applyFont="1" applyFill="1" applyBorder="1" applyAlignment="1">
      <alignment horizontal="center" vertical="center"/>
    </xf>
    <xf numFmtId="0" fontId="16" fillId="0" borderId="12" xfId="0" applyFont="1" applyBorder="1" applyAlignment="1">
      <alignment horizontal="left" vertical="center"/>
    </xf>
    <xf numFmtId="0" fontId="16" fillId="6" borderId="12" xfId="0" applyFont="1" applyFill="1" applyBorder="1" applyAlignment="1">
      <alignment horizontal="left" vertical="center" indent="1"/>
    </xf>
    <xf numFmtId="0" fontId="16" fillId="6" borderId="12" xfId="0" applyFont="1" applyFill="1" applyBorder="1" applyAlignment="1">
      <alignment vertical="center"/>
    </xf>
    <xf numFmtId="0" fontId="241" fillId="6" borderId="12" xfId="0" applyFont="1" applyFill="1" applyBorder="1" applyAlignment="1">
      <alignment vertical="center"/>
    </xf>
    <xf numFmtId="0" fontId="22" fillId="6" borderId="12" xfId="0" applyFont="1" applyFill="1" applyBorder="1" applyAlignment="1">
      <alignment horizontal="center" vertical="center"/>
    </xf>
    <xf numFmtId="0" fontId="147" fillId="21" borderId="12" xfId="0" applyFont="1" applyFill="1" applyBorder="1" applyAlignment="1">
      <alignment horizontal="left" vertical="center"/>
    </xf>
    <xf numFmtId="0" fontId="222" fillId="24" borderId="26" xfId="0" applyFont="1" applyFill="1" applyBorder="1" applyAlignment="1">
      <alignment horizontal="left" vertical="center"/>
    </xf>
    <xf numFmtId="0" fontId="150" fillId="6" borderId="15" xfId="0" applyFont="1" applyFill="1" applyBorder="1" applyAlignment="1">
      <alignment horizontal="left" vertical="center"/>
    </xf>
    <xf numFmtId="0" fontId="150" fillId="3" borderId="15" xfId="0" applyFont="1" applyFill="1" applyBorder="1" applyAlignment="1">
      <alignment horizontal="left"/>
    </xf>
    <xf numFmtId="0" fontId="17" fillId="3" borderId="15" xfId="0" applyFont="1" applyFill="1" applyBorder="1" applyAlignment="1">
      <alignment horizontal="left"/>
    </xf>
    <xf numFmtId="0" fontId="150" fillId="3" borderId="15" xfId="0" applyFont="1" applyFill="1" applyBorder="1"/>
    <xf numFmtId="0" fontId="150" fillId="3" borderId="0" xfId="0" applyFont="1" applyFill="1" applyAlignment="1">
      <alignment horizontal="left" vertical="center"/>
    </xf>
    <xf numFmtId="0" fontId="150" fillId="3" borderId="19" xfId="0" applyFont="1" applyFill="1" applyBorder="1" applyAlignment="1">
      <alignment horizontal="left" vertical="center"/>
    </xf>
    <xf numFmtId="44" fontId="150" fillId="3" borderId="19" xfId="0" applyNumberFormat="1" applyFont="1" applyFill="1" applyBorder="1" applyAlignment="1">
      <alignment horizontal="left" vertical="center"/>
    </xf>
    <xf numFmtId="0" fontId="17" fillId="3" borderId="21" xfId="0" applyFont="1" applyFill="1" applyBorder="1" applyAlignment="1">
      <alignment horizontal="left" vertical="center"/>
    </xf>
    <xf numFmtId="44" fontId="17" fillId="3" borderId="21" xfId="0" applyNumberFormat="1" applyFont="1" applyFill="1" applyBorder="1" applyAlignment="1">
      <alignment horizontal="left" vertical="center"/>
    </xf>
    <xf numFmtId="0" fontId="150" fillId="3" borderId="102" xfId="0" applyFont="1" applyFill="1" applyBorder="1" applyAlignment="1">
      <alignment horizontal="left" vertical="center"/>
    </xf>
    <xf numFmtId="44" fontId="150" fillId="3" borderId="102" xfId="0" applyNumberFormat="1" applyFont="1" applyFill="1" applyBorder="1" applyAlignment="1">
      <alignment horizontal="left" vertical="center"/>
    </xf>
    <xf numFmtId="44" fontId="150" fillId="3" borderId="16" xfId="0" applyNumberFormat="1" applyFont="1" applyFill="1" applyBorder="1" applyAlignment="1">
      <alignment horizontal="left" vertical="center"/>
    </xf>
    <xf numFmtId="0" fontId="130" fillId="6" borderId="69" xfId="0" applyFont="1" applyFill="1" applyBorder="1" applyAlignment="1">
      <alignment horizontal="left" vertical="center"/>
    </xf>
    <xf numFmtId="44" fontId="17" fillId="6" borderId="84" xfId="1" applyFont="1" applyFill="1" applyBorder="1" applyAlignment="1">
      <alignment horizontal="right" vertical="center"/>
    </xf>
    <xf numFmtId="0" fontId="29" fillId="0" borderId="107" xfId="0" applyFont="1" applyBorder="1"/>
    <xf numFmtId="0" fontId="29" fillId="2" borderId="159" xfId="0" applyFont="1" applyFill="1" applyBorder="1" applyAlignment="1">
      <alignment horizontal="left" vertical="center"/>
    </xf>
    <xf numFmtId="0" fontId="50" fillId="2" borderId="27" xfId="0" applyFont="1" applyFill="1" applyBorder="1" applyAlignment="1">
      <alignment horizontal="right"/>
    </xf>
    <xf numFmtId="0" fontId="216" fillId="24" borderId="13" xfId="0" applyFont="1" applyFill="1" applyBorder="1" applyAlignment="1">
      <alignment horizontal="center" vertical="center"/>
    </xf>
    <xf numFmtId="0" fontId="220" fillId="24" borderId="3" xfId="0" applyFont="1" applyFill="1" applyBorder="1" applyAlignment="1">
      <alignment horizontal="center" vertical="center"/>
    </xf>
    <xf numFmtId="0" fontId="214" fillId="24" borderId="41" xfId="0" applyFont="1" applyFill="1" applyBorder="1" applyAlignment="1">
      <alignment horizontal="left" vertical="center"/>
    </xf>
    <xf numFmtId="44" fontId="17" fillId="3" borderId="11" xfId="1" applyFont="1" applyFill="1" applyBorder="1" applyAlignment="1">
      <alignment horizontal="right" vertical="center"/>
    </xf>
    <xf numFmtId="0" fontId="17" fillId="3" borderId="0" xfId="0" applyFont="1" applyFill="1" applyAlignment="1">
      <alignment horizontal="center" vertical="center"/>
    </xf>
    <xf numFmtId="44" fontId="238" fillId="24" borderId="15" xfId="0" applyNumberFormat="1" applyFont="1" applyFill="1" applyBorder="1" applyAlignment="1">
      <alignment horizontal="center" vertical="center" wrapText="1"/>
    </xf>
    <xf numFmtId="164" fontId="238" fillId="24" borderId="15" xfId="1" applyNumberFormat="1" applyFont="1" applyFill="1" applyBorder="1" applyAlignment="1" applyProtection="1">
      <alignment horizontal="center" vertical="center" wrapText="1"/>
    </xf>
    <xf numFmtId="0" fontId="262" fillId="24" borderId="41" xfId="0" applyFont="1" applyFill="1" applyBorder="1" applyAlignment="1">
      <alignment horizontal="center" vertical="center"/>
    </xf>
    <xf numFmtId="0" fontId="228" fillId="24" borderId="38" xfId="0" applyFont="1" applyFill="1" applyBorder="1" applyAlignment="1">
      <alignment horizontal="center" vertical="center"/>
    </xf>
    <xf numFmtId="0" fontId="228" fillId="24" borderId="8" xfId="0" applyFont="1" applyFill="1" applyBorder="1" applyAlignment="1">
      <alignment horizontal="center" vertical="center"/>
    </xf>
    <xf numFmtId="0" fontId="262" fillId="24" borderId="3" xfId="0" applyFont="1" applyFill="1" applyBorder="1" applyAlignment="1">
      <alignment horizontal="center" vertical="center"/>
    </xf>
    <xf numFmtId="0" fontId="262" fillId="24" borderId="5" xfId="0" applyFont="1" applyFill="1" applyBorder="1" applyAlignment="1">
      <alignment horizontal="center" vertical="center"/>
    </xf>
    <xf numFmtId="0" fontId="262" fillId="24" borderId="69" xfId="0" applyFont="1" applyFill="1" applyBorder="1" applyAlignment="1">
      <alignment horizontal="center" vertical="center"/>
    </xf>
    <xf numFmtId="0" fontId="233" fillId="24" borderId="69" xfId="0" applyFont="1" applyFill="1" applyBorder="1" applyAlignment="1">
      <alignment vertical="center"/>
    </xf>
    <xf numFmtId="0" fontId="233" fillId="24" borderId="69" xfId="0" applyFont="1" applyFill="1" applyBorder="1" applyAlignment="1">
      <alignment horizontal="left" vertical="center"/>
    </xf>
    <xf numFmtId="0" fontId="233" fillId="24" borderId="51" xfId="0" applyFont="1" applyFill="1" applyBorder="1" applyAlignment="1">
      <alignment horizontal="left" vertical="center"/>
    </xf>
    <xf numFmtId="173" fontId="20" fillId="24" borderId="142" xfId="2" applyNumberFormat="1" applyFont="1" applyFill="1" applyBorder="1" applyAlignment="1" applyProtection="1">
      <alignment horizontal="center" vertical="center" wrapText="1"/>
      <protection locked="0"/>
    </xf>
    <xf numFmtId="1" fontId="20" fillId="3" borderId="0" xfId="0" applyNumberFormat="1" applyFont="1" applyFill="1" applyAlignment="1">
      <alignment vertical="center"/>
    </xf>
    <xf numFmtId="0" fontId="17" fillId="3" borderId="129" xfId="0" applyFont="1" applyFill="1" applyBorder="1" applyAlignment="1">
      <alignment vertical="center"/>
    </xf>
    <xf numFmtId="0" fontId="17" fillId="3" borderId="126" xfId="0" applyFont="1" applyFill="1" applyBorder="1" applyAlignment="1">
      <alignment vertical="center"/>
    </xf>
    <xf numFmtId="0" fontId="17" fillId="3" borderId="126" xfId="0" applyFont="1" applyFill="1" applyBorder="1" applyAlignment="1">
      <alignment horizontal="left" vertical="center"/>
    </xf>
    <xf numFmtId="44" fontId="20" fillId="3" borderId="121" xfId="0" applyNumberFormat="1" applyFont="1" applyFill="1" applyBorder="1" applyAlignment="1">
      <alignment horizontal="left" vertical="center"/>
    </xf>
    <xf numFmtId="44" fontId="20" fillId="3" borderId="32" xfId="1" applyFont="1" applyFill="1" applyBorder="1" applyAlignment="1">
      <alignment vertical="center"/>
    </xf>
    <xf numFmtId="173" fontId="20" fillId="3" borderId="32" xfId="1" applyNumberFormat="1" applyFont="1" applyFill="1" applyBorder="1" applyAlignment="1">
      <alignment vertical="center" wrapText="1"/>
    </xf>
    <xf numFmtId="173" fontId="20" fillId="3" borderId="33" xfId="2" applyNumberFormat="1" applyFont="1" applyFill="1" applyBorder="1" applyAlignment="1">
      <alignment vertical="center"/>
    </xf>
    <xf numFmtId="173" fontId="20" fillId="5" borderId="20" xfId="1" applyNumberFormat="1" applyFont="1" applyFill="1" applyBorder="1" applyAlignment="1">
      <alignment vertical="center"/>
    </xf>
    <xf numFmtId="173" fontId="20" fillId="3" borderId="20" xfId="2" applyNumberFormat="1" applyFont="1" applyFill="1" applyBorder="1" applyAlignment="1" applyProtection="1">
      <alignment vertical="center" wrapText="1"/>
      <protection locked="0"/>
    </xf>
    <xf numFmtId="164" fontId="20" fillId="3" borderId="20" xfId="2" applyNumberFormat="1" applyFont="1" applyFill="1" applyBorder="1" applyAlignment="1" applyProtection="1">
      <alignment vertical="center" wrapText="1"/>
      <protection locked="0"/>
    </xf>
    <xf numFmtId="37" fontId="20" fillId="3" borderId="121" xfId="0" applyNumberFormat="1" applyFont="1" applyFill="1" applyBorder="1" applyAlignment="1">
      <alignment horizontal="left" vertical="center"/>
    </xf>
    <xf numFmtId="44" fontId="20" fillId="3" borderId="0" xfId="1" applyFont="1" applyFill="1" applyBorder="1" applyAlignment="1">
      <alignment vertical="center"/>
    </xf>
    <xf numFmtId="173" fontId="20" fillId="3" borderId="0" xfId="1" applyNumberFormat="1" applyFont="1" applyFill="1" applyBorder="1" applyAlignment="1">
      <alignment vertical="center" wrapText="1"/>
    </xf>
    <xf numFmtId="173" fontId="20" fillId="3" borderId="27" xfId="2" applyNumberFormat="1" applyFont="1" applyFill="1" applyBorder="1" applyAlignment="1">
      <alignment vertical="center"/>
    </xf>
    <xf numFmtId="173" fontId="20" fillId="3" borderId="27" xfId="1" applyNumberFormat="1" applyFont="1" applyFill="1" applyBorder="1" applyAlignment="1">
      <alignment vertical="center"/>
    </xf>
    <xf numFmtId="44" fontId="20" fillId="3" borderId="0" xfId="1" applyFont="1" applyFill="1" applyBorder="1"/>
    <xf numFmtId="173" fontId="231" fillId="3" borderId="28" xfId="1" applyNumberFormat="1" applyFont="1" applyFill="1" applyBorder="1" applyAlignment="1">
      <alignment vertical="center" wrapText="1"/>
    </xf>
    <xf numFmtId="0" fontId="19" fillId="32" borderId="0" xfId="0" applyFont="1" applyFill="1" applyAlignment="1">
      <alignment vertical="center"/>
    </xf>
    <xf numFmtId="0" fontId="243" fillId="3" borderId="15" xfId="0" applyFont="1" applyFill="1" applyBorder="1" applyAlignment="1">
      <alignment horizontal="left" vertical="center"/>
    </xf>
    <xf numFmtId="0" fontId="19" fillId="0" borderId="9" xfId="0" applyFont="1" applyBorder="1"/>
    <xf numFmtId="0" fontId="50" fillId="2" borderId="55" xfId="0" applyFont="1" applyFill="1" applyBorder="1" applyAlignment="1">
      <alignment horizontal="right"/>
    </xf>
    <xf numFmtId="164" fontId="50" fillId="2" borderId="1" xfId="0" applyNumberFormat="1" applyFont="1" applyFill="1" applyBorder="1" applyAlignment="1">
      <alignment vertical="center"/>
    </xf>
    <xf numFmtId="44" fontId="147" fillId="21" borderId="12" xfId="1" applyFont="1" applyFill="1" applyBorder="1" applyAlignment="1">
      <alignment horizontal="center" vertical="center"/>
    </xf>
    <xf numFmtId="37" fontId="17" fillId="3" borderId="26" xfId="0" applyNumberFormat="1" applyFont="1" applyFill="1" applyBorder="1" applyAlignment="1">
      <alignment horizontal="center" vertical="center"/>
    </xf>
    <xf numFmtId="0" fontId="17" fillId="3" borderId="52" xfId="0" applyFont="1" applyFill="1" applyBorder="1" applyAlignment="1">
      <alignment vertical="center"/>
    </xf>
    <xf numFmtId="0" fontId="17" fillId="3" borderId="26" xfId="0" applyFont="1" applyFill="1" applyBorder="1" applyAlignment="1">
      <alignment horizontal="left" vertical="center"/>
    </xf>
    <xf numFmtId="173" fontId="45" fillId="3" borderId="94" xfId="4" applyNumberFormat="1" applyFont="1" applyFill="1" applyBorder="1" applyAlignment="1">
      <alignment vertical="center"/>
    </xf>
    <xf numFmtId="0" fontId="35" fillId="24" borderId="5" xfId="0" applyFont="1" applyFill="1" applyBorder="1" applyAlignment="1">
      <alignment vertical="center"/>
    </xf>
    <xf numFmtId="1" fontId="34" fillId="24" borderId="5" xfId="0" applyNumberFormat="1" applyFont="1" applyFill="1" applyBorder="1" applyAlignment="1">
      <alignment vertical="center" wrapText="1"/>
    </xf>
    <xf numFmtId="0" fontId="211" fillId="24" borderId="5" xfId="0" applyFont="1" applyFill="1" applyBorder="1" applyAlignment="1">
      <alignment vertical="center"/>
    </xf>
    <xf numFmtId="0" fontId="211" fillId="24" borderId="5" xfId="0" applyFont="1" applyFill="1" applyBorder="1" applyAlignment="1">
      <alignment horizontal="center" vertical="center"/>
    </xf>
    <xf numFmtId="0" fontId="216" fillId="24" borderId="5" xfId="0" applyFont="1" applyFill="1" applyBorder="1" applyAlignment="1">
      <alignment horizontal="center" vertical="center"/>
    </xf>
    <xf numFmtId="164" fontId="190" fillId="24" borderId="5" xfId="1" applyNumberFormat="1" applyFont="1" applyFill="1" applyBorder="1" applyAlignment="1" applyProtection="1">
      <alignment horizontal="center" vertical="center" wrapText="1"/>
    </xf>
    <xf numFmtId="44" fontId="34" fillId="24" borderId="5" xfId="1" applyFont="1" applyFill="1" applyBorder="1" applyAlignment="1">
      <alignment horizontal="center" vertical="center" wrapText="1"/>
    </xf>
    <xf numFmtId="173" fontId="34" fillId="24" borderId="5" xfId="1" applyNumberFormat="1" applyFont="1" applyFill="1" applyBorder="1" applyAlignment="1">
      <alignment horizontal="center" vertical="center" wrapText="1"/>
    </xf>
    <xf numFmtId="173" fontId="34" fillId="24" borderId="5" xfId="2" applyNumberFormat="1" applyFont="1" applyFill="1" applyBorder="1" applyAlignment="1">
      <alignment vertical="center" wrapText="1"/>
    </xf>
    <xf numFmtId="173" fontId="245" fillId="24" borderId="5" xfId="1" applyNumberFormat="1" applyFont="1" applyFill="1" applyBorder="1" applyAlignment="1" applyProtection="1">
      <alignment horizontal="center" vertical="center" wrapText="1"/>
    </xf>
    <xf numFmtId="173" fontId="34" fillId="21" borderId="5" xfId="1" applyNumberFormat="1" applyFont="1" applyFill="1" applyBorder="1" applyAlignment="1">
      <alignment horizontal="center" vertical="center" wrapText="1"/>
    </xf>
    <xf numFmtId="173" fontId="45" fillId="3" borderId="5" xfId="1" applyNumberFormat="1" applyFont="1" applyFill="1" applyBorder="1" applyAlignment="1" applyProtection="1">
      <alignment vertical="center" wrapText="1"/>
      <protection locked="0"/>
    </xf>
    <xf numFmtId="173" fontId="45" fillId="3" borderId="5" xfId="0" applyNumberFormat="1" applyFont="1" applyFill="1" applyBorder="1" applyAlignment="1" applyProtection="1">
      <alignment horizontal="left" vertical="center" wrapText="1"/>
      <protection locked="0"/>
    </xf>
    <xf numFmtId="164" fontId="45" fillId="3" borderId="5" xfId="0" applyNumberFormat="1" applyFont="1" applyFill="1" applyBorder="1" applyAlignment="1" applyProtection="1">
      <alignment horizontal="left" vertical="center" wrapText="1"/>
      <protection locked="0"/>
    </xf>
    <xf numFmtId="0" fontId="150" fillId="24" borderId="5" xfId="0" applyFont="1" applyFill="1" applyBorder="1" applyAlignment="1">
      <alignment horizontal="center" vertical="center" wrapText="1"/>
    </xf>
    <xf numFmtId="0" fontId="34" fillId="24" borderId="5" xfId="0" applyFont="1" applyFill="1" applyBorder="1" applyAlignment="1">
      <alignment horizontal="left" vertical="center" wrapText="1"/>
    </xf>
    <xf numFmtId="0" fontId="267" fillId="0" borderId="11" xfId="3" applyFont="1" applyBorder="1" applyAlignment="1">
      <alignment horizontal="left" vertical="center" indent="1"/>
    </xf>
    <xf numFmtId="0" fontId="267" fillId="0" borderId="18" xfId="3" applyFont="1" applyBorder="1" applyAlignment="1">
      <alignment horizontal="left" vertical="center" indent="1"/>
    </xf>
    <xf numFmtId="44" fontId="238" fillId="24" borderId="5" xfId="0" applyNumberFormat="1" applyFont="1" applyFill="1" applyBorder="1" applyAlignment="1">
      <alignment horizontal="center" vertical="center" wrapText="1"/>
    </xf>
    <xf numFmtId="0" fontId="34" fillId="24" borderId="9" xfId="0" applyFont="1" applyFill="1" applyBorder="1" applyAlignment="1">
      <alignment vertical="center"/>
    </xf>
    <xf numFmtId="44" fontId="17" fillId="3" borderId="123" xfId="1" applyFont="1" applyFill="1" applyBorder="1" applyAlignment="1">
      <alignment vertical="center" wrapText="1"/>
    </xf>
    <xf numFmtId="44" fontId="17" fillId="3" borderId="107" xfId="1" applyFont="1" applyFill="1" applyBorder="1" applyAlignment="1">
      <alignment vertical="center" wrapText="1"/>
    </xf>
    <xf numFmtId="0" fontId="227" fillId="3" borderId="0" xfId="0" applyFont="1" applyFill="1"/>
    <xf numFmtId="0" fontId="227" fillId="3" borderId="0" xfId="0" applyFont="1" applyFill="1" applyAlignment="1">
      <alignment vertical="center"/>
    </xf>
    <xf numFmtId="164" fontId="22" fillId="0" borderId="0" xfId="1" applyNumberFormat="1" applyFont="1" applyAlignment="1">
      <alignment horizontal="center"/>
    </xf>
    <xf numFmtId="0" fontId="0" fillId="0" borderId="26" xfId="0" applyBorder="1" applyAlignment="1">
      <alignment horizontal="center"/>
    </xf>
    <xf numFmtId="0" fontId="0" fillId="0" borderId="0" xfId="0" applyAlignment="1">
      <alignment horizontal="center" wrapText="1"/>
    </xf>
    <xf numFmtId="164" fontId="17" fillId="3" borderId="12" xfId="1" applyNumberFormat="1" applyFont="1" applyFill="1" applyBorder="1" applyAlignment="1">
      <alignment vertical="center"/>
    </xf>
    <xf numFmtId="173" fontId="95" fillId="3" borderId="20" xfId="1" applyNumberFormat="1" applyFont="1" applyFill="1" applyBorder="1" applyAlignment="1">
      <alignment vertical="center" wrapText="1"/>
    </xf>
    <xf numFmtId="173" fontId="17" fillId="3" borderId="92" xfId="0" applyNumberFormat="1" applyFont="1" applyFill="1" applyBorder="1" applyAlignment="1">
      <alignment vertical="center"/>
    </xf>
    <xf numFmtId="173" fontId="17" fillId="3" borderId="26" xfId="2" applyNumberFormat="1" applyFont="1" applyFill="1" applyBorder="1" applyAlignment="1">
      <alignment vertical="center"/>
    </xf>
    <xf numFmtId="173" fontId="17" fillId="3" borderId="15" xfId="1" applyNumberFormat="1" applyFont="1" applyFill="1" applyBorder="1" applyAlignment="1" applyProtection="1">
      <alignment vertical="center" wrapText="1"/>
      <protection locked="0"/>
    </xf>
    <xf numFmtId="173" fontId="17" fillId="3" borderId="52" xfId="0" applyNumberFormat="1" applyFont="1" applyFill="1" applyBorder="1" applyAlignment="1" applyProtection="1">
      <alignment horizontal="left" vertical="center" wrapText="1"/>
      <protection locked="0"/>
    </xf>
    <xf numFmtId="164" fontId="17" fillId="3" borderId="29" xfId="0" applyNumberFormat="1" applyFont="1" applyFill="1" applyBorder="1" applyAlignment="1" applyProtection="1">
      <alignment horizontal="left" vertical="center" wrapText="1"/>
      <protection locked="0"/>
    </xf>
    <xf numFmtId="9" fontId="17" fillId="3" borderId="20" xfId="2" applyFont="1" applyFill="1" applyBorder="1" applyAlignment="1" applyProtection="1">
      <alignment horizontal="center" vertical="center" wrapText="1"/>
      <protection locked="0"/>
    </xf>
    <xf numFmtId="9" fontId="17" fillId="3" borderId="20" xfId="2" applyFont="1" applyFill="1" applyBorder="1" applyAlignment="1" applyProtection="1">
      <alignment horizontal="left" vertical="center" wrapText="1"/>
      <protection locked="0"/>
    </xf>
    <xf numFmtId="1" fontId="17" fillId="6" borderId="0" xfId="0" applyNumberFormat="1" applyFont="1" applyFill="1" applyAlignment="1">
      <alignment vertical="center"/>
    </xf>
    <xf numFmtId="37" fontId="17" fillId="3" borderId="16" xfId="0" applyNumberFormat="1" applyFont="1" applyFill="1" applyBorder="1" applyAlignment="1">
      <alignment horizontal="center" vertical="center"/>
    </xf>
    <xf numFmtId="0" fontId="17" fillId="3" borderId="17" xfId="0" applyFont="1" applyFill="1" applyBorder="1" applyAlignment="1">
      <alignment horizontal="left"/>
    </xf>
    <xf numFmtId="44" fontId="16" fillId="3" borderId="28" xfId="1" applyFont="1" applyFill="1" applyBorder="1" applyAlignment="1">
      <alignment vertical="center"/>
    </xf>
    <xf numFmtId="173" fontId="17" fillId="3" borderId="22" xfId="1" applyNumberFormat="1" applyFont="1" applyFill="1" applyBorder="1" applyAlignment="1">
      <alignment wrapText="1"/>
    </xf>
    <xf numFmtId="173" fontId="150" fillId="3" borderId="20" xfId="1" applyNumberFormat="1" applyFont="1" applyFill="1" applyBorder="1"/>
    <xf numFmtId="173" fontId="150" fillId="3" borderId="20" xfId="2" applyNumberFormat="1" applyFont="1" applyFill="1" applyBorder="1" applyAlignment="1">
      <alignment vertical="center"/>
    </xf>
    <xf numFmtId="173" fontId="236" fillId="3" borderId="111" xfId="1" applyNumberFormat="1" applyFont="1" applyFill="1" applyBorder="1" applyAlignment="1" applyProtection="1">
      <alignment vertical="center" wrapText="1"/>
      <protection locked="0"/>
    </xf>
    <xf numFmtId="173" fontId="150" fillId="3" borderId="15" xfId="0" applyNumberFormat="1" applyFont="1" applyFill="1" applyBorder="1" applyAlignment="1" applyProtection="1">
      <alignment horizontal="left" vertical="center" wrapText="1"/>
      <protection locked="0"/>
    </xf>
    <xf numFmtId="9" fontId="17" fillId="3" borderId="22" xfId="2" applyFont="1" applyFill="1" applyBorder="1" applyAlignment="1" applyProtection="1">
      <alignment horizontal="left" vertical="center" wrapText="1"/>
      <protection locked="0"/>
    </xf>
    <xf numFmtId="0" fontId="236" fillId="3" borderId="0" xfId="0" applyFont="1" applyFill="1"/>
    <xf numFmtId="37" fontId="150" fillId="3" borderId="16" xfId="0" applyNumberFormat="1" applyFont="1" applyFill="1" applyBorder="1" applyAlignment="1">
      <alignment horizontal="center" vertical="center"/>
    </xf>
    <xf numFmtId="0" fontId="150" fillId="3" borderId="16" xfId="0" applyFont="1" applyFill="1" applyBorder="1" applyAlignment="1">
      <alignment horizontal="left" vertical="center"/>
    </xf>
    <xf numFmtId="0" fontId="150" fillId="3" borderId="0" xfId="0" applyFont="1" applyFill="1"/>
    <xf numFmtId="0" fontId="150" fillId="3" borderId="24" xfId="0" applyFont="1" applyFill="1" applyBorder="1" applyAlignment="1">
      <alignment horizontal="left" vertical="center"/>
    </xf>
    <xf numFmtId="44" fontId="150" fillId="3" borderId="24" xfId="0" applyNumberFormat="1" applyFont="1" applyFill="1" applyBorder="1" applyAlignment="1">
      <alignment horizontal="left" vertical="center"/>
    </xf>
    <xf numFmtId="44" fontId="236" fillId="3" borderId="15" xfId="0" applyNumberFormat="1" applyFont="1" applyFill="1" applyBorder="1" applyAlignment="1">
      <alignment horizontal="right" vertical="center"/>
    </xf>
    <xf numFmtId="44" fontId="247" fillId="3" borderId="32" xfId="1" applyFont="1" applyFill="1" applyBorder="1" applyAlignment="1">
      <alignment vertical="center"/>
    </xf>
    <xf numFmtId="173" fontId="150" fillId="3" borderId="33" xfId="1" applyNumberFormat="1" applyFont="1" applyFill="1" applyBorder="1" applyAlignment="1">
      <alignment wrapText="1"/>
    </xf>
    <xf numFmtId="9" fontId="236" fillId="3" borderId="33" xfId="2" applyFont="1" applyFill="1" applyBorder="1" applyAlignment="1" applyProtection="1">
      <alignment horizontal="left" vertical="center" wrapText="1"/>
      <protection locked="0"/>
    </xf>
    <xf numFmtId="0" fontId="236" fillId="3" borderId="3" xfId="0" applyFont="1" applyFill="1" applyBorder="1"/>
    <xf numFmtId="1" fontId="236" fillId="6" borderId="3" xfId="0" applyNumberFormat="1" applyFont="1" applyFill="1" applyBorder="1" applyAlignment="1">
      <alignment vertical="center"/>
    </xf>
    <xf numFmtId="37" fontId="150" fillId="3" borderId="51" xfId="0" applyNumberFormat="1" applyFont="1" applyFill="1" applyBorder="1" applyAlignment="1">
      <alignment horizontal="center" vertical="center"/>
    </xf>
    <xf numFmtId="0" fontId="150" fillId="3" borderId="85" xfId="0" applyFont="1" applyFill="1" applyBorder="1" applyAlignment="1">
      <alignment horizontal="center" vertical="center"/>
    </xf>
    <xf numFmtId="0" fontId="150" fillId="3" borderId="49" xfId="0" applyFont="1" applyFill="1" applyBorder="1" applyAlignment="1">
      <alignment horizontal="center" vertical="center"/>
    </xf>
    <xf numFmtId="0" fontId="150" fillId="3" borderId="51" xfId="0" applyFont="1" applyFill="1" applyBorder="1" applyAlignment="1">
      <alignment horizontal="left" vertical="center"/>
    </xf>
    <xf numFmtId="0" fontId="150" fillId="3" borderId="51" xfId="0" applyFont="1" applyFill="1" applyBorder="1" applyAlignment="1">
      <alignment horizontal="center" vertical="center"/>
    </xf>
    <xf numFmtId="173" fontId="150" fillId="3" borderId="43" xfId="1" applyNumberFormat="1" applyFont="1" applyFill="1" applyBorder="1" applyAlignment="1">
      <alignment wrapText="1"/>
    </xf>
    <xf numFmtId="173" fontId="236" fillId="3" borderId="112" xfId="1" applyNumberFormat="1" applyFont="1" applyFill="1" applyBorder="1" applyAlignment="1" applyProtection="1">
      <alignment vertical="center" wrapText="1"/>
      <protection locked="0"/>
    </xf>
    <xf numFmtId="9" fontId="236" fillId="3" borderId="43" xfId="2" applyFont="1" applyFill="1" applyBorder="1" applyAlignment="1" applyProtection="1">
      <alignment horizontal="left" vertical="center" wrapText="1"/>
      <protection locked="0"/>
    </xf>
    <xf numFmtId="0" fontId="34" fillId="3" borderId="15" xfId="0" applyFont="1" applyFill="1" applyBorder="1" applyAlignment="1">
      <alignment vertical="center"/>
    </xf>
    <xf numFmtId="44" fontId="236" fillId="3" borderId="26" xfId="1" applyFont="1" applyFill="1" applyBorder="1" applyAlignment="1">
      <alignment horizontal="center" vertical="center"/>
    </xf>
    <xf numFmtId="0" fontId="155" fillId="24" borderId="3" xfId="0" applyFont="1" applyFill="1" applyBorder="1" applyAlignment="1">
      <alignment vertical="center"/>
    </xf>
    <xf numFmtId="0" fontId="223" fillId="24" borderId="18" xfId="0" applyFont="1" applyFill="1" applyBorder="1" applyAlignment="1">
      <alignment vertical="center"/>
    </xf>
    <xf numFmtId="0" fontId="223" fillId="24" borderId="12" xfId="0" applyFont="1" applyFill="1" applyBorder="1" applyAlignment="1">
      <alignment horizontal="center" vertical="center"/>
    </xf>
    <xf numFmtId="0" fontId="222" fillId="24" borderId="26" xfId="0" applyFont="1" applyFill="1" applyBorder="1" applyAlignment="1">
      <alignment horizontal="center" vertical="center"/>
    </xf>
    <xf numFmtId="0" fontId="224" fillId="24" borderId="15" xfId="0" applyFont="1" applyFill="1" applyBorder="1" applyAlignment="1">
      <alignment horizontal="center" vertical="center"/>
    </xf>
    <xf numFmtId="0" fontId="222" fillId="24" borderId="26" xfId="0" applyFont="1" applyFill="1" applyBorder="1" applyAlignment="1">
      <alignment vertical="center"/>
    </xf>
    <xf numFmtId="0" fontId="222" fillId="24" borderId="12" xfId="0" applyFont="1" applyFill="1" applyBorder="1" applyAlignment="1">
      <alignment vertical="center"/>
    </xf>
    <xf numFmtId="44" fontId="222" fillId="24" borderId="26" xfId="1" applyFont="1" applyFill="1" applyBorder="1" applyAlignment="1">
      <alignment horizontal="left" vertical="center"/>
    </xf>
    <xf numFmtId="0" fontId="269" fillId="24" borderId="44" xfId="0" applyFont="1" applyFill="1" applyBorder="1" applyAlignment="1">
      <alignment horizontal="center" vertical="center" wrapText="1"/>
    </xf>
    <xf numFmtId="0" fontId="46" fillId="24" borderId="44" xfId="0" applyFont="1" applyFill="1" applyBorder="1" applyAlignment="1">
      <alignment horizontal="left" vertical="center" wrapText="1"/>
    </xf>
    <xf numFmtId="0" fontId="46" fillId="3" borderId="0" xfId="0" applyFont="1" applyFill="1" applyAlignment="1">
      <alignment vertical="center"/>
    </xf>
    <xf numFmtId="37" fontId="95" fillId="3" borderId="15" xfId="0" applyNumberFormat="1" applyFont="1" applyFill="1" applyBorder="1" applyAlignment="1">
      <alignment horizontal="center" vertical="center"/>
    </xf>
    <xf numFmtId="0" fontId="95" fillId="6" borderId="15" xfId="0" applyFont="1" applyFill="1" applyBorder="1" applyAlignment="1">
      <alignment horizontal="left" vertical="center"/>
    </xf>
    <xf numFmtId="0" fontId="95" fillId="3" borderId="15" xfId="0" applyFont="1" applyFill="1" applyBorder="1" applyAlignment="1">
      <alignment horizontal="left" vertical="center"/>
    </xf>
    <xf numFmtId="0" fontId="95" fillId="3" borderId="12" xfId="0" applyFont="1" applyFill="1" applyBorder="1" applyAlignment="1">
      <alignment vertical="center"/>
    </xf>
    <xf numFmtId="0" fontId="95" fillId="3" borderId="15" xfId="0" applyFont="1" applyFill="1" applyBorder="1" applyAlignment="1">
      <alignment vertical="center"/>
    </xf>
    <xf numFmtId="0" fontId="46" fillId="3" borderId="15" xfId="0" applyFont="1" applyFill="1" applyBorder="1" applyAlignment="1">
      <alignment vertical="center"/>
    </xf>
    <xf numFmtId="0" fontId="269" fillId="3" borderId="15" xfId="0" applyFont="1" applyFill="1" applyBorder="1" applyAlignment="1">
      <alignment horizontal="left" vertical="center"/>
    </xf>
    <xf numFmtId="0" fontId="269" fillId="3" borderId="17" xfId="0" applyFont="1" applyFill="1" applyBorder="1" applyAlignment="1">
      <alignment horizontal="left" vertical="center"/>
    </xf>
    <xf numFmtId="44" fontId="269" fillId="3" borderId="16" xfId="0" applyNumberFormat="1" applyFont="1" applyFill="1" applyBorder="1" applyAlignment="1">
      <alignment horizontal="left" vertical="center"/>
    </xf>
    <xf numFmtId="9" fontId="46" fillId="3" borderId="20" xfId="2" applyFont="1" applyFill="1" applyBorder="1" applyAlignment="1" applyProtection="1">
      <alignment horizontal="left" vertical="center" wrapText="1"/>
      <protection locked="0"/>
    </xf>
    <xf numFmtId="0" fontId="46" fillId="3" borderId="3" xfId="0" applyFont="1" applyFill="1" applyBorder="1" applyAlignment="1">
      <alignment vertical="center"/>
    </xf>
    <xf numFmtId="0" fontId="269" fillId="3" borderId="15" xfId="0" applyFont="1" applyFill="1" applyBorder="1" applyAlignment="1">
      <alignment horizontal="center" vertical="center"/>
    </xf>
    <xf numFmtId="0" fontId="95" fillId="3" borderId="15" xfId="0" applyFont="1" applyFill="1" applyBorder="1"/>
    <xf numFmtId="0" fontId="269" fillId="3" borderId="15" xfId="0" applyFont="1" applyFill="1" applyBorder="1" applyAlignment="1">
      <alignment vertical="center"/>
    </xf>
    <xf numFmtId="0" fontId="269" fillId="3" borderId="17" xfId="0" applyFont="1" applyFill="1" applyBorder="1" applyAlignment="1">
      <alignment vertical="center"/>
    </xf>
    <xf numFmtId="9" fontId="46" fillId="3" borderId="43" xfId="2" applyFont="1" applyFill="1" applyBorder="1" applyAlignment="1" applyProtection="1">
      <alignment horizontal="left" vertical="center" wrapText="1"/>
      <protection locked="0"/>
    </xf>
    <xf numFmtId="9" fontId="46" fillId="3" borderId="75" xfId="2" applyFont="1" applyFill="1" applyBorder="1" applyAlignment="1" applyProtection="1">
      <alignment vertical="center" wrapText="1"/>
      <protection locked="0"/>
    </xf>
    <xf numFmtId="9" fontId="46" fillId="3" borderId="44" xfId="2" applyFont="1" applyFill="1" applyBorder="1" applyAlignment="1" applyProtection="1">
      <alignment vertical="center" wrapText="1"/>
      <protection locked="0"/>
    </xf>
    <xf numFmtId="44" fontId="46" fillId="24" borderId="27" xfId="1" applyFont="1" applyFill="1" applyBorder="1" applyAlignment="1">
      <alignment horizontal="center" vertical="center" wrapText="1"/>
    </xf>
    <xf numFmtId="173" fontId="46" fillId="24" borderId="26" xfId="1" applyNumberFormat="1" applyFont="1" applyFill="1" applyBorder="1" applyAlignment="1">
      <alignment horizontal="center" vertical="center" wrapText="1"/>
    </xf>
    <xf numFmtId="173" fontId="46" fillId="24" borderId="26" xfId="2" applyNumberFormat="1" applyFont="1" applyFill="1" applyBorder="1" applyAlignment="1">
      <alignment vertical="center" wrapText="1"/>
    </xf>
    <xf numFmtId="173" fontId="195" fillId="24" borderId="26" xfId="1" applyNumberFormat="1" applyFont="1" applyFill="1" applyBorder="1" applyAlignment="1" applyProtection="1">
      <alignment horizontal="center" vertical="center" wrapText="1"/>
    </xf>
    <xf numFmtId="173" fontId="155" fillId="24" borderId="0" xfId="0" applyNumberFormat="1" applyFont="1" applyFill="1" applyAlignment="1">
      <alignment vertical="center"/>
    </xf>
    <xf numFmtId="173" fontId="155" fillId="24" borderId="52" xfId="0" applyNumberFormat="1" applyFont="1" applyFill="1" applyBorder="1" applyAlignment="1">
      <alignment vertical="center"/>
    </xf>
    <xf numFmtId="164" fontId="269" fillId="24" borderId="77" xfId="2" applyNumberFormat="1" applyFont="1" applyFill="1" applyBorder="1" applyAlignment="1">
      <alignment horizontal="center" vertical="center" wrapText="1"/>
    </xf>
    <xf numFmtId="173" fontId="25" fillId="24" borderId="12" xfId="0" applyNumberFormat="1" applyFont="1" applyFill="1" applyBorder="1" applyAlignment="1">
      <alignment vertical="center"/>
    </xf>
    <xf numFmtId="44" fontId="95" fillId="3" borderId="15" xfId="1" applyFont="1" applyFill="1" applyBorder="1" applyAlignment="1">
      <alignment vertical="center"/>
    </xf>
    <xf numFmtId="173" fontId="95" fillId="3" borderId="15" xfId="1" applyNumberFormat="1" applyFont="1" applyFill="1" applyBorder="1" applyAlignment="1">
      <alignment vertical="center" wrapText="1"/>
    </xf>
    <xf numFmtId="173" fontId="46" fillId="3" borderId="15" xfId="1" applyNumberFormat="1" applyFont="1" applyFill="1" applyBorder="1" applyAlignment="1">
      <alignment vertical="center"/>
    </xf>
    <xf numFmtId="173" fontId="46" fillId="3" borderId="15" xfId="0" applyNumberFormat="1" applyFont="1" applyFill="1" applyBorder="1" applyAlignment="1">
      <alignment vertical="center"/>
    </xf>
    <xf numFmtId="173" fontId="46" fillId="3" borderId="15" xfId="2" applyNumberFormat="1" applyFont="1" applyFill="1" applyBorder="1" applyAlignment="1">
      <alignment vertical="center" wrapText="1"/>
    </xf>
    <xf numFmtId="173" fontId="95" fillId="3" borderId="15" xfId="1" applyNumberFormat="1" applyFont="1" applyFill="1" applyBorder="1" applyAlignment="1" applyProtection="1">
      <alignment vertical="center" wrapText="1"/>
      <protection locked="0"/>
    </xf>
    <xf numFmtId="173" fontId="46" fillId="3" borderId="15" xfId="0" applyNumberFormat="1" applyFont="1" applyFill="1" applyBorder="1" applyAlignment="1" applyProtection="1">
      <alignment vertical="center" wrapText="1"/>
      <protection locked="0"/>
    </xf>
    <xf numFmtId="164" fontId="46" fillId="3" borderId="15" xfId="0" applyNumberFormat="1" applyFont="1" applyFill="1" applyBorder="1" applyAlignment="1" applyProtection="1">
      <alignment vertical="center" wrapText="1"/>
      <protection locked="0"/>
    </xf>
    <xf numFmtId="44" fontId="16" fillId="3" borderId="122" xfId="0" applyNumberFormat="1" applyFont="1" applyFill="1" applyBorder="1" applyAlignment="1">
      <alignment horizontal="left" vertical="center"/>
    </xf>
    <xf numFmtId="44" fontId="19" fillId="3" borderId="122" xfId="0" applyNumberFormat="1" applyFont="1" applyFill="1" applyBorder="1" applyAlignment="1">
      <alignment vertical="center"/>
    </xf>
    <xf numFmtId="44" fontId="19" fillId="3" borderId="122" xfId="0" applyNumberFormat="1" applyFont="1" applyFill="1" applyBorder="1" applyAlignment="1">
      <alignment horizontal="left" vertical="center"/>
    </xf>
    <xf numFmtId="44" fontId="17" fillId="6" borderId="122" xfId="0" applyNumberFormat="1" applyFont="1" applyFill="1" applyBorder="1" applyAlignment="1">
      <alignment horizontal="left" vertical="center"/>
    </xf>
    <xf numFmtId="44" fontId="19" fillId="6" borderId="122" xfId="0" applyNumberFormat="1" applyFont="1" applyFill="1" applyBorder="1" applyAlignment="1">
      <alignment horizontal="left" vertical="center"/>
    </xf>
    <xf numFmtId="44" fontId="17" fillId="3" borderId="122" xfId="0" applyNumberFormat="1" applyFont="1" applyFill="1" applyBorder="1" applyAlignment="1">
      <alignment horizontal="left" vertical="center"/>
    </xf>
    <xf numFmtId="0" fontId="17" fillId="6" borderId="8" xfId="0" applyFont="1" applyFill="1" applyBorder="1" applyAlignment="1">
      <alignment horizontal="left" vertical="center"/>
    </xf>
    <xf numFmtId="0" fontId="22" fillId="6" borderId="129" xfId="0" applyFont="1" applyFill="1" applyBorder="1" applyAlignment="1">
      <alignment vertical="center"/>
    </xf>
    <xf numFmtId="0" fontId="17" fillId="6" borderId="129" xfId="0" applyFont="1" applyFill="1" applyBorder="1" applyAlignment="1">
      <alignment horizontal="left" vertical="center"/>
    </xf>
    <xf numFmtId="0" fontId="16" fillId="3" borderId="129" xfId="0" applyFont="1" applyFill="1" applyBorder="1" applyAlignment="1">
      <alignment vertical="center"/>
    </xf>
    <xf numFmtId="0" fontId="16" fillId="6" borderId="129" xfId="0" applyFont="1" applyFill="1" applyBorder="1" applyAlignment="1">
      <alignment vertical="center"/>
    </xf>
    <xf numFmtId="0" fontId="16" fillId="6" borderId="129" xfId="0" applyFont="1" applyFill="1" applyBorder="1" applyAlignment="1">
      <alignment horizontal="left" vertical="center" indent="1"/>
    </xf>
    <xf numFmtId="0" fontId="22" fillId="6" borderId="129" xfId="0" applyFont="1" applyFill="1" applyBorder="1" applyAlignment="1">
      <alignment horizontal="center" vertical="center"/>
    </xf>
    <xf numFmtId="0" fontId="242" fillId="6" borderId="129" xfId="0" applyFont="1" applyFill="1" applyBorder="1" applyAlignment="1">
      <alignment vertical="center"/>
    </xf>
    <xf numFmtId="0" fontId="130" fillId="3" borderId="126" xfId="0" applyFont="1" applyFill="1" applyBorder="1" applyAlignment="1">
      <alignment vertical="center"/>
    </xf>
    <xf numFmtId="0" fontId="17" fillId="3" borderId="129" xfId="0" applyFont="1" applyFill="1" applyBorder="1" applyAlignment="1">
      <alignment horizontal="left" vertical="center" indent="1"/>
    </xf>
    <xf numFmtId="44" fontId="20" fillId="6" borderId="128" xfId="0" applyNumberFormat="1" applyFont="1" applyFill="1" applyBorder="1" applyAlignment="1">
      <alignment horizontal="right" vertical="center"/>
    </xf>
    <xf numFmtId="44" fontId="20" fillId="6" borderId="128" xfId="1" applyFont="1" applyFill="1" applyBorder="1" applyAlignment="1">
      <alignment horizontal="right" vertical="center"/>
    </xf>
    <xf numFmtId="0" fontId="19" fillId="6" borderId="124" xfId="0" applyFont="1" applyFill="1" applyBorder="1" applyAlignment="1">
      <alignment horizontal="left" vertical="center"/>
    </xf>
    <xf numFmtId="0" fontId="19" fillId="6" borderId="124" xfId="0" applyFont="1" applyFill="1" applyBorder="1" applyAlignment="1">
      <alignment vertical="center"/>
    </xf>
    <xf numFmtId="0" fontId="52" fillId="3" borderId="124" xfId="0" applyFont="1" applyFill="1" applyBorder="1" applyAlignment="1">
      <alignment horizontal="center" vertical="center"/>
    </xf>
    <xf numFmtId="44" fontId="20" fillId="6" borderId="124" xfId="0" applyNumberFormat="1" applyFont="1" applyFill="1" applyBorder="1" applyAlignment="1">
      <alignment horizontal="right" vertical="center"/>
    </xf>
    <xf numFmtId="37" fontId="16" fillId="3" borderId="124" xfId="0" applyNumberFormat="1" applyFont="1" applyFill="1" applyBorder="1" applyAlignment="1">
      <alignment horizontal="center" vertical="center"/>
    </xf>
    <xf numFmtId="0" fontId="22" fillId="3" borderId="124" xfId="0" applyFont="1" applyFill="1" applyBorder="1" applyAlignment="1">
      <alignment horizontal="left" vertical="center"/>
    </xf>
    <xf numFmtId="0" fontId="22" fillId="3" borderId="124" xfId="0" applyFont="1" applyFill="1" applyBorder="1" applyAlignment="1">
      <alignment vertical="center"/>
    </xf>
    <xf numFmtId="0" fontId="22" fillId="3" borderId="124" xfId="0" applyFont="1" applyFill="1" applyBorder="1" applyAlignment="1">
      <alignment horizontal="center" vertical="center"/>
    </xf>
    <xf numFmtId="44" fontId="20" fillId="3" borderId="124" xfId="0" applyNumberFormat="1" applyFont="1" applyFill="1" applyBorder="1" applyAlignment="1">
      <alignment horizontal="right" vertical="center"/>
    </xf>
    <xf numFmtId="44" fontId="17" fillId="3" borderId="141" xfId="1" applyFont="1" applyFill="1" applyBorder="1" applyAlignment="1">
      <alignment horizontal="right" vertical="center"/>
    </xf>
    <xf numFmtId="37" fontId="16" fillId="6" borderId="52" xfId="0" applyNumberFormat="1" applyFont="1" applyFill="1" applyBorder="1" applyAlignment="1">
      <alignment horizontal="center" vertical="center"/>
    </xf>
    <xf numFmtId="0" fontId="16" fillId="3" borderId="135" xfId="0" applyFont="1" applyFill="1" applyBorder="1" applyAlignment="1">
      <alignment horizontal="left" vertical="center"/>
    </xf>
    <xf numFmtId="0" fontId="16" fillId="3" borderId="124" xfId="0" applyFont="1" applyFill="1" applyBorder="1" applyAlignment="1">
      <alignment horizontal="left" vertical="center"/>
    </xf>
    <xf numFmtId="0" fontId="16" fillId="3" borderId="124" xfId="0" applyFont="1" applyFill="1" applyBorder="1" applyAlignment="1">
      <alignment vertical="center"/>
    </xf>
    <xf numFmtId="0" fontId="16" fillId="6" borderId="124" xfId="0" applyFont="1" applyFill="1" applyBorder="1" applyAlignment="1">
      <alignment horizontal="center" vertical="center"/>
    </xf>
    <xf numFmtId="44" fontId="17" fillId="5" borderId="124" xfId="0" applyNumberFormat="1" applyFont="1" applyFill="1" applyBorder="1" applyAlignment="1">
      <alignment horizontal="right" vertical="center"/>
    </xf>
    <xf numFmtId="44" fontId="45" fillId="5" borderId="124" xfId="0" applyNumberFormat="1" applyFont="1" applyFill="1" applyBorder="1" applyAlignment="1">
      <alignment horizontal="right" vertical="center"/>
    </xf>
    <xf numFmtId="0" fontId="52" fillId="6" borderId="124" xfId="0" applyFont="1" applyFill="1" applyBorder="1" applyAlignment="1">
      <alignment horizontal="center" vertical="center"/>
    </xf>
    <xf numFmtId="44" fontId="52" fillId="6" borderId="124" xfId="0" applyNumberFormat="1" applyFont="1" applyFill="1" applyBorder="1" applyAlignment="1">
      <alignment horizontal="right" vertical="center"/>
    </xf>
    <xf numFmtId="44" fontId="17" fillId="6" borderId="124" xfId="0" applyNumberFormat="1" applyFont="1" applyFill="1" applyBorder="1" applyAlignment="1">
      <alignment horizontal="right" vertical="center"/>
    </xf>
    <xf numFmtId="44" fontId="17" fillId="6" borderId="141" xfId="1" applyFont="1" applyFill="1" applyBorder="1" applyAlignment="1">
      <alignment horizontal="right" vertical="center"/>
    </xf>
    <xf numFmtId="37" fontId="17" fillId="0" borderId="124" xfId="0" applyNumberFormat="1" applyFont="1" applyBorder="1" applyAlignment="1">
      <alignment horizontal="center" vertical="center"/>
    </xf>
    <xf numFmtId="0" fontId="17" fillId="0" borderId="124" xfId="0" applyFont="1" applyBorder="1" applyAlignment="1">
      <alignment vertical="center"/>
    </xf>
    <xf numFmtId="44" fontId="20" fillId="0" borderId="141" xfId="0" applyNumberFormat="1" applyFont="1" applyBorder="1" applyAlignment="1">
      <alignment horizontal="right" vertical="center"/>
    </xf>
    <xf numFmtId="0" fontId="16" fillId="3" borderId="12" xfId="0" applyFont="1" applyFill="1" applyBorder="1" applyAlignment="1">
      <alignment horizontal="left" vertical="center"/>
    </xf>
    <xf numFmtId="0" fontId="16" fillId="3" borderId="12" xfId="0" applyFont="1" applyFill="1" applyBorder="1" applyAlignment="1">
      <alignment horizontal="left" vertical="center" indent="1"/>
    </xf>
    <xf numFmtId="0" fontId="16" fillId="3" borderId="12" xfId="0" applyFont="1" applyFill="1" applyBorder="1" applyAlignment="1">
      <alignment vertical="center"/>
    </xf>
    <xf numFmtId="0" fontId="16" fillId="6" borderId="12" xfId="0" applyFont="1" applyFill="1" applyBorder="1" applyAlignment="1">
      <alignment horizontal="center" vertical="center"/>
    </xf>
    <xf numFmtId="44" fontId="17" fillId="6" borderId="140" xfId="0" applyNumberFormat="1" applyFont="1" applyFill="1" applyBorder="1" applyAlignment="1">
      <alignment horizontal="right" vertical="center"/>
    </xf>
    <xf numFmtId="44" fontId="17" fillId="6" borderId="11" xfId="1" applyFont="1" applyFill="1" applyBorder="1" applyAlignment="1">
      <alignment horizontal="right" vertical="center"/>
    </xf>
    <xf numFmtId="0" fontId="235" fillId="6" borderId="125" xfId="0" applyFont="1" applyFill="1" applyBorder="1" applyAlignment="1">
      <alignment horizontal="right" vertical="center"/>
    </xf>
    <xf numFmtId="44" fontId="20" fillId="0" borderId="125" xfId="0" applyNumberFormat="1" applyFont="1" applyBorder="1" applyAlignment="1">
      <alignment horizontal="right" vertical="center"/>
    </xf>
    <xf numFmtId="37" fontId="241" fillId="3" borderId="12" xfId="0" applyNumberFormat="1" applyFont="1" applyFill="1" applyBorder="1" applyAlignment="1">
      <alignment horizontal="center" vertical="center"/>
    </xf>
    <xf numFmtId="0" fontId="241" fillId="3" borderId="12" xfId="0" applyFont="1" applyFill="1" applyBorder="1" applyAlignment="1">
      <alignment horizontal="left" vertical="center"/>
    </xf>
    <xf numFmtId="0" fontId="241" fillId="3" borderId="12" xfId="0" applyFont="1" applyFill="1" applyBorder="1" applyAlignment="1">
      <alignment horizontal="left" vertical="center" indent="1"/>
    </xf>
    <xf numFmtId="0" fontId="241" fillId="3" borderId="12" xfId="0" applyFont="1" applyFill="1" applyBorder="1" applyAlignment="1">
      <alignment vertical="center"/>
    </xf>
    <xf numFmtId="0" fontId="241" fillId="6" borderId="125" xfId="0" applyFont="1" applyFill="1" applyBorder="1" applyAlignment="1">
      <alignment horizontal="center" vertical="center"/>
    </xf>
    <xf numFmtId="44" fontId="20" fillId="3" borderId="125" xfId="0" applyNumberFormat="1" applyFont="1" applyFill="1" applyBorder="1" applyAlignment="1">
      <alignment horizontal="right" vertical="center"/>
    </xf>
    <xf numFmtId="44" fontId="45" fillId="3" borderId="125" xfId="0" applyNumberFormat="1" applyFont="1" applyFill="1" applyBorder="1" applyAlignment="1">
      <alignment horizontal="right" vertical="center"/>
    </xf>
    <xf numFmtId="44" fontId="45" fillId="3" borderId="140" xfId="1" applyFont="1" applyFill="1" applyBorder="1" applyAlignment="1">
      <alignment horizontal="right" vertical="center"/>
    </xf>
    <xf numFmtId="0" fontId="22" fillId="6" borderId="160" xfId="0" applyFont="1" applyFill="1" applyBorder="1" applyAlignment="1">
      <alignment horizontal="left" vertical="center"/>
    </xf>
    <xf numFmtId="0" fontId="17" fillId="6" borderId="128" xfId="0" applyFont="1" applyFill="1" applyBorder="1" applyAlignment="1">
      <alignment horizontal="left" vertical="center"/>
    </xf>
    <xf numFmtId="0" fontId="17" fillId="6" borderId="128" xfId="0" applyFont="1" applyFill="1" applyBorder="1" applyAlignment="1">
      <alignment vertical="center"/>
    </xf>
    <xf numFmtId="0" fontId="17" fillId="6" borderId="128" xfId="0" applyFont="1" applyFill="1" applyBorder="1" applyAlignment="1">
      <alignment horizontal="center" vertical="center"/>
    </xf>
    <xf numFmtId="44" fontId="95" fillId="3" borderId="125" xfId="0" applyNumberFormat="1" applyFont="1" applyFill="1" applyBorder="1" applyAlignment="1">
      <alignment horizontal="right" vertical="center"/>
    </xf>
    <xf numFmtId="44" fontId="17" fillId="6" borderId="140" xfId="1" applyFont="1" applyFill="1" applyBorder="1" applyAlignment="1">
      <alignment vertical="center"/>
    </xf>
    <xf numFmtId="37" fontId="20" fillId="0" borderId="125" xfId="0" applyNumberFormat="1" applyFont="1" applyBorder="1" applyAlignment="1">
      <alignment horizontal="center" vertical="center"/>
    </xf>
    <xf numFmtId="0" fontId="20" fillId="0" borderId="125" xfId="0" applyFont="1" applyBorder="1" applyAlignment="1">
      <alignment horizontal="left" vertical="center"/>
    </xf>
    <xf numFmtId="0" fontId="20" fillId="0" borderId="125" xfId="0" applyFont="1" applyBorder="1" applyAlignment="1">
      <alignment vertical="center"/>
    </xf>
    <xf numFmtId="44" fontId="20" fillId="0" borderId="140" xfId="0" applyNumberFormat="1" applyFont="1" applyBorder="1" applyAlignment="1">
      <alignment horizontal="right" vertical="center"/>
    </xf>
    <xf numFmtId="44" fontId="17" fillId="6" borderId="15" xfId="0" applyNumberFormat="1" applyFont="1" applyFill="1" applyBorder="1" applyAlignment="1">
      <alignment horizontal="right" vertical="center"/>
    </xf>
    <xf numFmtId="0" fontId="237" fillId="6" borderId="15" xfId="0" applyFont="1" applyFill="1" applyBorder="1" applyAlignment="1">
      <alignment vertical="center"/>
    </xf>
    <xf numFmtId="0" fontId="22" fillId="6" borderId="15" xfId="0" applyFont="1" applyFill="1" applyBorder="1" applyAlignment="1">
      <alignment horizontal="right" vertical="center"/>
    </xf>
    <xf numFmtId="0" fontId="22" fillId="6" borderId="15" xfId="0" applyFont="1" applyFill="1" applyBorder="1" applyAlignment="1">
      <alignment horizontal="center" vertical="center"/>
    </xf>
    <xf numFmtId="44" fontId="17" fillId="0" borderId="15" xfId="0" applyNumberFormat="1" applyFont="1" applyBorder="1" applyAlignment="1">
      <alignment vertical="center"/>
    </xf>
    <xf numFmtId="17" fontId="16" fillId="3" borderId="15" xfId="0" applyNumberFormat="1" applyFont="1" applyFill="1" applyBorder="1" applyAlignment="1">
      <alignment vertical="center"/>
    </xf>
    <xf numFmtId="44" fontId="17" fillId="13" borderId="15" xfId="0" applyNumberFormat="1" applyFont="1" applyFill="1" applyBorder="1" applyAlignment="1">
      <alignment horizontal="right" vertical="center"/>
    </xf>
    <xf numFmtId="44" fontId="17" fillId="0" borderId="15" xfId="0" applyNumberFormat="1" applyFont="1" applyBorder="1" applyAlignment="1">
      <alignment horizontal="right" vertical="center"/>
    </xf>
    <xf numFmtId="44" fontId="22" fillId="6" borderId="15" xfId="0" applyNumberFormat="1" applyFont="1" applyFill="1" applyBorder="1" applyAlignment="1">
      <alignment horizontal="right" vertical="center"/>
    </xf>
    <xf numFmtId="44" fontId="22" fillId="6" borderId="16" xfId="1" applyFont="1" applyFill="1" applyBorder="1" applyAlignment="1">
      <alignment vertical="center"/>
    </xf>
    <xf numFmtId="44" fontId="22" fillId="6" borderId="16" xfId="1" applyFont="1" applyFill="1" applyBorder="1" applyAlignment="1">
      <alignment horizontal="right" vertical="center"/>
    </xf>
    <xf numFmtId="44" fontId="17" fillId="6" borderId="16" xfId="0" applyNumberFormat="1" applyFont="1" applyFill="1" applyBorder="1" applyAlignment="1">
      <alignment horizontal="right" vertical="center"/>
    </xf>
    <xf numFmtId="44" fontId="24" fillId="24" borderId="27" xfId="1" applyFont="1" applyFill="1" applyBorder="1" applyAlignment="1">
      <alignment horizontal="center" vertical="center" wrapText="1"/>
    </xf>
    <xf numFmtId="173" fontId="24" fillId="24" borderId="26" xfId="1" applyNumberFormat="1" applyFont="1" applyFill="1" applyBorder="1" applyAlignment="1">
      <alignment horizontal="center" vertical="center" wrapText="1"/>
    </xf>
    <xf numFmtId="173" fontId="24" fillId="24" borderId="26" xfId="2" applyNumberFormat="1" applyFont="1" applyFill="1" applyBorder="1" applyAlignment="1">
      <alignment vertical="center" wrapText="1"/>
    </xf>
    <xf numFmtId="173" fontId="30" fillId="24" borderId="26" xfId="1" applyNumberFormat="1" applyFont="1" applyFill="1" applyBorder="1" applyAlignment="1" applyProtection="1">
      <alignment horizontal="center" vertical="center" wrapText="1"/>
    </xf>
    <xf numFmtId="44" fontId="17" fillId="3" borderId="15" xfId="0" applyNumberFormat="1" applyFont="1" applyFill="1" applyBorder="1" applyAlignment="1">
      <alignment vertical="center" wrapText="1"/>
    </xf>
    <xf numFmtId="44" fontId="16" fillId="3" borderId="15" xfId="1" applyFont="1" applyFill="1" applyBorder="1" applyAlignment="1">
      <alignment vertical="center"/>
    </xf>
    <xf numFmtId="173" fontId="17" fillId="3" borderId="15" xfId="1" applyNumberFormat="1" applyFont="1" applyFill="1" applyBorder="1" applyAlignment="1">
      <alignment vertical="center" wrapText="1"/>
    </xf>
    <xf numFmtId="173" fontId="34" fillId="3" borderId="15" xfId="1" applyNumberFormat="1" applyFont="1" applyFill="1" applyBorder="1" applyAlignment="1">
      <alignment vertical="center"/>
    </xf>
    <xf numFmtId="173" fontId="34" fillId="3" borderId="15" xfId="0" applyNumberFormat="1" applyFont="1" applyFill="1" applyBorder="1" applyAlignment="1">
      <alignment vertical="center"/>
    </xf>
    <xf numFmtId="173" fontId="34" fillId="3" borderId="75" xfId="2" applyNumberFormat="1" applyFont="1" applyFill="1" applyBorder="1" applyAlignment="1">
      <alignment vertical="center"/>
    </xf>
    <xf numFmtId="173" fontId="34" fillId="3" borderId="44" xfId="2" applyNumberFormat="1" applyFont="1" applyFill="1" applyBorder="1" applyAlignment="1">
      <alignment vertical="center"/>
    </xf>
    <xf numFmtId="173" fontId="17" fillId="3" borderId="75" xfId="1" applyNumberFormat="1" applyFont="1" applyFill="1" applyBorder="1" applyAlignment="1" applyProtection="1">
      <alignment vertical="center" wrapText="1"/>
      <protection locked="0"/>
    </xf>
    <xf numFmtId="173" fontId="17" fillId="3" borderId="44" xfId="1" applyNumberFormat="1" applyFont="1" applyFill="1" applyBorder="1" applyAlignment="1" applyProtection="1">
      <alignment vertical="center" wrapText="1"/>
      <protection locked="0"/>
    </xf>
    <xf numFmtId="164" fontId="34" fillId="3" borderId="75" xfId="0" applyNumberFormat="1" applyFont="1" applyFill="1" applyBorder="1" applyAlignment="1" applyProtection="1">
      <alignment vertical="center" wrapText="1"/>
      <protection locked="0"/>
    </xf>
    <xf numFmtId="164" fontId="34" fillId="3" borderId="44" xfId="0" applyNumberFormat="1" applyFont="1" applyFill="1" applyBorder="1" applyAlignment="1" applyProtection="1">
      <alignment vertical="center" wrapText="1"/>
      <protection locked="0"/>
    </xf>
    <xf numFmtId="9" fontId="34" fillId="3" borderId="75" xfId="2" applyFont="1" applyFill="1" applyBorder="1" applyAlignment="1" applyProtection="1">
      <alignment vertical="center" wrapText="1"/>
      <protection locked="0"/>
    </xf>
    <xf numFmtId="9" fontId="34" fillId="3" borderId="44" xfId="2" applyFont="1" applyFill="1" applyBorder="1" applyAlignment="1" applyProtection="1">
      <alignment vertical="center" wrapText="1"/>
      <protection locked="0"/>
    </xf>
    <xf numFmtId="0" fontId="270" fillId="3" borderId="0" xfId="0" applyFont="1" applyFill="1" applyAlignment="1">
      <alignment horizontal="right" vertical="center"/>
    </xf>
    <xf numFmtId="44" fontId="224" fillId="3" borderId="12" xfId="0" applyNumberFormat="1" applyFont="1" applyFill="1" applyBorder="1" applyAlignment="1">
      <alignment horizontal="right" vertical="center"/>
    </xf>
    <xf numFmtId="37" fontId="95" fillId="3" borderId="6" xfId="0" applyNumberFormat="1" applyFont="1" applyFill="1" applyBorder="1" applyAlignment="1">
      <alignment horizontal="left" vertical="center" wrapText="1"/>
    </xf>
    <xf numFmtId="37" fontId="95" fillId="3" borderId="3" xfId="0" applyNumberFormat="1" applyFont="1" applyFill="1" applyBorder="1" applyAlignment="1">
      <alignment horizontal="left" vertical="center" wrapText="1"/>
    </xf>
    <xf numFmtId="37" fontId="95" fillId="3" borderId="7" xfId="0" applyNumberFormat="1" applyFont="1" applyFill="1" applyBorder="1" applyAlignment="1">
      <alignment horizontal="left" vertical="center" wrapText="1"/>
    </xf>
    <xf numFmtId="173" fontId="34" fillId="3" borderId="52" xfId="0" applyNumberFormat="1" applyFont="1" applyFill="1" applyBorder="1" applyAlignment="1" applyProtection="1">
      <alignment horizontal="center" vertical="center" wrapText="1"/>
      <protection locked="0"/>
    </xf>
    <xf numFmtId="173" fontId="34" fillId="3" borderId="12" xfId="0" applyNumberFormat="1" applyFont="1" applyFill="1" applyBorder="1" applyAlignment="1" applyProtection="1">
      <alignment horizontal="center" vertical="center" wrapText="1"/>
      <protection locked="0"/>
    </xf>
    <xf numFmtId="44" fontId="95" fillId="3" borderId="52" xfId="1" applyFont="1" applyFill="1" applyBorder="1" applyAlignment="1">
      <alignment horizontal="center" vertical="center"/>
    </xf>
    <xf numFmtId="44" fontId="95" fillId="3" borderId="12" xfId="1" applyFont="1" applyFill="1" applyBorder="1" applyAlignment="1">
      <alignment horizontal="center" vertical="center"/>
    </xf>
    <xf numFmtId="164" fontId="17" fillId="3" borderId="105" xfId="1" applyNumberFormat="1" applyFont="1" applyFill="1" applyBorder="1" applyAlignment="1">
      <alignment horizontal="center" vertical="center"/>
    </xf>
    <xf numFmtId="164" fontId="17" fillId="3" borderId="107" xfId="1" applyNumberFormat="1" applyFont="1" applyFill="1" applyBorder="1" applyAlignment="1">
      <alignment horizontal="center" vertical="center"/>
    </xf>
    <xf numFmtId="164" fontId="17" fillId="3" borderId="10" xfId="1" applyNumberFormat="1" applyFont="1" applyFill="1" applyBorder="1" applyAlignment="1">
      <alignment horizontal="center" vertical="center"/>
    </xf>
    <xf numFmtId="37" fontId="95" fillId="3" borderId="36" xfId="0" applyNumberFormat="1" applyFont="1" applyFill="1" applyBorder="1" applyAlignment="1">
      <alignment horizontal="left" vertical="center" wrapText="1"/>
    </xf>
    <xf numFmtId="37" fontId="95" fillId="3" borderId="38" xfId="0" applyNumberFormat="1" applyFont="1" applyFill="1" applyBorder="1" applyAlignment="1">
      <alignment horizontal="left" vertical="center" wrapText="1"/>
    </xf>
    <xf numFmtId="37" fontId="95" fillId="3" borderId="37" xfId="0" applyNumberFormat="1" applyFont="1" applyFill="1" applyBorder="1" applyAlignment="1">
      <alignment horizontal="left" vertical="center" wrapText="1"/>
    </xf>
    <xf numFmtId="37" fontId="95" fillId="3" borderId="0" xfId="0" applyNumberFormat="1" applyFont="1" applyFill="1" applyAlignment="1">
      <alignment horizontal="center" vertical="center" wrapText="1"/>
    </xf>
    <xf numFmtId="37" fontId="95" fillId="3" borderId="97" xfId="0" applyNumberFormat="1" applyFont="1" applyFill="1" applyBorder="1" applyAlignment="1">
      <alignment horizontal="left" vertical="center" wrapText="1"/>
    </xf>
    <xf numFmtId="37" fontId="95" fillId="3" borderId="0" xfId="0" applyNumberFormat="1" applyFont="1" applyFill="1" applyAlignment="1">
      <alignment horizontal="center" vertical="center"/>
    </xf>
    <xf numFmtId="0" fontId="97" fillId="0" borderId="18" xfId="0" applyFont="1" applyBorder="1" applyAlignment="1">
      <alignment horizontal="left" vertical="center" wrapText="1"/>
    </xf>
    <xf numFmtId="0" fontId="97" fillId="0" borderId="0" xfId="0" applyFont="1" applyAlignment="1">
      <alignment horizontal="left" vertical="center" wrapText="1"/>
    </xf>
    <xf numFmtId="0" fontId="97" fillId="0" borderId="27" xfId="0" applyFont="1" applyBorder="1" applyAlignment="1">
      <alignment horizontal="left" vertical="center" wrapText="1"/>
    </xf>
    <xf numFmtId="44" fontId="17" fillId="3" borderId="143" xfId="1" applyFont="1" applyFill="1" applyBorder="1" applyAlignment="1">
      <alignment horizontal="center" vertical="center"/>
    </xf>
    <xf numFmtId="44" fontId="17" fillId="3" borderId="110" xfId="1" applyFont="1" applyFill="1" applyBorder="1" applyAlignment="1">
      <alignment horizontal="center" vertical="center"/>
    </xf>
    <xf numFmtId="0" fontId="219" fillId="3" borderId="41" xfId="0" applyFont="1" applyFill="1" applyBorder="1" applyAlignment="1">
      <alignment horizontal="left" vertical="center"/>
    </xf>
    <xf numFmtId="0" fontId="219" fillId="3" borderId="3" xfId="0" applyFont="1" applyFill="1" applyBorder="1" applyAlignment="1">
      <alignment horizontal="left" vertical="center"/>
    </xf>
    <xf numFmtId="44" fontId="150" fillId="3" borderId="105" xfId="1" applyFont="1" applyFill="1" applyBorder="1" applyAlignment="1">
      <alignment horizontal="center" vertical="center"/>
    </xf>
    <xf numFmtId="44" fontId="150" fillId="3" borderId="107" xfId="1" applyFont="1" applyFill="1" applyBorder="1" applyAlignment="1">
      <alignment horizontal="center" vertical="center"/>
    </xf>
    <xf numFmtId="44" fontId="150" fillId="3" borderId="10" xfId="1" applyFont="1" applyFill="1" applyBorder="1" applyAlignment="1">
      <alignment horizontal="center" vertical="center"/>
    </xf>
    <xf numFmtId="164" fontId="130" fillId="6" borderId="97" xfId="1" applyNumberFormat="1" applyFont="1" applyFill="1" applyBorder="1" applyAlignment="1">
      <alignment horizontal="left" vertical="center" wrapText="1"/>
    </xf>
    <xf numFmtId="164" fontId="244" fillId="6" borderId="107" xfId="1" applyNumberFormat="1" applyFont="1" applyFill="1" applyBorder="1" applyAlignment="1">
      <alignment horizontal="center" vertical="center" wrapText="1"/>
    </xf>
    <xf numFmtId="164" fontId="260" fillId="6" borderId="97" xfId="1" applyNumberFormat="1" applyFont="1" applyFill="1" applyBorder="1" applyAlignment="1">
      <alignment horizontal="center" vertical="center" wrapText="1"/>
    </xf>
    <xf numFmtId="164" fontId="244" fillId="6" borderId="0" xfId="1" applyNumberFormat="1" applyFont="1" applyFill="1" applyBorder="1" applyAlignment="1">
      <alignment horizontal="center" vertical="center" wrapText="1"/>
    </xf>
    <xf numFmtId="164" fontId="130" fillId="6" borderId="15" xfId="1" applyNumberFormat="1" applyFont="1" applyFill="1" applyBorder="1" applyAlignment="1">
      <alignment horizontal="left" vertical="center" wrapText="1"/>
    </xf>
    <xf numFmtId="164" fontId="244" fillId="6" borderId="97" xfId="1" applyNumberFormat="1" applyFont="1" applyFill="1" applyBorder="1" applyAlignment="1">
      <alignment horizontal="center" vertical="center" wrapText="1"/>
    </xf>
    <xf numFmtId="164" fontId="244" fillId="6" borderId="10" xfId="1" applyNumberFormat="1" applyFont="1" applyFill="1" applyBorder="1" applyAlignment="1">
      <alignment horizontal="center" vertical="center" wrapText="1"/>
    </xf>
    <xf numFmtId="164" fontId="244" fillId="6" borderId="15" xfId="1" applyNumberFormat="1" applyFont="1" applyFill="1" applyBorder="1" applyAlignment="1">
      <alignment horizontal="center" vertical="center" wrapText="1"/>
    </xf>
    <xf numFmtId="164" fontId="260" fillId="6" borderId="15" xfId="1" applyNumberFormat="1" applyFont="1" applyFill="1" applyBorder="1" applyAlignment="1">
      <alignment horizontal="center" vertical="center" wrapText="1"/>
    </xf>
    <xf numFmtId="44" fontId="130" fillId="6" borderId="97" xfId="1" applyFont="1" applyFill="1" applyBorder="1" applyAlignment="1">
      <alignment horizontal="center" vertical="center" wrapText="1"/>
    </xf>
    <xf numFmtId="164" fontId="244" fillId="6" borderId="12" xfId="1" applyNumberFormat="1" applyFont="1" applyFill="1" applyBorder="1" applyAlignment="1">
      <alignment horizontal="left" vertical="center" wrapText="1"/>
    </xf>
    <xf numFmtId="44" fontId="261" fillId="6" borderId="105" xfId="1" applyFont="1" applyFill="1" applyBorder="1" applyAlignment="1">
      <alignment horizontal="center" vertical="center" wrapText="1"/>
    </xf>
    <xf numFmtId="164" fontId="244" fillId="3" borderId="97" xfId="1" applyNumberFormat="1" applyFont="1" applyFill="1" applyBorder="1" applyAlignment="1">
      <alignment horizontal="center" vertical="center" wrapText="1"/>
    </xf>
    <xf numFmtId="164" fontId="244" fillId="6" borderId="15" xfId="1" applyNumberFormat="1" applyFont="1" applyFill="1" applyBorder="1" applyAlignment="1">
      <alignment horizontal="left" vertical="center" wrapText="1"/>
    </xf>
    <xf numFmtId="44" fontId="261" fillId="6" borderId="97" xfId="1" applyFont="1" applyFill="1" applyBorder="1" applyAlignment="1">
      <alignment horizontal="center" vertical="center" wrapText="1"/>
    </xf>
    <xf numFmtId="44" fontId="130" fillId="6" borderId="10" xfId="1" applyFont="1" applyFill="1" applyBorder="1" applyAlignment="1">
      <alignment horizontal="center" vertical="center" wrapText="1"/>
    </xf>
    <xf numFmtId="164" fontId="244" fillId="6" borderId="105" xfId="1" applyNumberFormat="1" applyFont="1" applyFill="1" applyBorder="1" applyAlignment="1">
      <alignment horizontal="center" vertical="center" wrapText="1"/>
    </xf>
    <xf numFmtId="164" fontId="260" fillId="6" borderId="52" xfId="1" applyNumberFormat="1" applyFont="1" applyFill="1" applyBorder="1" applyAlignment="1">
      <alignment horizontal="left" vertical="center" wrapText="1"/>
    </xf>
    <xf numFmtId="164" fontId="260" fillId="6" borderId="105" xfId="1" applyNumberFormat="1" applyFont="1" applyFill="1" applyBorder="1" applyAlignment="1">
      <alignment horizontal="center" vertical="center" wrapText="1"/>
    </xf>
    <xf numFmtId="164" fontId="260" fillId="6" borderId="107" xfId="1" applyNumberFormat="1" applyFont="1" applyFill="1" applyBorder="1" applyAlignment="1">
      <alignment horizontal="center" vertical="center" wrapText="1"/>
    </xf>
    <xf numFmtId="164" fontId="260" fillId="6" borderId="10" xfId="1" applyNumberFormat="1" applyFont="1" applyFill="1" applyBorder="1" applyAlignment="1">
      <alignment horizontal="center" vertical="center" wrapText="1"/>
    </xf>
    <xf numFmtId="164" fontId="261" fillId="6" borderId="97" xfId="1" applyNumberFormat="1" applyFont="1" applyFill="1" applyBorder="1" applyAlignment="1">
      <alignment horizontal="left" vertical="center" wrapText="1"/>
    </xf>
    <xf numFmtId="0" fontId="219" fillId="3" borderId="15" xfId="0" applyFont="1" applyFill="1" applyBorder="1" applyAlignment="1">
      <alignment horizontal="center" vertical="center"/>
    </xf>
    <xf numFmtId="44" fontId="219" fillId="3" borderId="105" xfId="1" applyFont="1" applyFill="1" applyBorder="1" applyAlignment="1">
      <alignment horizontal="center" vertical="center"/>
    </xf>
    <xf numFmtId="44" fontId="219" fillId="3" borderId="107" xfId="1" applyFont="1" applyFill="1" applyBorder="1" applyAlignment="1">
      <alignment horizontal="center" vertical="center"/>
    </xf>
    <xf numFmtId="44" fontId="219" fillId="3" borderId="10" xfId="1" applyFont="1" applyFill="1" applyBorder="1" applyAlignment="1">
      <alignment horizontal="center" vertical="center"/>
    </xf>
    <xf numFmtId="44" fontId="17" fillId="3" borderId="109" xfId="1" applyFont="1" applyFill="1" applyBorder="1" applyAlignment="1">
      <alignment horizontal="center" vertical="center"/>
    </xf>
    <xf numFmtId="44" fontId="150" fillId="3" borderId="15" xfId="1" applyFont="1" applyFill="1" applyBorder="1" applyAlignment="1">
      <alignment horizontal="center" vertical="center"/>
    </xf>
    <xf numFmtId="44" fontId="16" fillId="2" borderId="18" xfId="1" applyFont="1" applyFill="1" applyBorder="1" applyAlignment="1">
      <alignment horizontal="center" vertical="center"/>
    </xf>
    <xf numFmtId="172" fontId="16" fillId="2" borderId="154" xfId="1" applyNumberFormat="1" applyFont="1" applyFill="1" applyBorder="1" applyAlignment="1">
      <alignment horizontal="center" vertical="center"/>
    </xf>
    <xf numFmtId="44" fontId="16" fillId="2" borderId="11" xfId="1" applyFont="1" applyFill="1" applyBorder="1" applyAlignment="1">
      <alignment horizontal="center" vertical="center"/>
    </xf>
    <xf numFmtId="172" fontId="16" fillId="2" borderId="81" xfId="1" applyNumberFormat="1" applyFont="1" applyFill="1" applyBorder="1" applyAlignment="1">
      <alignment horizontal="center" vertical="center"/>
    </xf>
    <xf numFmtId="49" fontId="216" fillId="24" borderId="18" xfId="0" applyNumberFormat="1" applyFont="1" applyFill="1" applyBorder="1" applyAlignment="1">
      <alignment horizontal="center" vertical="center"/>
    </xf>
    <xf numFmtId="0" fontId="216" fillId="24" borderId="27" xfId="0" applyFont="1" applyFill="1" applyBorder="1" applyAlignment="1">
      <alignment horizontal="center" vertical="center"/>
    </xf>
    <xf numFmtId="44" fontId="150" fillId="3" borderId="105" xfId="0" applyNumberFormat="1" applyFont="1" applyFill="1" applyBorder="1" applyAlignment="1">
      <alignment horizontal="center" vertical="center"/>
    </xf>
    <xf numFmtId="44" fontId="150" fillId="3" borderId="107" xfId="0" applyNumberFormat="1" applyFont="1" applyFill="1" applyBorder="1" applyAlignment="1">
      <alignment horizontal="center" vertical="center"/>
    </xf>
    <xf numFmtId="44" fontId="150" fillId="3" borderId="10" xfId="0" applyNumberFormat="1" applyFont="1" applyFill="1" applyBorder="1" applyAlignment="1">
      <alignment horizontal="center" vertical="center"/>
    </xf>
    <xf numFmtId="44" fontId="17" fillId="3" borderId="105" xfId="0" applyNumberFormat="1" applyFont="1" applyFill="1" applyBorder="1" applyAlignment="1">
      <alignment horizontal="center" vertical="center"/>
    </xf>
    <xf numFmtId="44" fontId="17" fillId="3" borderId="10" xfId="0" applyNumberFormat="1" applyFont="1" applyFill="1" applyBorder="1" applyAlignment="1">
      <alignment horizontal="center" vertical="center"/>
    </xf>
    <xf numFmtId="44" fontId="17" fillId="3" borderId="105" xfId="1" applyFont="1" applyFill="1" applyBorder="1" applyAlignment="1">
      <alignment horizontal="center" vertical="center"/>
    </xf>
    <xf numFmtId="44" fontId="17" fillId="3" borderId="10" xfId="1" applyFont="1" applyFill="1" applyBorder="1" applyAlignment="1">
      <alignment horizontal="center" vertical="center"/>
    </xf>
    <xf numFmtId="0" fontId="256" fillId="2" borderId="36" xfId="0" applyFont="1" applyFill="1" applyBorder="1" applyAlignment="1">
      <alignment horizontal="center" vertical="center"/>
    </xf>
    <xf numFmtId="0" fontId="256" fillId="2" borderId="38" xfId="0" applyFont="1" applyFill="1" applyBorder="1" applyAlignment="1">
      <alignment horizontal="center" vertical="center"/>
    </xf>
    <xf numFmtId="0" fontId="256" fillId="2" borderId="37" xfId="0" applyFont="1" applyFill="1" applyBorder="1" applyAlignment="1">
      <alignment horizontal="center" vertical="center"/>
    </xf>
    <xf numFmtId="0" fontId="256" fillId="2" borderId="0" xfId="0" applyFont="1" applyFill="1" applyAlignment="1">
      <alignment horizontal="center" vertical="center"/>
    </xf>
    <xf numFmtId="0" fontId="256" fillId="2" borderId="97" xfId="0" applyFont="1" applyFill="1" applyBorder="1" applyAlignment="1">
      <alignment horizontal="center" vertical="center"/>
    </xf>
    <xf numFmtId="0" fontId="256" fillId="2" borderId="3" xfId="0" applyFont="1" applyFill="1" applyBorder="1" applyAlignment="1">
      <alignment horizontal="center" vertical="center"/>
    </xf>
    <xf numFmtId="0" fontId="19" fillId="0" borderId="52" xfId="0" applyFont="1" applyBorder="1" applyAlignment="1">
      <alignment horizontal="center"/>
    </xf>
    <xf numFmtId="0" fontId="19" fillId="0" borderId="40" xfId="0" applyFont="1" applyBorder="1" applyAlignment="1">
      <alignment horizontal="center"/>
    </xf>
    <xf numFmtId="0" fontId="19" fillId="0" borderId="49" xfId="0" applyFont="1" applyBorder="1" applyAlignment="1">
      <alignment horizontal="center"/>
    </xf>
    <xf numFmtId="0" fontId="268" fillId="2" borderId="15" xfId="0" applyFont="1" applyFill="1" applyBorder="1" applyAlignment="1">
      <alignment horizontal="center" vertical="center"/>
    </xf>
    <xf numFmtId="0" fontId="265" fillId="2" borderId="0" xfId="0" applyFont="1" applyFill="1" applyAlignment="1">
      <alignment horizontal="center" vertical="center"/>
    </xf>
    <xf numFmtId="0" fontId="266" fillId="2" borderId="15" xfId="0" applyFont="1" applyFill="1" applyBorder="1" applyAlignment="1">
      <alignment horizontal="center" vertical="center"/>
    </xf>
    <xf numFmtId="0" fontId="265" fillId="2" borderId="15" xfId="0" applyFont="1" applyFill="1" applyBorder="1" applyAlignment="1">
      <alignment horizontal="center" vertical="center"/>
    </xf>
    <xf numFmtId="49" fontId="216" fillId="24" borderId="73" xfId="0" applyNumberFormat="1" applyFont="1" applyFill="1" applyBorder="1" applyAlignment="1">
      <alignment horizontal="center" vertical="center"/>
    </xf>
    <xf numFmtId="0" fontId="216" fillId="24" borderId="72" xfId="0" applyFont="1" applyFill="1" applyBorder="1" applyAlignment="1">
      <alignment horizontal="center" vertical="center"/>
    </xf>
    <xf numFmtId="44" fontId="211" fillId="3" borderId="105" xfId="0" applyNumberFormat="1" applyFont="1" applyFill="1" applyBorder="1" applyAlignment="1">
      <alignment horizontal="center" vertical="center"/>
    </xf>
    <xf numFmtId="44" fontId="211" fillId="3" borderId="107" xfId="0" applyNumberFormat="1" applyFont="1" applyFill="1" applyBorder="1" applyAlignment="1">
      <alignment horizontal="center" vertical="center"/>
    </xf>
    <xf numFmtId="44" fontId="211" fillId="3" borderId="10" xfId="0" applyNumberFormat="1" applyFont="1" applyFill="1" applyBorder="1" applyAlignment="1">
      <alignment horizontal="center" vertical="center"/>
    </xf>
    <xf numFmtId="44" fontId="8" fillId="2" borderId="0" xfId="0" applyNumberFormat="1" applyFont="1" applyFill="1" applyAlignment="1">
      <alignment horizontal="center" vertical="center"/>
    </xf>
    <xf numFmtId="0" fontId="219" fillId="3" borderId="15" xfId="0" applyFont="1" applyFill="1" applyBorder="1" applyAlignment="1">
      <alignment horizontal="left" vertical="center"/>
    </xf>
    <xf numFmtId="49" fontId="216" fillId="24" borderId="117" xfId="0" applyNumberFormat="1" applyFont="1" applyFill="1" applyBorder="1" applyAlignment="1">
      <alignment horizontal="center" vertical="center"/>
    </xf>
    <xf numFmtId="0" fontId="216" fillId="24" borderId="77" xfId="0" applyFont="1" applyFill="1" applyBorder="1" applyAlignment="1">
      <alignment horizontal="center" vertical="center"/>
    </xf>
    <xf numFmtId="0" fontId="190" fillId="21" borderId="13" xfId="0" applyFont="1" applyFill="1" applyBorder="1" applyAlignment="1">
      <alignment horizontal="center" vertical="center"/>
    </xf>
    <xf numFmtId="0" fontId="212" fillId="28" borderId="8" xfId="0" applyFont="1" applyFill="1" applyBorder="1" applyAlignment="1">
      <alignment horizontal="left" vertical="center" indent="1"/>
    </xf>
    <xf numFmtId="0" fontId="212" fillId="28" borderId="13" xfId="0" applyFont="1" applyFill="1" applyBorder="1" applyAlignment="1">
      <alignment horizontal="left" vertical="center" indent="1"/>
    </xf>
    <xf numFmtId="44" fontId="229" fillId="3" borderId="74" xfId="0" applyNumberFormat="1" applyFont="1" applyFill="1" applyBorder="1" applyAlignment="1">
      <alignment horizontal="center" vertical="center" wrapText="1"/>
    </xf>
    <xf numFmtId="44" fontId="229" fillId="3" borderId="75" xfId="0" applyNumberFormat="1" applyFont="1" applyFill="1" applyBorder="1" applyAlignment="1">
      <alignment horizontal="center" vertical="center" wrapText="1"/>
    </xf>
    <xf numFmtId="44" fontId="229" fillId="3" borderId="117" xfId="0" applyNumberFormat="1" applyFont="1" applyFill="1" applyBorder="1" applyAlignment="1">
      <alignment horizontal="center" vertical="center" wrapText="1"/>
    </xf>
    <xf numFmtId="44" fontId="211" fillId="3" borderId="151" xfId="0" applyNumberFormat="1" applyFont="1" applyFill="1" applyBorder="1" applyAlignment="1">
      <alignment horizontal="center" vertical="center" wrapText="1"/>
    </xf>
    <xf numFmtId="44" fontId="211" fillId="3" borderId="5" xfId="0" applyNumberFormat="1" applyFont="1" applyFill="1" applyBorder="1" applyAlignment="1">
      <alignment horizontal="center" vertical="center" wrapText="1"/>
    </xf>
    <xf numFmtId="0" fontId="213" fillId="28" borderId="13" xfId="0" applyFont="1" applyFill="1" applyBorder="1" applyAlignment="1">
      <alignment horizontal="center" vertical="center"/>
    </xf>
    <xf numFmtId="0" fontId="229" fillId="3" borderId="136" xfId="0" applyFont="1" applyFill="1" applyBorder="1" applyAlignment="1">
      <alignment horizontal="center" vertical="center"/>
    </xf>
    <xf numFmtId="0" fontId="229" fillId="3" borderId="8" xfId="0" applyFont="1" applyFill="1" applyBorder="1" applyAlignment="1">
      <alignment horizontal="center" vertical="center"/>
    </xf>
    <xf numFmtId="0" fontId="229" fillId="3" borderId="137" xfId="0" applyFont="1" applyFill="1" applyBorder="1" applyAlignment="1">
      <alignment horizontal="center" vertical="center"/>
    </xf>
    <xf numFmtId="0" fontId="229" fillId="3" borderId="131" xfId="0" applyFont="1" applyFill="1" applyBorder="1" applyAlignment="1">
      <alignment horizontal="center" vertical="center"/>
    </xf>
    <xf numFmtId="0" fontId="211" fillId="3" borderId="84" xfId="0" applyFont="1" applyFill="1" applyBorder="1" applyAlignment="1">
      <alignment horizontal="center" vertical="center"/>
    </xf>
    <xf numFmtId="0" fontId="211" fillId="3" borderId="8" xfId="0" applyFont="1" applyFill="1" applyBorder="1" applyAlignment="1">
      <alignment horizontal="center" vertical="center"/>
    </xf>
    <xf numFmtId="0" fontId="211" fillId="3" borderId="151" xfId="0" applyFont="1" applyFill="1" applyBorder="1" applyAlignment="1">
      <alignment horizontal="center" vertical="center"/>
    </xf>
    <xf numFmtId="0" fontId="211" fillId="3" borderId="5" xfId="0" applyFont="1" applyFill="1" applyBorder="1" applyAlignment="1">
      <alignment horizontal="center" vertical="center"/>
    </xf>
    <xf numFmtId="0" fontId="229" fillId="3" borderId="138" xfId="0" applyFont="1" applyFill="1" applyBorder="1" applyAlignment="1">
      <alignment horizontal="center" vertical="center"/>
    </xf>
    <xf numFmtId="0" fontId="229" fillId="3" borderId="142" xfId="0" applyFont="1" applyFill="1" applyBorder="1" applyAlignment="1">
      <alignment horizontal="center" vertical="center"/>
    </xf>
    <xf numFmtId="0" fontId="211" fillId="3" borderId="10" xfId="0" applyFont="1" applyFill="1" applyBorder="1" applyAlignment="1">
      <alignment horizontal="center" vertical="center"/>
    </xf>
    <xf numFmtId="0" fontId="211" fillId="3" borderId="3" xfId="0" applyFont="1" applyFill="1" applyBorder="1" applyAlignment="1">
      <alignment horizontal="center" vertical="center"/>
    </xf>
    <xf numFmtId="0" fontId="211" fillId="3" borderId="147" xfId="0" applyFont="1" applyFill="1" applyBorder="1" applyAlignment="1">
      <alignment horizontal="center" vertical="center"/>
    </xf>
    <xf numFmtId="0" fontId="211" fillId="3" borderId="148" xfId="0" applyFont="1" applyFill="1" applyBorder="1" applyAlignment="1">
      <alignment horizontal="center" vertical="center"/>
    </xf>
    <xf numFmtId="44" fontId="130" fillId="3" borderId="52" xfId="1" applyFont="1" applyFill="1" applyBorder="1" applyAlignment="1">
      <alignment horizontal="center" vertical="center"/>
    </xf>
    <xf numFmtId="44" fontId="130" fillId="3" borderId="12" xfId="1" applyFont="1" applyFill="1" applyBorder="1" applyAlignment="1">
      <alignment horizontal="center" vertical="center"/>
    </xf>
    <xf numFmtId="44" fontId="150" fillId="3" borderId="121" xfId="1" applyFont="1" applyFill="1" applyBorder="1" applyAlignment="1">
      <alignment horizontal="center" vertical="center"/>
    </xf>
    <xf numFmtId="49" fontId="222" fillId="24" borderId="18" xfId="0" applyNumberFormat="1" applyFont="1" applyFill="1" applyBorder="1" applyAlignment="1">
      <alignment horizontal="center" vertical="center"/>
    </xf>
    <xf numFmtId="0" fontId="222" fillId="24" borderId="27" xfId="0" applyFont="1" applyFill="1" applyBorder="1" applyAlignment="1">
      <alignment horizontal="center" vertical="center"/>
    </xf>
    <xf numFmtId="164" fontId="17" fillId="3" borderId="113" xfId="1" applyNumberFormat="1" applyFont="1" applyFill="1" applyBorder="1" applyAlignment="1">
      <alignment horizontal="center" vertical="center"/>
    </xf>
    <xf numFmtId="164" fontId="17" fillId="3" borderId="114" xfId="1" applyNumberFormat="1" applyFont="1" applyFill="1" applyBorder="1" applyAlignment="1">
      <alignment horizontal="center" vertical="center"/>
    </xf>
    <xf numFmtId="44" fontId="236" fillId="3" borderId="15" xfId="1" applyFont="1" applyFill="1" applyBorder="1" applyAlignment="1">
      <alignment horizontal="center" vertical="center"/>
    </xf>
    <xf numFmtId="164" fontId="130" fillId="3" borderId="123" xfId="1" applyNumberFormat="1" applyFont="1" applyFill="1" applyBorder="1" applyAlignment="1">
      <alignment horizontal="center" vertical="center" wrapText="1"/>
    </xf>
    <xf numFmtId="164" fontId="130" fillId="3" borderId="114" xfId="1" applyNumberFormat="1" applyFont="1" applyFill="1" applyBorder="1" applyAlignment="1">
      <alignment horizontal="center" vertical="center" wrapText="1"/>
    </xf>
    <xf numFmtId="164" fontId="130" fillId="3" borderId="105" xfId="1" applyNumberFormat="1" applyFont="1" applyFill="1" applyBorder="1" applyAlignment="1">
      <alignment horizontal="center" vertical="center" wrapText="1"/>
    </xf>
    <xf numFmtId="44" fontId="17" fillId="3" borderId="15" xfId="1" applyFont="1" applyFill="1" applyBorder="1" applyAlignment="1">
      <alignment horizontal="center" vertical="center" wrapText="1"/>
    </xf>
    <xf numFmtId="44" fontId="34" fillId="3" borderId="15" xfId="1" applyFont="1" applyFill="1" applyBorder="1" applyAlignment="1">
      <alignment horizontal="center" vertical="center"/>
    </xf>
    <xf numFmtId="44" fontId="34" fillId="3" borderId="12" xfId="1" applyFont="1" applyFill="1" applyBorder="1" applyAlignment="1">
      <alignment horizontal="center" vertical="center"/>
    </xf>
    <xf numFmtId="44" fontId="17" fillId="3" borderId="88" xfId="1" applyFont="1" applyFill="1" applyBorder="1" applyAlignment="1">
      <alignment horizontal="center" vertical="center"/>
    </xf>
    <xf numFmtId="44" fontId="34" fillId="3" borderId="52" xfId="1" applyFont="1" applyFill="1" applyBorder="1" applyAlignment="1">
      <alignment horizontal="center" vertical="center"/>
    </xf>
    <xf numFmtId="44" fontId="130" fillId="3" borderId="15" xfId="1" applyFont="1" applyFill="1" applyBorder="1" applyAlignment="1">
      <alignment horizontal="center" vertical="center"/>
    </xf>
    <xf numFmtId="44" fontId="17" fillId="3" borderId="123" xfId="1" applyFont="1" applyFill="1" applyBorder="1" applyAlignment="1">
      <alignment horizontal="center" vertical="center"/>
    </xf>
    <xf numFmtId="44" fontId="17" fillId="3" borderId="107" xfId="1" applyFont="1" applyFill="1" applyBorder="1" applyAlignment="1">
      <alignment horizontal="center" vertical="center"/>
    </xf>
    <xf numFmtId="44" fontId="17" fillId="3" borderId="114" xfId="1" applyFont="1" applyFill="1" applyBorder="1" applyAlignment="1">
      <alignment horizontal="center" vertical="center"/>
    </xf>
    <xf numFmtId="164" fontId="130" fillId="3" borderId="113" xfId="1" applyNumberFormat="1" applyFont="1" applyFill="1" applyBorder="1" applyAlignment="1">
      <alignment horizontal="center" vertical="center"/>
    </xf>
    <xf numFmtId="164" fontId="130" fillId="3" borderId="114" xfId="1" applyNumberFormat="1" applyFont="1" applyFill="1" applyBorder="1" applyAlignment="1">
      <alignment horizontal="center" vertical="center"/>
    </xf>
    <xf numFmtId="164" fontId="244" fillId="3" borderId="12" xfId="1" applyNumberFormat="1" applyFont="1" applyFill="1" applyBorder="1" applyAlignment="1">
      <alignment horizontal="center" vertical="center"/>
    </xf>
    <xf numFmtId="164" fontId="244" fillId="3" borderId="52" xfId="1" applyNumberFormat="1" applyFont="1" applyFill="1" applyBorder="1" applyAlignment="1">
      <alignment horizontal="center" vertical="center"/>
    </xf>
    <xf numFmtId="164" fontId="130" fillId="3" borderId="12" xfId="1" applyNumberFormat="1" applyFont="1" applyFill="1" applyBorder="1" applyAlignment="1">
      <alignment horizontal="center" vertical="center"/>
    </xf>
    <xf numFmtId="164" fontId="130" fillId="3" borderId="26" xfId="1" applyNumberFormat="1" applyFont="1" applyFill="1" applyBorder="1" applyAlignment="1">
      <alignment horizontal="center" vertical="center"/>
    </xf>
    <xf numFmtId="164" fontId="130" fillId="3" borderId="52" xfId="1" applyNumberFormat="1" applyFont="1" applyFill="1" applyBorder="1" applyAlignment="1">
      <alignment horizontal="center" vertical="center"/>
    </xf>
    <xf numFmtId="9" fontId="157" fillId="3" borderId="105" xfId="2" applyFont="1" applyFill="1" applyBorder="1" applyAlignment="1" applyProtection="1">
      <alignment horizontal="center" vertical="center" wrapText="1"/>
      <protection locked="0"/>
    </xf>
    <xf numFmtId="9" fontId="157" fillId="3" borderId="107" xfId="2" applyFont="1" applyFill="1" applyBorder="1" applyAlignment="1" applyProtection="1">
      <alignment horizontal="center" vertical="center" wrapText="1"/>
      <protection locked="0"/>
    </xf>
    <xf numFmtId="9" fontId="157" fillId="3" borderId="10" xfId="2" applyFont="1" applyFill="1" applyBorder="1" applyAlignment="1" applyProtection="1">
      <alignment horizontal="center" vertical="center" wrapText="1"/>
      <protection locked="0"/>
    </xf>
    <xf numFmtId="173" fontId="157" fillId="3" borderId="75" xfId="1" applyNumberFormat="1" applyFont="1" applyFill="1" applyBorder="1" applyAlignment="1">
      <alignment horizontal="center" vertical="center" wrapText="1"/>
    </xf>
    <xf numFmtId="173" fontId="157" fillId="3" borderId="26" xfId="1" applyNumberFormat="1" applyFont="1" applyFill="1" applyBorder="1" applyAlignment="1">
      <alignment horizontal="center" vertical="center" wrapText="1"/>
    </xf>
    <xf numFmtId="173" fontId="157" fillId="3" borderId="44" xfId="1" applyNumberFormat="1" applyFont="1" applyFill="1" applyBorder="1" applyAlignment="1">
      <alignment horizontal="center" vertical="center" wrapText="1"/>
    </xf>
    <xf numFmtId="173" fontId="153" fillId="3" borderId="75" xfId="2" applyNumberFormat="1" applyFont="1" applyFill="1" applyBorder="1" applyAlignment="1">
      <alignment horizontal="center" vertical="center"/>
    </xf>
    <xf numFmtId="173" fontId="153" fillId="3" borderId="26" xfId="2" applyNumberFormat="1" applyFont="1" applyFill="1" applyBorder="1" applyAlignment="1">
      <alignment horizontal="center" vertical="center"/>
    </xf>
    <xf numFmtId="173" fontId="153" fillId="3" borderId="44" xfId="2" applyNumberFormat="1" applyFont="1" applyFill="1" applyBorder="1" applyAlignment="1">
      <alignment horizontal="center" vertical="center"/>
    </xf>
    <xf numFmtId="173" fontId="153" fillId="3" borderId="75" xfId="1" applyNumberFormat="1" applyFont="1" applyFill="1" applyBorder="1" applyAlignment="1" applyProtection="1">
      <alignment horizontal="center" vertical="center" wrapText="1"/>
      <protection locked="0"/>
    </xf>
    <xf numFmtId="173" fontId="153" fillId="3" borderId="26" xfId="1" applyNumberFormat="1" applyFont="1" applyFill="1" applyBorder="1" applyAlignment="1" applyProtection="1">
      <alignment horizontal="center" vertical="center" wrapText="1"/>
      <protection locked="0"/>
    </xf>
    <xf numFmtId="173" fontId="153" fillId="3" borderId="44" xfId="1" applyNumberFormat="1" applyFont="1" applyFill="1" applyBorder="1" applyAlignment="1" applyProtection="1">
      <alignment horizontal="center" vertical="center" wrapText="1"/>
      <protection locked="0"/>
    </xf>
    <xf numFmtId="173" fontId="157" fillId="3" borderId="49" xfId="0" applyNumberFormat="1" applyFont="1" applyFill="1" applyBorder="1" applyAlignment="1" applyProtection="1">
      <alignment horizontal="center" vertical="center" wrapText="1"/>
      <protection locked="0"/>
    </xf>
    <xf numFmtId="173" fontId="157" fillId="3" borderId="18" xfId="0" applyNumberFormat="1" applyFont="1" applyFill="1" applyBorder="1" applyAlignment="1" applyProtection="1">
      <alignment horizontal="center" vertical="center" wrapText="1"/>
      <protection locked="0"/>
    </xf>
    <xf numFmtId="173" fontId="157" fillId="3" borderId="11" xfId="0" applyNumberFormat="1" applyFont="1" applyFill="1" applyBorder="1" applyAlignment="1" applyProtection="1">
      <alignment horizontal="center" vertical="center" wrapText="1"/>
      <protection locked="0"/>
    </xf>
    <xf numFmtId="164" fontId="20" fillId="3" borderId="105" xfId="0" applyNumberFormat="1" applyFont="1" applyFill="1" applyBorder="1" applyAlignment="1" applyProtection="1">
      <alignment horizontal="center" vertical="center" wrapText="1"/>
      <protection locked="0"/>
    </xf>
    <xf numFmtId="164" fontId="20" fillId="3" borderId="107" xfId="0" applyNumberFormat="1" applyFont="1" applyFill="1" applyBorder="1" applyAlignment="1" applyProtection="1">
      <alignment horizontal="center" vertical="center" wrapText="1"/>
      <protection locked="0"/>
    </xf>
    <xf numFmtId="164" fontId="20" fillId="3" borderId="10" xfId="0" applyNumberFormat="1" applyFont="1" applyFill="1" applyBorder="1" applyAlignment="1" applyProtection="1">
      <alignment horizontal="center" vertical="center" wrapText="1"/>
      <protection locked="0"/>
    </xf>
    <xf numFmtId="173" fontId="45" fillId="3" borderId="52" xfId="0" applyNumberFormat="1" applyFont="1" applyFill="1" applyBorder="1" applyAlignment="1" applyProtection="1">
      <alignment horizontal="center" vertical="center" wrapText="1"/>
      <protection locked="0"/>
    </xf>
    <xf numFmtId="173" fontId="45" fillId="3" borderId="12" xfId="0" applyNumberFormat="1" applyFont="1" applyFill="1" applyBorder="1" applyAlignment="1" applyProtection="1">
      <alignment horizontal="center" vertical="center" wrapText="1"/>
      <protection locked="0"/>
    </xf>
    <xf numFmtId="173" fontId="20" fillId="3" borderId="75" xfId="1" applyNumberFormat="1" applyFont="1" applyFill="1" applyBorder="1" applyAlignment="1" applyProtection="1">
      <alignment horizontal="center" vertical="center" wrapText="1"/>
      <protection locked="0"/>
    </xf>
    <xf numFmtId="173" fontId="20" fillId="3" borderId="12" xfId="1" applyNumberFormat="1" applyFont="1" applyFill="1" applyBorder="1" applyAlignment="1" applyProtection="1">
      <alignment horizontal="center" vertical="center" wrapText="1"/>
      <protection locked="0"/>
    </xf>
    <xf numFmtId="9" fontId="157" fillId="3" borderId="75" xfId="2" applyFont="1" applyFill="1" applyBorder="1" applyAlignment="1" applyProtection="1">
      <alignment horizontal="center" vertical="center" wrapText="1"/>
      <protection locked="0"/>
    </xf>
    <xf numFmtId="9" fontId="157" fillId="3" borderId="26" xfId="2" applyFont="1" applyFill="1" applyBorder="1" applyAlignment="1" applyProtection="1">
      <alignment horizontal="center" vertical="center" wrapText="1"/>
      <protection locked="0"/>
    </xf>
    <xf numFmtId="9" fontId="157" fillId="3" borderId="44" xfId="2" applyFont="1" applyFill="1" applyBorder="1" applyAlignment="1" applyProtection="1">
      <alignment horizontal="center" vertical="center" wrapText="1"/>
      <protection locked="0"/>
    </xf>
    <xf numFmtId="164" fontId="45" fillId="3" borderId="75" xfId="0" applyNumberFormat="1" applyFont="1" applyFill="1" applyBorder="1" applyAlignment="1" applyProtection="1">
      <alignment horizontal="center" vertical="center" wrapText="1"/>
      <protection locked="0"/>
    </xf>
    <xf numFmtId="164" fontId="45" fillId="3" borderId="26" xfId="0" applyNumberFormat="1" applyFont="1" applyFill="1" applyBorder="1" applyAlignment="1" applyProtection="1">
      <alignment horizontal="center" vertical="center" wrapText="1"/>
      <protection locked="0"/>
    </xf>
    <xf numFmtId="164" fontId="45" fillId="3" borderId="44" xfId="0" applyNumberFormat="1" applyFont="1" applyFill="1" applyBorder="1" applyAlignment="1" applyProtection="1">
      <alignment horizontal="center" vertical="center" wrapText="1"/>
      <protection locked="0"/>
    </xf>
    <xf numFmtId="173" fontId="157" fillId="3" borderId="75" xfId="2" applyNumberFormat="1" applyFont="1" applyFill="1" applyBorder="1" applyAlignment="1">
      <alignment horizontal="center" vertical="center"/>
    </xf>
    <xf numFmtId="173" fontId="157" fillId="3" borderId="26" xfId="2" applyNumberFormat="1" applyFont="1" applyFill="1" applyBorder="1" applyAlignment="1">
      <alignment horizontal="center" vertical="center"/>
    </xf>
    <xf numFmtId="173" fontId="157" fillId="3" borderId="44" xfId="2" applyNumberFormat="1" applyFont="1" applyFill="1" applyBorder="1" applyAlignment="1">
      <alignment horizontal="center" vertical="center"/>
    </xf>
    <xf numFmtId="173" fontId="157" fillId="3" borderId="52" xfId="0" applyNumberFormat="1" applyFont="1" applyFill="1" applyBorder="1" applyAlignment="1" applyProtection="1">
      <alignment horizontal="center" vertical="center" wrapText="1"/>
      <protection locked="0"/>
    </xf>
    <xf numFmtId="173" fontId="157" fillId="3" borderId="26" xfId="0" applyNumberFormat="1" applyFont="1" applyFill="1" applyBorder="1" applyAlignment="1" applyProtection="1">
      <alignment horizontal="center" vertical="center" wrapText="1"/>
      <protection locked="0"/>
    </xf>
    <xf numFmtId="173" fontId="157" fillId="3" borderId="12" xfId="0" applyNumberFormat="1" applyFont="1" applyFill="1" applyBorder="1" applyAlignment="1" applyProtection="1">
      <alignment horizontal="center" vertical="center" wrapText="1"/>
      <protection locked="0"/>
    </xf>
    <xf numFmtId="164" fontId="20" fillId="3" borderId="117" xfId="0" applyNumberFormat="1" applyFont="1" applyFill="1" applyBorder="1" applyAlignment="1" applyProtection="1">
      <alignment horizontal="center" vertical="center" wrapText="1"/>
      <protection locked="0"/>
    </xf>
    <xf numFmtId="164" fontId="20" fillId="3" borderId="18" xfId="0" applyNumberFormat="1" applyFont="1" applyFill="1" applyBorder="1" applyAlignment="1" applyProtection="1">
      <alignment horizontal="center" vertical="center" wrapText="1"/>
      <protection locked="0"/>
    </xf>
    <xf numFmtId="164" fontId="20" fillId="3" borderId="111" xfId="0" applyNumberFormat="1" applyFont="1" applyFill="1" applyBorder="1" applyAlignment="1" applyProtection="1">
      <alignment horizontal="center" vertical="center" wrapText="1"/>
      <protection locked="0"/>
    </xf>
    <xf numFmtId="173" fontId="45" fillId="3" borderId="49" xfId="0" applyNumberFormat="1" applyFont="1" applyFill="1" applyBorder="1" applyAlignment="1" applyProtection="1">
      <alignment horizontal="center" vertical="center" wrapText="1"/>
      <protection locked="0"/>
    </xf>
    <xf numFmtId="173" fontId="45" fillId="3" borderId="11" xfId="0" applyNumberFormat="1" applyFont="1" applyFill="1" applyBorder="1" applyAlignment="1" applyProtection="1">
      <alignment horizontal="center" vertical="center" wrapText="1"/>
      <protection locked="0"/>
    </xf>
    <xf numFmtId="0" fontId="20" fillId="2" borderId="15" xfId="0" quotePrefix="1" applyFont="1" applyFill="1" applyBorder="1" applyAlignment="1">
      <alignment horizontal="center" vertical="center" wrapText="1"/>
    </xf>
    <xf numFmtId="0" fontId="20" fillId="2" borderId="8" xfId="0" quotePrefix="1" applyFont="1" applyFill="1" applyBorder="1" applyAlignment="1">
      <alignment horizontal="center" vertical="center" wrapText="1"/>
    </xf>
    <xf numFmtId="0" fontId="20" fillId="2" borderId="17" xfId="0" quotePrefix="1" applyFont="1" applyFill="1" applyBorder="1" applyAlignment="1">
      <alignment horizontal="center" vertical="center" wrapText="1"/>
    </xf>
    <xf numFmtId="0" fontId="20" fillId="2" borderId="52" xfId="0" quotePrefix="1" applyFont="1" applyFill="1" applyBorder="1" applyAlignment="1">
      <alignment horizontal="center" vertical="center" wrapText="1"/>
    </xf>
    <xf numFmtId="0" fontId="20" fillId="2" borderId="40" xfId="0" quotePrefix="1" applyFont="1" applyFill="1" applyBorder="1" applyAlignment="1">
      <alignment horizontal="center" vertical="center" wrapText="1"/>
    </xf>
    <xf numFmtId="0" fontId="20" fillId="2" borderId="55" xfId="0" quotePrefix="1" applyFont="1" applyFill="1" applyBorder="1" applyAlignment="1">
      <alignment horizontal="center" vertical="center" wrapText="1"/>
    </xf>
    <xf numFmtId="44" fontId="17" fillId="3" borderId="113" xfId="1" applyFont="1" applyFill="1" applyBorder="1" applyAlignment="1">
      <alignment horizontal="center" vertical="center"/>
    </xf>
    <xf numFmtId="173" fontId="20" fillId="3" borderId="75" xfId="1" applyNumberFormat="1" applyFont="1" applyFill="1" applyBorder="1" applyAlignment="1">
      <alignment horizontal="center" vertical="center" wrapText="1"/>
    </xf>
    <xf numFmtId="173" fontId="20" fillId="3" borderId="44" xfId="1" applyNumberFormat="1" applyFont="1" applyFill="1" applyBorder="1" applyAlignment="1">
      <alignment horizontal="center" vertical="center" wrapText="1"/>
    </xf>
    <xf numFmtId="44" fontId="153" fillId="3" borderId="15" xfId="1" applyFont="1" applyFill="1" applyBorder="1" applyAlignment="1">
      <alignment horizontal="center" vertical="center"/>
    </xf>
    <xf numFmtId="173" fontId="45" fillId="3" borderId="75" xfId="2" applyNumberFormat="1" applyFont="1" applyFill="1" applyBorder="1" applyAlignment="1">
      <alignment horizontal="center" vertical="center"/>
    </xf>
    <xf numFmtId="173" fontId="45" fillId="3" borderId="44" xfId="2" applyNumberFormat="1" applyFont="1" applyFill="1" applyBorder="1" applyAlignment="1">
      <alignment horizontal="center" vertical="center"/>
    </xf>
    <xf numFmtId="173" fontId="20" fillId="3" borderId="44" xfId="1" applyNumberFormat="1" applyFont="1" applyFill="1" applyBorder="1" applyAlignment="1" applyProtection="1">
      <alignment horizontal="center" vertical="center" wrapText="1"/>
      <protection locked="0"/>
    </xf>
    <xf numFmtId="0" fontId="182" fillId="6" borderId="122" xfId="0" applyFont="1" applyFill="1" applyBorder="1" applyAlignment="1">
      <alignment horizontal="center" vertical="center" wrapText="1"/>
    </xf>
    <xf numFmtId="0" fontId="182" fillId="6" borderId="126" xfId="0" applyFont="1" applyFill="1" applyBorder="1" applyAlignment="1">
      <alignment horizontal="center" vertical="center" wrapText="1"/>
    </xf>
    <xf numFmtId="0" fontId="219" fillId="3" borderId="69" xfId="0" applyFont="1" applyFill="1" applyBorder="1" applyAlignment="1">
      <alignment horizontal="left" vertical="center"/>
    </xf>
    <xf numFmtId="0" fontId="19" fillId="6" borderId="49" xfId="0" applyFont="1" applyFill="1" applyBorder="1" applyAlignment="1">
      <alignment horizontal="left" vertical="center" indent="1"/>
    </xf>
    <xf numFmtId="0" fontId="19" fillId="6" borderId="40" xfId="0" applyFont="1" applyFill="1" applyBorder="1" applyAlignment="1">
      <alignment horizontal="left" vertical="center" indent="1"/>
    </xf>
    <xf numFmtId="44" fontId="16" fillId="2" borderId="16" xfId="1" applyFont="1" applyFill="1" applyBorder="1" applyAlignment="1">
      <alignment horizontal="center" vertical="center"/>
    </xf>
    <xf numFmtId="164" fontId="257" fillId="2" borderId="82" xfId="1" applyNumberFormat="1" applyFont="1" applyFill="1" applyBorder="1" applyAlignment="1">
      <alignment horizontal="center" vertical="center"/>
    </xf>
    <xf numFmtId="0" fontId="219" fillId="3" borderId="12" xfId="0" applyFont="1" applyFill="1" applyBorder="1" applyAlignment="1">
      <alignment horizontal="left" vertical="center"/>
    </xf>
    <xf numFmtId="49" fontId="216" fillId="24" borderId="41" xfId="0" applyNumberFormat="1" applyFont="1" applyFill="1" applyBorder="1" applyAlignment="1">
      <alignment horizontal="center" vertical="center"/>
    </xf>
    <xf numFmtId="0" fontId="216" fillId="24" borderId="45" xfId="0" applyFont="1" applyFill="1" applyBorder="1" applyAlignment="1">
      <alignment horizontal="center" vertical="center"/>
    </xf>
    <xf numFmtId="164" fontId="45" fillId="3" borderId="105" xfId="0" applyNumberFormat="1" applyFont="1" applyFill="1" applyBorder="1" applyAlignment="1" applyProtection="1">
      <alignment horizontal="center" vertical="center" wrapText="1"/>
      <protection locked="0"/>
    </xf>
    <xf numFmtId="164" fontId="45" fillId="3" borderId="10" xfId="0" applyNumberFormat="1" applyFont="1" applyFill="1" applyBorder="1" applyAlignment="1" applyProtection="1">
      <alignment horizontal="center" vertical="center" wrapText="1"/>
      <protection locked="0"/>
    </xf>
    <xf numFmtId="44" fontId="45" fillId="3" borderId="15" xfId="1" applyFont="1" applyFill="1" applyBorder="1" applyAlignment="1">
      <alignment horizontal="center" vertical="center"/>
    </xf>
    <xf numFmtId="164" fontId="17" fillId="3" borderId="15" xfId="1" applyNumberFormat="1" applyFont="1" applyFill="1" applyBorder="1" applyAlignment="1">
      <alignment horizontal="center" vertical="center"/>
    </xf>
    <xf numFmtId="173" fontId="20" fillId="3" borderId="26" xfId="1" applyNumberFormat="1" applyFont="1" applyFill="1" applyBorder="1" applyAlignment="1" applyProtection="1">
      <alignment horizontal="center" vertical="center" wrapText="1"/>
      <protection locked="0"/>
    </xf>
    <xf numFmtId="164" fontId="150" fillId="3" borderId="15" xfId="1" applyNumberFormat="1" applyFont="1" applyFill="1" applyBorder="1" applyAlignment="1">
      <alignment horizontal="center" vertical="center"/>
    </xf>
    <xf numFmtId="44" fontId="150" fillId="3" borderId="106" xfId="1" applyFont="1" applyFill="1" applyBorder="1" applyAlignment="1">
      <alignment horizontal="center" vertical="center"/>
    </xf>
    <xf numFmtId="44" fontId="150" fillId="3" borderId="9" xfId="1" applyFont="1" applyFill="1" applyBorder="1" applyAlignment="1">
      <alignment horizontal="center" vertical="center"/>
    </xf>
    <xf numFmtId="44" fontId="150" fillId="3" borderId="7" xfId="1" applyFont="1" applyFill="1" applyBorder="1" applyAlignment="1">
      <alignment horizontal="center" vertical="center"/>
    </xf>
    <xf numFmtId="44" fontId="150" fillId="3" borderId="113" xfId="1" applyFont="1" applyFill="1" applyBorder="1" applyAlignment="1">
      <alignment horizontal="center" vertical="center"/>
    </xf>
    <xf numFmtId="44" fontId="150" fillId="3" borderId="31" xfId="1" applyFont="1" applyFill="1" applyBorder="1" applyAlignment="1">
      <alignment horizontal="center" vertical="center"/>
    </xf>
    <xf numFmtId="44" fontId="150" fillId="3" borderId="114" xfId="1" applyFont="1" applyFill="1" applyBorder="1" applyAlignment="1">
      <alignment horizontal="center" vertical="center"/>
    </xf>
    <xf numFmtId="173" fontId="157" fillId="3" borderId="12" xfId="2" applyNumberFormat="1" applyFont="1" applyFill="1" applyBorder="1" applyAlignment="1">
      <alignment horizontal="center" vertical="center"/>
    </xf>
    <xf numFmtId="0" fontId="241" fillId="3" borderId="11" xfId="0" applyFont="1" applyFill="1" applyBorder="1" applyAlignment="1">
      <alignment horizontal="left" vertical="center" indent="1"/>
    </xf>
    <xf numFmtId="0" fontId="241" fillId="3" borderId="8" xfId="0" applyFont="1" applyFill="1" applyBorder="1" applyAlignment="1">
      <alignment horizontal="left" vertical="center" indent="1"/>
    </xf>
    <xf numFmtId="0" fontId="241" fillId="3" borderId="14" xfId="0" applyFont="1" applyFill="1" applyBorder="1" applyAlignment="1">
      <alignment horizontal="left" vertical="center" indent="1"/>
    </xf>
    <xf numFmtId="9" fontId="45" fillId="3" borderId="75" xfId="2" applyFont="1" applyFill="1" applyBorder="1" applyAlignment="1" applyProtection="1">
      <alignment horizontal="center" vertical="center" wrapText="1"/>
      <protection locked="0"/>
    </xf>
    <xf numFmtId="9" fontId="45" fillId="3" borderId="44" xfId="2" applyFont="1" applyFill="1" applyBorder="1" applyAlignment="1" applyProtection="1">
      <alignment horizontal="center" vertical="center" wrapText="1"/>
      <protection locked="0"/>
    </xf>
    <xf numFmtId="9" fontId="45" fillId="3" borderId="77" xfId="2" applyFont="1" applyFill="1" applyBorder="1" applyAlignment="1" applyProtection="1">
      <alignment horizontal="center" vertical="center" wrapText="1"/>
      <protection locked="0"/>
    </xf>
    <xf numFmtId="9" fontId="45" fillId="3" borderId="45" xfId="2" applyFont="1" applyFill="1" applyBorder="1" applyAlignment="1" applyProtection="1">
      <alignment horizontal="center" vertical="center" wrapText="1"/>
      <protection locked="0"/>
    </xf>
    <xf numFmtId="173" fontId="45" fillId="3" borderId="26" xfId="0" applyNumberFormat="1" applyFont="1" applyFill="1" applyBorder="1" applyAlignment="1" applyProtection="1">
      <alignment horizontal="center" vertical="center" wrapText="1"/>
      <protection locked="0"/>
    </xf>
    <xf numFmtId="44" fontId="217" fillId="3" borderId="105" xfId="0" applyNumberFormat="1" applyFont="1" applyFill="1" applyBorder="1" applyAlignment="1">
      <alignment horizontal="center" vertical="center"/>
    </xf>
    <xf numFmtId="44" fontId="217" fillId="3" borderId="10" xfId="0" applyNumberFormat="1" applyFont="1" applyFill="1" applyBorder="1" applyAlignment="1">
      <alignment horizontal="center" vertical="center"/>
    </xf>
    <xf numFmtId="173" fontId="45" fillId="3" borderId="18" xfId="0" applyNumberFormat="1" applyFont="1" applyFill="1" applyBorder="1" applyAlignment="1" applyProtection="1">
      <alignment horizontal="center" vertical="center" wrapText="1"/>
      <protection locked="0"/>
    </xf>
    <xf numFmtId="44" fontId="217" fillId="3" borderId="105" xfId="1" applyFont="1" applyFill="1" applyBorder="1" applyAlignment="1">
      <alignment horizontal="center" vertical="center"/>
    </xf>
    <xf numFmtId="44" fontId="217" fillId="3" borderId="10" xfId="1" applyFont="1" applyFill="1" applyBorder="1" applyAlignment="1">
      <alignment horizontal="center" vertical="center"/>
    </xf>
    <xf numFmtId="0" fontId="17" fillId="3" borderId="75" xfId="0" applyFont="1" applyFill="1" applyBorder="1" applyAlignment="1">
      <alignment horizontal="center" vertical="center" wrapText="1"/>
    </xf>
    <xf numFmtId="0" fontId="17" fillId="3" borderId="26" xfId="0" applyFont="1" applyFill="1" applyBorder="1" applyAlignment="1">
      <alignment horizontal="center" vertical="center" wrapText="1"/>
    </xf>
    <xf numFmtId="0" fontId="17" fillId="3" borderId="44" xfId="0" applyFont="1" applyFill="1" applyBorder="1" applyAlignment="1">
      <alignment horizontal="center" vertical="center" wrapText="1"/>
    </xf>
    <xf numFmtId="0" fontId="219" fillId="3" borderId="75" xfId="0" applyFont="1" applyFill="1" applyBorder="1" applyAlignment="1">
      <alignment horizontal="center" vertical="center"/>
    </xf>
    <xf numFmtId="0" fontId="219" fillId="3" borderId="12" xfId="0" applyFont="1" applyFill="1" applyBorder="1" applyAlignment="1">
      <alignment horizontal="center" vertical="center"/>
    </xf>
    <xf numFmtId="44" fontId="219" fillId="3" borderId="106" xfId="1" applyFont="1" applyFill="1" applyBorder="1" applyAlignment="1">
      <alignment horizontal="center" vertical="center"/>
    </xf>
    <xf numFmtId="44" fontId="219" fillId="3" borderId="9" xfId="1" applyFont="1" applyFill="1" applyBorder="1" applyAlignment="1">
      <alignment horizontal="center" vertical="center"/>
    </xf>
    <xf numFmtId="44" fontId="219" fillId="3" borderId="7" xfId="1" applyFont="1" applyFill="1" applyBorder="1" applyAlignment="1">
      <alignment horizontal="center" vertical="center"/>
    </xf>
    <xf numFmtId="0" fontId="150" fillId="3" borderId="15" xfId="0" applyFont="1" applyFill="1" applyBorder="1" applyAlignment="1">
      <alignment horizontal="left" vertical="center"/>
    </xf>
    <xf numFmtId="164" fontId="244" fillId="3" borderId="113" xfId="1" applyNumberFormat="1" applyFont="1" applyFill="1" applyBorder="1" applyAlignment="1">
      <alignment horizontal="center" vertical="center" wrapText="1"/>
    </xf>
    <xf numFmtId="164" fontId="244" fillId="3" borderId="31" xfId="1" applyNumberFormat="1" applyFont="1" applyFill="1" applyBorder="1" applyAlignment="1">
      <alignment horizontal="center" vertical="center" wrapText="1"/>
    </xf>
    <xf numFmtId="164" fontId="244" fillId="3" borderId="114" xfId="1" applyNumberFormat="1" applyFont="1" applyFill="1" applyBorder="1" applyAlignment="1">
      <alignment horizontal="center" vertical="center" wrapText="1"/>
    </xf>
    <xf numFmtId="0" fontId="34" fillId="4" borderId="16" xfId="0" applyFont="1" applyFill="1" applyBorder="1" applyAlignment="1">
      <alignment horizontal="center" vertical="center"/>
    </xf>
    <xf numFmtId="0" fontId="34" fillId="4" borderId="8" xfId="0" applyFont="1" applyFill="1" applyBorder="1" applyAlignment="1">
      <alignment horizontal="center" vertical="center"/>
    </xf>
    <xf numFmtId="0" fontId="34" fillId="4" borderId="17" xfId="0" applyFont="1" applyFill="1" applyBorder="1" applyAlignment="1">
      <alignment horizontal="center" vertical="center"/>
    </xf>
    <xf numFmtId="44" fontId="149" fillId="2" borderId="0" xfId="0" applyNumberFormat="1" applyFont="1" applyFill="1" applyAlignment="1">
      <alignment horizontal="right" vertical="center" readingOrder="1"/>
    </xf>
    <xf numFmtId="44" fontId="149" fillId="2" borderId="0" xfId="0" applyNumberFormat="1" applyFont="1" applyFill="1" applyAlignment="1">
      <alignment horizontal="right" vertical="center"/>
    </xf>
    <xf numFmtId="44" fontId="149" fillId="2" borderId="13" xfId="0" applyNumberFormat="1" applyFont="1" applyFill="1" applyBorder="1" applyAlignment="1">
      <alignment horizontal="right" vertical="center"/>
    </xf>
    <xf numFmtId="0" fontId="145" fillId="0" borderId="0" xfId="0" applyFont="1" applyAlignment="1">
      <alignment horizontal="center"/>
    </xf>
    <xf numFmtId="0" fontId="129" fillId="0" borderId="78" xfId="0" applyFont="1" applyBorder="1" applyAlignment="1">
      <alignment horizontal="center"/>
    </xf>
    <xf numFmtId="0" fontId="129" fillId="0" borderId="79" xfId="0" applyFont="1" applyBorder="1" applyAlignment="1">
      <alignment horizontal="center"/>
    </xf>
    <xf numFmtId="0" fontId="129" fillId="0" borderId="80" xfId="0" applyFont="1" applyBorder="1" applyAlignment="1">
      <alignment horizontal="center"/>
    </xf>
    <xf numFmtId="0" fontId="129" fillId="0" borderId="72" xfId="0" applyFont="1" applyBorder="1" applyAlignment="1">
      <alignment horizontal="center"/>
    </xf>
    <xf numFmtId="0" fontId="129" fillId="0" borderId="75" xfId="0" applyFont="1" applyBorder="1" applyAlignment="1">
      <alignment horizontal="center"/>
    </xf>
    <xf numFmtId="0" fontId="0" fillId="0" borderId="0" xfId="0" applyAlignment="1">
      <alignment horizontal="left"/>
    </xf>
    <xf numFmtId="0" fontId="130" fillId="25" borderId="0" xfId="0" applyFont="1" applyFill="1" applyAlignment="1">
      <alignment horizontal="left" vertical="center" wrapText="1"/>
    </xf>
    <xf numFmtId="0" fontId="129" fillId="25" borderId="36" xfId="0" applyFont="1" applyFill="1" applyBorder="1" applyAlignment="1">
      <alignment horizontal="center"/>
    </xf>
    <xf numFmtId="0" fontId="129" fillId="25" borderId="38" xfId="0" applyFont="1" applyFill="1" applyBorder="1" applyAlignment="1">
      <alignment horizontal="center"/>
    </xf>
    <xf numFmtId="0" fontId="129" fillId="25" borderId="72" xfId="0" applyFont="1" applyFill="1" applyBorder="1" applyAlignment="1">
      <alignment horizontal="center"/>
    </xf>
    <xf numFmtId="0" fontId="129" fillId="0" borderId="74" xfId="0" applyFont="1" applyBorder="1" applyAlignment="1">
      <alignment horizontal="center"/>
    </xf>
    <xf numFmtId="164" fontId="129" fillId="0" borderId="76" xfId="1" applyNumberFormat="1" applyFont="1" applyBorder="1" applyAlignment="1">
      <alignment horizontal="center"/>
    </xf>
    <xf numFmtId="0" fontId="129" fillId="0" borderId="76" xfId="0" applyFont="1" applyBorder="1" applyAlignment="1">
      <alignment horizontal="center"/>
    </xf>
    <xf numFmtId="0" fontId="129" fillId="0" borderId="77" xfId="0" applyFont="1" applyBorder="1" applyAlignment="1">
      <alignment horizontal="center"/>
    </xf>
    <xf numFmtId="0" fontId="138" fillId="0" borderId="0" xfId="0" applyFont="1" applyAlignment="1">
      <alignment horizontal="left" vertical="center" wrapText="1" indent="1"/>
    </xf>
    <xf numFmtId="0" fontId="199" fillId="0" borderId="75" xfId="0" applyFont="1" applyBorder="1" applyAlignment="1">
      <alignment horizontal="center"/>
    </xf>
    <xf numFmtId="0" fontId="199" fillId="25" borderId="73" xfId="0" applyFont="1" applyFill="1" applyBorder="1" applyAlignment="1">
      <alignment horizontal="center"/>
    </xf>
    <xf numFmtId="0" fontId="199" fillId="25" borderId="38" xfId="0" applyFont="1" applyFill="1" applyBorder="1" applyAlignment="1">
      <alignment horizontal="center"/>
    </xf>
    <xf numFmtId="0" fontId="199" fillId="25" borderId="36" xfId="0" applyFont="1" applyFill="1" applyBorder="1" applyAlignment="1">
      <alignment horizontal="center"/>
    </xf>
    <xf numFmtId="0" fontId="199" fillId="25" borderId="72" xfId="0" applyFont="1" applyFill="1" applyBorder="1" applyAlignment="1">
      <alignment horizontal="center"/>
    </xf>
    <xf numFmtId="0" fontId="199" fillId="0" borderId="74" xfId="0" applyFont="1" applyBorder="1" applyAlignment="1">
      <alignment horizontal="center"/>
    </xf>
    <xf numFmtId="164" fontId="199" fillId="0" borderId="76" xfId="1" applyNumberFormat="1" applyFont="1" applyBorder="1" applyAlignment="1">
      <alignment horizontal="center"/>
    </xf>
    <xf numFmtId="0" fontId="199" fillId="0" borderId="76" xfId="0" applyFont="1" applyBorder="1" applyAlignment="1">
      <alignment horizontal="center"/>
    </xf>
    <xf numFmtId="0" fontId="199" fillId="0" borderId="77" xfId="0" applyFont="1" applyBorder="1" applyAlignment="1">
      <alignment horizontal="center"/>
    </xf>
    <xf numFmtId="0" fontId="199" fillId="0" borderId="78" xfId="0" applyFont="1" applyBorder="1" applyAlignment="1">
      <alignment horizontal="center"/>
    </xf>
    <xf numFmtId="0" fontId="199" fillId="0" borderId="79" xfId="0" applyFont="1" applyBorder="1" applyAlignment="1">
      <alignment horizontal="center"/>
    </xf>
    <xf numFmtId="0" fontId="199" fillId="0" borderId="80" xfId="0" applyFont="1" applyBorder="1" applyAlignment="1">
      <alignment horizontal="center"/>
    </xf>
    <xf numFmtId="0" fontId="199" fillId="0" borderId="72" xfId="0" applyFont="1" applyBorder="1" applyAlignment="1">
      <alignment horizontal="center"/>
    </xf>
    <xf numFmtId="0" fontId="0" fillId="0" borderId="0" xfId="0" applyAlignment="1" applyProtection="1">
      <alignment horizontal="center"/>
      <protection hidden="1"/>
    </xf>
    <xf numFmtId="0" fontId="39" fillId="3" borderId="16" xfId="0" applyFont="1" applyFill="1" applyBorder="1" applyAlignment="1">
      <alignment horizontal="left" vertical="center" wrapText="1"/>
    </xf>
    <xf numFmtId="0" fontId="39" fillId="3" borderId="8" xfId="0" applyFont="1" applyFill="1" applyBorder="1" applyAlignment="1">
      <alignment horizontal="left" vertical="center" wrapText="1"/>
    </xf>
    <xf numFmtId="0" fontId="39" fillId="3" borderId="17" xfId="0" applyFont="1" applyFill="1" applyBorder="1" applyAlignment="1">
      <alignment horizontal="left" vertical="center" wrapText="1"/>
    </xf>
    <xf numFmtId="44" fontId="0" fillId="10" borderId="0" xfId="1" applyFont="1" applyFill="1" applyAlignment="1">
      <alignment horizontal="center" vertical="center" wrapText="1"/>
    </xf>
    <xf numFmtId="0" fontId="0" fillId="10" borderId="0" xfId="0" applyFill="1" applyAlignment="1">
      <alignment horizontal="center" vertical="center" wrapText="1"/>
    </xf>
    <xf numFmtId="0" fontId="130" fillId="0" borderId="0" xfId="0" applyFont="1" applyAlignment="1">
      <alignment horizontal="left" vertical="center" wrapText="1"/>
    </xf>
    <xf numFmtId="0" fontId="0" fillId="0" borderId="0" xfId="0" applyAlignment="1">
      <alignment horizontal="left" wrapText="1"/>
    </xf>
    <xf numFmtId="0" fontId="129" fillId="0" borderId="36" xfId="0" applyFont="1" applyBorder="1" applyAlignment="1">
      <alignment horizontal="center"/>
    </xf>
    <xf numFmtId="0" fontId="129" fillId="0" borderId="38" xfId="0" applyFont="1" applyBorder="1" applyAlignment="1">
      <alignment horizontal="center"/>
    </xf>
    <xf numFmtId="0" fontId="129" fillId="0" borderId="73" xfId="0" applyFont="1" applyBorder="1" applyAlignment="1">
      <alignment horizontal="center"/>
    </xf>
    <xf numFmtId="0" fontId="129" fillId="0" borderId="37" xfId="0" applyFont="1" applyBorder="1" applyAlignment="1">
      <alignment horizontal="center"/>
    </xf>
    <xf numFmtId="49" fontId="68" fillId="0" borderId="41" xfId="0" applyNumberFormat="1" applyFont="1" applyBorder="1" applyAlignment="1" applyProtection="1">
      <alignment horizontal="left" vertical="center" indent="1"/>
      <protection locked="0"/>
    </xf>
    <xf numFmtId="49" fontId="68" fillId="0" borderId="3" xfId="0" applyNumberFormat="1" applyFont="1" applyBorder="1" applyAlignment="1" applyProtection="1">
      <alignment horizontal="left" vertical="center" indent="1"/>
      <protection locked="0"/>
    </xf>
    <xf numFmtId="49" fontId="68" fillId="0" borderId="45" xfId="0" applyNumberFormat="1" applyFont="1" applyBorder="1" applyAlignment="1" applyProtection="1">
      <alignment horizontal="left" vertical="center" indent="1"/>
      <protection locked="0"/>
    </xf>
    <xf numFmtId="49" fontId="68" fillId="0" borderId="49" xfId="0" applyNumberFormat="1" applyFont="1" applyBorder="1" applyAlignment="1" applyProtection="1">
      <alignment horizontal="center" vertical="center"/>
      <protection locked="0"/>
    </xf>
    <xf numFmtId="49" fontId="68" fillId="0" borderId="55" xfId="0" applyNumberFormat="1" applyFont="1" applyBorder="1" applyAlignment="1" applyProtection="1">
      <alignment horizontal="center" vertical="center"/>
      <protection locked="0"/>
    </xf>
    <xf numFmtId="49" fontId="68" fillId="0" borderId="0" xfId="0" applyNumberFormat="1" applyFont="1" applyAlignment="1" applyProtection="1">
      <alignment horizontal="left" vertical="center" indent="1"/>
      <protection locked="0"/>
    </xf>
    <xf numFmtId="49" fontId="68" fillId="0" borderId="18" xfId="0" applyNumberFormat="1" applyFont="1" applyBorder="1" applyAlignment="1" applyProtection="1">
      <alignment horizontal="center" vertical="center"/>
      <protection locked="0"/>
    </xf>
    <xf numFmtId="49" fontId="68" fillId="0" borderId="27" xfId="0" applyNumberFormat="1" applyFont="1" applyBorder="1" applyAlignment="1" applyProtection="1">
      <alignment horizontal="center" vertical="center"/>
      <protection locked="0"/>
    </xf>
    <xf numFmtId="0" fontId="63" fillId="13" borderId="12" xfId="0" applyFont="1" applyFill="1" applyBorder="1" applyAlignment="1">
      <alignment horizontal="center" vertical="center" wrapText="1"/>
    </xf>
    <xf numFmtId="0" fontId="63" fillId="13" borderId="11" xfId="0" applyFont="1" applyFill="1" applyBorder="1" applyAlignment="1">
      <alignment horizontal="center" vertical="center" wrapText="1"/>
    </xf>
    <xf numFmtId="169" fontId="67" fillId="6" borderId="0" xfId="0" applyNumberFormat="1" applyFont="1" applyFill="1" applyAlignment="1" applyProtection="1">
      <alignment horizontal="center" vertical="center"/>
      <protection locked="0"/>
    </xf>
    <xf numFmtId="169" fontId="67" fillId="6" borderId="67" xfId="0" applyNumberFormat="1" applyFont="1" applyFill="1" applyBorder="1" applyAlignment="1" applyProtection="1">
      <alignment horizontal="center" vertical="center"/>
      <protection locked="0"/>
    </xf>
    <xf numFmtId="169" fontId="67" fillId="6" borderId="68" xfId="0" applyNumberFormat="1" applyFont="1" applyFill="1" applyBorder="1" applyAlignment="1" applyProtection="1">
      <alignment horizontal="center" vertical="center"/>
      <protection locked="0"/>
    </xf>
    <xf numFmtId="49" fontId="67" fillId="6" borderId="15" xfId="0" applyNumberFormat="1" applyFont="1" applyFill="1" applyBorder="1" applyAlignment="1" applyProtection="1">
      <alignment horizontal="center" vertical="center"/>
      <protection locked="0"/>
    </xf>
    <xf numFmtId="49" fontId="67" fillId="6" borderId="16" xfId="0" applyNumberFormat="1" applyFont="1" applyFill="1" applyBorder="1" applyAlignment="1" applyProtection="1">
      <alignment horizontal="center" vertical="center"/>
      <protection locked="0"/>
    </xf>
    <xf numFmtId="0" fontId="80" fillId="0" borderId="15" xfId="0" applyFont="1" applyBorder="1" applyAlignment="1">
      <alignment horizontal="center" vertical="center"/>
    </xf>
    <xf numFmtId="0" fontId="81" fillId="0" borderId="15" xfId="0" applyFont="1" applyBorder="1" applyAlignment="1">
      <alignment horizontal="center" vertical="center"/>
    </xf>
    <xf numFmtId="0" fontId="81" fillId="0" borderId="16" xfId="0" applyFont="1" applyBorder="1" applyAlignment="1">
      <alignment horizontal="center" vertical="center"/>
    </xf>
    <xf numFmtId="0" fontId="63" fillId="13" borderId="12" xfId="0" applyFont="1" applyFill="1" applyBorder="1" applyAlignment="1">
      <alignment horizontal="center" vertical="center" textRotation="90" wrapText="1"/>
    </xf>
    <xf numFmtId="0" fontId="63" fillId="13" borderId="11" xfId="0" applyFont="1" applyFill="1" applyBorder="1" applyAlignment="1">
      <alignment horizontal="center" vertical="center" textRotation="90" wrapText="1"/>
    </xf>
    <xf numFmtId="49" fontId="66" fillId="13" borderId="16" xfId="0" applyNumberFormat="1" applyFont="1" applyFill="1" applyBorder="1" applyAlignment="1">
      <alignment horizontal="center" vertical="center"/>
    </xf>
    <xf numFmtId="49" fontId="66" fillId="13" borderId="17" xfId="0" applyNumberFormat="1" applyFont="1" applyFill="1" applyBorder="1" applyAlignment="1">
      <alignment horizontal="center" vertical="center"/>
    </xf>
    <xf numFmtId="0" fontId="63" fillId="13" borderId="15" xfId="0" applyFont="1" applyFill="1" applyBorder="1" applyAlignment="1">
      <alignment horizontal="center" vertical="center"/>
    </xf>
    <xf numFmtId="49" fontId="68" fillId="0" borderId="41" xfId="0" applyNumberFormat="1" applyFont="1" applyBorder="1" applyAlignment="1" applyProtection="1">
      <alignment horizontal="center" vertical="center"/>
      <protection locked="0"/>
    </xf>
    <xf numFmtId="49" fontId="68" fillId="0" borderId="45" xfId="0" applyNumberFormat="1" applyFont="1" applyBorder="1" applyAlignment="1" applyProtection="1">
      <alignment horizontal="center" vertical="center"/>
      <protection locked="0"/>
    </xf>
    <xf numFmtId="13" fontId="67" fillId="6" borderId="52" xfId="0" applyNumberFormat="1" applyFont="1" applyFill="1" applyBorder="1" applyAlignment="1" applyProtection="1">
      <alignment horizontal="center" vertical="center"/>
      <protection locked="0"/>
    </xf>
    <xf numFmtId="49" fontId="68" fillId="0" borderId="49" xfId="0" applyNumberFormat="1" applyFont="1" applyBorder="1" applyAlignment="1" applyProtection="1">
      <alignment horizontal="left" vertical="center" indent="1"/>
      <protection locked="0"/>
    </xf>
    <xf numFmtId="49" fontId="68" fillId="0" borderId="40" xfId="0" applyNumberFormat="1" applyFont="1" applyBorder="1" applyAlignment="1" applyProtection="1">
      <alignment horizontal="left" vertical="center" indent="1"/>
      <protection locked="0"/>
    </xf>
    <xf numFmtId="49" fontId="68" fillId="0" borderId="55" xfId="0" applyNumberFormat="1" applyFont="1" applyBorder="1" applyAlignment="1" applyProtection="1">
      <alignment horizontal="left" vertical="center" indent="1"/>
      <protection locked="0"/>
    </xf>
    <xf numFmtId="49" fontId="63" fillId="13" borderId="15" xfId="0" applyNumberFormat="1" applyFont="1" applyFill="1" applyBorder="1" applyAlignment="1">
      <alignment horizontal="center" vertical="top" wrapText="1"/>
    </xf>
    <xf numFmtId="49" fontId="63" fillId="13" borderId="15" xfId="0" applyNumberFormat="1" applyFont="1" applyFill="1" applyBorder="1" applyAlignment="1">
      <alignment horizontal="center" vertical="center" wrapText="1"/>
    </xf>
    <xf numFmtId="13" fontId="82" fillId="6" borderId="16" xfId="0" applyNumberFormat="1" applyFont="1" applyFill="1" applyBorder="1" applyAlignment="1" applyProtection="1">
      <alignment horizontal="center" vertical="center"/>
      <protection locked="0"/>
    </xf>
    <xf numFmtId="13" fontId="82" fillId="6" borderId="17" xfId="0" applyNumberFormat="1" applyFont="1" applyFill="1" applyBorder="1" applyAlignment="1" applyProtection="1">
      <alignment horizontal="center" vertical="center"/>
      <protection locked="0"/>
    </xf>
    <xf numFmtId="169" fontId="67" fillId="6" borderId="52" xfId="0" applyNumberFormat="1" applyFont="1" applyFill="1" applyBorder="1" applyAlignment="1" applyProtection="1">
      <alignment horizontal="center" vertical="center"/>
      <protection locked="0"/>
    </xf>
    <xf numFmtId="49" fontId="77" fillId="0" borderId="18" xfId="0" applyNumberFormat="1" applyFont="1" applyBorder="1" applyAlignment="1">
      <alignment horizontal="left" vertical="top"/>
    </xf>
    <xf numFmtId="49" fontId="77" fillId="0" borderId="0" xfId="0" applyNumberFormat="1" applyFont="1" applyAlignment="1">
      <alignment horizontal="left" vertical="top"/>
    </xf>
    <xf numFmtId="0" fontId="0" fillId="0" borderId="40" xfId="0" applyBorder="1" applyAlignment="1">
      <alignment horizontal="center"/>
    </xf>
    <xf numFmtId="0" fontId="0" fillId="0" borderId="55" xfId="0" applyBorder="1" applyAlignment="1">
      <alignment horizontal="center"/>
    </xf>
    <xf numFmtId="49" fontId="66" fillId="13" borderId="15" xfId="0" applyNumberFormat="1" applyFont="1" applyFill="1" applyBorder="1" applyAlignment="1">
      <alignment horizontal="center" vertical="center" textRotation="90" wrapText="1"/>
    </xf>
    <xf numFmtId="49" fontId="66" fillId="13" borderId="69" xfId="0" applyNumberFormat="1" applyFont="1" applyFill="1" applyBorder="1" applyAlignment="1">
      <alignment horizontal="center" vertical="center" textRotation="90" wrapText="1"/>
    </xf>
    <xf numFmtId="49" fontId="68" fillId="0" borderId="18" xfId="0" applyNumberFormat="1" applyFont="1" applyBorder="1" applyAlignment="1" applyProtection="1">
      <alignment horizontal="center"/>
      <protection locked="0"/>
    </xf>
    <xf numFmtId="49" fontId="68" fillId="0" borderId="0" xfId="0" applyNumberFormat="1" applyFont="1" applyAlignment="1" applyProtection="1">
      <alignment horizontal="center"/>
      <protection locked="0"/>
    </xf>
    <xf numFmtId="49" fontId="68" fillId="0" borderId="41" xfId="0" applyNumberFormat="1" applyFont="1" applyBorder="1" applyAlignment="1" applyProtection="1">
      <alignment horizontal="center"/>
      <protection locked="0"/>
    </xf>
    <xf numFmtId="49" fontId="68" fillId="0" borderId="3" xfId="0" applyNumberFormat="1" applyFont="1" applyBorder="1" applyAlignment="1" applyProtection="1">
      <alignment horizontal="center"/>
      <protection locked="0"/>
    </xf>
    <xf numFmtId="0" fontId="78" fillId="6" borderId="11" xfId="0" applyFont="1" applyFill="1" applyBorder="1" applyAlignment="1">
      <alignment horizontal="center" vertical="center"/>
    </xf>
    <xf numFmtId="0" fontId="78" fillId="6" borderId="13" xfId="0" applyFont="1" applyFill="1" applyBorder="1" applyAlignment="1">
      <alignment horizontal="center" vertical="center"/>
    </xf>
    <xf numFmtId="0" fontId="78" fillId="6" borderId="14" xfId="0" applyFont="1" applyFill="1" applyBorder="1" applyAlignment="1">
      <alignment horizontal="center" vertical="center"/>
    </xf>
    <xf numFmtId="0" fontId="79" fillId="0" borderId="15" xfId="0" applyFont="1" applyBorder="1" applyAlignment="1" applyProtection="1">
      <alignment horizontal="center" vertical="center"/>
      <protection locked="0"/>
    </xf>
    <xf numFmtId="0" fontId="80" fillId="3" borderId="15" xfId="0" applyFont="1" applyFill="1" applyBorder="1" applyAlignment="1">
      <alignment horizontal="center" vertical="center"/>
    </xf>
    <xf numFmtId="0" fontId="81" fillId="3" borderId="15" xfId="0" applyFont="1" applyFill="1" applyBorder="1" applyAlignment="1">
      <alignment horizontal="center" vertical="center"/>
    </xf>
    <xf numFmtId="0" fontId="81" fillId="3" borderId="16" xfId="0" applyFont="1" applyFill="1" applyBorder="1" applyAlignment="1">
      <alignment horizontal="center" vertical="center"/>
    </xf>
    <xf numFmtId="49" fontId="77" fillId="3" borderId="18" xfId="0" applyNumberFormat="1" applyFont="1" applyFill="1" applyBorder="1" applyAlignment="1">
      <alignment horizontal="left" vertical="top"/>
    </xf>
    <xf numFmtId="49" fontId="77" fillId="3" borderId="0" xfId="0" applyNumberFormat="1" applyFont="1" applyFill="1" applyAlignment="1">
      <alignment horizontal="left" vertical="top"/>
    </xf>
    <xf numFmtId="0" fontId="0" fillId="3" borderId="40" xfId="0" applyFill="1" applyBorder="1" applyAlignment="1">
      <alignment horizontal="center"/>
    </xf>
    <xf numFmtId="0" fontId="0" fillId="3" borderId="55" xfId="0" applyFill="1" applyBorder="1" applyAlignment="1">
      <alignment horizontal="center"/>
    </xf>
    <xf numFmtId="49" fontId="66" fillId="3" borderId="15" xfId="0" applyNumberFormat="1" applyFont="1" applyFill="1" applyBorder="1" applyAlignment="1">
      <alignment horizontal="center" vertical="center" textRotation="90" wrapText="1"/>
    </xf>
    <xf numFmtId="49" fontId="66" fillId="3" borderId="69" xfId="0" applyNumberFormat="1" applyFont="1" applyFill="1" applyBorder="1" applyAlignment="1">
      <alignment horizontal="center" vertical="center" textRotation="90" wrapText="1"/>
    </xf>
    <xf numFmtId="49" fontId="68" fillId="3" borderId="0" xfId="0" applyNumberFormat="1" applyFont="1" applyFill="1" applyAlignment="1" applyProtection="1">
      <alignment horizontal="left" vertical="center" indent="1"/>
      <protection locked="0"/>
    </xf>
    <xf numFmtId="49" fontId="68" fillId="3" borderId="49" xfId="0" applyNumberFormat="1" applyFont="1" applyFill="1" applyBorder="1" applyAlignment="1" applyProtection="1">
      <alignment horizontal="left" vertical="center" indent="1"/>
      <protection locked="0"/>
    </xf>
    <xf numFmtId="49" fontId="68" fillId="3" borderId="40" xfId="0" applyNumberFormat="1" applyFont="1" applyFill="1" applyBorder="1" applyAlignment="1" applyProtection="1">
      <alignment horizontal="left" vertical="center" indent="1"/>
      <protection locked="0"/>
    </xf>
    <xf numFmtId="49" fontId="68" fillId="3" borderId="55" xfId="0" applyNumberFormat="1" applyFont="1" applyFill="1" applyBorder="1" applyAlignment="1" applyProtection="1">
      <alignment horizontal="left" vertical="center" indent="1"/>
      <protection locked="0"/>
    </xf>
    <xf numFmtId="49" fontId="68" fillId="3" borderId="18" xfId="0" applyNumberFormat="1" applyFont="1" applyFill="1" applyBorder="1" applyAlignment="1" applyProtection="1">
      <alignment horizontal="center"/>
      <protection locked="0"/>
    </xf>
    <xf numFmtId="49" fontId="68" fillId="3" borderId="0" xfId="0" applyNumberFormat="1" applyFont="1" applyFill="1" applyAlignment="1" applyProtection="1">
      <alignment horizontal="center"/>
      <protection locked="0"/>
    </xf>
    <xf numFmtId="49" fontId="68" fillId="3" borderId="41" xfId="0" applyNumberFormat="1" applyFont="1" applyFill="1" applyBorder="1" applyAlignment="1" applyProtection="1">
      <alignment horizontal="center"/>
      <protection locked="0"/>
    </xf>
    <xf numFmtId="49" fontId="68" fillId="3" borderId="3" xfId="0" applyNumberFormat="1" applyFont="1" applyFill="1" applyBorder="1" applyAlignment="1" applyProtection="1">
      <alignment horizontal="center"/>
      <protection locked="0"/>
    </xf>
    <xf numFmtId="0" fontId="78" fillId="3" borderId="11" xfId="0" applyFont="1" applyFill="1" applyBorder="1" applyAlignment="1">
      <alignment horizontal="center" vertical="center"/>
    </xf>
    <xf numFmtId="0" fontId="78" fillId="3" borderId="13" xfId="0" applyFont="1" applyFill="1" applyBorder="1" applyAlignment="1">
      <alignment horizontal="center" vertical="center"/>
    </xf>
    <xf numFmtId="0" fontId="78" fillId="3" borderId="14" xfId="0" applyFont="1" applyFill="1" applyBorder="1" applyAlignment="1">
      <alignment horizontal="center" vertical="center"/>
    </xf>
    <xf numFmtId="0" fontId="79" fillId="3" borderId="15" xfId="0" applyFont="1" applyFill="1" applyBorder="1" applyAlignment="1" applyProtection="1">
      <alignment horizontal="center" vertical="center"/>
      <protection locked="0"/>
    </xf>
    <xf numFmtId="49" fontId="68" fillId="3" borderId="49" xfId="0" applyNumberFormat="1" applyFont="1" applyFill="1" applyBorder="1" applyAlignment="1" applyProtection="1">
      <alignment horizontal="center" vertical="center"/>
      <protection locked="0"/>
    </xf>
    <xf numFmtId="49" fontId="68" fillId="3" borderId="55" xfId="0" applyNumberFormat="1" applyFont="1" applyFill="1" applyBorder="1" applyAlignment="1" applyProtection="1">
      <alignment horizontal="center" vertical="center"/>
      <protection locked="0"/>
    </xf>
    <xf numFmtId="49" fontId="68" fillId="3" borderId="18" xfId="0" applyNumberFormat="1" applyFont="1" applyFill="1" applyBorder="1" applyAlignment="1" applyProtection="1">
      <alignment horizontal="center" vertical="center"/>
      <protection locked="0"/>
    </xf>
    <xf numFmtId="49" fontId="68" fillId="3" borderId="27" xfId="0" applyNumberFormat="1" applyFont="1" applyFill="1" applyBorder="1" applyAlignment="1" applyProtection="1">
      <alignment horizontal="center" vertical="center"/>
      <protection locked="0"/>
    </xf>
    <xf numFmtId="49" fontId="68" fillId="3" borderId="3" xfId="0" applyNumberFormat="1" applyFont="1" applyFill="1" applyBorder="1" applyAlignment="1" applyProtection="1">
      <alignment horizontal="left" vertical="center" indent="1"/>
      <protection locked="0"/>
    </xf>
    <xf numFmtId="49" fontId="68" fillId="3" borderId="41" xfId="0" applyNumberFormat="1" applyFont="1" applyFill="1" applyBorder="1" applyAlignment="1" applyProtection="1">
      <alignment horizontal="left" vertical="center" indent="1"/>
      <protection locked="0"/>
    </xf>
    <xf numFmtId="49" fontId="68" fillId="3" borderId="45" xfId="0" applyNumberFormat="1" applyFont="1" applyFill="1" applyBorder="1" applyAlignment="1" applyProtection="1">
      <alignment horizontal="left" vertical="center" indent="1"/>
      <protection locked="0"/>
    </xf>
    <xf numFmtId="49" fontId="68" fillId="3" borderId="41" xfId="0" applyNumberFormat="1" applyFont="1" applyFill="1" applyBorder="1" applyAlignment="1" applyProtection="1">
      <alignment horizontal="center" vertical="center"/>
      <protection locked="0"/>
    </xf>
    <xf numFmtId="49" fontId="68" fillId="3" borderId="45" xfId="0" applyNumberFormat="1" applyFont="1" applyFill="1" applyBorder="1" applyAlignment="1" applyProtection="1">
      <alignment horizontal="center" vertical="center"/>
      <protection locked="0"/>
    </xf>
    <xf numFmtId="13" fontId="67" fillId="3" borderId="52" xfId="0" applyNumberFormat="1" applyFont="1" applyFill="1" applyBorder="1" applyAlignment="1" applyProtection="1">
      <alignment horizontal="center" vertical="center"/>
      <protection locked="0"/>
    </xf>
    <xf numFmtId="49" fontId="63" fillId="3" borderId="15" xfId="0" applyNumberFormat="1" applyFont="1" applyFill="1" applyBorder="1" applyAlignment="1">
      <alignment horizontal="center" vertical="top" wrapText="1"/>
    </xf>
    <xf numFmtId="49" fontId="63" fillId="3" borderId="15" xfId="0" applyNumberFormat="1" applyFont="1" applyFill="1" applyBorder="1" applyAlignment="1">
      <alignment horizontal="center" vertical="center" wrapText="1"/>
    </xf>
    <xf numFmtId="13" fontId="75" fillId="3" borderId="16" xfId="0" applyNumberFormat="1" applyFont="1" applyFill="1" applyBorder="1" applyAlignment="1" applyProtection="1">
      <alignment horizontal="center" vertical="center" wrapText="1"/>
      <protection locked="0"/>
    </xf>
    <xf numFmtId="13" fontId="75" fillId="3" borderId="17" xfId="0" applyNumberFormat="1" applyFont="1" applyFill="1" applyBorder="1" applyAlignment="1" applyProtection="1">
      <alignment horizontal="center" vertical="center" wrapText="1"/>
      <protection locked="0"/>
    </xf>
    <xf numFmtId="169" fontId="67" fillId="3" borderId="52" xfId="0" applyNumberFormat="1" applyFont="1" applyFill="1" applyBorder="1" applyAlignment="1" applyProtection="1">
      <alignment horizontal="center" vertical="center"/>
      <protection locked="0"/>
    </xf>
    <xf numFmtId="0" fontId="63" fillId="3" borderId="12" xfId="0" applyFont="1" applyFill="1" applyBorder="1" applyAlignment="1">
      <alignment horizontal="center" vertical="center" textRotation="90" wrapText="1"/>
    </xf>
    <xf numFmtId="0" fontId="63" fillId="3" borderId="11" xfId="0" applyFont="1" applyFill="1" applyBorder="1" applyAlignment="1">
      <alignment horizontal="center" vertical="center" textRotation="90" wrapText="1"/>
    </xf>
    <xf numFmtId="49" fontId="66" fillId="3" borderId="16" xfId="0" applyNumberFormat="1" applyFont="1" applyFill="1" applyBorder="1" applyAlignment="1">
      <alignment horizontal="center" vertical="center"/>
    </xf>
    <xf numFmtId="49" fontId="66" fillId="3" borderId="17" xfId="0" applyNumberFormat="1" applyFont="1" applyFill="1" applyBorder="1" applyAlignment="1">
      <alignment horizontal="center" vertical="center"/>
    </xf>
    <xf numFmtId="0" fontId="63" fillId="3" borderId="15" xfId="0" applyFont="1" applyFill="1" applyBorder="1" applyAlignment="1">
      <alignment horizontal="center" vertical="center"/>
    </xf>
    <xf numFmtId="0" fontId="63" fillId="3" borderId="12" xfId="0" applyFont="1" applyFill="1" applyBorder="1" applyAlignment="1">
      <alignment horizontal="center" vertical="center" wrapText="1"/>
    </xf>
    <xf numFmtId="0" fontId="63" fillId="3" borderId="11" xfId="0" applyFont="1" applyFill="1" applyBorder="1" applyAlignment="1">
      <alignment horizontal="center" vertical="center" wrapText="1"/>
    </xf>
    <xf numFmtId="169" fontId="67" fillId="3" borderId="16" xfId="0" applyNumberFormat="1" applyFont="1" applyFill="1" applyBorder="1" applyAlignment="1" applyProtection="1">
      <alignment horizontal="center" vertical="center"/>
      <protection locked="0"/>
    </xf>
    <xf numFmtId="169" fontId="67" fillId="3" borderId="70" xfId="0" applyNumberFormat="1" applyFont="1" applyFill="1" applyBorder="1" applyAlignment="1" applyProtection="1">
      <alignment horizontal="center" vertical="center"/>
      <protection locked="0"/>
    </xf>
    <xf numFmtId="169" fontId="67" fillId="3" borderId="71" xfId="0" applyNumberFormat="1" applyFont="1" applyFill="1" applyBorder="1" applyAlignment="1" applyProtection="1">
      <alignment horizontal="center" vertical="center"/>
      <protection locked="0"/>
    </xf>
    <xf numFmtId="169" fontId="67" fillId="3" borderId="17" xfId="0" applyNumberFormat="1" applyFont="1" applyFill="1" applyBorder="1" applyAlignment="1" applyProtection="1">
      <alignment horizontal="center" vertical="center"/>
      <protection locked="0"/>
    </xf>
    <xf numFmtId="49" fontId="67" fillId="3" borderId="16" xfId="0" applyNumberFormat="1" applyFont="1" applyFill="1" applyBorder="1" applyAlignment="1" applyProtection="1">
      <alignment horizontal="center" vertical="center"/>
      <protection locked="0"/>
    </xf>
    <xf numFmtId="49" fontId="67" fillId="3" borderId="17" xfId="0" applyNumberFormat="1" applyFont="1" applyFill="1" applyBorder="1" applyAlignment="1" applyProtection="1">
      <alignment horizontal="center" vertical="center"/>
      <protection locked="0"/>
    </xf>
    <xf numFmtId="169" fontId="67" fillId="3" borderId="0" xfId="0" applyNumberFormat="1" applyFont="1" applyFill="1" applyAlignment="1" applyProtection="1">
      <alignment horizontal="center" vertical="center"/>
      <protection locked="0"/>
    </xf>
    <xf numFmtId="169" fontId="67" fillId="3" borderId="67" xfId="0" applyNumberFormat="1" applyFont="1" applyFill="1" applyBorder="1" applyAlignment="1" applyProtection="1">
      <alignment horizontal="center" vertical="center"/>
      <protection locked="0"/>
    </xf>
    <xf numFmtId="169" fontId="67" fillId="3" borderId="68" xfId="0" applyNumberFormat="1" applyFont="1" applyFill="1" applyBorder="1" applyAlignment="1" applyProtection="1">
      <alignment horizontal="center" vertical="center"/>
      <protection locked="0"/>
    </xf>
    <xf numFmtId="49" fontId="67" fillId="3" borderId="15" xfId="0" applyNumberFormat="1" applyFont="1" applyFill="1" applyBorder="1" applyAlignment="1" applyProtection="1">
      <alignment horizontal="center" vertical="center"/>
      <protection locked="0"/>
    </xf>
    <xf numFmtId="0" fontId="59" fillId="3" borderId="0" xfId="0" applyFont="1" applyFill="1" applyAlignment="1" applyProtection="1">
      <alignment horizontal="right" vertical="center" textRotation="90" wrapText="1"/>
      <protection locked="0"/>
    </xf>
    <xf numFmtId="0" fontId="59" fillId="3" borderId="0" xfId="0" applyFont="1" applyFill="1" applyAlignment="1" applyProtection="1">
      <alignment horizontal="right" vertical="center" textRotation="90"/>
      <protection locked="0"/>
    </xf>
    <xf numFmtId="0" fontId="60" fillId="5" borderId="57" xfId="0" applyFont="1" applyFill="1" applyBorder="1" applyAlignment="1" applyProtection="1">
      <alignment horizontal="center" vertical="center" wrapText="1"/>
      <protection locked="0"/>
    </xf>
    <xf numFmtId="0" fontId="60" fillId="5" borderId="58" xfId="0" applyFont="1" applyFill="1" applyBorder="1" applyAlignment="1" applyProtection="1">
      <alignment horizontal="center" vertical="center" wrapText="1"/>
      <protection locked="0"/>
    </xf>
    <xf numFmtId="0" fontId="60" fillId="5" borderId="59" xfId="0" applyFont="1" applyFill="1" applyBorder="1" applyAlignment="1" applyProtection="1">
      <alignment horizontal="center" vertical="center" wrapText="1"/>
      <protection locked="0"/>
    </xf>
    <xf numFmtId="0" fontId="60" fillId="5" borderId="60" xfId="0" applyFont="1" applyFill="1" applyBorder="1" applyAlignment="1" applyProtection="1">
      <alignment horizontal="center" vertical="center" wrapText="1"/>
      <protection locked="0"/>
    </xf>
    <xf numFmtId="0" fontId="60" fillId="5" borderId="0" xfId="0" applyFont="1" applyFill="1" applyAlignment="1" applyProtection="1">
      <alignment horizontal="center" vertical="center" wrapText="1"/>
      <protection locked="0"/>
    </xf>
    <xf numFmtId="0" fontId="60" fillId="5" borderId="61" xfId="0" applyFont="1" applyFill="1" applyBorder="1" applyAlignment="1" applyProtection="1">
      <alignment horizontal="center" vertical="center" wrapText="1"/>
      <protection locked="0"/>
    </xf>
    <xf numFmtId="0" fontId="60" fillId="5" borderId="62" xfId="0" applyFont="1" applyFill="1" applyBorder="1" applyAlignment="1" applyProtection="1">
      <alignment horizontal="center" vertical="center" wrapText="1"/>
      <protection locked="0"/>
    </xf>
    <xf numFmtId="0" fontId="60" fillId="5" borderId="63" xfId="0" applyFont="1" applyFill="1" applyBorder="1" applyAlignment="1" applyProtection="1">
      <alignment horizontal="center" vertical="center" wrapText="1"/>
      <protection locked="0"/>
    </xf>
    <xf numFmtId="0" fontId="60" fillId="5" borderId="64" xfId="0" applyFont="1" applyFill="1" applyBorder="1" applyAlignment="1" applyProtection="1">
      <alignment horizontal="center" vertical="center" wrapText="1"/>
      <protection locked="0"/>
    </xf>
    <xf numFmtId="0" fontId="53" fillId="3" borderId="0" xfId="0" applyFont="1" applyFill="1" applyAlignment="1">
      <alignment horizontal="left"/>
    </xf>
    <xf numFmtId="0" fontId="53" fillId="3" borderId="0" xfId="0" applyFont="1" applyFill="1" applyAlignment="1">
      <alignment horizontal="center" vertical="center"/>
    </xf>
    <xf numFmtId="49" fontId="0" fillId="3" borderId="58" xfId="0" applyNumberFormat="1" applyFill="1" applyBorder="1" applyAlignment="1" applyProtection="1">
      <alignment horizontal="left"/>
      <protection locked="0"/>
    </xf>
    <xf numFmtId="49" fontId="0" fillId="3" borderId="59" xfId="0" applyNumberFormat="1" applyFill="1" applyBorder="1" applyAlignment="1" applyProtection="1">
      <alignment horizontal="left"/>
      <protection locked="0"/>
    </xf>
    <xf numFmtId="49" fontId="0" fillId="3" borderId="58" xfId="0" applyNumberFormat="1" applyFill="1" applyBorder="1" applyAlignment="1" applyProtection="1">
      <alignment horizontal="center"/>
      <protection locked="0"/>
    </xf>
    <xf numFmtId="49" fontId="0" fillId="3" borderId="59" xfId="0" applyNumberFormat="1" applyFill="1" applyBorder="1" applyAlignment="1" applyProtection="1">
      <alignment horizontal="center"/>
      <protection locked="0"/>
    </xf>
    <xf numFmtId="49" fontId="0" fillId="3" borderId="0" xfId="0" applyNumberFormat="1" applyFill="1" applyAlignment="1" applyProtection="1">
      <alignment horizontal="left"/>
      <protection locked="0"/>
    </xf>
    <xf numFmtId="49" fontId="0" fillId="3" borderId="61" xfId="0" applyNumberFormat="1" applyFill="1" applyBorder="1" applyAlignment="1" applyProtection="1">
      <alignment horizontal="left"/>
      <protection locked="0"/>
    </xf>
    <xf numFmtId="49" fontId="0" fillId="3" borderId="0" xfId="0" applyNumberFormat="1" applyFill="1" applyAlignment="1" applyProtection="1">
      <alignment horizontal="center"/>
      <protection locked="0"/>
    </xf>
    <xf numFmtId="49" fontId="0" fillId="3" borderId="61" xfId="0" applyNumberFormat="1" applyFill="1" applyBorder="1" applyAlignment="1" applyProtection="1">
      <alignment horizontal="center"/>
      <protection locked="0"/>
    </xf>
    <xf numFmtId="49" fontId="0" fillId="3" borderId="63" xfId="0" applyNumberFormat="1" applyFill="1" applyBorder="1" applyAlignment="1" applyProtection="1">
      <alignment horizontal="left"/>
      <protection locked="0"/>
    </xf>
    <xf numFmtId="49" fontId="0" fillId="3" borderId="64" xfId="0" applyNumberFormat="1" applyFill="1" applyBorder="1" applyAlignment="1" applyProtection="1">
      <alignment horizontal="left"/>
      <protection locked="0"/>
    </xf>
    <xf numFmtId="49" fontId="0" fillId="3" borderId="63" xfId="0" applyNumberFormat="1" applyFill="1" applyBorder="1" applyAlignment="1" applyProtection="1">
      <alignment horizontal="center"/>
      <protection locked="0"/>
    </xf>
    <xf numFmtId="49" fontId="0" fillId="3" borderId="64" xfId="0" applyNumberFormat="1" applyFill="1" applyBorder="1" applyAlignment="1" applyProtection="1">
      <alignment horizontal="center"/>
      <protection locked="0"/>
    </xf>
    <xf numFmtId="0" fontId="56" fillId="3" borderId="0" xfId="0" applyFont="1" applyFill="1" applyAlignment="1" applyProtection="1">
      <alignment horizontal="right"/>
      <protection locked="0"/>
    </xf>
    <xf numFmtId="0" fontId="57" fillId="3" borderId="0" xfId="0" applyFont="1" applyFill="1" applyAlignment="1" applyProtection="1">
      <alignment horizontal="left"/>
      <protection locked="0"/>
    </xf>
    <xf numFmtId="0" fontId="57" fillId="3" borderId="13" xfId="0" applyFont="1" applyFill="1" applyBorder="1" applyAlignment="1" applyProtection="1">
      <alignment horizontal="left"/>
      <protection locked="0"/>
    </xf>
    <xf numFmtId="0" fontId="55" fillId="3" borderId="65" xfId="0" applyFont="1" applyFill="1" applyBorder="1" applyAlignment="1" applyProtection="1">
      <alignment horizontal="center" vertical="center"/>
      <protection locked="0"/>
    </xf>
    <xf numFmtId="0" fontId="55" fillId="3" borderId="56" xfId="0" applyFont="1" applyFill="1" applyBorder="1" applyAlignment="1" applyProtection="1">
      <alignment horizontal="center" vertical="center"/>
      <protection locked="0"/>
    </xf>
    <xf numFmtId="49" fontId="58" fillId="3" borderId="58" xfId="0" applyNumberFormat="1" applyFont="1" applyFill="1" applyBorder="1" applyAlignment="1" applyProtection="1">
      <alignment horizontal="center" vertical="center"/>
      <protection locked="0"/>
    </xf>
    <xf numFmtId="49" fontId="58" fillId="3" borderId="0" xfId="0" applyNumberFormat="1" applyFont="1" applyFill="1" applyAlignment="1" applyProtection="1">
      <alignment horizontal="center" vertical="center"/>
      <protection locked="0"/>
    </xf>
    <xf numFmtId="14" fontId="0" fillId="3" borderId="0" xfId="0" applyNumberFormat="1" applyFill="1" applyAlignment="1" applyProtection="1">
      <alignment horizontal="center"/>
      <protection locked="0"/>
    </xf>
    <xf numFmtId="0" fontId="90" fillId="14" borderId="0" xfId="0" applyFont="1" applyFill="1" applyAlignment="1">
      <alignment horizontal="center" vertical="center"/>
    </xf>
    <xf numFmtId="0" fontId="90" fillId="14" borderId="15" xfId="0" applyFont="1" applyFill="1" applyBorder="1" applyAlignment="1">
      <alignment horizontal="center" vertical="center"/>
    </xf>
    <xf numFmtId="0" fontId="90" fillId="14" borderId="16" xfId="0" applyFont="1" applyFill="1" applyBorder="1" applyAlignment="1">
      <alignment horizontal="center" vertical="center"/>
    </xf>
    <xf numFmtId="0" fontId="90" fillId="14" borderId="17" xfId="0" applyFont="1" applyFill="1" applyBorder="1" applyAlignment="1">
      <alignment horizontal="center" vertical="center"/>
    </xf>
    <xf numFmtId="169" fontId="67" fillId="6" borderId="15" xfId="0" applyNumberFormat="1" applyFont="1" applyFill="1" applyBorder="1" applyAlignment="1" applyProtection="1">
      <alignment horizontal="center" vertical="center"/>
      <protection locked="0"/>
    </xf>
    <xf numFmtId="0" fontId="106" fillId="0" borderId="15" xfId="0" applyFont="1" applyBorder="1" applyAlignment="1" applyProtection="1">
      <alignment horizontal="center" vertical="center"/>
      <protection locked="0"/>
    </xf>
    <xf numFmtId="0" fontId="79" fillId="0" borderId="52" xfId="0" applyFont="1" applyBorder="1" applyAlignment="1" applyProtection="1">
      <alignment horizontal="center" vertical="center"/>
      <protection locked="0"/>
    </xf>
    <xf numFmtId="0" fontId="106" fillId="0" borderId="52" xfId="0" applyFont="1" applyBorder="1" applyAlignment="1">
      <alignment horizontal="center" vertical="center"/>
    </xf>
    <xf numFmtId="0" fontId="106" fillId="0" borderId="15" xfId="0" applyFont="1" applyBorder="1" applyAlignment="1">
      <alignment horizontal="center" vertical="center"/>
    </xf>
    <xf numFmtId="49" fontId="77" fillId="0" borderId="49" xfId="0" applyNumberFormat="1" applyFont="1" applyBorder="1" applyAlignment="1">
      <alignment horizontal="left" vertical="top"/>
    </xf>
    <xf numFmtId="49" fontId="77" fillId="0" borderId="40" xfId="0" applyNumberFormat="1" applyFont="1" applyBorder="1" applyAlignment="1">
      <alignment horizontal="left" vertical="top"/>
    </xf>
    <xf numFmtId="49" fontId="68" fillId="0" borderId="40" xfId="3" applyNumberFormat="1" applyFont="1" applyBorder="1" applyAlignment="1" applyProtection="1">
      <alignment horizontal="left" vertical="center" indent="1"/>
      <protection locked="0"/>
    </xf>
    <xf numFmtId="49" fontId="66" fillId="13" borderId="52" xfId="0" applyNumberFormat="1" applyFont="1" applyFill="1" applyBorder="1" applyAlignment="1">
      <alignment horizontal="center" vertical="center" textRotation="90" wrapText="1"/>
    </xf>
    <xf numFmtId="49" fontId="66" fillId="13" borderId="26" xfId="0" applyNumberFormat="1" applyFont="1" applyFill="1" applyBorder="1" applyAlignment="1">
      <alignment horizontal="center" vertical="center" textRotation="90" wrapText="1"/>
    </xf>
    <xf numFmtId="49" fontId="66" fillId="13" borderId="44" xfId="0" applyNumberFormat="1" applyFont="1" applyFill="1" applyBorder="1" applyAlignment="1">
      <alignment horizontal="center" vertical="center" textRotation="90" wrapText="1"/>
    </xf>
    <xf numFmtId="49" fontId="68" fillId="0" borderId="27" xfId="0" applyNumberFormat="1" applyFont="1" applyBorder="1" applyAlignment="1" applyProtection="1">
      <alignment horizontal="left" vertical="center" indent="1"/>
      <protection locked="0"/>
    </xf>
    <xf numFmtId="49" fontId="68" fillId="0" borderId="18" xfId="0" applyNumberFormat="1" applyFont="1" applyBorder="1" applyAlignment="1" applyProtection="1">
      <alignment horizontal="left" vertical="center" indent="1"/>
      <protection locked="0"/>
    </xf>
    <xf numFmtId="49" fontId="68" fillId="0" borderId="0" xfId="0" applyNumberFormat="1" applyFont="1" applyAlignment="1" applyProtection="1">
      <alignment horizontal="left" vertical="center" indent="2"/>
      <protection locked="0"/>
    </xf>
    <xf numFmtId="49" fontId="68" fillId="0" borderId="27" xfId="0" applyNumberFormat="1" applyFont="1" applyBorder="1" applyAlignment="1" applyProtection="1">
      <alignment horizontal="left" vertical="center" indent="2"/>
      <protection locked="0"/>
    </xf>
    <xf numFmtId="0" fontId="68" fillId="0" borderId="0" xfId="0" applyFont="1" applyAlignment="1" applyProtection="1">
      <alignment horizontal="left" vertical="center" indent="1"/>
      <protection locked="0"/>
    </xf>
    <xf numFmtId="0" fontId="68" fillId="0" borderId="27" xfId="0" applyFont="1" applyBorder="1" applyAlignment="1" applyProtection="1">
      <alignment horizontal="left" vertical="center" indent="1"/>
      <protection locked="0"/>
    </xf>
    <xf numFmtId="0" fontId="67" fillId="0" borderId="52" xfId="0" applyFont="1" applyBorder="1" applyAlignment="1">
      <alignment horizontal="center" vertical="center"/>
    </xf>
    <xf numFmtId="0" fontId="67" fillId="0" borderId="26" xfId="0" applyFont="1" applyBorder="1" applyAlignment="1">
      <alignment horizontal="center" vertical="center"/>
    </xf>
    <xf numFmtId="0" fontId="67" fillId="0" borderId="44" xfId="0" applyFont="1" applyBorder="1" applyAlignment="1">
      <alignment horizontal="center" vertical="center"/>
    </xf>
    <xf numFmtId="0" fontId="107" fillId="13" borderId="15" xfId="0" applyFont="1" applyFill="1" applyBorder="1" applyAlignment="1">
      <alignment horizontal="center" vertical="center"/>
    </xf>
    <xf numFmtId="0" fontId="106" fillId="0" borderId="52" xfId="0" applyFont="1" applyBorder="1" applyAlignment="1" applyProtection="1">
      <alignment horizontal="center" vertical="center"/>
      <protection locked="0"/>
    </xf>
    <xf numFmtId="0" fontId="119" fillId="0" borderId="15" xfId="0" applyFont="1" applyBorder="1" applyAlignment="1">
      <alignment horizontal="center" vertical="center"/>
    </xf>
    <xf numFmtId="49" fontId="63" fillId="13" borderId="17" xfId="0" applyNumberFormat="1" applyFont="1" applyFill="1" applyBorder="1" applyAlignment="1">
      <alignment horizontal="center" vertical="center" wrapText="1"/>
    </xf>
    <xf numFmtId="13" fontId="121" fillId="6" borderId="52" xfId="0" applyNumberFormat="1" applyFont="1" applyFill="1" applyBorder="1" applyAlignment="1" applyProtection="1">
      <alignment horizontal="center" vertical="center"/>
      <protection locked="0"/>
    </xf>
    <xf numFmtId="0" fontId="56" fillId="6" borderId="0" xfId="0" applyFont="1" applyFill="1" applyAlignment="1" applyProtection="1">
      <alignment horizontal="right"/>
      <protection locked="0"/>
    </xf>
    <xf numFmtId="0" fontId="57" fillId="6" borderId="0" xfId="0" applyFont="1" applyFill="1" applyAlignment="1" applyProtection="1">
      <alignment horizontal="left"/>
      <protection locked="0"/>
    </xf>
    <xf numFmtId="0" fontId="57" fillId="6" borderId="13" xfId="0" applyFont="1" applyFill="1" applyBorder="1" applyAlignment="1" applyProtection="1">
      <alignment horizontal="left"/>
      <protection locked="0"/>
    </xf>
    <xf numFmtId="0" fontId="55" fillId="13" borderId="65" xfId="0" applyFont="1" applyFill="1" applyBorder="1" applyAlignment="1" applyProtection="1">
      <alignment horizontal="center" vertical="center"/>
      <protection locked="0"/>
    </xf>
    <xf numFmtId="0" fontId="55" fillId="13" borderId="56" xfId="0" applyFont="1" applyFill="1" applyBorder="1" applyAlignment="1" applyProtection="1">
      <alignment horizontal="center" vertical="center"/>
      <protection locked="0"/>
    </xf>
    <xf numFmtId="49" fontId="58" fillId="0" borderId="58" xfId="0" applyNumberFormat="1" applyFont="1" applyBorder="1" applyAlignment="1" applyProtection="1">
      <alignment horizontal="center" vertical="center"/>
      <protection locked="0"/>
    </xf>
    <xf numFmtId="49" fontId="58" fillId="0" borderId="0" xfId="0" applyNumberFormat="1" applyFont="1" applyAlignment="1" applyProtection="1">
      <alignment horizontal="center" vertical="center"/>
      <protection locked="0"/>
    </xf>
    <xf numFmtId="14" fontId="0" fillId="0" borderId="0" xfId="0" applyNumberFormat="1" applyAlignment="1" applyProtection="1">
      <alignment horizontal="center"/>
      <protection locked="0"/>
    </xf>
    <xf numFmtId="0" fontId="59" fillId="6" borderId="0" xfId="0" applyFont="1" applyFill="1" applyAlignment="1" applyProtection="1">
      <alignment horizontal="right" vertical="center" textRotation="90" wrapText="1"/>
      <protection locked="0"/>
    </xf>
    <xf numFmtId="0" fontId="59" fillId="6" borderId="0" xfId="0" applyFont="1" applyFill="1" applyAlignment="1" applyProtection="1">
      <alignment horizontal="right" vertical="center" textRotation="90"/>
      <protection locked="0"/>
    </xf>
    <xf numFmtId="0" fontId="118" fillId="6" borderId="57" xfId="0" applyFont="1" applyFill="1" applyBorder="1" applyAlignment="1" applyProtection="1">
      <alignment horizontal="center" vertical="center"/>
      <protection locked="0"/>
    </xf>
    <xf numFmtId="0" fontId="118" fillId="6" borderId="58" xfId="0" applyFont="1" applyFill="1" applyBorder="1" applyAlignment="1" applyProtection="1">
      <alignment horizontal="center" vertical="center"/>
      <protection locked="0"/>
    </xf>
    <xf numFmtId="0" fontId="118" fillId="6" borderId="59" xfId="0" applyFont="1" applyFill="1" applyBorder="1" applyAlignment="1" applyProtection="1">
      <alignment horizontal="center" vertical="center"/>
      <protection locked="0"/>
    </xf>
    <xf numFmtId="0" fontId="118" fillId="6" borderId="60" xfId="0" applyFont="1" applyFill="1" applyBorder="1" applyAlignment="1" applyProtection="1">
      <alignment horizontal="center" vertical="center"/>
      <protection locked="0"/>
    </xf>
    <xf numFmtId="0" fontId="118" fillId="6" borderId="0" xfId="0" applyFont="1" applyFill="1" applyAlignment="1" applyProtection="1">
      <alignment horizontal="center" vertical="center"/>
      <protection locked="0"/>
    </xf>
    <xf numFmtId="0" fontId="118" fillId="6" borderId="61" xfId="0" applyFont="1" applyFill="1" applyBorder="1" applyAlignment="1" applyProtection="1">
      <alignment horizontal="center" vertical="center"/>
      <protection locked="0"/>
    </xf>
    <xf numFmtId="0" fontId="118" fillId="6" borderId="62" xfId="0" applyFont="1" applyFill="1" applyBorder="1" applyAlignment="1" applyProtection="1">
      <alignment horizontal="center" vertical="center"/>
      <protection locked="0"/>
    </xf>
    <xf numFmtId="0" fontId="118" fillId="6" borderId="63" xfId="0" applyFont="1" applyFill="1" applyBorder="1" applyAlignment="1" applyProtection="1">
      <alignment horizontal="center" vertical="center"/>
      <protection locked="0"/>
    </xf>
    <xf numFmtId="0" fontId="118" fillId="6" borderId="64" xfId="0" applyFont="1" applyFill="1" applyBorder="1" applyAlignment="1" applyProtection="1">
      <alignment horizontal="center" vertical="center"/>
      <protection locked="0"/>
    </xf>
    <xf numFmtId="0" fontId="53" fillId="6" borderId="0" xfId="0" applyFont="1" applyFill="1" applyAlignment="1" applyProtection="1">
      <alignment horizontal="left"/>
      <protection locked="0"/>
    </xf>
    <xf numFmtId="0" fontId="53" fillId="6" borderId="0" xfId="0" applyFont="1" applyFill="1" applyAlignment="1" applyProtection="1">
      <alignment horizontal="center" vertical="center"/>
      <protection locked="0"/>
    </xf>
    <xf numFmtId="49" fontId="0" fillId="0" borderId="58" xfId="0" applyNumberFormat="1" applyBorder="1" applyAlignment="1" applyProtection="1">
      <alignment horizontal="center"/>
      <protection locked="0"/>
    </xf>
    <xf numFmtId="49" fontId="0" fillId="0" borderId="59" xfId="0" applyNumberFormat="1" applyBorder="1" applyAlignment="1" applyProtection="1">
      <alignment horizontal="center"/>
      <protection locked="0"/>
    </xf>
    <xf numFmtId="49" fontId="0" fillId="0" borderId="0" xfId="0" applyNumberFormat="1" applyAlignment="1" applyProtection="1">
      <alignment horizontal="center"/>
      <protection locked="0"/>
    </xf>
    <xf numFmtId="49" fontId="0" fillId="0" borderId="61" xfId="0" applyNumberFormat="1" applyBorder="1" applyAlignment="1" applyProtection="1">
      <alignment horizontal="center"/>
      <protection locked="0"/>
    </xf>
    <xf numFmtId="49" fontId="0" fillId="0" borderId="63" xfId="0" applyNumberFormat="1" applyBorder="1" applyAlignment="1" applyProtection="1">
      <alignment horizontal="center"/>
      <protection locked="0"/>
    </xf>
    <xf numFmtId="49" fontId="0" fillId="0" borderId="64" xfId="0" applyNumberFormat="1" applyBorder="1" applyAlignment="1" applyProtection="1">
      <alignment horizontal="center"/>
      <protection locked="0"/>
    </xf>
    <xf numFmtId="0" fontId="56" fillId="3" borderId="57" xfId="0" applyFont="1" applyFill="1" applyBorder="1" applyAlignment="1" applyProtection="1">
      <alignment horizontal="center"/>
      <protection locked="0"/>
    </xf>
    <xf numFmtId="0" fontId="56" fillId="3" borderId="58" xfId="0" applyFont="1" applyFill="1" applyBorder="1" applyAlignment="1" applyProtection="1">
      <alignment horizontal="center"/>
      <protection locked="0"/>
    </xf>
    <xf numFmtId="0" fontId="56" fillId="3" borderId="59" xfId="0" applyFont="1" applyFill="1" applyBorder="1" applyAlignment="1" applyProtection="1">
      <alignment horizontal="center"/>
      <protection locked="0"/>
    </xf>
    <xf numFmtId="0" fontId="56" fillId="3" borderId="60" xfId="0" applyFont="1" applyFill="1" applyBorder="1" applyAlignment="1" applyProtection="1">
      <alignment horizontal="center"/>
      <protection locked="0"/>
    </xf>
    <xf numFmtId="0" fontId="56" fillId="3" borderId="0" xfId="0" applyFont="1" applyFill="1" applyAlignment="1" applyProtection="1">
      <alignment horizontal="center"/>
      <protection locked="0"/>
    </xf>
    <xf numFmtId="0" fontId="56" fillId="3" borderId="61" xfId="0" applyFont="1" applyFill="1" applyBorder="1" applyAlignment="1" applyProtection="1">
      <alignment horizontal="center"/>
      <protection locked="0"/>
    </xf>
    <xf numFmtId="0" fontId="56" fillId="3" borderId="62" xfId="0" applyFont="1" applyFill="1" applyBorder="1" applyAlignment="1" applyProtection="1">
      <alignment horizontal="center"/>
      <protection locked="0"/>
    </xf>
    <xf numFmtId="0" fontId="56" fillId="3" borderId="63" xfId="0" applyFont="1" applyFill="1" applyBorder="1" applyAlignment="1" applyProtection="1">
      <alignment horizontal="center"/>
      <protection locked="0"/>
    </xf>
    <xf numFmtId="0" fontId="56" fillId="3" borderId="64" xfId="0" applyFont="1" applyFill="1" applyBorder="1" applyAlignment="1" applyProtection="1">
      <alignment horizontal="center"/>
      <protection locked="0"/>
    </xf>
    <xf numFmtId="0" fontId="0" fillId="0" borderId="0" xfId="0" applyAlignment="1">
      <alignment horizontal="left" vertical="center" wrapText="1"/>
    </xf>
    <xf numFmtId="0" fontId="105" fillId="0" borderId="0" xfId="0" applyFont="1" applyAlignment="1">
      <alignment horizontal="center" vertical="center"/>
    </xf>
    <xf numFmtId="0" fontId="105" fillId="0" borderId="0" xfId="0" applyFont="1" applyAlignment="1">
      <alignment horizontal="center" vertical="center" wrapText="1"/>
    </xf>
    <xf numFmtId="0" fontId="109" fillId="19" borderId="0" xfId="0" applyFont="1" applyFill="1" applyAlignment="1">
      <alignment horizontal="left"/>
    </xf>
    <xf numFmtId="0" fontId="53" fillId="19" borderId="0" xfId="0" applyFont="1" applyFill="1" applyAlignment="1">
      <alignment horizontal="center" vertical="center"/>
    </xf>
    <xf numFmtId="0" fontId="94" fillId="14" borderId="0" xfId="0" applyFont="1" applyFill="1" applyAlignment="1">
      <alignment horizontal="center" vertical="center"/>
    </xf>
    <xf numFmtId="0" fontId="94" fillId="14" borderId="0" xfId="0" applyFont="1" applyFill="1" applyAlignment="1">
      <alignment horizontal="center" vertical="center" wrapText="1"/>
    </xf>
    <xf numFmtId="0" fontId="96" fillId="14" borderId="0" xfId="0" applyFont="1" applyFill="1" applyAlignment="1">
      <alignment horizontal="left" vertical="center" wrapText="1"/>
    </xf>
    <xf numFmtId="0" fontId="96" fillId="14" borderId="0" xfId="0" applyFont="1" applyFill="1" applyAlignment="1">
      <alignment horizontal="center" vertical="center" wrapText="1"/>
    </xf>
    <xf numFmtId="0" fontId="53" fillId="6" borderId="0" xfId="0" applyFont="1" applyFill="1" applyAlignment="1">
      <alignment horizontal="center" vertical="center"/>
    </xf>
    <xf numFmtId="0" fontId="55" fillId="13" borderId="15" xfId="0" applyFont="1" applyFill="1" applyBorder="1" applyAlignment="1">
      <alignment horizontal="center"/>
    </xf>
    <xf numFmtId="0" fontId="0" fillId="0" borderId="15" xfId="0" applyBorder="1" applyAlignment="1">
      <alignment horizontal="center"/>
    </xf>
    <xf numFmtId="0" fontId="0" fillId="13" borderId="15" xfId="0" applyFill="1" applyBorder="1" applyAlignment="1">
      <alignment horizontal="center"/>
    </xf>
    <xf numFmtId="0" fontId="37" fillId="0" borderId="15" xfId="0" applyFont="1" applyBorder="1" applyAlignment="1">
      <alignment horizontal="left" vertical="center"/>
    </xf>
    <xf numFmtId="0" fontId="37" fillId="0" borderId="15" xfId="0" applyFont="1" applyBorder="1" applyAlignment="1">
      <alignment horizontal="center"/>
    </xf>
    <xf numFmtId="13" fontId="37" fillId="0" borderId="15" xfId="0" applyNumberFormat="1" applyFont="1" applyBorder="1" applyAlignment="1">
      <alignment horizontal="center"/>
    </xf>
    <xf numFmtId="0" fontId="100" fillId="0" borderId="40" xfId="0" applyFont="1" applyBorder="1" applyAlignment="1">
      <alignment horizontal="center" vertical="top"/>
    </xf>
    <xf numFmtId="0" fontId="101" fillId="0" borderId="0" xfId="0" applyFont="1" applyAlignment="1">
      <alignment horizontal="left"/>
    </xf>
    <xf numFmtId="0" fontId="101" fillId="0" borderId="40" xfId="0" applyFont="1" applyBorder="1" applyAlignment="1">
      <alignment horizontal="left"/>
    </xf>
  </cellXfs>
  <cellStyles count="6">
    <cellStyle name="Comma" xfId="4" builtinId="3"/>
    <cellStyle name="Currency" xfId="1" builtinId="4"/>
    <cellStyle name="Hyperlink" xfId="3" builtinId="8"/>
    <cellStyle name="Normal" xfId="0" builtinId="0"/>
    <cellStyle name="Normal_Door_Bolt" xfId="5" xr:uid="{619DC1BC-5D4E-46E6-92FF-7110F9A1044F}"/>
    <cellStyle name="Percent" xfId="2" builtinId="5"/>
  </cellStyles>
  <dxfs count="1591">
    <dxf>
      <font>
        <color theme="0"/>
      </font>
    </dxf>
    <dxf>
      <font>
        <color theme="0"/>
      </font>
    </dxf>
    <dxf>
      <font>
        <color theme="0"/>
      </font>
    </dxf>
    <dxf>
      <font>
        <color theme="0"/>
      </font>
    </dxf>
    <dxf>
      <font>
        <color theme="0"/>
      </font>
    </dxf>
    <dxf>
      <font>
        <color theme="0"/>
      </font>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rgb="FFFF0000"/>
        </patternFill>
      </fill>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ill>
        <patternFill>
          <bgColor rgb="FFFF0000"/>
        </patternFill>
      </fill>
    </dxf>
    <dxf>
      <fill>
        <patternFill>
          <bgColor rgb="FFFF0000"/>
        </patternFill>
      </fill>
    </dxf>
    <dxf>
      <font>
        <color theme="0"/>
      </font>
    </dxf>
    <dxf>
      <font>
        <color theme="0"/>
      </font>
    </dxf>
    <dxf>
      <fill>
        <patternFill>
          <bgColor rgb="FFFF0000"/>
        </patternFill>
      </fill>
    </dxf>
    <dxf>
      <fill>
        <patternFill>
          <bgColor rgb="FFFF0000"/>
        </patternFill>
      </fill>
    </dxf>
    <dxf>
      <font>
        <color theme="0"/>
      </font>
    </dxf>
    <dxf>
      <font>
        <color theme="0"/>
      </font>
    </dxf>
    <dxf>
      <font>
        <color theme="0"/>
      </font>
    </dxf>
    <dxf>
      <fill>
        <patternFill>
          <bgColor rgb="FFFF0000"/>
        </patternFill>
      </fill>
    </dxf>
    <dxf>
      <font>
        <color theme="0"/>
      </font>
    </dxf>
    <dxf>
      <fill>
        <patternFill>
          <bgColor rgb="FFFF0000"/>
        </patternFill>
      </fill>
    </dxf>
    <dxf>
      <fill>
        <patternFill>
          <bgColor rgb="FFFF0000"/>
        </patternFill>
      </fill>
    </dxf>
    <dxf>
      <fill>
        <patternFill>
          <bgColor rgb="FFFFFF66"/>
        </patternFill>
      </fill>
    </dxf>
    <dxf>
      <fill>
        <patternFill>
          <bgColor rgb="FFFFFF66"/>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66"/>
        </patternFill>
      </fill>
    </dxf>
    <dxf>
      <fill>
        <patternFill>
          <bgColor rgb="FFFF0000"/>
        </patternFill>
      </fill>
    </dxf>
    <dxf>
      <fill>
        <patternFill>
          <bgColor rgb="FFFF0000"/>
        </patternFill>
      </fill>
    </dxf>
    <dxf>
      <fill>
        <patternFill>
          <bgColor rgb="FFFFFF66"/>
        </patternFill>
      </fill>
    </dxf>
    <dxf>
      <fill>
        <patternFill>
          <bgColor rgb="FFFFFF66"/>
        </patternFill>
      </fill>
    </dxf>
    <dxf>
      <fill>
        <patternFill>
          <bgColor rgb="FFFFFF66"/>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C000"/>
        </patternFill>
      </fill>
    </dxf>
    <dxf>
      <fill>
        <patternFill>
          <bgColor rgb="FFFFC000"/>
        </patternFill>
      </fill>
    </dxf>
    <dxf>
      <fill>
        <patternFill>
          <bgColor rgb="FFFF0000"/>
        </patternFill>
      </fill>
    </dxf>
    <dxf>
      <fill>
        <patternFill>
          <bgColor rgb="FFFF0000"/>
        </patternFill>
      </fill>
    </dxf>
    <dxf>
      <font>
        <color theme="0"/>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dxf>
    <dxf>
      <font>
        <color theme="0"/>
      </font>
    </dxf>
    <dxf>
      <fill>
        <patternFill>
          <bgColor rgb="FFFF0000"/>
        </patternFill>
      </fill>
    </dxf>
    <dxf>
      <fill>
        <patternFill>
          <bgColor rgb="FFFF0000"/>
        </patternFill>
      </fill>
    </dxf>
    <dxf>
      <font>
        <color theme="0"/>
      </font>
    </dxf>
    <dxf>
      <fill>
        <patternFill>
          <bgColor rgb="FFFF0000"/>
        </patternFill>
      </fill>
    </dxf>
    <dxf>
      <font>
        <color theme="0"/>
      </font>
      <fill>
        <patternFill>
          <bgColor theme="0"/>
        </patternFill>
      </fill>
    </dxf>
    <dxf>
      <font>
        <color theme="0"/>
      </font>
    </dxf>
    <dxf>
      <fill>
        <patternFill>
          <bgColor rgb="FFFF000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theme="0"/>
      </font>
    </dxf>
    <dxf>
      <font>
        <color theme="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theme="0"/>
      </font>
    </dxf>
    <dxf>
      <font>
        <color theme="0"/>
      </font>
    </dxf>
    <dxf>
      <font>
        <color theme="0"/>
      </font>
    </dxf>
    <dxf>
      <fill>
        <patternFill>
          <bgColor rgb="FFFF0000"/>
        </patternFill>
      </fill>
    </dxf>
    <dxf>
      <font>
        <color theme="0"/>
      </font>
    </dxf>
    <dxf>
      <fill>
        <patternFill>
          <bgColor rgb="FFFF0000"/>
        </patternFill>
      </fill>
    </dxf>
    <dxf>
      <font>
        <color theme="0"/>
      </font>
    </dxf>
    <dxf>
      <font>
        <color theme="0"/>
      </font>
    </dxf>
    <dxf>
      <fill>
        <patternFill>
          <bgColor rgb="FFFF0000"/>
        </patternFill>
      </fill>
    </dxf>
    <dxf>
      <fill>
        <patternFill>
          <bgColor rgb="FFFF000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66"/>
        </patternFill>
      </fill>
    </dxf>
    <dxf>
      <fill>
        <patternFill>
          <bgColor rgb="FFFF0000"/>
        </patternFill>
      </fill>
    </dxf>
    <dxf>
      <fill>
        <patternFill>
          <bgColor rgb="FFFF0000"/>
        </patternFill>
      </fill>
    </dxf>
    <dxf>
      <fill>
        <patternFill>
          <bgColor rgb="FFFFFF66"/>
        </patternFill>
      </fill>
    </dxf>
    <dxf>
      <fill>
        <patternFill>
          <bgColor rgb="FFFF0000"/>
        </patternFill>
      </fill>
    </dxf>
    <dxf>
      <fill>
        <patternFill>
          <bgColor rgb="FFFF0000"/>
        </patternFill>
      </fill>
    </dxf>
    <dxf>
      <fill>
        <patternFill>
          <bgColor rgb="FFFFFF66"/>
        </patternFill>
      </fill>
    </dxf>
    <dxf>
      <fill>
        <patternFill>
          <bgColor rgb="FFFF0000"/>
        </patternFill>
      </fill>
    </dxf>
    <dxf>
      <fill>
        <patternFill>
          <bgColor rgb="FFFF0000"/>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C000"/>
        </patternFill>
      </fill>
    </dxf>
    <dxf>
      <fill>
        <patternFill>
          <bgColor rgb="FFFFC000"/>
        </patternFill>
      </fill>
    </dxf>
    <dxf>
      <fill>
        <patternFill>
          <bgColor rgb="FFFF000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C00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C00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C000"/>
        </patternFill>
      </fill>
    </dxf>
    <dxf>
      <fill>
        <patternFill>
          <bgColor rgb="FFFF0000"/>
        </patternFill>
      </fill>
    </dxf>
    <dxf>
      <fill>
        <patternFill>
          <bgColor rgb="FFFF0000"/>
        </patternFill>
      </fill>
    </dxf>
    <dxf>
      <font>
        <color theme="0"/>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dxf>
    <dxf>
      <font>
        <color theme="0"/>
      </font>
    </dxf>
    <dxf>
      <font>
        <color theme="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ill>
        <patternFill>
          <bgColor rgb="FFFF0000"/>
        </patternFill>
      </fill>
    </dxf>
    <dxf>
      <font>
        <color theme="0"/>
      </font>
      <fill>
        <patternFill>
          <bgColor theme="0"/>
        </patternFill>
      </fill>
    </dxf>
    <dxf>
      <font>
        <color theme="0"/>
      </font>
    </dxf>
    <dxf>
      <fill>
        <patternFill>
          <bgColor rgb="FFFF0000"/>
        </patternFill>
      </fill>
    </dxf>
    <dxf>
      <font>
        <color theme="0"/>
      </font>
      <fill>
        <patternFill>
          <bgColor theme="0"/>
        </patternFill>
      </fill>
    </dxf>
    <dxf>
      <font>
        <color theme="0"/>
      </font>
    </dxf>
    <dxf>
      <font>
        <color theme="0"/>
      </font>
      <fill>
        <patternFill>
          <bgColor theme="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ont>
        <color theme="1"/>
      </font>
    </dxf>
    <dxf>
      <fill>
        <patternFill>
          <bgColor rgb="FFFF0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C000"/>
        </patternFill>
      </fill>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ill>
        <patternFill>
          <bgColor rgb="FFFF0000"/>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rgb="FFFF0000"/>
        </patternFill>
      </fill>
    </dxf>
    <dxf>
      <font>
        <color theme="0"/>
      </font>
    </dxf>
    <dxf>
      <font>
        <color theme="1"/>
      </font>
    </dxf>
    <dxf>
      <fill>
        <patternFill>
          <bgColor rgb="FFFF0000"/>
        </patternFill>
      </fill>
    </dxf>
    <dxf>
      <font>
        <color theme="0"/>
      </font>
    </dxf>
    <dxf>
      <font>
        <color theme="1"/>
      </font>
    </dxf>
    <dxf>
      <fill>
        <patternFill>
          <bgColor rgb="FFFF0000"/>
        </patternFill>
      </fill>
    </dxf>
    <dxf>
      <font>
        <color theme="0"/>
      </font>
    </dxf>
    <dxf>
      <font>
        <color theme="1"/>
      </font>
    </dxf>
    <dxf>
      <font>
        <color theme="0"/>
      </font>
    </dxf>
    <dxf>
      <fill>
        <patternFill>
          <bgColor rgb="FFFF0000"/>
        </patternFill>
      </fill>
    </dxf>
    <dxf>
      <font>
        <color theme="1"/>
      </font>
    </dxf>
    <dxf>
      <font>
        <color theme="0"/>
      </font>
    </dxf>
    <dxf>
      <fill>
        <patternFill>
          <bgColor rgb="FFFF0000"/>
        </patternFill>
      </fill>
    </dxf>
    <dxf>
      <font>
        <color theme="1"/>
      </font>
    </dxf>
    <dxf>
      <fill>
        <patternFill>
          <bgColor rgb="FFFF0000"/>
        </patternFill>
      </fill>
    </dxf>
    <dxf>
      <font>
        <color theme="0"/>
      </font>
    </dxf>
    <dxf>
      <font>
        <color theme="1"/>
      </font>
    </dxf>
    <dxf>
      <fill>
        <patternFill>
          <bgColor rgb="FFFF0000"/>
        </patternFill>
      </fill>
    </dxf>
    <dxf>
      <font>
        <color theme="0"/>
      </font>
    </dxf>
    <dxf>
      <font>
        <color theme="1"/>
      </font>
    </dxf>
    <dxf>
      <fill>
        <patternFill>
          <bgColor rgb="FFFF0000"/>
        </patternFill>
      </fill>
    </dxf>
    <dxf>
      <font>
        <color theme="0"/>
      </font>
    </dxf>
    <dxf>
      <font>
        <color theme="1"/>
      </font>
    </dxf>
    <dxf>
      <font>
        <color theme="0"/>
      </font>
    </dxf>
    <dxf>
      <fill>
        <patternFill>
          <bgColor rgb="FFFF0000"/>
        </patternFill>
      </fill>
    </dxf>
    <dxf>
      <font>
        <color theme="1"/>
      </font>
    </dxf>
    <dxf>
      <font>
        <color theme="0"/>
      </font>
    </dxf>
    <dxf>
      <fill>
        <patternFill>
          <bgColor rgb="FFFF0000"/>
        </patternFill>
      </fill>
    </dxf>
    <dxf>
      <font>
        <color theme="1"/>
      </font>
    </dxf>
    <dxf>
      <fill>
        <patternFill>
          <bgColor rgb="FFFF0000"/>
        </patternFill>
      </fill>
    </dxf>
    <dxf>
      <font>
        <color theme="0"/>
      </font>
    </dxf>
    <dxf>
      <font>
        <color theme="1"/>
      </font>
    </dxf>
    <dxf>
      <fill>
        <patternFill>
          <bgColor rgb="FFFF0000"/>
        </patternFill>
      </fill>
    </dxf>
    <dxf>
      <font>
        <color theme="0"/>
      </font>
    </dxf>
    <dxf>
      <font>
        <color theme="1"/>
      </font>
    </dxf>
    <dxf>
      <fill>
        <patternFill>
          <bgColor rgb="FFFF0000"/>
        </patternFill>
      </fill>
    </dxf>
    <dxf>
      <font>
        <color theme="0"/>
      </font>
    </dxf>
    <dxf>
      <font>
        <color theme="1"/>
      </font>
    </dxf>
    <dxf>
      <font>
        <color theme="0"/>
      </font>
    </dxf>
    <dxf>
      <fill>
        <patternFill>
          <bgColor rgb="FFFF0000"/>
        </patternFill>
      </fill>
    </dxf>
    <dxf>
      <font>
        <color theme="1"/>
      </font>
    </dxf>
    <dxf>
      <font>
        <color theme="0"/>
      </font>
    </dxf>
    <dxf>
      <fill>
        <patternFill>
          <bgColor rgb="FFFF0000"/>
        </patternFill>
      </fill>
    </dxf>
    <dxf>
      <font>
        <color theme="1"/>
      </font>
    </dxf>
    <dxf>
      <fill>
        <patternFill>
          <bgColor rgb="FFFF0000"/>
        </patternFill>
      </fill>
    </dxf>
    <dxf>
      <font>
        <color theme="0"/>
      </font>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FF66"/>
        </patternFill>
      </fill>
    </dxf>
    <dxf>
      <font>
        <color theme="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ill>
        <patternFill>
          <bgColor rgb="FFFFFF66"/>
        </patternFill>
      </fill>
    </dxf>
    <dxf>
      <font>
        <color theme="1"/>
      </font>
    </dxf>
    <dxf>
      <font>
        <color theme="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1"/>
      </font>
    </dxf>
    <dxf>
      <font>
        <color theme="1"/>
      </font>
    </dxf>
    <dxf>
      <fill>
        <patternFill>
          <bgColor rgb="FFFFFF66"/>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1"/>
      </font>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1"/>
      </font>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1"/>
      </font>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ill>
        <patternFill>
          <bgColor rgb="FFFF0000"/>
        </patternFill>
      </fill>
    </dxf>
    <dxf>
      <font>
        <color theme="0"/>
      </font>
      <fill>
        <patternFill>
          <bgColor theme="0"/>
        </patternFill>
      </fill>
    </dxf>
    <dxf>
      <font>
        <color theme="1"/>
      </font>
    </dxf>
    <dxf>
      <fill>
        <patternFill>
          <bgColor rgb="FFFF0000"/>
        </patternFill>
      </fill>
    </dxf>
    <dxf>
      <font>
        <color theme="0"/>
      </font>
      <fill>
        <patternFill>
          <bgColor theme="0"/>
        </patternFill>
      </fill>
    </dxf>
    <dxf>
      <font>
        <color theme="1"/>
      </font>
    </dxf>
    <dxf>
      <font>
        <color theme="0"/>
      </font>
      <fill>
        <patternFill>
          <bgColor theme="0"/>
        </patternFill>
      </fill>
    </dxf>
    <dxf>
      <fill>
        <patternFill>
          <bgColor rgb="FFFF0000"/>
        </patternFill>
      </fill>
    </dxf>
    <dxf>
      <font>
        <color theme="1"/>
      </font>
    </dxf>
    <dxf>
      <fill>
        <patternFill>
          <bgColor rgb="FFFF0000"/>
        </patternFill>
      </fill>
    </dxf>
    <dxf>
      <font>
        <color theme="0"/>
      </font>
      <fill>
        <patternFill>
          <bgColor theme="0"/>
        </patternFill>
      </fill>
    </dxf>
    <dxf>
      <font>
        <color theme="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auto="1"/>
      </font>
    </dxf>
    <dxf>
      <fill>
        <patternFill>
          <bgColor rgb="FFFF0000"/>
        </patternFill>
      </fill>
    </dxf>
    <dxf>
      <font>
        <color theme="0"/>
      </font>
      <fill>
        <patternFill>
          <bgColor theme="0"/>
        </patternFill>
      </fill>
    </dxf>
    <dxf>
      <font>
        <color auto="1"/>
      </font>
    </dxf>
    <dxf>
      <font>
        <color theme="0"/>
      </font>
      <fill>
        <patternFill>
          <bgColor theme="0"/>
        </patternFill>
      </fill>
    </dxf>
    <dxf>
      <fill>
        <patternFill>
          <bgColor rgb="FFFF0000"/>
        </patternFill>
      </fill>
    </dxf>
    <dxf>
      <font>
        <color auto="1"/>
      </font>
    </dxf>
    <dxf>
      <fill>
        <patternFill>
          <bgColor rgb="FFFF0000"/>
        </patternFill>
      </fill>
    </dxf>
    <dxf>
      <font>
        <color theme="0"/>
      </font>
      <fill>
        <patternFill>
          <bgColor theme="0"/>
        </patternFill>
      </fill>
    </dxf>
    <dxf>
      <font>
        <color auto="1"/>
      </font>
    </dxf>
    <dxf>
      <fill>
        <patternFill>
          <bgColor rgb="FFFF0000"/>
        </patternFill>
      </fill>
    </dxf>
    <dxf>
      <font>
        <color theme="0"/>
      </font>
      <fill>
        <patternFill>
          <bgColor theme="0"/>
        </patternFill>
      </fill>
    </dxf>
    <dxf>
      <font>
        <color auto="1"/>
      </font>
    </dxf>
    <dxf>
      <fill>
        <patternFill>
          <bgColor rgb="FFFF0000"/>
        </patternFill>
      </fill>
    </dxf>
    <dxf>
      <font>
        <color theme="0"/>
      </font>
      <fill>
        <patternFill>
          <bgColor theme="0"/>
        </patternFill>
      </fill>
    </dxf>
    <dxf>
      <font>
        <color auto="1"/>
      </font>
    </dxf>
    <dxf>
      <font>
        <color theme="0"/>
      </font>
      <fill>
        <patternFill>
          <bgColor theme="0"/>
        </patternFill>
      </fill>
    </dxf>
    <dxf>
      <fill>
        <patternFill>
          <bgColor rgb="FFFF0000"/>
        </patternFill>
      </fill>
    </dxf>
    <dxf>
      <font>
        <color auto="1"/>
      </font>
    </dxf>
    <dxf>
      <font>
        <color theme="0"/>
      </font>
      <fill>
        <patternFill>
          <bgColor theme="0"/>
        </patternFill>
      </fill>
    </dxf>
    <dxf>
      <fill>
        <patternFill>
          <bgColor rgb="FFFF0000"/>
        </patternFill>
      </fill>
    </dxf>
    <dxf>
      <font>
        <color auto="1"/>
      </font>
    </dxf>
    <dxf>
      <fill>
        <patternFill>
          <bgColor rgb="FFFF0000"/>
        </patternFill>
      </fill>
    </dxf>
    <dxf>
      <font>
        <color theme="0"/>
      </font>
      <fill>
        <patternFill>
          <bgColor theme="0"/>
        </patternFill>
      </fill>
    </dxf>
    <dxf>
      <font>
        <color auto="1"/>
      </font>
    </dxf>
    <dxf>
      <fill>
        <patternFill>
          <bgColor rgb="FFFF0000"/>
        </patternFill>
      </fill>
    </dxf>
    <dxf>
      <font>
        <color theme="0"/>
      </font>
      <fill>
        <patternFill>
          <bgColor theme="0"/>
        </patternFill>
      </fill>
    </dxf>
    <dxf>
      <font>
        <color auto="1"/>
      </font>
    </dxf>
    <dxf>
      <font>
        <color theme="0"/>
      </font>
      <fill>
        <patternFill>
          <bgColor theme="0"/>
        </patternFill>
      </fill>
    </dxf>
    <dxf>
      <fill>
        <patternFill>
          <bgColor rgb="FFFF0000"/>
        </patternFill>
      </fill>
    </dxf>
    <dxf>
      <font>
        <color auto="1"/>
      </font>
    </dxf>
    <dxf>
      <fill>
        <patternFill>
          <bgColor rgb="FFFF0000"/>
        </patternFill>
      </fill>
    </dxf>
    <dxf>
      <font>
        <color theme="0"/>
      </font>
      <fill>
        <patternFill>
          <bgColor theme="0"/>
        </patternFill>
      </fill>
    </dxf>
    <dxf>
      <font>
        <color auto="1"/>
      </font>
    </dxf>
    <dxf>
      <font>
        <color theme="0"/>
      </font>
      <fill>
        <patternFill>
          <bgColor theme="0"/>
        </patternFill>
      </fill>
    </dxf>
    <dxf>
      <fill>
        <patternFill>
          <bgColor rgb="FFFF0000"/>
        </patternFill>
      </fill>
    </dxf>
    <dxf>
      <font>
        <color auto="1"/>
      </font>
    </dxf>
    <dxf>
      <font>
        <color theme="0"/>
      </font>
      <fill>
        <patternFill>
          <bgColor theme="0"/>
        </patternFill>
      </fill>
    </dxf>
    <dxf>
      <fill>
        <patternFill>
          <bgColor rgb="FFFF0000"/>
        </patternFill>
      </fill>
    </dxf>
    <dxf>
      <font>
        <color auto="1"/>
      </font>
    </dxf>
    <dxf>
      <font>
        <color theme="0"/>
      </font>
      <fill>
        <patternFill>
          <bgColor theme="0"/>
        </patternFill>
      </fill>
    </dxf>
    <dxf>
      <fill>
        <patternFill>
          <bgColor rgb="FFFF0000"/>
        </patternFill>
      </fill>
    </dxf>
    <dxf>
      <font>
        <color auto="1"/>
      </font>
    </dxf>
    <dxf>
      <fill>
        <patternFill>
          <bgColor rgb="FFFF0000"/>
        </patternFill>
      </fill>
    </dxf>
    <dxf>
      <font>
        <color theme="0"/>
      </font>
      <fill>
        <patternFill>
          <bgColor theme="0"/>
        </patternFill>
      </fill>
    </dxf>
    <dxf>
      <font>
        <color auto="1"/>
      </font>
    </dxf>
    <dxf>
      <fill>
        <patternFill>
          <bgColor rgb="FFFF0000"/>
        </patternFill>
      </fill>
    </dxf>
    <dxf>
      <font>
        <color theme="0"/>
      </font>
      <fill>
        <patternFill>
          <bgColor theme="0"/>
        </patternFill>
      </fill>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ont>
        <color auto="1"/>
      </font>
    </dxf>
    <dxf>
      <font>
        <color theme="0"/>
      </font>
      <fill>
        <patternFill>
          <bgColor theme="0"/>
        </patternFill>
      </fill>
    </dxf>
    <dxf>
      <fill>
        <patternFill>
          <bgColor rgb="FFFF0000"/>
        </patternFill>
      </fill>
    </dxf>
    <dxf>
      <font>
        <color theme="1"/>
      </font>
    </dxf>
    <dxf>
      <font>
        <color auto="1"/>
      </font>
    </dxf>
    <dxf>
      <fill>
        <patternFill>
          <bgColor rgb="FFFF0000"/>
        </patternFill>
      </fill>
    </dxf>
    <dxf>
      <font>
        <color theme="0"/>
      </font>
      <fill>
        <patternFill>
          <bgColor theme="0"/>
        </patternFill>
      </fill>
    </dxf>
    <dxf>
      <font>
        <color theme="1"/>
      </font>
    </dxf>
    <dxf>
      <fill>
        <patternFill>
          <bgColor rgb="FFFF0000"/>
        </patternFill>
      </fill>
    </dxf>
    <dxf>
      <fill>
        <patternFill>
          <bgColor rgb="FFFF0000"/>
        </patternFill>
      </fill>
    </dxf>
    <dxf>
      <fill>
        <patternFill>
          <bgColor rgb="FFFF0000"/>
        </patternFill>
      </fill>
    </dxf>
    <dxf>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theme="0"/>
      </font>
    </dxf>
    <dxf>
      <font>
        <color theme="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theme="0"/>
      </font>
    </dxf>
    <dxf>
      <font>
        <color theme="0"/>
      </font>
    </dxf>
    <dxf>
      <font>
        <color theme="0"/>
      </font>
    </dxf>
    <dxf>
      <fill>
        <patternFill>
          <bgColor rgb="FFFF0000"/>
        </patternFill>
      </fill>
    </dxf>
    <dxf>
      <font>
        <color theme="0"/>
      </font>
    </dxf>
    <dxf>
      <fill>
        <patternFill>
          <bgColor rgb="FFFF0000"/>
        </patternFill>
      </fill>
    </dxf>
    <dxf>
      <font>
        <color theme="0"/>
      </font>
    </dxf>
    <dxf>
      <font>
        <color theme="0"/>
      </font>
    </dxf>
    <dxf>
      <fill>
        <patternFill>
          <bgColor rgb="FFFF0000"/>
        </patternFill>
      </fill>
    </dxf>
    <dxf>
      <fill>
        <patternFill>
          <bgColor rgb="FFFF000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66"/>
        </patternFill>
      </fill>
    </dxf>
    <dxf>
      <fill>
        <patternFill>
          <bgColor rgb="FFFF0000"/>
        </patternFill>
      </fill>
    </dxf>
    <dxf>
      <fill>
        <patternFill>
          <bgColor rgb="FFFF0000"/>
        </patternFill>
      </fill>
    </dxf>
    <dxf>
      <fill>
        <patternFill>
          <bgColor rgb="FFFFFF66"/>
        </patternFill>
      </fill>
    </dxf>
    <dxf>
      <fill>
        <patternFill>
          <bgColor rgb="FFFF0000"/>
        </patternFill>
      </fill>
    </dxf>
    <dxf>
      <fill>
        <patternFill>
          <bgColor rgb="FFFF0000"/>
        </patternFill>
      </fill>
    </dxf>
    <dxf>
      <fill>
        <patternFill>
          <bgColor rgb="FFFFFF66"/>
        </patternFill>
      </fill>
    </dxf>
    <dxf>
      <fill>
        <patternFill>
          <bgColor rgb="FFFF0000"/>
        </patternFill>
      </fill>
    </dxf>
    <dxf>
      <fill>
        <patternFill>
          <bgColor rgb="FFFF0000"/>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C000"/>
        </patternFill>
      </fill>
    </dxf>
    <dxf>
      <fill>
        <patternFill>
          <bgColor rgb="FFFFC000"/>
        </patternFill>
      </fill>
    </dxf>
    <dxf>
      <fill>
        <patternFill>
          <bgColor rgb="FFFF000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C00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C00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C000"/>
        </patternFill>
      </fill>
    </dxf>
    <dxf>
      <fill>
        <patternFill>
          <bgColor rgb="FFFF0000"/>
        </patternFill>
      </fill>
    </dxf>
    <dxf>
      <fill>
        <patternFill>
          <bgColor rgb="FFFF0000"/>
        </patternFill>
      </fill>
    </dxf>
    <dxf>
      <font>
        <color theme="0"/>
      </font>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ill>
        <patternFill>
          <bgColor rgb="FFFF000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theme="0"/>
        </patternFill>
      </fill>
    </dxf>
    <dxf>
      <fill>
        <patternFill>
          <bgColor rgb="FFFF0000"/>
        </patternFill>
      </fill>
    </dxf>
    <dxf>
      <fill>
        <patternFill>
          <bgColor rgb="FFFF0000"/>
        </patternFill>
      </fill>
    </dxf>
    <dxf>
      <font>
        <color theme="0"/>
      </font>
      <fill>
        <patternFill>
          <bgColor theme="0"/>
        </patternFill>
      </fill>
    </dxf>
    <dxf>
      <font>
        <color theme="0"/>
      </font>
    </dxf>
    <dxf>
      <font>
        <color theme="0"/>
      </font>
    </dxf>
    <dxf>
      <font>
        <color theme="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ill>
        <patternFill>
          <bgColor rgb="FFFF0000"/>
        </patternFill>
      </fill>
    </dxf>
    <dxf>
      <font>
        <color theme="0"/>
      </font>
      <fill>
        <patternFill>
          <bgColor theme="0"/>
        </patternFill>
      </fill>
    </dxf>
    <dxf>
      <font>
        <color theme="0"/>
      </font>
    </dxf>
    <dxf>
      <fill>
        <patternFill>
          <bgColor rgb="FFFF0000"/>
        </patternFill>
      </fill>
    </dxf>
    <dxf>
      <font>
        <color theme="0"/>
      </font>
      <fill>
        <patternFill>
          <bgColor theme="0"/>
        </patternFill>
      </fill>
    </dxf>
    <dxf>
      <font>
        <color theme="0"/>
      </font>
    </dxf>
    <dxf>
      <font>
        <color theme="0"/>
      </font>
      <fill>
        <patternFill>
          <bgColor theme="0"/>
        </patternFill>
      </fill>
    </dxf>
    <dxf>
      <fill>
        <patternFill>
          <bgColor rgb="FFFF0000"/>
        </patternFill>
      </fill>
    </dxf>
    <dxf>
      <font>
        <color theme="0"/>
      </font>
    </dxf>
    <dxf>
      <fill>
        <patternFill>
          <bgColor rgb="FFFF000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FFFFFF"/>
      <color rgb="FF165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699B95C-5B53-4EE7-9C8A-403A39D9E045}" type="doc">
      <dgm:prSet loTypeId="urn:microsoft.com/office/officeart/2005/8/layout/bProcess3" loCatId="process" qsTypeId="urn:microsoft.com/office/officeart/2005/8/quickstyle/simple1" qsCatId="simple" csTypeId="urn:microsoft.com/office/officeart/2005/8/colors/accent1_2" csCatId="accent1" phldr="1"/>
      <dgm:spPr/>
      <dgm:t>
        <a:bodyPr/>
        <a:lstStyle/>
        <a:p>
          <a:endParaRPr lang="en-US"/>
        </a:p>
      </dgm:t>
    </dgm:pt>
    <dgm:pt modelId="{A485C4AF-A435-4AE4-B36E-0069F91C80E8}">
      <dgm:prSet phldrT="[Text]"/>
      <dgm:spPr/>
      <dgm:t>
        <a:bodyPr/>
        <a:lstStyle/>
        <a:p>
          <a:r>
            <a:rPr lang="en-US"/>
            <a:t>ESTIMATE</a:t>
          </a:r>
        </a:p>
      </dgm:t>
    </dgm:pt>
    <dgm:pt modelId="{10A588AF-2DB5-4EC9-93A9-D6840E1BA023}" type="parTrans" cxnId="{B101C74A-D126-4DA8-9DD9-625A3A64DDDA}">
      <dgm:prSet/>
      <dgm:spPr/>
      <dgm:t>
        <a:bodyPr/>
        <a:lstStyle/>
        <a:p>
          <a:endParaRPr lang="en-US"/>
        </a:p>
      </dgm:t>
    </dgm:pt>
    <dgm:pt modelId="{3DD378D4-43B2-415F-9092-B116E614999C}" type="sibTrans" cxnId="{B101C74A-D126-4DA8-9DD9-625A3A64DDDA}">
      <dgm:prSet/>
      <dgm:spPr/>
      <dgm:t>
        <a:bodyPr/>
        <a:lstStyle/>
        <a:p>
          <a:endParaRPr lang="en-US"/>
        </a:p>
      </dgm:t>
    </dgm:pt>
    <dgm:pt modelId="{4214C631-DFC5-41B5-896D-93F6B35EA939}">
      <dgm:prSet phldrT="[Text]"/>
      <dgm:spPr/>
      <dgm:t>
        <a:bodyPr/>
        <a:lstStyle/>
        <a:p>
          <a:r>
            <a:rPr lang="en-US"/>
            <a:t>CUT SHEETS  YES/NO	</a:t>
          </a:r>
        </a:p>
      </dgm:t>
    </dgm:pt>
    <dgm:pt modelId="{FA0F68BD-E828-42AA-A948-171105E003D3}" type="parTrans" cxnId="{8A53BA95-0FE9-4844-8FF0-DFE942A658A4}">
      <dgm:prSet/>
      <dgm:spPr/>
      <dgm:t>
        <a:bodyPr/>
        <a:lstStyle/>
        <a:p>
          <a:endParaRPr lang="en-US"/>
        </a:p>
      </dgm:t>
    </dgm:pt>
    <dgm:pt modelId="{96F9AF1D-9B6B-4E70-A90A-3448AB87A36C}" type="sibTrans" cxnId="{8A53BA95-0FE9-4844-8FF0-DFE942A658A4}">
      <dgm:prSet/>
      <dgm:spPr/>
      <dgm:t>
        <a:bodyPr/>
        <a:lstStyle/>
        <a:p>
          <a:endParaRPr lang="en-US"/>
        </a:p>
      </dgm:t>
    </dgm:pt>
    <dgm:pt modelId="{44CA0952-BD99-451D-BDA3-150F6992EBD0}">
      <dgm:prSet phldrT="[Text]"/>
      <dgm:spPr/>
      <dgm:t>
        <a:bodyPr/>
        <a:lstStyle/>
        <a:p>
          <a:r>
            <a:rPr lang="en-US"/>
            <a:t>AWARD P/O RECIEVED</a:t>
          </a:r>
        </a:p>
      </dgm:t>
    </dgm:pt>
    <dgm:pt modelId="{38DE5701-142A-4836-BDB7-59EE36FFCA34}" type="parTrans" cxnId="{64344E7E-ADB1-4B48-BC7B-5E88B53E9B36}">
      <dgm:prSet/>
      <dgm:spPr/>
      <dgm:t>
        <a:bodyPr/>
        <a:lstStyle/>
        <a:p>
          <a:endParaRPr lang="en-US"/>
        </a:p>
      </dgm:t>
    </dgm:pt>
    <dgm:pt modelId="{2E41146F-3F64-454A-B480-C3EB6EBC0C33}" type="sibTrans" cxnId="{64344E7E-ADB1-4B48-BC7B-5E88B53E9B36}">
      <dgm:prSet/>
      <dgm:spPr/>
      <dgm:t>
        <a:bodyPr/>
        <a:lstStyle/>
        <a:p>
          <a:endParaRPr lang="en-US"/>
        </a:p>
      </dgm:t>
    </dgm:pt>
    <dgm:pt modelId="{D0D68544-5A14-445C-8796-7C06BEA8EE00}">
      <dgm:prSet phldrT="[Text]"/>
      <dgm:spPr/>
      <dgm:t>
        <a:bodyPr/>
        <a:lstStyle/>
        <a:p>
          <a:r>
            <a:rPr lang="en-US"/>
            <a:t>CHECK PRICE</a:t>
          </a:r>
        </a:p>
      </dgm:t>
    </dgm:pt>
    <dgm:pt modelId="{A70F81DA-3F9F-4ADA-9C05-F0BDF54FA120}" type="parTrans" cxnId="{8F5A4EF3-AF1F-4649-935B-E8FA8E27FBA8}">
      <dgm:prSet/>
      <dgm:spPr/>
      <dgm:t>
        <a:bodyPr/>
        <a:lstStyle/>
        <a:p>
          <a:endParaRPr lang="en-US"/>
        </a:p>
      </dgm:t>
    </dgm:pt>
    <dgm:pt modelId="{C8DF4A67-B895-4C2A-B96F-F85218FCCA35}" type="sibTrans" cxnId="{8F5A4EF3-AF1F-4649-935B-E8FA8E27FBA8}">
      <dgm:prSet/>
      <dgm:spPr/>
      <dgm:t>
        <a:bodyPr/>
        <a:lstStyle/>
        <a:p>
          <a:endParaRPr lang="en-US"/>
        </a:p>
      </dgm:t>
    </dgm:pt>
    <dgm:pt modelId="{C0F5C2CD-8B12-4AAD-BE23-50E0B98C487D}">
      <dgm:prSet phldrT="[Text]"/>
      <dgm:spPr/>
      <dgm:t>
        <a:bodyPr/>
        <a:lstStyle/>
        <a:p>
          <a:r>
            <a:rPr lang="en-US"/>
            <a:t>UPDATE QB ITEM MASTER	 	</a:t>
          </a:r>
        </a:p>
      </dgm:t>
    </dgm:pt>
    <dgm:pt modelId="{61D180D9-3114-4DAE-BF42-EF16A1BD42D1}" type="parTrans" cxnId="{72C8E0ED-514F-4911-8CBF-939CC2097737}">
      <dgm:prSet/>
      <dgm:spPr/>
      <dgm:t>
        <a:bodyPr/>
        <a:lstStyle/>
        <a:p>
          <a:endParaRPr lang="en-US"/>
        </a:p>
      </dgm:t>
    </dgm:pt>
    <dgm:pt modelId="{B6C12DC0-11D5-4BC4-AEE7-4E6E3C6F06F6}" type="sibTrans" cxnId="{72C8E0ED-514F-4911-8CBF-939CC2097737}">
      <dgm:prSet/>
      <dgm:spPr/>
      <dgm:t>
        <a:bodyPr/>
        <a:lstStyle/>
        <a:p>
          <a:endParaRPr lang="en-US"/>
        </a:p>
      </dgm:t>
    </dgm:pt>
    <dgm:pt modelId="{0B40C10D-E0EC-4B02-BB7C-71BF1764163B}">
      <dgm:prSet phldrT="[Text]"/>
      <dgm:spPr/>
      <dgm:t>
        <a:bodyPr/>
        <a:lstStyle/>
        <a:p>
          <a:r>
            <a:rPr lang="en-US"/>
            <a:t>PULL IN FROM QUOTE SALES AND VENDOR DESCRIPTIONS</a:t>
          </a:r>
        </a:p>
      </dgm:t>
    </dgm:pt>
    <dgm:pt modelId="{7463C0EB-55A4-4C6A-A5F1-3006ACAE3377}" type="parTrans" cxnId="{6DD7FEA6-F26E-4553-9ECC-2F060E3D2E9E}">
      <dgm:prSet/>
      <dgm:spPr/>
      <dgm:t>
        <a:bodyPr/>
        <a:lstStyle/>
        <a:p>
          <a:endParaRPr lang="en-US"/>
        </a:p>
      </dgm:t>
    </dgm:pt>
    <dgm:pt modelId="{8E5D1BC0-0E83-4F18-B046-A4B0E23E6300}" type="sibTrans" cxnId="{6DD7FEA6-F26E-4553-9ECC-2F060E3D2E9E}">
      <dgm:prSet/>
      <dgm:spPr/>
      <dgm:t>
        <a:bodyPr/>
        <a:lstStyle/>
        <a:p>
          <a:endParaRPr lang="en-US"/>
        </a:p>
      </dgm:t>
    </dgm:pt>
    <dgm:pt modelId="{BB59CEDC-D84C-40A6-8D84-61EAD552B46B}">
      <dgm:prSet phldrT="[Text]"/>
      <dgm:spPr/>
      <dgm:t>
        <a:bodyPr/>
        <a:lstStyle/>
        <a:p>
          <a:r>
            <a:rPr lang="en-US"/>
            <a:t>ACKNOWLEDGE ORDER</a:t>
          </a:r>
        </a:p>
      </dgm:t>
    </dgm:pt>
    <dgm:pt modelId="{AC85B286-BAEF-4A55-9FF7-FB1BC89415DA}" type="parTrans" cxnId="{FE6C9127-936B-4F22-B4D2-0978CB65E400}">
      <dgm:prSet/>
      <dgm:spPr/>
      <dgm:t>
        <a:bodyPr/>
        <a:lstStyle/>
        <a:p>
          <a:endParaRPr lang="en-US"/>
        </a:p>
      </dgm:t>
    </dgm:pt>
    <dgm:pt modelId="{94956441-BA0B-4CA8-97B9-A65D6864135E}" type="sibTrans" cxnId="{FE6C9127-936B-4F22-B4D2-0978CB65E400}">
      <dgm:prSet/>
      <dgm:spPr/>
      <dgm:t>
        <a:bodyPr/>
        <a:lstStyle/>
        <a:p>
          <a:endParaRPr lang="en-US"/>
        </a:p>
      </dgm:t>
    </dgm:pt>
    <dgm:pt modelId="{90B5A10A-B0D0-4CFA-B19E-BECC04F808DD}">
      <dgm:prSet phldrT="[Text]"/>
      <dgm:spPr/>
      <dgm:t>
        <a:bodyPr/>
        <a:lstStyle/>
        <a:p>
          <a:r>
            <a:rPr lang="en-US"/>
            <a:t>ENTER PURCHASE ORDERS H/M   ENTER PURCHASE ORDERS HDWE	</a:t>
          </a:r>
        </a:p>
      </dgm:t>
    </dgm:pt>
    <dgm:pt modelId="{D0AF1410-0744-4825-9C7E-B9653E44BA3C}" type="parTrans" cxnId="{ED1CEF27-45A5-4086-AF74-20F3377A828E}">
      <dgm:prSet/>
      <dgm:spPr/>
      <dgm:t>
        <a:bodyPr/>
        <a:lstStyle/>
        <a:p>
          <a:endParaRPr lang="en-US"/>
        </a:p>
      </dgm:t>
    </dgm:pt>
    <dgm:pt modelId="{5116A324-5E7F-443A-B39D-D80CFCCCCCFB}" type="sibTrans" cxnId="{ED1CEF27-45A5-4086-AF74-20F3377A828E}">
      <dgm:prSet/>
      <dgm:spPr/>
      <dgm:t>
        <a:bodyPr/>
        <a:lstStyle/>
        <a:p>
          <a:endParaRPr lang="en-US"/>
        </a:p>
      </dgm:t>
    </dgm:pt>
    <dgm:pt modelId="{AA631705-026F-464E-8B1B-5764176FC5CF}">
      <dgm:prSet phldrT="[Text]"/>
      <dgm:spPr/>
      <dgm:t>
        <a:bodyPr/>
        <a:lstStyle/>
        <a:p>
          <a:r>
            <a:rPr lang="en-US"/>
            <a:t>SHIP H/M DIRECT RECIEVE AND KIT HDWE AT IES</a:t>
          </a:r>
        </a:p>
      </dgm:t>
    </dgm:pt>
    <dgm:pt modelId="{681FCAD7-75D5-4AAE-9785-8CF9FA55CAFB}" type="parTrans" cxnId="{A3A4184F-88D9-4DDC-B50B-54CCBE817E22}">
      <dgm:prSet/>
      <dgm:spPr/>
      <dgm:t>
        <a:bodyPr/>
        <a:lstStyle/>
        <a:p>
          <a:endParaRPr lang="en-US"/>
        </a:p>
      </dgm:t>
    </dgm:pt>
    <dgm:pt modelId="{3A8A1D08-28EC-49EC-9B71-C40137C2A5FA}" type="sibTrans" cxnId="{A3A4184F-88D9-4DDC-B50B-54CCBE817E22}">
      <dgm:prSet/>
      <dgm:spPr/>
      <dgm:t>
        <a:bodyPr/>
        <a:lstStyle/>
        <a:p>
          <a:endParaRPr lang="en-US"/>
        </a:p>
      </dgm:t>
    </dgm:pt>
    <dgm:pt modelId="{65E83734-53C0-4C20-93A6-83CE57794D88}" type="pres">
      <dgm:prSet presAssocID="{4699B95C-5B53-4EE7-9C8A-403A39D9E045}" presName="Name0" presStyleCnt="0">
        <dgm:presLayoutVars>
          <dgm:dir/>
          <dgm:resizeHandles val="exact"/>
        </dgm:presLayoutVars>
      </dgm:prSet>
      <dgm:spPr/>
    </dgm:pt>
    <dgm:pt modelId="{3B7CF652-E02F-4426-A933-0EE75D4D6BF8}" type="pres">
      <dgm:prSet presAssocID="{A485C4AF-A435-4AE4-B36E-0069F91C80E8}" presName="node" presStyleLbl="node1" presStyleIdx="0" presStyleCnt="9">
        <dgm:presLayoutVars>
          <dgm:bulletEnabled val="1"/>
        </dgm:presLayoutVars>
      </dgm:prSet>
      <dgm:spPr/>
    </dgm:pt>
    <dgm:pt modelId="{AB440482-2F0A-4236-B6D9-1B5E2769F94C}" type="pres">
      <dgm:prSet presAssocID="{3DD378D4-43B2-415F-9092-B116E614999C}" presName="sibTrans" presStyleLbl="sibTrans1D1" presStyleIdx="0" presStyleCnt="8"/>
      <dgm:spPr/>
    </dgm:pt>
    <dgm:pt modelId="{079F5D83-D769-41A7-9889-3F59878F0DB3}" type="pres">
      <dgm:prSet presAssocID="{3DD378D4-43B2-415F-9092-B116E614999C}" presName="connectorText" presStyleLbl="sibTrans1D1" presStyleIdx="0" presStyleCnt="8"/>
      <dgm:spPr/>
    </dgm:pt>
    <dgm:pt modelId="{762DBCFF-7371-4FC8-82EF-73A2FC10FBB7}" type="pres">
      <dgm:prSet presAssocID="{4214C631-DFC5-41B5-896D-93F6B35EA939}" presName="node" presStyleLbl="node1" presStyleIdx="1" presStyleCnt="9">
        <dgm:presLayoutVars>
          <dgm:bulletEnabled val="1"/>
        </dgm:presLayoutVars>
      </dgm:prSet>
      <dgm:spPr/>
    </dgm:pt>
    <dgm:pt modelId="{85B0C874-75AB-48DF-85F6-694F3E072627}" type="pres">
      <dgm:prSet presAssocID="{96F9AF1D-9B6B-4E70-A90A-3448AB87A36C}" presName="sibTrans" presStyleLbl="sibTrans1D1" presStyleIdx="1" presStyleCnt="8"/>
      <dgm:spPr/>
    </dgm:pt>
    <dgm:pt modelId="{93BC6D12-1DAB-4166-98E7-8F44F35E029E}" type="pres">
      <dgm:prSet presAssocID="{96F9AF1D-9B6B-4E70-A90A-3448AB87A36C}" presName="connectorText" presStyleLbl="sibTrans1D1" presStyleIdx="1" presStyleCnt="8"/>
      <dgm:spPr/>
    </dgm:pt>
    <dgm:pt modelId="{5F90B970-4862-480E-A624-3F24BD97CA1B}" type="pres">
      <dgm:prSet presAssocID="{44CA0952-BD99-451D-BDA3-150F6992EBD0}" presName="node" presStyleLbl="node1" presStyleIdx="2" presStyleCnt="9">
        <dgm:presLayoutVars>
          <dgm:bulletEnabled val="1"/>
        </dgm:presLayoutVars>
      </dgm:prSet>
      <dgm:spPr/>
    </dgm:pt>
    <dgm:pt modelId="{14CCB4FE-5BEA-4C86-867C-58B426CC9226}" type="pres">
      <dgm:prSet presAssocID="{2E41146F-3F64-454A-B480-C3EB6EBC0C33}" presName="sibTrans" presStyleLbl="sibTrans1D1" presStyleIdx="2" presStyleCnt="8"/>
      <dgm:spPr/>
    </dgm:pt>
    <dgm:pt modelId="{C9177617-FDFF-44C5-B61E-86C7C67AB118}" type="pres">
      <dgm:prSet presAssocID="{2E41146F-3F64-454A-B480-C3EB6EBC0C33}" presName="connectorText" presStyleLbl="sibTrans1D1" presStyleIdx="2" presStyleCnt="8"/>
      <dgm:spPr/>
    </dgm:pt>
    <dgm:pt modelId="{9450B394-A863-449B-9E70-A240393AB8A9}" type="pres">
      <dgm:prSet presAssocID="{D0D68544-5A14-445C-8796-7C06BEA8EE00}" presName="node" presStyleLbl="node1" presStyleIdx="3" presStyleCnt="9">
        <dgm:presLayoutVars>
          <dgm:bulletEnabled val="1"/>
        </dgm:presLayoutVars>
      </dgm:prSet>
      <dgm:spPr/>
    </dgm:pt>
    <dgm:pt modelId="{C8919474-E2BB-478D-BF0B-4353CA79AF1E}" type="pres">
      <dgm:prSet presAssocID="{C8DF4A67-B895-4C2A-B96F-F85218FCCA35}" presName="sibTrans" presStyleLbl="sibTrans1D1" presStyleIdx="3" presStyleCnt="8"/>
      <dgm:spPr/>
    </dgm:pt>
    <dgm:pt modelId="{78B097A5-EFA1-4F06-86C2-67FCD29A73F5}" type="pres">
      <dgm:prSet presAssocID="{C8DF4A67-B895-4C2A-B96F-F85218FCCA35}" presName="connectorText" presStyleLbl="sibTrans1D1" presStyleIdx="3" presStyleCnt="8"/>
      <dgm:spPr/>
    </dgm:pt>
    <dgm:pt modelId="{01F57852-50AB-4E7C-8E77-D3C779F94280}" type="pres">
      <dgm:prSet presAssocID="{C0F5C2CD-8B12-4AAD-BE23-50E0B98C487D}" presName="node" presStyleLbl="node1" presStyleIdx="4" presStyleCnt="9">
        <dgm:presLayoutVars>
          <dgm:bulletEnabled val="1"/>
        </dgm:presLayoutVars>
      </dgm:prSet>
      <dgm:spPr/>
    </dgm:pt>
    <dgm:pt modelId="{270A3DA0-842E-48EA-BC1E-EF7744B7869A}" type="pres">
      <dgm:prSet presAssocID="{B6C12DC0-11D5-4BC4-AEE7-4E6E3C6F06F6}" presName="sibTrans" presStyleLbl="sibTrans1D1" presStyleIdx="4" presStyleCnt="8"/>
      <dgm:spPr/>
    </dgm:pt>
    <dgm:pt modelId="{342DA5D5-EEA6-4E53-A5B8-46A41231A20E}" type="pres">
      <dgm:prSet presAssocID="{B6C12DC0-11D5-4BC4-AEE7-4E6E3C6F06F6}" presName="connectorText" presStyleLbl="sibTrans1D1" presStyleIdx="4" presStyleCnt="8"/>
      <dgm:spPr/>
    </dgm:pt>
    <dgm:pt modelId="{8BC3955C-E9B6-4D26-A14D-CB7DB7656D6F}" type="pres">
      <dgm:prSet presAssocID="{0B40C10D-E0EC-4B02-BB7C-71BF1764163B}" presName="node" presStyleLbl="node1" presStyleIdx="5" presStyleCnt="9">
        <dgm:presLayoutVars>
          <dgm:bulletEnabled val="1"/>
        </dgm:presLayoutVars>
      </dgm:prSet>
      <dgm:spPr/>
    </dgm:pt>
    <dgm:pt modelId="{778F75D6-1120-4752-8501-02AD1600D0C3}" type="pres">
      <dgm:prSet presAssocID="{8E5D1BC0-0E83-4F18-B046-A4B0E23E6300}" presName="sibTrans" presStyleLbl="sibTrans1D1" presStyleIdx="5" presStyleCnt="8"/>
      <dgm:spPr/>
    </dgm:pt>
    <dgm:pt modelId="{4DCF9813-E80E-4A10-A1C6-D7388447FC6A}" type="pres">
      <dgm:prSet presAssocID="{8E5D1BC0-0E83-4F18-B046-A4B0E23E6300}" presName="connectorText" presStyleLbl="sibTrans1D1" presStyleIdx="5" presStyleCnt="8"/>
      <dgm:spPr/>
    </dgm:pt>
    <dgm:pt modelId="{52306994-FEB0-4DAC-9464-28B6F59A1D61}" type="pres">
      <dgm:prSet presAssocID="{BB59CEDC-D84C-40A6-8D84-61EAD552B46B}" presName="node" presStyleLbl="node1" presStyleIdx="6" presStyleCnt="9">
        <dgm:presLayoutVars>
          <dgm:bulletEnabled val="1"/>
        </dgm:presLayoutVars>
      </dgm:prSet>
      <dgm:spPr/>
    </dgm:pt>
    <dgm:pt modelId="{75E77E54-9BCE-4C0F-BF27-A8FD7AFFD955}" type="pres">
      <dgm:prSet presAssocID="{94956441-BA0B-4CA8-97B9-A65D6864135E}" presName="sibTrans" presStyleLbl="sibTrans1D1" presStyleIdx="6" presStyleCnt="8"/>
      <dgm:spPr/>
    </dgm:pt>
    <dgm:pt modelId="{E70A2D3C-F3DC-461D-A303-413EF49164DF}" type="pres">
      <dgm:prSet presAssocID="{94956441-BA0B-4CA8-97B9-A65D6864135E}" presName="connectorText" presStyleLbl="sibTrans1D1" presStyleIdx="6" presStyleCnt="8"/>
      <dgm:spPr/>
    </dgm:pt>
    <dgm:pt modelId="{8FB7D61A-803E-4C30-80CA-10622A71C62D}" type="pres">
      <dgm:prSet presAssocID="{90B5A10A-B0D0-4CFA-B19E-BECC04F808DD}" presName="node" presStyleLbl="node1" presStyleIdx="7" presStyleCnt="9">
        <dgm:presLayoutVars>
          <dgm:bulletEnabled val="1"/>
        </dgm:presLayoutVars>
      </dgm:prSet>
      <dgm:spPr/>
    </dgm:pt>
    <dgm:pt modelId="{C5A71752-75E6-439B-B14C-BBF1883DC5E9}" type="pres">
      <dgm:prSet presAssocID="{5116A324-5E7F-443A-B39D-D80CFCCCCCFB}" presName="sibTrans" presStyleLbl="sibTrans1D1" presStyleIdx="7" presStyleCnt="8"/>
      <dgm:spPr/>
    </dgm:pt>
    <dgm:pt modelId="{4BC037C7-A63C-4515-AFEF-FBF340B88C88}" type="pres">
      <dgm:prSet presAssocID="{5116A324-5E7F-443A-B39D-D80CFCCCCCFB}" presName="connectorText" presStyleLbl="sibTrans1D1" presStyleIdx="7" presStyleCnt="8"/>
      <dgm:spPr/>
    </dgm:pt>
    <dgm:pt modelId="{5DA5D0D9-DAF0-4A05-9BBF-1D4B3400D68F}" type="pres">
      <dgm:prSet presAssocID="{AA631705-026F-464E-8B1B-5764176FC5CF}" presName="node" presStyleLbl="node1" presStyleIdx="8" presStyleCnt="9">
        <dgm:presLayoutVars>
          <dgm:bulletEnabled val="1"/>
        </dgm:presLayoutVars>
      </dgm:prSet>
      <dgm:spPr/>
    </dgm:pt>
  </dgm:ptLst>
  <dgm:cxnLst>
    <dgm:cxn modelId="{EE361A06-E8C7-4190-A0F4-C91470DE418F}" type="presOf" srcId="{4699B95C-5B53-4EE7-9C8A-403A39D9E045}" destId="{65E83734-53C0-4C20-93A6-83CE57794D88}" srcOrd="0" destOrd="0" presId="urn:microsoft.com/office/officeart/2005/8/layout/bProcess3"/>
    <dgm:cxn modelId="{87A7C006-696F-44C5-88E6-AA41D0EB7764}" type="presOf" srcId="{94956441-BA0B-4CA8-97B9-A65D6864135E}" destId="{E70A2D3C-F3DC-461D-A303-413EF49164DF}" srcOrd="1" destOrd="0" presId="urn:microsoft.com/office/officeart/2005/8/layout/bProcess3"/>
    <dgm:cxn modelId="{D945EF08-9E54-4B53-852A-56F3A0312C3A}" type="presOf" srcId="{0B40C10D-E0EC-4B02-BB7C-71BF1764163B}" destId="{8BC3955C-E9B6-4D26-A14D-CB7DB7656D6F}" srcOrd="0" destOrd="0" presId="urn:microsoft.com/office/officeart/2005/8/layout/bProcess3"/>
    <dgm:cxn modelId="{6D648F10-C2C1-4F4D-9975-A237F957468B}" type="presOf" srcId="{C8DF4A67-B895-4C2A-B96F-F85218FCCA35}" destId="{C8919474-E2BB-478D-BF0B-4353CA79AF1E}" srcOrd="0" destOrd="0" presId="urn:microsoft.com/office/officeart/2005/8/layout/bProcess3"/>
    <dgm:cxn modelId="{ACBB5B12-4AA6-4D00-B7D5-0A9103F78600}" type="presOf" srcId="{90B5A10A-B0D0-4CFA-B19E-BECC04F808DD}" destId="{8FB7D61A-803E-4C30-80CA-10622A71C62D}" srcOrd="0" destOrd="0" presId="urn:microsoft.com/office/officeart/2005/8/layout/bProcess3"/>
    <dgm:cxn modelId="{E180CF16-70B7-49CF-A5B6-664EFD01C2F2}" type="presOf" srcId="{4214C631-DFC5-41B5-896D-93F6B35EA939}" destId="{762DBCFF-7371-4FC8-82EF-73A2FC10FBB7}" srcOrd="0" destOrd="0" presId="urn:microsoft.com/office/officeart/2005/8/layout/bProcess3"/>
    <dgm:cxn modelId="{FE6C9127-936B-4F22-B4D2-0978CB65E400}" srcId="{4699B95C-5B53-4EE7-9C8A-403A39D9E045}" destId="{BB59CEDC-D84C-40A6-8D84-61EAD552B46B}" srcOrd="6" destOrd="0" parTransId="{AC85B286-BAEF-4A55-9FF7-FB1BC89415DA}" sibTransId="{94956441-BA0B-4CA8-97B9-A65D6864135E}"/>
    <dgm:cxn modelId="{ED1CEF27-45A5-4086-AF74-20F3377A828E}" srcId="{4699B95C-5B53-4EE7-9C8A-403A39D9E045}" destId="{90B5A10A-B0D0-4CFA-B19E-BECC04F808DD}" srcOrd="7" destOrd="0" parTransId="{D0AF1410-0744-4825-9C7E-B9653E44BA3C}" sibTransId="{5116A324-5E7F-443A-B39D-D80CFCCCCCFB}"/>
    <dgm:cxn modelId="{E3DE7E2F-8AF9-416D-9F43-B777F95807E3}" type="presOf" srcId="{AA631705-026F-464E-8B1B-5764176FC5CF}" destId="{5DA5D0D9-DAF0-4A05-9BBF-1D4B3400D68F}" srcOrd="0" destOrd="0" presId="urn:microsoft.com/office/officeart/2005/8/layout/bProcess3"/>
    <dgm:cxn modelId="{B101C74A-D126-4DA8-9DD9-625A3A64DDDA}" srcId="{4699B95C-5B53-4EE7-9C8A-403A39D9E045}" destId="{A485C4AF-A435-4AE4-B36E-0069F91C80E8}" srcOrd="0" destOrd="0" parTransId="{10A588AF-2DB5-4EC9-93A9-D6840E1BA023}" sibTransId="{3DD378D4-43B2-415F-9092-B116E614999C}"/>
    <dgm:cxn modelId="{296D436E-C440-4CBE-ABCC-7E480A8F75B3}" type="presOf" srcId="{A485C4AF-A435-4AE4-B36E-0069F91C80E8}" destId="{3B7CF652-E02F-4426-A933-0EE75D4D6BF8}" srcOrd="0" destOrd="0" presId="urn:microsoft.com/office/officeart/2005/8/layout/bProcess3"/>
    <dgm:cxn modelId="{A3A4184F-88D9-4DDC-B50B-54CCBE817E22}" srcId="{4699B95C-5B53-4EE7-9C8A-403A39D9E045}" destId="{AA631705-026F-464E-8B1B-5764176FC5CF}" srcOrd="8" destOrd="0" parTransId="{681FCAD7-75D5-4AAE-9785-8CF9FA55CAFB}" sibTransId="{3A8A1D08-28EC-49EC-9B71-C40137C2A5FA}"/>
    <dgm:cxn modelId="{009A1F54-C58B-4DD2-8904-154E5BAC7030}" type="presOf" srcId="{8E5D1BC0-0E83-4F18-B046-A4B0E23E6300}" destId="{4DCF9813-E80E-4A10-A1C6-D7388447FC6A}" srcOrd="1" destOrd="0" presId="urn:microsoft.com/office/officeart/2005/8/layout/bProcess3"/>
    <dgm:cxn modelId="{0C11777A-009D-4FEA-9A46-67600FE1FDA1}" type="presOf" srcId="{B6C12DC0-11D5-4BC4-AEE7-4E6E3C6F06F6}" destId="{342DA5D5-EEA6-4E53-A5B8-46A41231A20E}" srcOrd="1" destOrd="0" presId="urn:microsoft.com/office/officeart/2005/8/layout/bProcess3"/>
    <dgm:cxn modelId="{13CA4F7C-7DD4-45A9-84B7-68FD863EDECE}" type="presOf" srcId="{D0D68544-5A14-445C-8796-7C06BEA8EE00}" destId="{9450B394-A863-449B-9E70-A240393AB8A9}" srcOrd="0" destOrd="0" presId="urn:microsoft.com/office/officeart/2005/8/layout/bProcess3"/>
    <dgm:cxn modelId="{64344E7E-ADB1-4B48-BC7B-5E88B53E9B36}" srcId="{4699B95C-5B53-4EE7-9C8A-403A39D9E045}" destId="{44CA0952-BD99-451D-BDA3-150F6992EBD0}" srcOrd="2" destOrd="0" parTransId="{38DE5701-142A-4836-BDB7-59EE36FFCA34}" sibTransId="{2E41146F-3F64-454A-B480-C3EB6EBC0C33}"/>
    <dgm:cxn modelId="{8A53BA95-0FE9-4844-8FF0-DFE942A658A4}" srcId="{4699B95C-5B53-4EE7-9C8A-403A39D9E045}" destId="{4214C631-DFC5-41B5-896D-93F6B35EA939}" srcOrd="1" destOrd="0" parTransId="{FA0F68BD-E828-42AA-A948-171105E003D3}" sibTransId="{96F9AF1D-9B6B-4E70-A90A-3448AB87A36C}"/>
    <dgm:cxn modelId="{E039739A-5BFA-4A4E-915C-4F2CC35901E5}" type="presOf" srcId="{96F9AF1D-9B6B-4E70-A90A-3448AB87A36C}" destId="{85B0C874-75AB-48DF-85F6-694F3E072627}" srcOrd="0" destOrd="0" presId="urn:microsoft.com/office/officeart/2005/8/layout/bProcess3"/>
    <dgm:cxn modelId="{A1F6339D-E757-4EED-9EAE-BF96CFB1DE28}" type="presOf" srcId="{96F9AF1D-9B6B-4E70-A90A-3448AB87A36C}" destId="{93BC6D12-1DAB-4166-98E7-8F44F35E029E}" srcOrd="1" destOrd="0" presId="urn:microsoft.com/office/officeart/2005/8/layout/bProcess3"/>
    <dgm:cxn modelId="{D4FB9C9E-A8F7-4C61-BB2F-5B829F165BF0}" type="presOf" srcId="{44CA0952-BD99-451D-BDA3-150F6992EBD0}" destId="{5F90B970-4862-480E-A624-3F24BD97CA1B}" srcOrd="0" destOrd="0" presId="urn:microsoft.com/office/officeart/2005/8/layout/bProcess3"/>
    <dgm:cxn modelId="{3EF0F0A5-226C-4D58-9834-0176FE32AF05}" type="presOf" srcId="{5116A324-5E7F-443A-B39D-D80CFCCCCCFB}" destId="{C5A71752-75E6-439B-B14C-BBF1883DC5E9}" srcOrd="0" destOrd="0" presId="urn:microsoft.com/office/officeart/2005/8/layout/bProcess3"/>
    <dgm:cxn modelId="{6DD7FEA6-F26E-4553-9ECC-2F060E3D2E9E}" srcId="{4699B95C-5B53-4EE7-9C8A-403A39D9E045}" destId="{0B40C10D-E0EC-4B02-BB7C-71BF1764163B}" srcOrd="5" destOrd="0" parTransId="{7463C0EB-55A4-4C6A-A5F1-3006ACAE3377}" sibTransId="{8E5D1BC0-0E83-4F18-B046-A4B0E23E6300}"/>
    <dgm:cxn modelId="{89FC0CA9-CBED-4ED5-90E7-C8EB204E69F8}" type="presOf" srcId="{2E41146F-3F64-454A-B480-C3EB6EBC0C33}" destId="{14CCB4FE-5BEA-4C86-867C-58B426CC9226}" srcOrd="0" destOrd="0" presId="urn:microsoft.com/office/officeart/2005/8/layout/bProcess3"/>
    <dgm:cxn modelId="{31BC32AB-F360-4DD2-BC12-69661CFEFC01}" type="presOf" srcId="{8E5D1BC0-0E83-4F18-B046-A4B0E23E6300}" destId="{778F75D6-1120-4752-8501-02AD1600D0C3}" srcOrd="0" destOrd="0" presId="urn:microsoft.com/office/officeart/2005/8/layout/bProcess3"/>
    <dgm:cxn modelId="{3A78AABC-893A-4933-A598-1D02328CF06D}" type="presOf" srcId="{C0F5C2CD-8B12-4AAD-BE23-50E0B98C487D}" destId="{01F57852-50AB-4E7C-8E77-D3C779F94280}" srcOrd="0" destOrd="0" presId="urn:microsoft.com/office/officeart/2005/8/layout/bProcess3"/>
    <dgm:cxn modelId="{9288CDD3-1805-4E1E-9D2F-4DF0E6F272DB}" type="presOf" srcId="{3DD378D4-43B2-415F-9092-B116E614999C}" destId="{079F5D83-D769-41A7-9889-3F59878F0DB3}" srcOrd="1" destOrd="0" presId="urn:microsoft.com/office/officeart/2005/8/layout/bProcess3"/>
    <dgm:cxn modelId="{D8A09FDA-A27C-43B3-A4B4-ECDCB7E7532A}" type="presOf" srcId="{94956441-BA0B-4CA8-97B9-A65D6864135E}" destId="{75E77E54-9BCE-4C0F-BF27-A8FD7AFFD955}" srcOrd="0" destOrd="0" presId="urn:microsoft.com/office/officeart/2005/8/layout/bProcess3"/>
    <dgm:cxn modelId="{6A360CE3-68D9-4B86-A06B-90B461F744AC}" type="presOf" srcId="{B6C12DC0-11D5-4BC4-AEE7-4E6E3C6F06F6}" destId="{270A3DA0-842E-48EA-BC1E-EF7744B7869A}" srcOrd="0" destOrd="0" presId="urn:microsoft.com/office/officeart/2005/8/layout/bProcess3"/>
    <dgm:cxn modelId="{B5F998E8-DFB7-4915-9BFA-CEAE70C1F0DC}" type="presOf" srcId="{BB59CEDC-D84C-40A6-8D84-61EAD552B46B}" destId="{52306994-FEB0-4DAC-9464-28B6F59A1D61}" srcOrd="0" destOrd="0" presId="urn:microsoft.com/office/officeart/2005/8/layout/bProcess3"/>
    <dgm:cxn modelId="{465AFCE9-A5BC-48AE-8805-92BB087312C6}" type="presOf" srcId="{5116A324-5E7F-443A-B39D-D80CFCCCCCFB}" destId="{4BC037C7-A63C-4515-AFEF-FBF340B88C88}" srcOrd="1" destOrd="0" presId="urn:microsoft.com/office/officeart/2005/8/layout/bProcess3"/>
    <dgm:cxn modelId="{73816AEA-208B-45CD-97B9-37119537A61A}" type="presOf" srcId="{3DD378D4-43B2-415F-9092-B116E614999C}" destId="{AB440482-2F0A-4236-B6D9-1B5E2769F94C}" srcOrd="0" destOrd="0" presId="urn:microsoft.com/office/officeart/2005/8/layout/bProcess3"/>
    <dgm:cxn modelId="{72C8E0ED-514F-4911-8CBF-939CC2097737}" srcId="{4699B95C-5B53-4EE7-9C8A-403A39D9E045}" destId="{C0F5C2CD-8B12-4AAD-BE23-50E0B98C487D}" srcOrd="4" destOrd="0" parTransId="{61D180D9-3114-4DAE-BF42-EF16A1BD42D1}" sibTransId="{B6C12DC0-11D5-4BC4-AEE7-4E6E3C6F06F6}"/>
    <dgm:cxn modelId="{8F5A4EF3-AF1F-4649-935B-E8FA8E27FBA8}" srcId="{4699B95C-5B53-4EE7-9C8A-403A39D9E045}" destId="{D0D68544-5A14-445C-8796-7C06BEA8EE00}" srcOrd="3" destOrd="0" parTransId="{A70F81DA-3F9F-4ADA-9C05-F0BDF54FA120}" sibTransId="{C8DF4A67-B895-4C2A-B96F-F85218FCCA35}"/>
    <dgm:cxn modelId="{1CCA9BF5-0C2D-4BDB-BE99-1256122888AD}" type="presOf" srcId="{2E41146F-3F64-454A-B480-C3EB6EBC0C33}" destId="{C9177617-FDFF-44C5-B61E-86C7C67AB118}" srcOrd="1" destOrd="0" presId="urn:microsoft.com/office/officeart/2005/8/layout/bProcess3"/>
    <dgm:cxn modelId="{8EC298FE-7BFA-41FA-A59B-137959C65224}" type="presOf" srcId="{C8DF4A67-B895-4C2A-B96F-F85218FCCA35}" destId="{78B097A5-EFA1-4F06-86C2-67FCD29A73F5}" srcOrd="1" destOrd="0" presId="urn:microsoft.com/office/officeart/2005/8/layout/bProcess3"/>
    <dgm:cxn modelId="{728AD782-3A71-4AE7-8EFD-AEF590A69CBB}" type="presParOf" srcId="{65E83734-53C0-4C20-93A6-83CE57794D88}" destId="{3B7CF652-E02F-4426-A933-0EE75D4D6BF8}" srcOrd="0" destOrd="0" presId="urn:microsoft.com/office/officeart/2005/8/layout/bProcess3"/>
    <dgm:cxn modelId="{E98E1868-F1F6-4885-883A-22741003B1D2}" type="presParOf" srcId="{65E83734-53C0-4C20-93A6-83CE57794D88}" destId="{AB440482-2F0A-4236-B6D9-1B5E2769F94C}" srcOrd="1" destOrd="0" presId="urn:microsoft.com/office/officeart/2005/8/layout/bProcess3"/>
    <dgm:cxn modelId="{34AF932F-527C-4C84-B8B6-4F1F83992F5C}" type="presParOf" srcId="{AB440482-2F0A-4236-B6D9-1B5E2769F94C}" destId="{079F5D83-D769-41A7-9889-3F59878F0DB3}" srcOrd="0" destOrd="0" presId="urn:microsoft.com/office/officeart/2005/8/layout/bProcess3"/>
    <dgm:cxn modelId="{4530E169-051C-4CCB-8C5C-714927B9B3A1}" type="presParOf" srcId="{65E83734-53C0-4C20-93A6-83CE57794D88}" destId="{762DBCFF-7371-4FC8-82EF-73A2FC10FBB7}" srcOrd="2" destOrd="0" presId="urn:microsoft.com/office/officeart/2005/8/layout/bProcess3"/>
    <dgm:cxn modelId="{126AAFF2-CC72-487B-88E5-17C073DA20C6}" type="presParOf" srcId="{65E83734-53C0-4C20-93A6-83CE57794D88}" destId="{85B0C874-75AB-48DF-85F6-694F3E072627}" srcOrd="3" destOrd="0" presId="urn:microsoft.com/office/officeart/2005/8/layout/bProcess3"/>
    <dgm:cxn modelId="{73084A3D-411F-4FD7-9A27-95A68D3E0779}" type="presParOf" srcId="{85B0C874-75AB-48DF-85F6-694F3E072627}" destId="{93BC6D12-1DAB-4166-98E7-8F44F35E029E}" srcOrd="0" destOrd="0" presId="urn:microsoft.com/office/officeart/2005/8/layout/bProcess3"/>
    <dgm:cxn modelId="{B6E6DBAC-64C6-47D1-9A07-05FB84871108}" type="presParOf" srcId="{65E83734-53C0-4C20-93A6-83CE57794D88}" destId="{5F90B970-4862-480E-A624-3F24BD97CA1B}" srcOrd="4" destOrd="0" presId="urn:microsoft.com/office/officeart/2005/8/layout/bProcess3"/>
    <dgm:cxn modelId="{EDB4F6BA-EE7B-4A91-8854-C6149FCFC987}" type="presParOf" srcId="{65E83734-53C0-4C20-93A6-83CE57794D88}" destId="{14CCB4FE-5BEA-4C86-867C-58B426CC9226}" srcOrd="5" destOrd="0" presId="urn:microsoft.com/office/officeart/2005/8/layout/bProcess3"/>
    <dgm:cxn modelId="{24881027-F19C-4686-98C8-350B7D705DEA}" type="presParOf" srcId="{14CCB4FE-5BEA-4C86-867C-58B426CC9226}" destId="{C9177617-FDFF-44C5-B61E-86C7C67AB118}" srcOrd="0" destOrd="0" presId="urn:microsoft.com/office/officeart/2005/8/layout/bProcess3"/>
    <dgm:cxn modelId="{F3092E50-47BF-44A5-8294-08E13569F21A}" type="presParOf" srcId="{65E83734-53C0-4C20-93A6-83CE57794D88}" destId="{9450B394-A863-449B-9E70-A240393AB8A9}" srcOrd="6" destOrd="0" presId="urn:microsoft.com/office/officeart/2005/8/layout/bProcess3"/>
    <dgm:cxn modelId="{F6B32EF7-AA97-4146-B412-F2C9F6C83FF4}" type="presParOf" srcId="{65E83734-53C0-4C20-93A6-83CE57794D88}" destId="{C8919474-E2BB-478D-BF0B-4353CA79AF1E}" srcOrd="7" destOrd="0" presId="urn:microsoft.com/office/officeart/2005/8/layout/bProcess3"/>
    <dgm:cxn modelId="{FDD1601D-A681-4B0B-8518-32866297CE63}" type="presParOf" srcId="{C8919474-E2BB-478D-BF0B-4353CA79AF1E}" destId="{78B097A5-EFA1-4F06-86C2-67FCD29A73F5}" srcOrd="0" destOrd="0" presId="urn:microsoft.com/office/officeart/2005/8/layout/bProcess3"/>
    <dgm:cxn modelId="{631CDEE8-9BEB-432F-BE4B-DD2F10BF1721}" type="presParOf" srcId="{65E83734-53C0-4C20-93A6-83CE57794D88}" destId="{01F57852-50AB-4E7C-8E77-D3C779F94280}" srcOrd="8" destOrd="0" presId="urn:microsoft.com/office/officeart/2005/8/layout/bProcess3"/>
    <dgm:cxn modelId="{CC352639-3752-43F1-93F8-3D3EE6C1F311}" type="presParOf" srcId="{65E83734-53C0-4C20-93A6-83CE57794D88}" destId="{270A3DA0-842E-48EA-BC1E-EF7744B7869A}" srcOrd="9" destOrd="0" presId="urn:microsoft.com/office/officeart/2005/8/layout/bProcess3"/>
    <dgm:cxn modelId="{FC09B49A-5AA3-4832-B7F1-7E6E1E66D13F}" type="presParOf" srcId="{270A3DA0-842E-48EA-BC1E-EF7744B7869A}" destId="{342DA5D5-EEA6-4E53-A5B8-46A41231A20E}" srcOrd="0" destOrd="0" presId="urn:microsoft.com/office/officeart/2005/8/layout/bProcess3"/>
    <dgm:cxn modelId="{63906E78-F355-4C60-9B9A-A8D61DD7CE11}" type="presParOf" srcId="{65E83734-53C0-4C20-93A6-83CE57794D88}" destId="{8BC3955C-E9B6-4D26-A14D-CB7DB7656D6F}" srcOrd="10" destOrd="0" presId="urn:microsoft.com/office/officeart/2005/8/layout/bProcess3"/>
    <dgm:cxn modelId="{5DC15C13-A495-45DB-923D-972A32856518}" type="presParOf" srcId="{65E83734-53C0-4C20-93A6-83CE57794D88}" destId="{778F75D6-1120-4752-8501-02AD1600D0C3}" srcOrd="11" destOrd="0" presId="urn:microsoft.com/office/officeart/2005/8/layout/bProcess3"/>
    <dgm:cxn modelId="{CB0DBC94-B45A-4F01-B201-F193A36FC56C}" type="presParOf" srcId="{778F75D6-1120-4752-8501-02AD1600D0C3}" destId="{4DCF9813-E80E-4A10-A1C6-D7388447FC6A}" srcOrd="0" destOrd="0" presId="urn:microsoft.com/office/officeart/2005/8/layout/bProcess3"/>
    <dgm:cxn modelId="{16E9BF09-F649-4A08-8E26-3AF88E45332A}" type="presParOf" srcId="{65E83734-53C0-4C20-93A6-83CE57794D88}" destId="{52306994-FEB0-4DAC-9464-28B6F59A1D61}" srcOrd="12" destOrd="0" presId="urn:microsoft.com/office/officeart/2005/8/layout/bProcess3"/>
    <dgm:cxn modelId="{D458DCE4-579F-4AF2-8088-C42D80A7E5FE}" type="presParOf" srcId="{65E83734-53C0-4C20-93A6-83CE57794D88}" destId="{75E77E54-9BCE-4C0F-BF27-A8FD7AFFD955}" srcOrd="13" destOrd="0" presId="urn:microsoft.com/office/officeart/2005/8/layout/bProcess3"/>
    <dgm:cxn modelId="{CCA4BD04-6FFA-4AAC-8DC8-E748F19FED45}" type="presParOf" srcId="{75E77E54-9BCE-4C0F-BF27-A8FD7AFFD955}" destId="{E70A2D3C-F3DC-461D-A303-413EF49164DF}" srcOrd="0" destOrd="0" presId="urn:microsoft.com/office/officeart/2005/8/layout/bProcess3"/>
    <dgm:cxn modelId="{B5FCF59B-F3FB-42CF-A282-9E044CAC7BAC}" type="presParOf" srcId="{65E83734-53C0-4C20-93A6-83CE57794D88}" destId="{8FB7D61A-803E-4C30-80CA-10622A71C62D}" srcOrd="14" destOrd="0" presId="urn:microsoft.com/office/officeart/2005/8/layout/bProcess3"/>
    <dgm:cxn modelId="{F8A095DC-D215-47BB-8293-1C2E1F7057F1}" type="presParOf" srcId="{65E83734-53C0-4C20-93A6-83CE57794D88}" destId="{C5A71752-75E6-439B-B14C-BBF1883DC5E9}" srcOrd="15" destOrd="0" presId="urn:microsoft.com/office/officeart/2005/8/layout/bProcess3"/>
    <dgm:cxn modelId="{755EA0C3-A012-4834-898A-AA092C37474F}" type="presParOf" srcId="{C5A71752-75E6-439B-B14C-BBF1883DC5E9}" destId="{4BC037C7-A63C-4515-AFEF-FBF340B88C88}" srcOrd="0" destOrd="0" presId="urn:microsoft.com/office/officeart/2005/8/layout/bProcess3"/>
    <dgm:cxn modelId="{E355CFFA-CAD0-420A-A163-089B6C4E90AC}" type="presParOf" srcId="{65E83734-53C0-4C20-93A6-83CE57794D88}" destId="{5DA5D0D9-DAF0-4A05-9BBF-1D4B3400D68F}" srcOrd="16" destOrd="0" presId="urn:microsoft.com/office/officeart/2005/8/layout/bProcess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440482-2F0A-4236-B6D9-1B5E2769F94C}">
      <dsp:nvSpPr>
        <dsp:cNvPr id="0" name=""/>
        <dsp:cNvSpPr/>
      </dsp:nvSpPr>
      <dsp:spPr>
        <a:xfrm>
          <a:off x="1507684" y="1217149"/>
          <a:ext cx="315661" cy="91440"/>
        </a:xfrm>
        <a:custGeom>
          <a:avLst/>
          <a:gdLst/>
          <a:ahLst/>
          <a:cxnLst/>
          <a:rect l="0" t="0" r="0" b="0"/>
          <a:pathLst>
            <a:path>
              <a:moveTo>
                <a:pt x="0" y="45720"/>
              </a:moveTo>
              <a:lnTo>
                <a:pt x="315661" y="45720"/>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656859" y="1261138"/>
        <a:ext cx="17313" cy="3462"/>
      </dsp:txXfrm>
    </dsp:sp>
    <dsp:sp modelId="{3B7CF652-E02F-4426-A933-0EE75D4D6BF8}">
      <dsp:nvSpPr>
        <dsp:cNvPr id="0" name=""/>
        <dsp:cNvSpPr/>
      </dsp:nvSpPr>
      <dsp:spPr>
        <a:xfrm>
          <a:off x="3999" y="811224"/>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ESTIMATE</a:t>
          </a:r>
        </a:p>
      </dsp:txBody>
      <dsp:txXfrm>
        <a:off x="3999" y="811224"/>
        <a:ext cx="1505485" cy="903291"/>
      </dsp:txXfrm>
    </dsp:sp>
    <dsp:sp modelId="{85B0C874-75AB-48DF-85F6-694F3E072627}">
      <dsp:nvSpPr>
        <dsp:cNvPr id="0" name=""/>
        <dsp:cNvSpPr/>
      </dsp:nvSpPr>
      <dsp:spPr>
        <a:xfrm>
          <a:off x="3359432" y="1217149"/>
          <a:ext cx="315661" cy="91440"/>
        </a:xfrm>
        <a:custGeom>
          <a:avLst/>
          <a:gdLst/>
          <a:ahLst/>
          <a:cxnLst/>
          <a:rect l="0" t="0" r="0" b="0"/>
          <a:pathLst>
            <a:path>
              <a:moveTo>
                <a:pt x="0" y="45720"/>
              </a:moveTo>
              <a:lnTo>
                <a:pt x="315661" y="45720"/>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3508606" y="1261138"/>
        <a:ext cx="17313" cy="3462"/>
      </dsp:txXfrm>
    </dsp:sp>
    <dsp:sp modelId="{762DBCFF-7371-4FC8-82EF-73A2FC10FBB7}">
      <dsp:nvSpPr>
        <dsp:cNvPr id="0" name=""/>
        <dsp:cNvSpPr/>
      </dsp:nvSpPr>
      <dsp:spPr>
        <a:xfrm>
          <a:off x="1855746" y="811224"/>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CUT SHEETS  YES/NO	</a:t>
          </a:r>
        </a:p>
      </dsp:txBody>
      <dsp:txXfrm>
        <a:off x="1855746" y="811224"/>
        <a:ext cx="1505485" cy="903291"/>
      </dsp:txXfrm>
    </dsp:sp>
    <dsp:sp modelId="{14CCB4FE-5BEA-4C86-867C-58B426CC9226}">
      <dsp:nvSpPr>
        <dsp:cNvPr id="0" name=""/>
        <dsp:cNvSpPr/>
      </dsp:nvSpPr>
      <dsp:spPr>
        <a:xfrm>
          <a:off x="756742" y="1712715"/>
          <a:ext cx="3703494" cy="315661"/>
        </a:xfrm>
        <a:custGeom>
          <a:avLst/>
          <a:gdLst/>
          <a:ahLst/>
          <a:cxnLst/>
          <a:rect l="0" t="0" r="0" b="0"/>
          <a:pathLst>
            <a:path>
              <a:moveTo>
                <a:pt x="3703494" y="0"/>
              </a:moveTo>
              <a:lnTo>
                <a:pt x="3703494" y="174930"/>
              </a:lnTo>
              <a:lnTo>
                <a:pt x="0" y="174930"/>
              </a:lnTo>
              <a:lnTo>
                <a:pt x="0" y="315661"/>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515498" y="1868815"/>
        <a:ext cx="185982" cy="3462"/>
      </dsp:txXfrm>
    </dsp:sp>
    <dsp:sp modelId="{5F90B970-4862-480E-A624-3F24BD97CA1B}">
      <dsp:nvSpPr>
        <dsp:cNvPr id="0" name=""/>
        <dsp:cNvSpPr/>
      </dsp:nvSpPr>
      <dsp:spPr>
        <a:xfrm>
          <a:off x="3707494" y="811224"/>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AWARD P/O RECIEVED</a:t>
          </a:r>
        </a:p>
      </dsp:txBody>
      <dsp:txXfrm>
        <a:off x="3707494" y="811224"/>
        <a:ext cx="1505485" cy="903291"/>
      </dsp:txXfrm>
    </dsp:sp>
    <dsp:sp modelId="{C8919474-E2BB-478D-BF0B-4353CA79AF1E}">
      <dsp:nvSpPr>
        <dsp:cNvPr id="0" name=""/>
        <dsp:cNvSpPr/>
      </dsp:nvSpPr>
      <dsp:spPr>
        <a:xfrm>
          <a:off x="1507684" y="2466703"/>
          <a:ext cx="315661" cy="91440"/>
        </a:xfrm>
        <a:custGeom>
          <a:avLst/>
          <a:gdLst/>
          <a:ahLst/>
          <a:cxnLst/>
          <a:rect l="0" t="0" r="0" b="0"/>
          <a:pathLst>
            <a:path>
              <a:moveTo>
                <a:pt x="0" y="45720"/>
              </a:moveTo>
              <a:lnTo>
                <a:pt x="315661" y="45720"/>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656859" y="2510691"/>
        <a:ext cx="17313" cy="3462"/>
      </dsp:txXfrm>
    </dsp:sp>
    <dsp:sp modelId="{9450B394-A863-449B-9E70-A240393AB8A9}">
      <dsp:nvSpPr>
        <dsp:cNvPr id="0" name=""/>
        <dsp:cNvSpPr/>
      </dsp:nvSpPr>
      <dsp:spPr>
        <a:xfrm>
          <a:off x="3999" y="2060777"/>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CHECK PRICE</a:t>
          </a:r>
        </a:p>
      </dsp:txBody>
      <dsp:txXfrm>
        <a:off x="3999" y="2060777"/>
        <a:ext cx="1505485" cy="903291"/>
      </dsp:txXfrm>
    </dsp:sp>
    <dsp:sp modelId="{270A3DA0-842E-48EA-BC1E-EF7744B7869A}">
      <dsp:nvSpPr>
        <dsp:cNvPr id="0" name=""/>
        <dsp:cNvSpPr/>
      </dsp:nvSpPr>
      <dsp:spPr>
        <a:xfrm>
          <a:off x="3359432" y="2466703"/>
          <a:ext cx="315661" cy="91440"/>
        </a:xfrm>
        <a:custGeom>
          <a:avLst/>
          <a:gdLst/>
          <a:ahLst/>
          <a:cxnLst/>
          <a:rect l="0" t="0" r="0" b="0"/>
          <a:pathLst>
            <a:path>
              <a:moveTo>
                <a:pt x="0" y="45720"/>
              </a:moveTo>
              <a:lnTo>
                <a:pt x="315661" y="45720"/>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3508606" y="2510691"/>
        <a:ext cx="17313" cy="3462"/>
      </dsp:txXfrm>
    </dsp:sp>
    <dsp:sp modelId="{01F57852-50AB-4E7C-8E77-D3C779F94280}">
      <dsp:nvSpPr>
        <dsp:cNvPr id="0" name=""/>
        <dsp:cNvSpPr/>
      </dsp:nvSpPr>
      <dsp:spPr>
        <a:xfrm>
          <a:off x="1855746" y="2060777"/>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UPDATE QB ITEM MASTER	 	</a:t>
          </a:r>
        </a:p>
      </dsp:txBody>
      <dsp:txXfrm>
        <a:off x="1855746" y="2060777"/>
        <a:ext cx="1505485" cy="903291"/>
      </dsp:txXfrm>
    </dsp:sp>
    <dsp:sp modelId="{778F75D6-1120-4752-8501-02AD1600D0C3}">
      <dsp:nvSpPr>
        <dsp:cNvPr id="0" name=""/>
        <dsp:cNvSpPr/>
      </dsp:nvSpPr>
      <dsp:spPr>
        <a:xfrm>
          <a:off x="756742" y="2962268"/>
          <a:ext cx="3703494" cy="315661"/>
        </a:xfrm>
        <a:custGeom>
          <a:avLst/>
          <a:gdLst/>
          <a:ahLst/>
          <a:cxnLst/>
          <a:rect l="0" t="0" r="0" b="0"/>
          <a:pathLst>
            <a:path>
              <a:moveTo>
                <a:pt x="3703494" y="0"/>
              </a:moveTo>
              <a:lnTo>
                <a:pt x="3703494" y="174930"/>
              </a:lnTo>
              <a:lnTo>
                <a:pt x="0" y="174930"/>
              </a:lnTo>
              <a:lnTo>
                <a:pt x="0" y="315661"/>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515498" y="3118368"/>
        <a:ext cx="185982" cy="3462"/>
      </dsp:txXfrm>
    </dsp:sp>
    <dsp:sp modelId="{8BC3955C-E9B6-4D26-A14D-CB7DB7656D6F}">
      <dsp:nvSpPr>
        <dsp:cNvPr id="0" name=""/>
        <dsp:cNvSpPr/>
      </dsp:nvSpPr>
      <dsp:spPr>
        <a:xfrm>
          <a:off x="3707494" y="2060777"/>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PULL IN FROM QUOTE SALES AND VENDOR DESCRIPTIONS</a:t>
          </a:r>
        </a:p>
      </dsp:txBody>
      <dsp:txXfrm>
        <a:off x="3707494" y="2060777"/>
        <a:ext cx="1505485" cy="903291"/>
      </dsp:txXfrm>
    </dsp:sp>
    <dsp:sp modelId="{75E77E54-9BCE-4C0F-BF27-A8FD7AFFD955}">
      <dsp:nvSpPr>
        <dsp:cNvPr id="0" name=""/>
        <dsp:cNvSpPr/>
      </dsp:nvSpPr>
      <dsp:spPr>
        <a:xfrm>
          <a:off x="1507684" y="3716256"/>
          <a:ext cx="315661" cy="91440"/>
        </a:xfrm>
        <a:custGeom>
          <a:avLst/>
          <a:gdLst/>
          <a:ahLst/>
          <a:cxnLst/>
          <a:rect l="0" t="0" r="0" b="0"/>
          <a:pathLst>
            <a:path>
              <a:moveTo>
                <a:pt x="0" y="45720"/>
              </a:moveTo>
              <a:lnTo>
                <a:pt x="315661" y="45720"/>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656859" y="3760244"/>
        <a:ext cx="17313" cy="3462"/>
      </dsp:txXfrm>
    </dsp:sp>
    <dsp:sp modelId="{52306994-FEB0-4DAC-9464-28B6F59A1D61}">
      <dsp:nvSpPr>
        <dsp:cNvPr id="0" name=""/>
        <dsp:cNvSpPr/>
      </dsp:nvSpPr>
      <dsp:spPr>
        <a:xfrm>
          <a:off x="3999" y="3310330"/>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ACKNOWLEDGE ORDER</a:t>
          </a:r>
        </a:p>
      </dsp:txBody>
      <dsp:txXfrm>
        <a:off x="3999" y="3310330"/>
        <a:ext cx="1505485" cy="903291"/>
      </dsp:txXfrm>
    </dsp:sp>
    <dsp:sp modelId="{C5A71752-75E6-439B-B14C-BBF1883DC5E9}">
      <dsp:nvSpPr>
        <dsp:cNvPr id="0" name=""/>
        <dsp:cNvSpPr/>
      </dsp:nvSpPr>
      <dsp:spPr>
        <a:xfrm>
          <a:off x="3359432" y="3716256"/>
          <a:ext cx="315661" cy="91440"/>
        </a:xfrm>
        <a:custGeom>
          <a:avLst/>
          <a:gdLst/>
          <a:ahLst/>
          <a:cxnLst/>
          <a:rect l="0" t="0" r="0" b="0"/>
          <a:pathLst>
            <a:path>
              <a:moveTo>
                <a:pt x="0" y="45720"/>
              </a:moveTo>
              <a:lnTo>
                <a:pt x="315661" y="45720"/>
              </a:lnTo>
            </a:path>
          </a:pathLst>
        </a:custGeom>
        <a:noFill/>
        <a:ln w="6350" cap="flat" cmpd="sng" algn="ctr">
          <a:solidFill>
            <a:schemeClr val="accent1">
              <a:hueOff val="0"/>
              <a:satOff val="0"/>
              <a:lumOff val="0"/>
              <a:alphaOff val="0"/>
            </a:schemeClr>
          </a:solidFill>
          <a:prstDash val="solid"/>
          <a:miter lim="800000"/>
          <a:tailEnd type="arrow"/>
        </a:ln>
        <a:effectLst/>
      </dsp:spPr>
      <dsp:style>
        <a:lnRef idx="1">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3508606" y="3760244"/>
        <a:ext cx="17313" cy="3462"/>
      </dsp:txXfrm>
    </dsp:sp>
    <dsp:sp modelId="{8FB7D61A-803E-4C30-80CA-10622A71C62D}">
      <dsp:nvSpPr>
        <dsp:cNvPr id="0" name=""/>
        <dsp:cNvSpPr/>
      </dsp:nvSpPr>
      <dsp:spPr>
        <a:xfrm>
          <a:off x="1855746" y="3310330"/>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ENTER PURCHASE ORDERS H/M   ENTER PURCHASE ORDERS HDWE	</a:t>
          </a:r>
        </a:p>
      </dsp:txBody>
      <dsp:txXfrm>
        <a:off x="1855746" y="3310330"/>
        <a:ext cx="1505485" cy="903291"/>
      </dsp:txXfrm>
    </dsp:sp>
    <dsp:sp modelId="{5DA5D0D9-DAF0-4A05-9BBF-1D4B3400D68F}">
      <dsp:nvSpPr>
        <dsp:cNvPr id="0" name=""/>
        <dsp:cNvSpPr/>
      </dsp:nvSpPr>
      <dsp:spPr>
        <a:xfrm>
          <a:off x="3707494" y="3310330"/>
          <a:ext cx="1505485" cy="903291"/>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5344" tIns="85344" rIns="85344" bIns="85344" numCol="1" spcCol="1270" anchor="ctr" anchorCtr="0">
          <a:noAutofit/>
        </a:bodyPr>
        <a:lstStyle/>
        <a:p>
          <a:pPr marL="0" lvl="0" indent="0" algn="ctr" defTabSz="533400">
            <a:lnSpc>
              <a:spcPct val="90000"/>
            </a:lnSpc>
            <a:spcBef>
              <a:spcPct val="0"/>
            </a:spcBef>
            <a:spcAft>
              <a:spcPct val="35000"/>
            </a:spcAft>
            <a:buNone/>
          </a:pPr>
          <a:r>
            <a:rPr lang="en-US" sz="1200" kern="1200"/>
            <a:t>SHIP H/M DIRECT RECIEVE AND KIT HDWE AT IES</a:t>
          </a:r>
        </a:p>
      </dsp:txBody>
      <dsp:txXfrm>
        <a:off x="3707494" y="3310330"/>
        <a:ext cx="1505485" cy="903291"/>
      </dsp:txXfrm>
    </dsp:sp>
  </dsp:spTree>
</dsp:drawing>
</file>

<file path=xl/diagrams/layout1.xml><?xml version="1.0" encoding="utf-8"?>
<dgm:layoutDef xmlns:dgm="http://schemas.openxmlformats.org/drawingml/2006/diagram" xmlns:a="http://schemas.openxmlformats.org/drawingml/2006/main" uniqueId="urn:microsoft.com/office/officeart/2005/8/layout/bProcess3">
  <dgm:title val=""/>
  <dgm:desc val=""/>
  <dgm:catLst>
    <dgm:cat type="process" pri="18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7" srcId="0" destId="1" srcOrd="0" destOrd="0"/>
        <dgm:cxn modelId="8" srcId="0" destId="2" srcOrd="1" destOrd="0"/>
        <dgm:cxn modelId="9" srcId="0" destId="3" srcOrd="2" destOrd="0"/>
        <dgm:cxn modelId="10" srcId="0" destId="4" srcOrd="3" destOrd="0"/>
        <dgm:cxn modelId="11"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axis="self" func="var" arg="dir" op="equ" val="norm">
        <dgm:alg type="snake">
          <dgm:param type="grDir" val="tL"/>
          <dgm:param type="flowDir" val="row"/>
          <dgm:param type="contDir" val="sameDir"/>
          <dgm:param type="bkpt" val="endCnv"/>
        </dgm:alg>
      </dgm:if>
      <dgm:else name="Name3">
        <dgm:alg type="snake">
          <dgm:param type="grDir" val="tR"/>
          <dgm:param type="flowDir" val="row"/>
          <dgm:param type="contDir" val="sameDir"/>
          <dgm:param type="bkpt" val="endCnv"/>
        </dgm:alg>
      </dgm:else>
    </dgm:choose>
    <dgm:shape xmlns:r="http://schemas.openxmlformats.org/officeDocument/2006/relationships" r:blip="">
      <dgm:adjLst/>
    </dgm:shape>
    <dgm:presOf/>
    <dgm:constrLst>
      <dgm:constr type="w" for="ch" ptType="node" refType="w"/>
      <dgm:constr type="w" for="ch" forName="sibTrans" refType="w" refFor="ch" refPtType="node" op="equ" fact="0.23"/>
      <dgm:constr type="sp" refType="w" refFor="ch" refForName="sibTrans" op="equ"/>
      <dgm:constr type="userB" for="des" forName="connectorText" refType="sp"/>
      <dgm:constr type="primFontSz" for="ch" ptType="node" op="equ" val="65"/>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ect" r:blip="">
          <dgm:adjLst/>
        </dgm:shape>
        <dgm:presOf axis="desOrSelf" ptType="node"/>
        <dgm:constrLst>
          <dgm:constr type="h" refType="w" fact="0.6"/>
        </dgm:constrLst>
        <dgm:ruleLst>
          <dgm:rule type="primFontSz" val="5" fact="NaN" max="NaN"/>
        </dgm:ruleLst>
      </dgm:layoutNode>
      <dgm:forEach name="sibTransForEach" axis="followSib" ptType="sibTrans" cnt="1">
        <dgm:layoutNode name="sibTrans">
          <dgm:choose name="Name4">
            <dgm:if name="Name5" axis="self" func="var" arg="dir" op="equ" val="norm">
              <dgm:alg type="conn">
                <dgm:param type="connRout" val="bend"/>
                <dgm:param type="dim" val="1D"/>
                <dgm:param type="begPts" val="midR bCtr"/>
                <dgm:param type="endPts" val="midL tCtr"/>
              </dgm:alg>
            </dgm:if>
            <dgm:else name="Name6">
              <dgm:alg type="conn">
                <dgm:param type="connRout" val="bend"/>
                <dgm:param type="dim" val="1D"/>
                <dgm:param type="begPts" val="midL bCtr"/>
                <dgm:param type="endPts" val="midR tCtr"/>
              </dgm:alg>
            </dgm:else>
          </dgm:choose>
          <dgm:shape xmlns:r="http://schemas.openxmlformats.org/officeDocument/2006/relationships" type="conn" r:blip="" zOrderOff="-2">
            <dgm:adjLst/>
          </dgm:shape>
          <dgm:presOf axis="self"/>
          <dgm:constrLst>
            <dgm:constr type="begPad" val="-0.05"/>
            <dgm:constr type="endPad" val="0.9"/>
            <dgm:constr type="userA" for="ch" refType="connDist"/>
          </dgm:constrLst>
          <dgm:ruleLst/>
          <dgm:layoutNode name="connectorText">
            <dgm:alg type="tx">
              <dgm:param type="autoTxRot" val="upr"/>
            </dgm:alg>
            <dgm:shape xmlns:r="http://schemas.openxmlformats.org/officeDocument/2006/relationships" type="rect" r:blip="" hideGeom="1">
              <dgm:adjLst/>
            </dgm:shape>
            <dgm:presOf axis="self"/>
            <dgm:constrLst>
              <dgm:constr type="userA"/>
              <dgm:constr type="userB"/>
              <dgm:constr type="w" refType="userA" fact="0.05"/>
              <dgm:constr type="h" refType="userB" fact="0.01"/>
              <dgm:constr type="lMarg" val="1"/>
              <dgm:constr type="rMarg" val="1"/>
              <dgm:constr type="tMarg"/>
              <dgm:constr type="bMarg"/>
            </dgm:constrLst>
            <dgm:ruleLst>
              <dgm:rule type="w" val="NaN" fact="0.6" max="NaN"/>
              <dgm:rule type="h" val="NaN" fact="0.6" max="NaN"/>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4.png"/><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5.JPG"/><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4.png"/><Relationship Id="rId1" Type="http://schemas.openxmlformats.org/officeDocument/2006/relationships/image" Target="../media/image1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8</xdr:col>
      <xdr:colOff>95105</xdr:colOff>
      <xdr:row>0</xdr:row>
      <xdr:rowOff>0</xdr:rowOff>
    </xdr:from>
    <xdr:ext cx="2159502" cy="393441"/>
    <xdr:sp macro="" textlink="">
      <xdr:nvSpPr>
        <xdr:cNvPr id="2" name="Rectangle 1">
          <a:extLst>
            <a:ext uri="{FF2B5EF4-FFF2-40B4-BE49-F238E27FC236}">
              <a16:creationId xmlns:a16="http://schemas.microsoft.com/office/drawing/2014/main" id="{F179BFCB-62B5-4DA6-AB4B-C4EA90B7A528}"/>
            </a:ext>
          </a:extLst>
        </xdr:cNvPr>
        <xdr:cNvSpPr/>
      </xdr:nvSpPr>
      <xdr:spPr>
        <a:xfrm>
          <a:off x="6556865" y="0"/>
          <a:ext cx="2159502" cy="393441"/>
        </a:xfrm>
        <a:prstGeom prst="rect">
          <a:avLst/>
        </a:prstGeom>
        <a:noFill/>
      </xdr:spPr>
      <xdr:txBody>
        <a:bodyPr wrap="none" lIns="91440" tIns="45720" rIns="91440" bIns="45720">
          <a:spAutoFit/>
        </a:bodyPr>
        <a:lstStyle/>
        <a:p>
          <a:pPr algn="ctr"/>
          <a:r>
            <a:rPr lang="en-US" sz="2000" b="1" cap="none" spc="0">
              <a:ln w="0"/>
              <a:solidFill>
                <a:srgbClr val="165A7A"/>
              </a:solidFill>
              <a:effectLst>
                <a:outerShdw blurRad="38100" dist="25400" dir="5400000" algn="ctr" rotWithShape="0">
                  <a:srgbClr val="6E747A">
                    <a:alpha val="43000"/>
                  </a:srgbClr>
                </a:outerShdw>
              </a:effectLst>
              <a:latin typeface="Bookman Old Style" panose="02050604050505020204" pitchFamily="18" charset="0"/>
              <a:ea typeface="Verdana" panose="020B0604030504040204" pitchFamily="34" charset="0"/>
            </a:rPr>
            <a:t>Sales</a:t>
          </a:r>
          <a:r>
            <a:rPr lang="en-US" sz="2000" b="1" cap="none" spc="0" baseline="0">
              <a:ln w="0"/>
              <a:solidFill>
                <a:srgbClr val="165A7A"/>
              </a:solidFill>
              <a:effectLst>
                <a:outerShdw blurRad="38100" dist="25400" dir="5400000" algn="ctr" rotWithShape="0">
                  <a:srgbClr val="6E747A">
                    <a:alpha val="43000"/>
                  </a:srgbClr>
                </a:outerShdw>
              </a:effectLst>
              <a:latin typeface="Bookman Old Style" panose="02050604050505020204" pitchFamily="18" charset="0"/>
              <a:ea typeface="Verdana" panose="020B0604030504040204" pitchFamily="34" charset="0"/>
            </a:rPr>
            <a:t> Estimate</a:t>
          </a:r>
          <a:endParaRPr lang="en-US" sz="2000" b="1" cap="none" spc="0">
            <a:ln w="0"/>
            <a:solidFill>
              <a:srgbClr val="165A7A"/>
            </a:solidFill>
            <a:effectLst>
              <a:outerShdw blurRad="38100" dist="25400" dir="5400000" algn="ctr" rotWithShape="0">
                <a:srgbClr val="6E747A">
                  <a:alpha val="43000"/>
                </a:srgbClr>
              </a:outerShdw>
            </a:effectLst>
            <a:latin typeface="Bookman Old Style" panose="02050604050505020204" pitchFamily="18" charset="0"/>
            <a:ea typeface="Verdana" panose="020B0604030504040204" pitchFamily="34" charset="0"/>
          </a:endParaRPr>
        </a:p>
      </xdr:txBody>
    </xdr:sp>
    <xdr:clientData/>
  </xdr:oneCellAnchor>
  <xdr:twoCellAnchor editAs="oneCell">
    <xdr:from>
      <xdr:col>31</xdr:col>
      <xdr:colOff>365369</xdr:colOff>
      <xdr:row>671</xdr:row>
      <xdr:rowOff>175260</xdr:rowOff>
    </xdr:from>
    <xdr:to>
      <xdr:col>32</xdr:col>
      <xdr:colOff>206014</xdr:colOff>
      <xdr:row>674</xdr:row>
      <xdr:rowOff>127230</xdr:rowOff>
    </xdr:to>
    <xdr:pic>
      <xdr:nvPicPr>
        <xdr:cNvPr id="4" name="Picture 3">
          <a:extLst>
            <a:ext uri="{FF2B5EF4-FFF2-40B4-BE49-F238E27FC236}">
              <a16:creationId xmlns:a16="http://schemas.microsoft.com/office/drawing/2014/main" id="{64998BA5-557B-875C-CE86-45370D5839F8}"/>
            </a:ext>
          </a:extLst>
        </xdr:cNvPr>
        <xdr:cNvPicPr>
          <a:picLocks noChangeAspect="1"/>
        </xdr:cNvPicPr>
      </xdr:nvPicPr>
      <xdr:blipFill>
        <a:blip xmlns:r="http://schemas.openxmlformats.org/officeDocument/2006/relationships" r:embed="rId1"/>
        <a:stretch>
          <a:fillRect/>
        </a:stretch>
      </xdr:blipFill>
      <xdr:spPr>
        <a:xfrm>
          <a:off x="18348569" y="7421880"/>
          <a:ext cx="755044" cy="414884"/>
        </a:xfrm>
        <a:prstGeom prst="rect">
          <a:avLst/>
        </a:prstGeom>
      </xdr:spPr>
    </xdr:pic>
    <xdr:clientData/>
  </xdr:twoCellAnchor>
  <xdr:twoCellAnchor editAs="oneCell">
    <xdr:from>
      <xdr:col>31</xdr:col>
      <xdr:colOff>757632</xdr:colOff>
      <xdr:row>592</xdr:row>
      <xdr:rowOff>15240</xdr:rowOff>
    </xdr:from>
    <xdr:to>
      <xdr:col>32</xdr:col>
      <xdr:colOff>293370</xdr:colOff>
      <xdr:row>594</xdr:row>
      <xdr:rowOff>0</xdr:rowOff>
    </xdr:to>
    <xdr:pic>
      <xdr:nvPicPr>
        <xdr:cNvPr id="6" name="Picture 5">
          <a:extLst>
            <a:ext uri="{FF2B5EF4-FFF2-40B4-BE49-F238E27FC236}">
              <a16:creationId xmlns:a16="http://schemas.microsoft.com/office/drawing/2014/main" id="{F3BD5EF5-5717-5E94-894B-F79303749826}"/>
            </a:ext>
          </a:extLst>
        </xdr:cNvPr>
        <xdr:cNvPicPr>
          <a:picLocks noChangeAspect="1"/>
        </xdr:cNvPicPr>
      </xdr:nvPicPr>
      <xdr:blipFill>
        <a:blip xmlns:r="http://schemas.openxmlformats.org/officeDocument/2006/relationships" r:embed="rId2"/>
        <a:stretch>
          <a:fillRect/>
        </a:stretch>
      </xdr:blipFill>
      <xdr:spPr>
        <a:xfrm>
          <a:off x="18740832" y="6377940"/>
          <a:ext cx="450137" cy="262716"/>
        </a:xfrm>
        <a:prstGeom prst="rect">
          <a:avLst/>
        </a:prstGeom>
      </xdr:spPr>
    </xdr:pic>
    <xdr:clientData/>
  </xdr:twoCellAnchor>
  <xdr:twoCellAnchor>
    <xdr:from>
      <xdr:col>2</xdr:col>
      <xdr:colOff>68580</xdr:colOff>
      <xdr:row>0</xdr:row>
      <xdr:rowOff>84131</xdr:rowOff>
    </xdr:from>
    <xdr:to>
      <xdr:col>7</xdr:col>
      <xdr:colOff>335280</xdr:colOff>
      <xdr:row>4</xdr:row>
      <xdr:rowOff>68580</xdr:rowOff>
    </xdr:to>
    <xdr:grpSp>
      <xdr:nvGrpSpPr>
        <xdr:cNvPr id="9" name="Group 8">
          <a:extLst>
            <a:ext uri="{FF2B5EF4-FFF2-40B4-BE49-F238E27FC236}">
              <a16:creationId xmlns:a16="http://schemas.microsoft.com/office/drawing/2014/main" id="{97E16A5E-F8C9-3454-AE3C-A07F0B367C42}"/>
            </a:ext>
          </a:extLst>
        </xdr:cNvPr>
        <xdr:cNvGrpSpPr/>
      </xdr:nvGrpSpPr>
      <xdr:grpSpPr>
        <a:xfrm>
          <a:off x="1463040" y="84131"/>
          <a:ext cx="4701540" cy="1051249"/>
          <a:chOff x="20528280" y="53651"/>
          <a:chExt cx="4061460" cy="1051249"/>
        </a:xfrm>
      </xdr:grpSpPr>
      <xdr:pic>
        <xdr:nvPicPr>
          <xdr:cNvPr id="7" name="Picture 6">
            <a:extLst>
              <a:ext uri="{FF2B5EF4-FFF2-40B4-BE49-F238E27FC236}">
                <a16:creationId xmlns:a16="http://schemas.microsoft.com/office/drawing/2014/main" id="{566594F1-E2EF-0AF1-11F7-8883AC08F737}"/>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aturation sat="400000"/>
                    </a14:imgEffect>
                  </a14:imgLayer>
                </a14:imgProps>
              </a:ext>
            </a:extLst>
          </a:blip>
          <a:stretch>
            <a:fillRect/>
          </a:stretch>
        </xdr:blipFill>
        <xdr:spPr>
          <a:xfrm>
            <a:off x="20528280" y="53651"/>
            <a:ext cx="3952092" cy="1024966"/>
          </a:xfrm>
          <a:prstGeom prst="rect">
            <a:avLst/>
          </a:prstGeom>
        </xdr:spPr>
      </xdr:pic>
      <xdr:sp macro="" textlink="">
        <xdr:nvSpPr>
          <xdr:cNvPr id="8" name="Rectangle 7">
            <a:extLst>
              <a:ext uri="{FF2B5EF4-FFF2-40B4-BE49-F238E27FC236}">
                <a16:creationId xmlns:a16="http://schemas.microsoft.com/office/drawing/2014/main" id="{A92F9ECA-E5E6-D50D-3C6C-2385A32E17DC}"/>
              </a:ext>
            </a:extLst>
          </xdr:cNvPr>
          <xdr:cNvSpPr/>
        </xdr:nvSpPr>
        <xdr:spPr>
          <a:xfrm>
            <a:off x="22303740" y="861060"/>
            <a:ext cx="2286000" cy="2438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24</xdr:col>
      <xdr:colOff>60960</xdr:colOff>
      <xdr:row>714</xdr:row>
      <xdr:rowOff>45720</xdr:rowOff>
    </xdr:from>
    <xdr:to>
      <xdr:col>24</xdr:col>
      <xdr:colOff>822960</xdr:colOff>
      <xdr:row>714</xdr:row>
      <xdr:rowOff>800100</xdr:rowOff>
    </xdr:to>
    <xdr:pic>
      <xdr:nvPicPr>
        <xdr:cNvPr id="3" name="Picture 2">
          <a:extLst>
            <a:ext uri="{FF2B5EF4-FFF2-40B4-BE49-F238E27FC236}">
              <a16:creationId xmlns:a16="http://schemas.microsoft.com/office/drawing/2014/main" id="{1EE05285-A167-46C2-9C7D-C526D652685C}"/>
            </a:ext>
          </a:extLst>
        </xdr:cNvPr>
        <xdr:cNvPicPr preferRelativeResize="0">
          <a:picLocks noChangeAspect="1"/>
        </xdr:cNvPicPr>
      </xdr:nvPicPr>
      <xdr:blipFill>
        <a:blip xmlns:r="http://schemas.openxmlformats.org/officeDocument/2006/relationships" r:embed="rId5"/>
        <a:stretch>
          <a:fillRect/>
        </a:stretch>
      </xdr:blipFill>
      <xdr:spPr>
        <a:xfrm>
          <a:off x="9646920" y="7429500"/>
          <a:ext cx="762000" cy="754380"/>
        </a:xfrm>
        <a:prstGeom prst="rect">
          <a:avLst/>
        </a:prstGeom>
      </xdr:spPr>
    </xdr:pic>
    <xdr:clientData/>
  </xdr:twoCellAnchor>
  <xdr:twoCellAnchor>
    <xdr:from>
      <xdr:col>36</xdr:col>
      <xdr:colOff>114300</xdr:colOff>
      <xdr:row>0</xdr:row>
      <xdr:rowOff>320040</xdr:rowOff>
    </xdr:from>
    <xdr:to>
      <xdr:col>45</xdr:col>
      <xdr:colOff>723900</xdr:colOff>
      <xdr:row>9</xdr:row>
      <xdr:rowOff>304800</xdr:rowOff>
    </xdr:to>
    <xdr:sp macro="" textlink="">
      <xdr:nvSpPr>
        <xdr:cNvPr id="5" name="TextBox 4">
          <a:extLst>
            <a:ext uri="{FF2B5EF4-FFF2-40B4-BE49-F238E27FC236}">
              <a16:creationId xmlns:a16="http://schemas.microsoft.com/office/drawing/2014/main" id="{58991740-8451-2F95-B893-9C621FD84533}"/>
            </a:ext>
          </a:extLst>
        </xdr:cNvPr>
        <xdr:cNvSpPr txBox="1"/>
      </xdr:nvSpPr>
      <xdr:spPr>
        <a:xfrm>
          <a:off x="18958560" y="320040"/>
          <a:ext cx="6461760" cy="2522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6.9.3 Each man door shall have a minimum 16” x 16” sq. viewing window, glass shall be as per 6.10.2. </a:t>
          </a:r>
          <a:r>
            <a:rPr lang="en-US" sz="1100">
              <a:solidFill>
                <a:srgbClr val="FF0000"/>
              </a:solidFill>
              <a:effectLst/>
              <a:latin typeface="+mn-lt"/>
              <a:ea typeface="+mn-ea"/>
              <a:cs typeface="+mn-cs"/>
            </a:rPr>
            <a:t>nVent will take an exception</a:t>
          </a:r>
        </a:p>
        <a:p>
          <a:r>
            <a:rPr lang="en-US" sz="1100">
              <a:solidFill>
                <a:schemeClr val="dk1"/>
              </a:solidFill>
              <a:effectLst/>
              <a:latin typeface="+mn-lt"/>
              <a:ea typeface="+mn-ea"/>
              <a:cs typeface="+mn-cs"/>
            </a:rPr>
            <a:t>6.9.5 Doors shall be 18 gauge, double wall steel construction. </a:t>
          </a:r>
        </a:p>
        <a:p>
          <a:r>
            <a:rPr lang="en-US" sz="1100">
              <a:solidFill>
                <a:schemeClr val="dk1"/>
              </a:solidFill>
              <a:effectLst/>
              <a:latin typeface="+mn-lt"/>
              <a:ea typeface="+mn-ea"/>
              <a:cs typeface="+mn-cs"/>
            </a:rPr>
            <a:t>6.9.6 Doors shall have R-15 thermal insulation. </a:t>
          </a:r>
          <a:r>
            <a:rPr lang="en-US" sz="1100">
              <a:solidFill>
                <a:srgbClr val="FF0000"/>
              </a:solidFill>
              <a:effectLst/>
              <a:latin typeface="+mn-lt"/>
              <a:ea typeface="+mn-ea"/>
              <a:cs typeface="+mn-cs"/>
            </a:rPr>
            <a:t>nVent will take an exception</a:t>
          </a:r>
        </a:p>
        <a:p>
          <a:r>
            <a:rPr lang="en-US" sz="1100">
              <a:solidFill>
                <a:schemeClr val="dk1"/>
              </a:solidFill>
              <a:effectLst/>
              <a:latin typeface="+mn-lt"/>
              <a:ea typeface="+mn-ea"/>
              <a:cs typeface="+mn-cs"/>
            </a:rPr>
            <a:t>6.9.7 Doors shall be reinforced for closure and equipped with exit type panic hardware. </a:t>
          </a:r>
        </a:p>
        <a:p>
          <a:r>
            <a:rPr lang="en-US" sz="1100">
              <a:solidFill>
                <a:schemeClr val="dk1"/>
              </a:solidFill>
              <a:effectLst/>
              <a:latin typeface="+mn-lt"/>
              <a:ea typeface="+mn-ea"/>
              <a:cs typeface="+mn-cs"/>
            </a:rPr>
            <a:t>6.9.8 Doors shall have three 4 x 4 inch) hinges minimum. Doors shall be reinforced around hinges. </a:t>
          </a:r>
        </a:p>
        <a:p>
          <a:r>
            <a:rPr lang="en-US" sz="1100">
              <a:solidFill>
                <a:schemeClr val="dk1"/>
              </a:solidFill>
              <a:effectLst/>
              <a:latin typeface="+mn-lt"/>
              <a:ea typeface="+mn-ea"/>
              <a:cs typeface="+mn-cs"/>
            </a:rPr>
            <a:t>6.9.9 Doors shall have a fire rating of 1-1/2-hour Class B, unless noted otherwise on the attached drawings. “ Drawings State” BUILDING WALLS AND DOORS SHALL HAVE A 2 HOUR MINIMUM FIRE RATING.</a:t>
          </a:r>
        </a:p>
        <a:p>
          <a:r>
            <a:rPr lang="en-US" sz="1100">
              <a:solidFill>
                <a:schemeClr val="dk1"/>
              </a:solidFill>
              <a:effectLst/>
              <a:latin typeface="+mn-lt"/>
              <a:ea typeface="+mn-ea"/>
              <a:cs typeface="+mn-cs"/>
            </a:rPr>
            <a:t>6.9.10 All active entry/exit doors shall have a low-profile rim exit device, Russwin No</a:t>
          </a:r>
          <a:r>
            <a:rPr lang="en-US" sz="1100">
              <a:solidFill>
                <a:srgbClr val="FF0000"/>
              </a:solidFill>
              <a:effectLst/>
              <a:latin typeface="+mn-lt"/>
              <a:ea typeface="+mn-ea"/>
              <a:cs typeface="+mn-cs"/>
            </a:rPr>
            <a:t>. ED-8200 or equal. </a:t>
          </a:r>
        </a:p>
        <a:p>
          <a:r>
            <a:rPr lang="en-US" sz="1100">
              <a:solidFill>
                <a:schemeClr val="dk1"/>
              </a:solidFill>
              <a:effectLst/>
              <a:latin typeface="+mn-lt"/>
              <a:ea typeface="+mn-ea"/>
              <a:cs typeface="+mn-cs"/>
            </a:rPr>
            <a:t>6.9.11 All active entry/exit doors shall have an exterior knob with cylinder lock, Russwin </a:t>
          </a:r>
          <a:r>
            <a:rPr lang="en-US" sz="1100">
              <a:solidFill>
                <a:srgbClr val="FF0000"/>
              </a:solidFill>
              <a:effectLst/>
              <a:latin typeface="+mn-lt"/>
              <a:ea typeface="+mn-ea"/>
              <a:cs typeface="+mn-cs"/>
            </a:rPr>
            <a:t>No. 33K or equal</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6.9.12 All active entry/exit doors shall have a heavy-duty reversible door closure with hold open feature, Yale No. 154/AL or equal. </a:t>
          </a:r>
        </a:p>
        <a:p>
          <a:r>
            <a:rPr lang="en-US" sz="1100">
              <a:solidFill>
                <a:schemeClr val="dk1"/>
              </a:solidFill>
              <a:effectLst/>
              <a:latin typeface="+mn-lt"/>
              <a:ea typeface="+mn-ea"/>
              <a:cs typeface="+mn-cs"/>
            </a:rPr>
            <a:t>6.9.13 A drip shield shall be provided above each door</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4</xdr:row>
      <xdr:rowOff>22860</xdr:rowOff>
    </xdr:from>
    <xdr:to>
      <xdr:col>4</xdr:col>
      <xdr:colOff>479846</xdr:colOff>
      <xdr:row>12</xdr:row>
      <xdr:rowOff>114300</xdr:rowOff>
    </xdr:to>
    <xdr:pic>
      <xdr:nvPicPr>
        <xdr:cNvPr id="2" name="Picture 1">
          <a:extLst>
            <a:ext uri="{FF2B5EF4-FFF2-40B4-BE49-F238E27FC236}">
              <a16:creationId xmlns:a16="http://schemas.microsoft.com/office/drawing/2014/main" id="{62188AB0-99DD-556F-82EA-4D7BA1816E3C}"/>
            </a:ext>
          </a:extLst>
        </xdr:cNvPr>
        <xdr:cNvPicPr>
          <a:picLocks noChangeAspect="1"/>
        </xdr:cNvPicPr>
      </xdr:nvPicPr>
      <xdr:blipFill>
        <a:blip xmlns:r="http://schemas.openxmlformats.org/officeDocument/2006/relationships" r:embed="rId1"/>
        <a:stretch>
          <a:fillRect/>
        </a:stretch>
      </xdr:blipFill>
      <xdr:spPr>
        <a:xfrm>
          <a:off x="76200" y="662940"/>
          <a:ext cx="4640366" cy="1371600"/>
        </a:xfrm>
        <a:prstGeom prst="rect">
          <a:avLst/>
        </a:prstGeom>
      </xdr:spPr>
    </xdr:pic>
    <xdr:clientData/>
  </xdr:twoCellAnchor>
  <xdr:twoCellAnchor editAs="oneCell">
    <xdr:from>
      <xdr:col>4</xdr:col>
      <xdr:colOff>518160</xdr:colOff>
      <xdr:row>4</xdr:row>
      <xdr:rowOff>38100</xdr:rowOff>
    </xdr:from>
    <xdr:to>
      <xdr:col>10</xdr:col>
      <xdr:colOff>230304</xdr:colOff>
      <xdr:row>12</xdr:row>
      <xdr:rowOff>129540</xdr:rowOff>
    </xdr:to>
    <xdr:pic>
      <xdr:nvPicPr>
        <xdr:cNvPr id="3" name="Picture 2">
          <a:extLst>
            <a:ext uri="{FF2B5EF4-FFF2-40B4-BE49-F238E27FC236}">
              <a16:creationId xmlns:a16="http://schemas.microsoft.com/office/drawing/2014/main" id="{B19774FC-28F3-C3B8-46DE-19171CC583BD}"/>
            </a:ext>
          </a:extLst>
        </xdr:cNvPr>
        <xdr:cNvPicPr>
          <a:picLocks noChangeAspect="1"/>
        </xdr:cNvPicPr>
      </xdr:nvPicPr>
      <xdr:blipFill>
        <a:blip xmlns:r="http://schemas.openxmlformats.org/officeDocument/2006/relationships" r:embed="rId2"/>
        <a:stretch>
          <a:fillRect/>
        </a:stretch>
      </xdr:blipFill>
      <xdr:spPr>
        <a:xfrm>
          <a:off x="4754880" y="678180"/>
          <a:ext cx="5213784" cy="1371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29935</xdr:colOff>
      <xdr:row>2</xdr:row>
      <xdr:rowOff>136070</xdr:rowOff>
    </xdr:from>
    <xdr:to>
      <xdr:col>7</xdr:col>
      <xdr:colOff>674914</xdr:colOff>
      <xdr:row>24</xdr:row>
      <xdr:rowOff>32656</xdr:rowOff>
    </xdr:to>
    <xdr:graphicFrame macro="">
      <xdr:nvGraphicFramePr>
        <xdr:cNvPr id="2" name="Diagram 1">
          <a:extLst>
            <a:ext uri="{FF2B5EF4-FFF2-40B4-BE49-F238E27FC236}">
              <a16:creationId xmlns:a16="http://schemas.microsoft.com/office/drawing/2014/main" id="{9143F68B-8762-2E47-4CCD-EF5D00E1A93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28</xdr:row>
      <xdr:rowOff>0</xdr:rowOff>
    </xdr:from>
    <xdr:to>
      <xdr:col>6</xdr:col>
      <xdr:colOff>594360</xdr:colOff>
      <xdr:row>36</xdr:row>
      <xdr:rowOff>105665</xdr:rowOff>
    </xdr:to>
    <xdr:pic>
      <xdr:nvPicPr>
        <xdr:cNvPr id="2" name="Picture 1">
          <a:extLst>
            <a:ext uri="{FF2B5EF4-FFF2-40B4-BE49-F238E27FC236}">
              <a16:creationId xmlns:a16="http://schemas.microsoft.com/office/drawing/2014/main" id="{5563B1E5-1967-4DF5-8D8A-F9D62D88A681}"/>
            </a:ext>
          </a:extLst>
        </xdr:cNvPr>
        <xdr:cNvPicPr>
          <a:picLocks noChangeAspect="1"/>
        </xdr:cNvPicPr>
      </xdr:nvPicPr>
      <xdr:blipFill>
        <a:blip xmlns:r="http://schemas.openxmlformats.org/officeDocument/2006/relationships" r:embed="rId1"/>
        <a:stretch>
          <a:fillRect/>
        </a:stretch>
      </xdr:blipFill>
      <xdr:spPr>
        <a:xfrm>
          <a:off x="1493520" y="3604260"/>
          <a:ext cx="6271260" cy="1385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502920</xdr:colOff>
      <xdr:row>137</xdr:row>
      <xdr:rowOff>59186</xdr:rowOff>
    </xdr:from>
    <xdr:to>
      <xdr:col>12</xdr:col>
      <xdr:colOff>334574</xdr:colOff>
      <xdr:row>155</xdr:row>
      <xdr:rowOff>120441</xdr:rowOff>
    </xdr:to>
    <xdr:pic>
      <xdr:nvPicPr>
        <xdr:cNvPr id="2" name="Picture 1">
          <a:extLst>
            <a:ext uri="{FF2B5EF4-FFF2-40B4-BE49-F238E27FC236}">
              <a16:creationId xmlns:a16="http://schemas.microsoft.com/office/drawing/2014/main" id="{D86AB876-5A34-40DE-9C0D-369878734BE7}"/>
            </a:ext>
          </a:extLst>
        </xdr:cNvPr>
        <xdr:cNvPicPr>
          <a:picLocks noChangeAspect="1"/>
        </xdr:cNvPicPr>
      </xdr:nvPicPr>
      <xdr:blipFill>
        <a:blip xmlns:r="http://schemas.openxmlformats.org/officeDocument/2006/relationships" r:embed="rId1"/>
        <a:stretch>
          <a:fillRect/>
        </a:stretch>
      </xdr:blipFill>
      <xdr:spPr>
        <a:xfrm>
          <a:off x="7337108" y="25848124"/>
          <a:ext cx="3713091" cy="2628243"/>
        </a:xfrm>
        <a:prstGeom prst="rect">
          <a:avLst/>
        </a:prstGeom>
      </xdr:spPr>
    </xdr:pic>
    <xdr:clientData/>
  </xdr:twoCellAnchor>
  <xdr:twoCellAnchor editAs="oneCell">
    <xdr:from>
      <xdr:col>8</xdr:col>
      <xdr:colOff>22860</xdr:colOff>
      <xdr:row>156</xdr:row>
      <xdr:rowOff>45720</xdr:rowOff>
    </xdr:from>
    <xdr:to>
      <xdr:col>10</xdr:col>
      <xdr:colOff>55102</xdr:colOff>
      <xdr:row>177</xdr:row>
      <xdr:rowOff>97684</xdr:rowOff>
    </xdr:to>
    <xdr:pic>
      <xdr:nvPicPr>
        <xdr:cNvPr id="3" name="Picture 2">
          <a:extLst>
            <a:ext uri="{FF2B5EF4-FFF2-40B4-BE49-F238E27FC236}">
              <a16:creationId xmlns:a16="http://schemas.microsoft.com/office/drawing/2014/main" id="{9F0B21A3-BF79-4DF9-B976-18C6AF223D1C}"/>
            </a:ext>
          </a:extLst>
        </xdr:cNvPr>
        <xdr:cNvPicPr>
          <a:picLocks noChangeAspect="1"/>
        </xdr:cNvPicPr>
      </xdr:nvPicPr>
      <xdr:blipFill>
        <a:blip xmlns:r="http://schemas.openxmlformats.org/officeDocument/2006/relationships" r:embed="rId2"/>
        <a:stretch>
          <a:fillRect/>
        </a:stretch>
      </xdr:blipFill>
      <xdr:spPr>
        <a:xfrm>
          <a:off x="8214360" y="26860500"/>
          <a:ext cx="1144762" cy="3412384"/>
        </a:xfrm>
        <a:prstGeom prst="rect">
          <a:avLst/>
        </a:prstGeom>
      </xdr:spPr>
    </xdr:pic>
    <xdr:clientData/>
  </xdr:twoCellAnchor>
  <xdr:twoCellAnchor editAs="oneCell">
    <xdr:from>
      <xdr:col>12</xdr:col>
      <xdr:colOff>0</xdr:colOff>
      <xdr:row>153</xdr:row>
      <xdr:rowOff>0</xdr:rowOff>
    </xdr:from>
    <xdr:to>
      <xdr:col>21</xdr:col>
      <xdr:colOff>625889</xdr:colOff>
      <xdr:row>176</xdr:row>
      <xdr:rowOff>103354</xdr:rowOff>
    </xdr:to>
    <xdr:pic>
      <xdr:nvPicPr>
        <xdr:cNvPr id="4" name="Picture 3">
          <a:extLst>
            <a:ext uri="{FF2B5EF4-FFF2-40B4-BE49-F238E27FC236}">
              <a16:creationId xmlns:a16="http://schemas.microsoft.com/office/drawing/2014/main" id="{81E6AC8F-337C-4421-A388-7F83010CA196}"/>
            </a:ext>
          </a:extLst>
        </xdr:cNvPr>
        <xdr:cNvPicPr>
          <a:picLocks noChangeAspect="1"/>
        </xdr:cNvPicPr>
      </xdr:nvPicPr>
      <xdr:blipFill>
        <a:blip xmlns:r="http://schemas.openxmlformats.org/officeDocument/2006/relationships" r:embed="rId3"/>
        <a:stretch>
          <a:fillRect/>
        </a:stretch>
      </xdr:blipFill>
      <xdr:spPr>
        <a:xfrm>
          <a:off x="10382250" y="28703588"/>
          <a:ext cx="7150514" cy="3718091"/>
        </a:xfrm>
        <a:prstGeom prst="rect">
          <a:avLst/>
        </a:prstGeom>
      </xdr:spPr>
    </xdr:pic>
    <xdr:clientData/>
  </xdr:twoCellAnchor>
  <xdr:twoCellAnchor editAs="oneCell">
    <xdr:from>
      <xdr:col>0</xdr:col>
      <xdr:colOff>53340</xdr:colOff>
      <xdr:row>0</xdr:row>
      <xdr:rowOff>68580</xdr:rowOff>
    </xdr:from>
    <xdr:to>
      <xdr:col>0</xdr:col>
      <xdr:colOff>1847232</xdr:colOff>
      <xdr:row>14</xdr:row>
      <xdr:rowOff>1475</xdr:rowOff>
    </xdr:to>
    <xdr:pic>
      <xdr:nvPicPr>
        <xdr:cNvPr id="5" name="Picture 4">
          <a:extLst>
            <a:ext uri="{FF2B5EF4-FFF2-40B4-BE49-F238E27FC236}">
              <a16:creationId xmlns:a16="http://schemas.microsoft.com/office/drawing/2014/main" id="{E5565A36-16E0-4827-8368-6C05DDC7FD04}"/>
            </a:ext>
          </a:extLst>
        </xdr:cNvPr>
        <xdr:cNvPicPr>
          <a:picLocks noChangeAspect="1"/>
        </xdr:cNvPicPr>
      </xdr:nvPicPr>
      <xdr:blipFill>
        <a:blip xmlns:r="http://schemas.openxmlformats.org/officeDocument/2006/relationships" r:embed="rId4"/>
        <a:stretch>
          <a:fillRect/>
        </a:stretch>
      </xdr:blipFill>
      <xdr:spPr>
        <a:xfrm>
          <a:off x="53340" y="68580"/>
          <a:ext cx="1927242" cy="1942670"/>
        </a:xfrm>
        <a:prstGeom prst="rect">
          <a:avLst/>
        </a:prstGeom>
      </xdr:spPr>
    </xdr:pic>
    <xdr:clientData/>
  </xdr:twoCellAnchor>
  <xdr:twoCellAnchor editAs="oneCell">
    <xdr:from>
      <xdr:col>0</xdr:col>
      <xdr:colOff>365125</xdr:colOff>
      <xdr:row>154</xdr:row>
      <xdr:rowOff>130163</xdr:rowOff>
    </xdr:from>
    <xdr:to>
      <xdr:col>4</xdr:col>
      <xdr:colOff>446193</xdr:colOff>
      <xdr:row>163</xdr:row>
      <xdr:rowOff>156346</xdr:rowOff>
    </xdr:to>
    <xdr:pic>
      <xdr:nvPicPr>
        <xdr:cNvPr id="6" name="Picture 5">
          <a:extLst>
            <a:ext uri="{FF2B5EF4-FFF2-40B4-BE49-F238E27FC236}">
              <a16:creationId xmlns:a16="http://schemas.microsoft.com/office/drawing/2014/main" id="{A0033070-2144-4074-840B-F8C434944EEC}"/>
            </a:ext>
          </a:extLst>
        </xdr:cNvPr>
        <xdr:cNvPicPr>
          <a:picLocks noChangeAspect="1"/>
        </xdr:cNvPicPr>
      </xdr:nvPicPr>
      <xdr:blipFill>
        <a:blip xmlns:r="http://schemas.openxmlformats.org/officeDocument/2006/relationships" r:embed="rId5"/>
        <a:stretch>
          <a:fillRect/>
        </a:stretch>
      </xdr:blipFill>
      <xdr:spPr>
        <a:xfrm>
          <a:off x="365125" y="27114488"/>
          <a:ext cx="5243618" cy="14835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137160</xdr:colOff>
      <xdr:row>41</xdr:row>
      <xdr:rowOff>106680</xdr:rowOff>
    </xdr:from>
    <xdr:to>
      <xdr:col>1</xdr:col>
      <xdr:colOff>190500</xdr:colOff>
      <xdr:row>52</xdr:row>
      <xdr:rowOff>144780</xdr:rowOff>
    </xdr:to>
    <xdr:sp macro="" textlink="">
      <xdr:nvSpPr>
        <xdr:cNvPr id="2" name="Arrow: Down 1">
          <a:extLst>
            <a:ext uri="{FF2B5EF4-FFF2-40B4-BE49-F238E27FC236}">
              <a16:creationId xmlns:a16="http://schemas.microsoft.com/office/drawing/2014/main" id="{80B3C99F-5089-E95C-EA8A-2DD4DCD5B2E6}"/>
            </a:ext>
          </a:extLst>
        </xdr:cNvPr>
        <xdr:cNvSpPr/>
      </xdr:nvSpPr>
      <xdr:spPr>
        <a:xfrm rot="10800000">
          <a:off x="1562100" y="281940"/>
          <a:ext cx="53340" cy="18440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708660</xdr:colOff>
      <xdr:row>507</xdr:row>
      <xdr:rowOff>91440</xdr:rowOff>
    </xdr:from>
    <xdr:to>
      <xdr:col>4</xdr:col>
      <xdr:colOff>426720</xdr:colOff>
      <xdr:row>517</xdr:row>
      <xdr:rowOff>45720</xdr:rowOff>
    </xdr:to>
    <xdr:sp macro="" textlink="">
      <xdr:nvSpPr>
        <xdr:cNvPr id="3" name="TextBox 2">
          <a:extLst>
            <a:ext uri="{FF2B5EF4-FFF2-40B4-BE49-F238E27FC236}">
              <a16:creationId xmlns:a16="http://schemas.microsoft.com/office/drawing/2014/main" id="{8A930777-DC86-79F2-5134-B307C9716AEF}"/>
            </a:ext>
          </a:extLst>
        </xdr:cNvPr>
        <xdr:cNvSpPr txBox="1"/>
      </xdr:nvSpPr>
      <xdr:spPr>
        <a:xfrm>
          <a:off x="708660" y="84292440"/>
          <a:ext cx="4701540" cy="15544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solidFill>
                <a:srgbClr val="FF0000"/>
              </a:solidFill>
            </a:rPr>
            <a:t>BELOW SAME</a:t>
          </a:r>
          <a:r>
            <a:rPr lang="en-US" sz="1100" kern="1200" baseline="0">
              <a:solidFill>
                <a:srgbClr val="FF0000"/>
              </a:solidFill>
            </a:rPr>
            <a:t> CONCEPT TABLE OF LISTS X DISCOUNTS TO = NETS</a:t>
          </a:r>
        </a:p>
        <a:p>
          <a:endParaRPr lang="en-US" sz="1100" kern="1200" baseline="0">
            <a:solidFill>
              <a:srgbClr val="FF0000"/>
            </a:solidFill>
          </a:endParaRPr>
        </a:p>
        <a:p>
          <a:r>
            <a:rPr lang="en-US" sz="1100" kern="1200" baseline="0">
              <a:solidFill>
                <a:srgbClr val="FF0000"/>
              </a:solidFill>
            </a:rPr>
            <a:t>THERE IS A BASELINE PRICE AND THEN AN ADDITIVE PRICE</a:t>
          </a:r>
        </a:p>
        <a:p>
          <a:endParaRPr lang="en-US" sz="1100" kern="1200" baseline="0">
            <a:solidFill>
              <a:srgbClr val="FF0000"/>
            </a:solidFill>
          </a:endParaRPr>
        </a:p>
        <a:p>
          <a:r>
            <a:rPr lang="en-US" sz="1100" kern="1200" baseline="0">
              <a:solidFill>
                <a:srgbClr val="FF0000"/>
              </a:solidFill>
            </a:rPr>
            <a:t>IN THE PROCESS OF REVIEWING THE ADDITIVE PRICING.</a:t>
          </a:r>
        </a:p>
        <a:p>
          <a:endParaRPr lang="en-US" sz="1100" kern="1200" baseline="0">
            <a:solidFill>
              <a:srgbClr val="FF0000"/>
            </a:solidFill>
          </a:endParaRPr>
        </a:p>
        <a:p>
          <a:r>
            <a:rPr lang="en-US" sz="1100" kern="1200">
              <a:solidFill>
                <a:srgbClr val="FF0000"/>
              </a:solidFill>
            </a:rPr>
            <a:t>NOT SURE IF THIS IS GOING TO BE BY VENDOR OR IF ITS GOING</a:t>
          </a:r>
          <a:r>
            <a:rPr lang="en-US" sz="1100" kern="1200" baseline="0">
              <a:solidFill>
                <a:srgbClr val="FF0000"/>
              </a:solidFill>
            </a:rPr>
            <a:t> TO BE A ROUNDED ADDER REGARDLESS OF THE VENDOR.</a:t>
          </a:r>
          <a:endParaRPr lang="en-US" sz="1100" kern="1200">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23</xdr:col>
      <xdr:colOff>116418</xdr:colOff>
      <xdr:row>3</xdr:row>
      <xdr:rowOff>95252</xdr:rowOff>
    </xdr:from>
    <xdr:ext cx="1838778" cy="806629"/>
    <xdr:pic>
      <xdr:nvPicPr>
        <xdr:cNvPr id="2" name="Picture 1">
          <a:extLst>
            <a:ext uri="{FF2B5EF4-FFF2-40B4-BE49-F238E27FC236}">
              <a16:creationId xmlns:a16="http://schemas.microsoft.com/office/drawing/2014/main" id="{07DF7BC9-918D-4F1B-BB2E-B497753F67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1675" y="568781"/>
          <a:ext cx="1838778" cy="806629"/>
        </a:xfrm>
        <a:prstGeom prst="rect">
          <a:avLst/>
        </a:prstGeom>
      </xdr:spPr>
    </xdr:pic>
    <xdr:clientData/>
  </xdr:oneCellAnchor>
  <xdr:twoCellAnchor>
    <xdr:from>
      <xdr:col>3</xdr:col>
      <xdr:colOff>0</xdr:colOff>
      <xdr:row>3</xdr:row>
      <xdr:rowOff>25398</xdr:rowOff>
    </xdr:from>
    <xdr:to>
      <xdr:col>11</xdr:col>
      <xdr:colOff>313269</xdr:colOff>
      <xdr:row>6</xdr:row>
      <xdr:rowOff>153844</xdr:rowOff>
    </xdr:to>
    <xdr:grpSp>
      <xdr:nvGrpSpPr>
        <xdr:cNvPr id="3" name="Group 2">
          <a:extLst>
            <a:ext uri="{FF2B5EF4-FFF2-40B4-BE49-F238E27FC236}">
              <a16:creationId xmlns:a16="http://schemas.microsoft.com/office/drawing/2014/main" id="{1C676FE3-29EB-4D33-9C80-418CB5BF1833}"/>
            </a:ext>
          </a:extLst>
        </xdr:cNvPr>
        <xdr:cNvGrpSpPr/>
      </xdr:nvGrpSpPr>
      <xdr:grpSpPr>
        <a:xfrm>
          <a:off x="1470660" y="589278"/>
          <a:ext cx="4115649" cy="677086"/>
          <a:chOff x="1371597" y="618066"/>
          <a:chExt cx="3928536" cy="687246"/>
        </a:xfrm>
      </xdr:grpSpPr>
      <xdr:grpSp>
        <xdr:nvGrpSpPr>
          <xdr:cNvPr id="4" name="Group 3">
            <a:extLst>
              <a:ext uri="{FF2B5EF4-FFF2-40B4-BE49-F238E27FC236}">
                <a16:creationId xmlns:a16="http://schemas.microsoft.com/office/drawing/2014/main" id="{AD445501-A9C6-F4BB-F23B-BB39F6CCF15F}"/>
              </a:ext>
            </a:extLst>
          </xdr:cNvPr>
          <xdr:cNvGrpSpPr/>
        </xdr:nvGrpSpPr>
        <xdr:grpSpPr>
          <a:xfrm>
            <a:off x="1371597" y="618066"/>
            <a:ext cx="2878667" cy="677335"/>
            <a:chOff x="260773" y="137153"/>
            <a:chExt cx="3144393" cy="723021"/>
          </a:xfrm>
        </xdr:grpSpPr>
        <xdr:pic>
          <xdr:nvPicPr>
            <xdr:cNvPr id="6" name="Picture 5">
              <a:extLst>
                <a:ext uri="{FF2B5EF4-FFF2-40B4-BE49-F238E27FC236}">
                  <a16:creationId xmlns:a16="http://schemas.microsoft.com/office/drawing/2014/main" id="{F1F210A3-DC35-8CC2-52AB-7EEF2D423A84}"/>
                </a:ext>
              </a:extLst>
            </xdr:cNvPr>
            <xdr:cNvPicPr>
              <a:picLocks noChangeAspect="1"/>
            </xdr:cNvPicPr>
          </xdr:nvPicPr>
          <xdr:blipFill>
            <a:blip xmlns:r="http://schemas.openxmlformats.org/officeDocument/2006/relationships" r:embed="rId2"/>
            <a:stretch>
              <a:fillRect/>
            </a:stretch>
          </xdr:blipFill>
          <xdr:spPr>
            <a:xfrm>
              <a:off x="260773" y="137153"/>
              <a:ext cx="3130130" cy="686172"/>
            </a:xfrm>
            <a:prstGeom prst="rect">
              <a:avLst/>
            </a:prstGeom>
          </xdr:spPr>
        </xdr:pic>
        <xdr:sp macro="" textlink="">
          <xdr:nvSpPr>
            <xdr:cNvPr id="7" name="Rectangle 6">
              <a:extLst>
                <a:ext uri="{FF2B5EF4-FFF2-40B4-BE49-F238E27FC236}">
                  <a16:creationId xmlns:a16="http://schemas.microsoft.com/office/drawing/2014/main" id="{D8880A4C-9FFE-07BA-F48E-BE4A79DEEE6D}"/>
                </a:ext>
              </a:extLst>
            </xdr:cNvPr>
            <xdr:cNvSpPr/>
          </xdr:nvSpPr>
          <xdr:spPr>
            <a:xfrm>
              <a:off x="1664420" y="669674"/>
              <a:ext cx="1740746" cy="19050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5" name="Picture 4">
            <a:extLst>
              <a:ext uri="{FF2B5EF4-FFF2-40B4-BE49-F238E27FC236}">
                <a16:creationId xmlns:a16="http://schemas.microsoft.com/office/drawing/2014/main" id="{4C49B5C1-68C8-DCC1-D1C6-729D9C7B3A76}"/>
              </a:ext>
            </a:extLst>
          </xdr:cNvPr>
          <xdr:cNvPicPr>
            <a:picLocks noChangeAspect="1"/>
          </xdr:cNvPicPr>
        </xdr:nvPicPr>
        <xdr:blipFill>
          <a:blip xmlns:r="http://schemas.openxmlformats.org/officeDocument/2006/relationships" r:embed="rId3"/>
          <a:stretch>
            <a:fillRect/>
          </a:stretch>
        </xdr:blipFill>
        <xdr:spPr>
          <a:xfrm>
            <a:off x="4614333" y="618068"/>
            <a:ext cx="685800" cy="687244"/>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53340</xdr:colOff>
      <xdr:row>9</xdr:row>
      <xdr:rowOff>104775</xdr:rowOff>
    </xdr:from>
    <xdr:to>
      <xdr:col>19</xdr:col>
      <xdr:colOff>1712595</xdr:colOff>
      <xdr:row>23</xdr:row>
      <xdr:rowOff>142875</xdr:rowOff>
    </xdr:to>
    <xdr:sp macro="" textlink="">
      <xdr:nvSpPr>
        <xdr:cNvPr id="2" name="TextBox 1">
          <a:extLst>
            <a:ext uri="{FF2B5EF4-FFF2-40B4-BE49-F238E27FC236}">
              <a16:creationId xmlns:a16="http://schemas.microsoft.com/office/drawing/2014/main" id="{00DDED5C-6946-4B23-A1E8-ACD191FE5D42}"/>
            </a:ext>
          </a:extLst>
        </xdr:cNvPr>
        <xdr:cNvSpPr txBox="1"/>
      </xdr:nvSpPr>
      <xdr:spPr>
        <a:xfrm>
          <a:off x="24277320" y="1674495"/>
          <a:ext cx="5370195" cy="2278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special lite info</a:t>
          </a:r>
        </a:p>
        <a:p>
          <a:endParaRPr lang="en-US" sz="1100"/>
        </a:p>
        <a:p>
          <a:r>
            <a:rPr lang="en-US" sz="1100"/>
            <a:t>WINDOW COST SMALL $200 </a:t>
          </a:r>
          <a:r>
            <a:rPr lang="en-US" sz="1100" baseline="0"/>
            <a:t> LARGE $400 COST</a:t>
          </a:r>
        </a:p>
        <a:p>
          <a:r>
            <a:rPr lang="en-US" sz="1100" baseline="0"/>
            <a:t>TALL OVER 8/0 COST PER DOOR COST JUMPS $500.</a:t>
          </a:r>
        </a:p>
        <a:p>
          <a:endParaRPr lang="en-US" sz="1100" baseline="0"/>
        </a:p>
        <a:p>
          <a:r>
            <a:rPr lang="en-US" sz="1100" baseline="0"/>
            <a:t>BOTTOM SWEEPS LIKE $300 COST PER INTEGRAL SWEEP.</a:t>
          </a:r>
        </a:p>
        <a:p>
          <a:endParaRPr lang="en-US" sz="1100" baseline="0"/>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27</xdr:col>
      <xdr:colOff>158753</xdr:colOff>
      <xdr:row>11</xdr:row>
      <xdr:rowOff>84670</xdr:rowOff>
    </xdr:from>
    <xdr:to>
      <xdr:col>27</xdr:col>
      <xdr:colOff>2286001</xdr:colOff>
      <xdr:row>18</xdr:row>
      <xdr:rowOff>21977</xdr:rowOff>
    </xdr:to>
    <xdr:pic>
      <xdr:nvPicPr>
        <xdr:cNvPr id="2" name="Picture 1">
          <a:extLst>
            <a:ext uri="{FF2B5EF4-FFF2-40B4-BE49-F238E27FC236}">
              <a16:creationId xmlns:a16="http://schemas.microsoft.com/office/drawing/2014/main" id="{75B23056-3035-4343-B214-D74ED03E85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10824" y="2065870"/>
          <a:ext cx="2127248" cy="1042207"/>
        </a:xfrm>
        <a:prstGeom prst="rect">
          <a:avLst/>
        </a:prstGeom>
      </xdr:spPr>
    </xdr:pic>
    <xdr:clientData/>
  </xdr:twoCellAnchor>
  <xdr:twoCellAnchor editAs="oneCell">
    <xdr:from>
      <xdr:col>4</xdr:col>
      <xdr:colOff>21167</xdr:colOff>
      <xdr:row>3</xdr:row>
      <xdr:rowOff>127000</xdr:rowOff>
    </xdr:from>
    <xdr:to>
      <xdr:col>11</xdr:col>
      <xdr:colOff>42333</xdr:colOff>
      <xdr:row>9</xdr:row>
      <xdr:rowOff>82520</xdr:rowOff>
    </xdr:to>
    <xdr:pic>
      <xdr:nvPicPr>
        <xdr:cNvPr id="3" name="Picture 2">
          <a:extLst>
            <a:ext uri="{FF2B5EF4-FFF2-40B4-BE49-F238E27FC236}">
              <a16:creationId xmlns:a16="http://schemas.microsoft.com/office/drawing/2014/main" id="{6F4192B5-214F-4EB0-8D7B-F1C1064F763F}"/>
            </a:ext>
          </a:extLst>
        </xdr:cNvPr>
        <xdr:cNvPicPr>
          <a:picLocks noChangeAspect="1"/>
        </xdr:cNvPicPr>
      </xdr:nvPicPr>
      <xdr:blipFill>
        <a:blip xmlns:r="http://schemas.openxmlformats.org/officeDocument/2006/relationships" r:embed="rId2">
          <a:clrChange>
            <a:clrFrom>
              <a:srgbClr val="F5F5F5"/>
            </a:clrFrom>
            <a:clrTo>
              <a:srgbClr val="F5F5F5">
                <a:alpha val="0"/>
              </a:srgbClr>
            </a:clrTo>
          </a:clrChange>
          <a:extLst>
            <a:ext uri="{28A0092B-C50C-407E-A947-70E740481C1C}">
              <a14:useLocalDpi xmlns:a14="http://schemas.microsoft.com/office/drawing/2010/main" val="0"/>
            </a:ext>
          </a:extLst>
        </a:blip>
        <a:stretch>
          <a:fillRect/>
        </a:stretch>
      </xdr:blipFill>
      <xdr:spPr>
        <a:xfrm>
          <a:off x="1675796" y="622300"/>
          <a:ext cx="3564466" cy="90257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23</xdr:col>
      <xdr:colOff>116418</xdr:colOff>
      <xdr:row>3</xdr:row>
      <xdr:rowOff>95252</xdr:rowOff>
    </xdr:from>
    <xdr:to>
      <xdr:col>25</xdr:col>
      <xdr:colOff>529167</xdr:colOff>
      <xdr:row>8</xdr:row>
      <xdr:rowOff>150767</xdr:rowOff>
    </xdr:to>
    <xdr:pic>
      <xdr:nvPicPr>
        <xdr:cNvPr id="2" name="Picture 1">
          <a:extLst>
            <a:ext uri="{FF2B5EF4-FFF2-40B4-BE49-F238E27FC236}">
              <a16:creationId xmlns:a16="http://schemas.microsoft.com/office/drawing/2014/main" id="{2F37A0F3-24E1-480A-83A5-7802D7BDD0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83875" y="661309"/>
          <a:ext cx="1838778" cy="844729"/>
        </a:xfrm>
        <a:prstGeom prst="rect">
          <a:avLst/>
        </a:prstGeom>
      </xdr:spPr>
    </xdr:pic>
    <xdr:clientData/>
  </xdr:twoCellAnchor>
  <xdr:twoCellAnchor>
    <xdr:from>
      <xdr:col>3</xdr:col>
      <xdr:colOff>0</xdr:colOff>
      <xdr:row>3</xdr:row>
      <xdr:rowOff>25398</xdr:rowOff>
    </xdr:from>
    <xdr:to>
      <xdr:col>11</xdr:col>
      <xdr:colOff>313269</xdr:colOff>
      <xdr:row>6</xdr:row>
      <xdr:rowOff>153844</xdr:rowOff>
    </xdr:to>
    <xdr:grpSp>
      <xdr:nvGrpSpPr>
        <xdr:cNvPr id="3" name="Group 2">
          <a:extLst>
            <a:ext uri="{FF2B5EF4-FFF2-40B4-BE49-F238E27FC236}">
              <a16:creationId xmlns:a16="http://schemas.microsoft.com/office/drawing/2014/main" id="{874A220F-4C05-497E-A8CB-ABB9318ECEEA}"/>
            </a:ext>
          </a:extLst>
        </xdr:cNvPr>
        <xdr:cNvGrpSpPr/>
      </xdr:nvGrpSpPr>
      <xdr:grpSpPr>
        <a:xfrm>
          <a:off x="1470660" y="589278"/>
          <a:ext cx="4115649" cy="677086"/>
          <a:chOff x="1371597" y="618066"/>
          <a:chExt cx="3928536" cy="687246"/>
        </a:xfrm>
      </xdr:grpSpPr>
      <xdr:grpSp>
        <xdr:nvGrpSpPr>
          <xdr:cNvPr id="4" name="Group 3">
            <a:extLst>
              <a:ext uri="{FF2B5EF4-FFF2-40B4-BE49-F238E27FC236}">
                <a16:creationId xmlns:a16="http://schemas.microsoft.com/office/drawing/2014/main" id="{6F129985-F6C3-30BB-7D6E-11C5AA50C961}"/>
              </a:ext>
            </a:extLst>
          </xdr:cNvPr>
          <xdr:cNvGrpSpPr/>
        </xdr:nvGrpSpPr>
        <xdr:grpSpPr>
          <a:xfrm>
            <a:off x="1371597" y="618066"/>
            <a:ext cx="2878667" cy="677335"/>
            <a:chOff x="260773" y="137153"/>
            <a:chExt cx="3144393" cy="723021"/>
          </a:xfrm>
        </xdr:grpSpPr>
        <xdr:pic>
          <xdr:nvPicPr>
            <xdr:cNvPr id="6" name="Picture 5">
              <a:extLst>
                <a:ext uri="{FF2B5EF4-FFF2-40B4-BE49-F238E27FC236}">
                  <a16:creationId xmlns:a16="http://schemas.microsoft.com/office/drawing/2014/main" id="{0D15D1A2-957B-E004-9D79-A73847495AF4}"/>
                </a:ext>
              </a:extLst>
            </xdr:cNvPr>
            <xdr:cNvPicPr>
              <a:picLocks noChangeAspect="1"/>
            </xdr:cNvPicPr>
          </xdr:nvPicPr>
          <xdr:blipFill>
            <a:blip xmlns:r="http://schemas.openxmlformats.org/officeDocument/2006/relationships" r:embed="rId2"/>
            <a:stretch>
              <a:fillRect/>
            </a:stretch>
          </xdr:blipFill>
          <xdr:spPr>
            <a:xfrm>
              <a:off x="260773" y="137153"/>
              <a:ext cx="3130130" cy="686172"/>
            </a:xfrm>
            <a:prstGeom prst="rect">
              <a:avLst/>
            </a:prstGeom>
          </xdr:spPr>
        </xdr:pic>
        <xdr:sp macro="" textlink="">
          <xdr:nvSpPr>
            <xdr:cNvPr id="7" name="Rectangle 6">
              <a:extLst>
                <a:ext uri="{FF2B5EF4-FFF2-40B4-BE49-F238E27FC236}">
                  <a16:creationId xmlns:a16="http://schemas.microsoft.com/office/drawing/2014/main" id="{1991828B-7F93-A81A-16AB-57027262D3A7}"/>
                </a:ext>
              </a:extLst>
            </xdr:cNvPr>
            <xdr:cNvSpPr/>
          </xdr:nvSpPr>
          <xdr:spPr>
            <a:xfrm>
              <a:off x="1664420" y="669674"/>
              <a:ext cx="1740746" cy="190500"/>
            </a:xfrm>
            <a:prstGeom prst="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5" name="Picture 4">
            <a:extLst>
              <a:ext uri="{FF2B5EF4-FFF2-40B4-BE49-F238E27FC236}">
                <a16:creationId xmlns:a16="http://schemas.microsoft.com/office/drawing/2014/main" id="{D4FA0FA4-34E4-ED71-6125-F338308BA64A}"/>
              </a:ext>
            </a:extLst>
          </xdr:cNvPr>
          <xdr:cNvPicPr>
            <a:picLocks noChangeAspect="1"/>
          </xdr:cNvPicPr>
        </xdr:nvPicPr>
        <xdr:blipFill>
          <a:blip xmlns:r="http://schemas.openxmlformats.org/officeDocument/2006/relationships" r:embed="rId3"/>
          <a:stretch>
            <a:fillRect/>
          </a:stretch>
        </xdr:blipFill>
        <xdr:spPr>
          <a:xfrm>
            <a:off x="4614333" y="618068"/>
            <a:ext cx="685800" cy="687244"/>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364672</xdr:colOff>
      <xdr:row>19</xdr:row>
      <xdr:rowOff>5443</xdr:rowOff>
    </xdr:from>
    <xdr:to>
      <xdr:col>2</xdr:col>
      <xdr:colOff>1747158</xdr:colOff>
      <xdr:row>27</xdr:row>
      <xdr:rowOff>32657</xdr:rowOff>
    </xdr:to>
    <xdr:sp macro="" textlink="">
      <xdr:nvSpPr>
        <xdr:cNvPr id="2" name="TextBox 1">
          <a:extLst>
            <a:ext uri="{FF2B5EF4-FFF2-40B4-BE49-F238E27FC236}">
              <a16:creationId xmlns:a16="http://schemas.microsoft.com/office/drawing/2014/main" id="{B7D30011-022A-0B9E-7EC7-104CD4D89DFF}"/>
            </a:ext>
          </a:extLst>
        </xdr:cNvPr>
        <xdr:cNvSpPr txBox="1"/>
      </xdr:nvSpPr>
      <xdr:spPr>
        <a:xfrm>
          <a:off x="1355272" y="3739243"/>
          <a:ext cx="3820886" cy="1507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question to answer    some costs are table driven</a:t>
          </a:r>
          <a:r>
            <a:rPr lang="en-US" sz="1100" kern="1200" baseline="0"/>
            <a:t> some costs are size driven.   most acccessories are cost driven, cost is per x   </a:t>
          </a:r>
        </a:p>
        <a:p>
          <a:endParaRPr lang="en-US" sz="1100" kern="1200" baseline="0"/>
        </a:p>
        <a:p>
          <a:r>
            <a:rPr lang="en-US" sz="1100" kern="1200" baseline="0"/>
            <a:t>other items are just items we need to pick the item</a:t>
          </a:r>
        </a:p>
        <a:p>
          <a:endParaRPr lang="en-US" sz="1100" kern="1200" baseline="0"/>
        </a:p>
        <a:p>
          <a:r>
            <a:rPr lang="en-US" sz="1100" kern="1200" baseline="0"/>
            <a:t>other items are kits.     panic bar and panic bar trim</a:t>
          </a:r>
        </a:p>
        <a:p>
          <a:endParaRPr lang="en-US" sz="1100" kern="1200"/>
        </a:p>
      </xdr:txBody>
    </xdr:sp>
    <xdr:clientData/>
  </xdr:twoCellAnchor>
  <xdr:twoCellAnchor>
    <xdr:from>
      <xdr:col>3</xdr:col>
      <xdr:colOff>0</xdr:colOff>
      <xdr:row>18</xdr:row>
      <xdr:rowOff>0</xdr:rowOff>
    </xdr:from>
    <xdr:to>
      <xdr:col>7</xdr:col>
      <xdr:colOff>620486</xdr:colOff>
      <xdr:row>26</xdr:row>
      <xdr:rowOff>27214</xdr:rowOff>
    </xdr:to>
    <xdr:sp macro="" textlink="">
      <xdr:nvSpPr>
        <xdr:cNvPr id="3" name="TextBox 2">
          <a:extLst>
            <a:ext uri="{FF2B5EF4-FFF2-40B4-BE49-F238E27FC236}">
              <a16:creationId xmlns:a16="http://schemas.microsoft.com/office/drawing/2014/main" id="{8EF31896-60E5-4251-8391-E89187005145}"/>
            </a:ext>
          </a:extLst>
        </xdr:cNvPr>
        <xdr:cNvSpPr txBox="1"/>
      </xdr:nvSpPr>
      <xdr:spPr>
        <a:xfrm>
          <a:off x="6226629" y="3548743"/>
          <a:ext cx="3820886" cy="1507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question to answer    some</a:t>
          </a:r>
          <a:r>
            <a:rPr lang="en-US" sz="1100" kern="1200" baseline="0"/>
            <a:t> hardware items are based on a unit with add ons, trim, function , etc.  assume these are a look up function from the table and that we separate like in h/metal    </a:t>
          </a:r>
        </a:p>
        <a:p>
          <a:endParaRPr lang="en-US" sz="1100" kern="1200" baseline="0"/>
        </a:p>
        <a:p>
          <a:r>
            <a:rPr lang="en-US" sz="1100" kern="1200" baseline="0"/>
            <a:t>is there a limit to hardware across a sheet?  can we pull an item from across the sheet and display it in a down mode.?</a:t>
          </a:r>
          <a:endParaRPr lang="en-US" sz="1100" kern="12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468312</xdr:colOff>
      <xdr:row>0</xdr:row>
      <xdr:rowOff>40957</xdr:rowOff>
    </xdr:from>
    <xdr:to>
      <xdr:col>9</xdr:col>
      <xdr:colOff>124460</xdr:colOff>
      <xdr:row>1</xdr:row>
      <xdr:rowOff>127001</xdr:rowOff>
    </xdr:to>
    <xdr:sp macro="" textlink="">
      <xdr:nvSpPr>
        <xdr:cNvPr id="2" name="TextBox 1">
          <a:extLst>
            <a:ext uri="{FF2B5EF4-FFF2-40B4-BE49-F238E27FC236}">
              <a16:creationId xmlns:a16="http://schemas.microsoft.com/office/drawing/2014/main" id="{FB528DE0-F60D-401D-9F39-5AB10C141E56}"/>
            </a:ext>
          </a:extLst>
        </xdr:cNvPr>
        <xdr:cNvSpPr txBox="1"/>
      </xdr:nvSpPr>
      <xdr:spPr>
        <a:xfrm>
          <a:off x="14646955" y="40957"/>
          <a:ext cx="456248" cy="379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its easy enough to</a:t>
          </a:r>
          <a:r>
            <a:rPr lang="en-US" sz="1100" baseline="0"/>
            <a:t> build the list,</a:t>
          </a:r>
        </a:p>
        <a:p>
          <a:endParaRPr lang="en-US" sz="1100" baseline="0"/>
        </a:p>
        <a:p>
          <a:r>
            <a:rPr lang="en-US" sz="1100" baseline="0"/>
            <a:t>especially on single vendor sourcing options.  </a:t>
          </a:r>
        </a:p>
        <a:p>
          <a:r>
            <a:rPr lang="en-US" sz="1100" baseline="0"/>
            <a:t> easy enough to price.  not much thought on the description but it could be up to x characters.</a:t>
          </a:r>
        </a:p>
        <a:p>
          <a:endParaRPr lang="en-US" sz="1100" baseline="0"/>
        </a:p>
        <a:p>
          <a:r>
            <a:rPr lang="en-US" sz="1100" baseline="0"/>
            <a:t>the po would run off the vendor part number category</a:t>
          </a:r>
        </a:p>
        <a:p>
          <a:endParaRPr lang="en-US" sz="1100"/>
        </a:p>
      </xdr:txBody>
    </xdr:sp>
    <xdr:clientData/>
  </xdr:twoCellAnchor>
  <xdr:twoCellAnchor>
    <xdr:from>
      <xdr:col>9</xdr:col>
      <xdr:colOff>341313</xdr:colOff>
      <xdr:row>0</xdr:row>
      <xdr:rowOff>79376</xdr:rowOff>
    </xdr:from>
    <xdr:to>
      <xdr:col>9</xdr:col>
      <xdr:colOff>799464</xdr:colOff>
      <xdr:row>1</xdr:row>
      <xdr:rowOff>205740</xdr:rowOff>
    </xdr:to>
    <xdr:sp macro="" textlink="">
      <xdr:nvSpPr>
        <xdr:cNvPr id="3" name="TextBox 2">
          <a:extLst>
            <a:ext uri="{FF2B5EF4-FFF2-40B4-BE49-F238E27FC236}">
              <a16:creationId xmlns:a16="http://schemas.microsoft.com/office/drawing/2014/main" id="{71B3CCE2-1C97-4AA4-AE35-4A81E3C8F799}"/>
            </a:ext>
          </a:extLst>
        </xdr:cNvPr>
        <xdr:cNvSpPr txBox="1"/>
      </xdr:nvSpPr>
      <xdr:spPr>
        <a:xfrm>
          <a:off x="15320056" y="79376"/>
          <a:ext cx="458151" cy="4202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would be longer</a:t>
          </a:r>
          <a:r>
            <a:rPr lang="en-US" sz="1100" baseline="0"/>
            <a:t> in hardware areas as there are multiple variants for each part...finish, length, function, trim, etc.  but it would build just like this.   if we add an item we would either nestle it in here or we woudl add it to a special tab.</a:t>
          </a:r>
        </a:p>
        <a:p>
          <a:endParaRPr lang="en-US" sz="1100" baseline="0"/>
        </a:p>
        <a:p>
          <a:r>
            <a:rPr lang="en-US" sz="1100" baseline="0"/>
            <a:t>i thinke we list off the table a category, like drip caps and when we click that we only see the drip cap options</a:t>
          </a:r>
        </a:p>
        <a:p>
          <a:endParaRPr lang="en-US" sz="1100" baseline="0"/>
        </a:p>
        <a:p>
          <a:endParaRPr lang="en-US" sz="1100"/>
        </a:p>
      </xdr:txBody>
    </xdr:sp>
    <xdr:clientData/>
  </xdr:twoCellAnchor>
  <xdr:twoCellAnchor>
    <xdr:from>
      <xdr:col>25</xdr:col>
      <xdr:colOff>468312</xdr:colOff>
      <xdr:row>0</xdr:row>
      <xdr:rowOff>40957</xdr:rowOff>
    </xdr:from>
    <xdr:to>
      <xdr:col>26</xdr:col>
      <xdr:colOff>124460</xdr:colOff>
      <xdr:row>1</xdr:row>
      <xdr:rowOff>127001</xdr:rowOff>
    </xdr:to>
    <xdr:sp macro="" textlink="">
      <xdr:nvSpPr>
        <xdr:cNvPr id="4" name="TextBox 3">
          <a:extLst>
            <a:ext uri="{FF2B5EF4-FFF2-40B4-BE49-F238E27FC236}">
              <a16:creationId xmlns:a16="http://schemas.microsoft.com/office/drawing/2014/main" id="{2ABDFBA0-8E5D-4A5F-A9DB-E8E0B48470E0}"/>
            </a:ext>
          </a:extLst>
        </xdr:cNvPr>
        <xdr:cNvSpPr txBox="1"/>
      </xdr:nvSpPr>
      <xdr:spPr>
        <a:xfrm>
          <a:off x="35917641" y="40957"/>
          <a:ext cx="456248" cy="379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its easy enough to</a:t>
          </a:r>
          <a:r>
            <a:rPr lang="en-US" sz="1100" baseline="0"/>
            <a:t> build the list,</a:t>
          </a:r>
        </a:p>
        <a:p>
          <a:endParaRPr lang="en-US" sz="1100" baseline="0"/>
        </a:p>
        <a:p>
          <a:r>
            <a:rPr lang="en-US" sz="1100" baseline="0"/>
            <a:t>especially on single vendor sourcing options.  </a:t>
          </a:r>
        </a:p>
        <a:p>
          <a:r>
            <a:rPr lang="en-US" sz="1100" baseline="0"/>
            <a:t> easy enough to price.  not much thought on the description but it could be up to x characters.</a:t>
          </a:r>
        </a:p>
        <a:p>
          <a:endParaRPr lang="en-US" sz="1100" baseline="0"/>
        </a:p>
        <a:p>
          <a:r>
            <a:rPr lang="en-US" sz="1100" baseline="0"/>
            <a:t>the po would run off the vendor part number category</a:t>
          </a:r>
        </a:p>
        <a:p>
          <a:endParaRPr lang="en-US" sz="1100"/>
        </a:p>
      </xdr:txBody>
    </xdr:sp>
    <xdr:clientData/>
  </xdr:twoCellAnchor>
  <xdr:twoCellAnchor>
    <xdr:from>
      <xdr:col>26</xdr:col>
      <xdr:colOff>341313</xdr:colOff>
      <xdr:row>0</xdr:row>
      <xdr:rowOff>79376</xdr:rowOff>
    </xdr:from>
    <xdr:to>
      <xdr:col>26</xdr:col>
      <xdr:colOff>799464</xdr:colOff>
      <xdr:row>1</xdr:row>
      <xdr:rowOff>205740</xdr:rowOff>
    </xdr:to>
    <xdr:sp macro="" textlink="">
      <xdr:nvSpPr>
        <xdr:cNvPr id="5" name="TextBox 4">
          <a:extLst>
            <a:ext uri="{FF2B5EF4-FFF2-40B4-BE49-F238E27FC236}">
              <a16:creationId xmlns:a16="http://schemas.microsoft.com/office/drawing/2014/main" id="{8E77B8D5-6757-42B9-A587-154923EBF203}"/>
            </a:ext>
          </a:extLst>
        </xdr:cNvPr>
        <xdr:cNvSpPr txBox="1"/>
      </xdr:nvSpPr>
      <xdr:spPr>
        <a:xfrm>
          <a:off x="36590742" y="79376"/>
          <a:ext cx="458151" cy="4202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would be longer</a:t>
          </a:r>
          <a:r>
            <a:rPr lang="en-US" sz="1100" baseline="0"/>
            <a:t> in hardware areas as there are multiple variants for each part...finish, length, function, trim, etc.  but it would build just like this.   if we add an item we would either nestle it in here or we woudl add it to a special tab.</a:t>
          </a:r>
        </a:p>
        <a:p>
          <a:endParaRPr lang="en-US" sz="1100" baseline="0"/>
        </a:p>
        <a:p>
          <a:r>
            <a:rPr lang="en-US" sz="1100" baseline="0"/>
            <a:t>i thinke we list off the table a category, like drip caps and when we click that we only see the drip cap options</a:t>
          </a:r>
        </a:p>
        <a:p>
          <a:endParaRPr lang="en-US" sz="1100" baseline="0"/>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186207</xdr:colOff>
      <xdr:row>0</xdr:row>
      <xdr:rowOff>0</xdr:rowOff>
    </xdr:from>
    <xdr:to>
      <xdr:col>44</xdr:col>
      <xdr:colOff>88478</xdr:colOff>
      <xdr:row>25</xdr:row>
      <xdr:rowOff>17477</xdr:rowOff>
    </xdr:to>
    <xdr:pic>
      <xdr:nvPicPr>
        <xdr:cNvPr id="2" name="Picture 1">
          <a:extLst>
            <a:ext uri="{FF2B5EF4-FFF2-40B4-BE49-F238E27FC236}">
              <a16:creationId xmlns:a16="http://schemas.microsoft.com/office/drawing/2014/main" id="{5F614AD4-A5F9-4E17-96DF-AC999C227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9807" y="0"/>
          <a:ext cx="16513871" cy="5107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PAUL WEYMER" id="{C77194AB-EB57-46A4-9F21-5C3923A5BDC8}" userId="PAUL WEYMER" providerId="None"/>
  <person displayName="PAUL WEYMER" id="{11DA0657-7B01-4754-9CC8-6F7162290E32}" userId="2533fee4fb22e11a" providerId="Windows Live"/>
  <person displayName="Paul Weymer" id="{EEBFF948-73E5-45B7-9E4A-AC17A042ABB2}" userId="S::weymerp@intentry.com::97fd7355-89d2-4ec5-85a6-9ebeecf6ded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249" dT="2026-03-31T17:58:27.88" personId="{EEBFF948-73E5-45B7-9E4A-AC17A042ABB2}" id="{29AD33EA-B0A6-4884-A087-07B09A9E624A}">
    <text>78094093 - ETW4-BB5-HW 4.5 x 4.5 (4 - 28 Ga. wires)</text>
  </threadedComment>
  <threadedComment ref="Z353" dT="2026-02-23T14:58:06.00" personId="{EEBFF948-73E5-45B7-9E4A-AC17A042ABB2}" id="{0756B72A-B84E-472F-AB83-BE5689ADBA97}">
    <text xml:space="preserve">2026 PRICE INCREASE
</text>
  </threadedComment>
  <threadedComment ref="B602" dT="2026-03-10T18:29:41.80" personId="{EEBFF948-73E5-45B7-9E4A-AC17A042ABB2}" id="{0DCD1C14-B024-44C8-A06A-D372C8D09EAA}">
    <text>PEMKO 242 HINGE SIDE
PEMKO 312 S/APPLIED
P 385 FOAM BLOCK
12” P381 ON STOP AT LOCK FOAM BLOCK</text>
  </threadedComment>
</ThreadedComments>
</file>

<file path=xl/threadedComments/threadedComment2.xml><?xml version="1.0" encoding="utf-8"?>
<ThreadedComments xmlns="http://schemas.microsoft.com/office/spreadsheetml/2018/threadedcomments" xmlns:x="http://schemas.openxmlformats.org/spreadsheetml/2006/main">
  <threadedComment ref="O5" dT="2025-03-29T21:53:07.15" personId="{C77194AB-EB57-46A4-9F21-5C3923A5BDC8}" id="{E3176B9A-5F44-4A79-8602-F2D20EAFB285}">
    <text xml:space="preserve">NAME OR RFQ NUMBER,    /   SOME DRIVER OF DESCRIPTIONS THAT NARROW SELECTION FIELD
</text>
  </threadedComment>
</ThreadedComments>
</file>

<file path=xl/threadedComments/threadedComment3.xml><?xml version="1.0" encoding="utf-8"?>
<ThreadedComments xmlns="http://schemas.microsoft.com/office/spreadsheetml/2018/threadedcomments" xmlns:x="http://schemas.openxmlformats.org/spreadsheetml/2006/main">
  <threadedComment ref="B10" dT="2024-08-02T21:15:41.14" personId="{11DA0657-7B01-4754-9CC8-6F7162290E32}" id="{E12280EB-61F0-4D1C-B795-BA6285B9B7CE}">
    <text>SINGLE OR PAIR WOULD TRIGGER THE OPTIONS PACKAGE.  SINGLE NO F/BOLT, S/BOLT, ETC</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mailto:ORDERS@INTENTRY.COM" TargetMode="External"/><Relationship Id="rId7" Type="http://schemas.openxmlformats.org/officeDocument/2006/relationships/comments" Target="../comments1.xml"/><Relationship Id="rId2" Type="http://schemas.openxmlformats.org/officeDocument/2006/relationships/hyperlink" Target="mailto:ACCTG@INTENTRY.COM" TargetMode="External"/><Relationship Id="rId1" Type="http://schemas.openxmlformats.org/officeDocument/2006/relationships/hyperlink" Target="mailto:SALES@INTENTRY.COM"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eckersmcusa.com/product/e-house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 Id="rId4" Type="http://schemas.microsoft.com/office/2017/10/relationships/threadedComment" Target="../threadedComments/threadedComment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E6564-5037-4581-9274-B00663740364}">
  <sheetPr>
    <pageSetUpPr fitToPage="1"/>
  </sheetPr>
  <dimension ref="A1:AT998"/>
  <sheetViews>
    <sheetView showZeros="0" tabSelected="1" defaultGridColor="0" topLeftCell="A288" colorId="23" zoomScaleNormal="100" workbookViewId="0">
      <selection activeCell="A297" sqref="A297:A307"/>
    </sheetView>
  </sheetViews>
  <sheetFormatPr defaultRowHeight="17.399999999999999" customHeight="1" x14ac:dyDescent="0.2"/>
  <cols>
    <col min="2" max="2" width="7.90625" style="405" customWidth="1"/>
    <col min="3" max="3" width="4.453125" customWidth="1"/>
    <col min="4" max="4" width="18.36328125" style="926" customWidth="1"/>
    <col min="5" max="5" width="15.7265625" customWidth="1"/>
    <col min="6" max="6" width="14.36328125" customWidth="1"/>
    <col min="7" max="7" width="13.453125" hidden="1" customWidth="1"/>
    <col min="8" max="8" width="13.453125" customWidth="1"/>
    <col min="9" max="9" width="11.36328125" hidden="1" customWidth="1"/>
    <col min="10" max="10" width="10.36328125" customWidth="1"/>
    <col min="11" max="11" width="10.36328125" style="398" customWidth="1"/>
    <col min="12" max="13" width="14.453125" customWidth="1"/>
    <col min="14" max="14" width="11.08984375" customWidth="1"/>
    <col min="15" max="15" width="10.453125" customWidth="1"/>
    <col min="16" max="18" width="3.90625" customWidth="1"/>
    <col min="19" max="19" width="8.90625" customWidth="1"/>
    <col min="20" max="20" width="18.26953125" customWidth="1"/>
    <col min="21" max="22" width="12.26953125" customWidth="1"/>
    <col min="23" max="23" width="10.26953125" customWidth="1"/>
    <col min="24" max="24" width="11.453125" style="107" customWidth="1"/>
    <col min="25" max="25" width="10.453125" style="2282" customWidth="1"/>
    <col min="26" max="26" width="10.453125" style="380" customWidth="1"/>
    <col min="27" max="27" width="11.08984375" style="3184" customWidth="1"/>
    <col min="28" max="28" width="8.7265625" style="2613" customWidth="1"/>
    <col min="29" max="29" width="10.453125" style="2612" customWidth="1"/>
    <col min="30" max="31" width="11.81640625" style="2612" customWidth="1"/>
    <col min="32" max="32" width="10.90625" style="2612" customWidth="1"/>
    <col min="33" max="33" width="9.90625" style="142" customWidth="1"/>
    <col min="34" max="34" width="10.36328125" customWidth="1"/>
    <col min="35" max="35" width="8.26953125" style="41" customWidth="1"/>
    <col min="36" max="44" width="7.6328125" customWidth="1"/>
  </cols>
  <sheetData>
    <row r="1" spans="2:46" s="4" customFormat="1" ht="31.95" customHeight="1" x14ac:dyDescent="0.25">
      <c r="B1" s="1020"/>
      <c r="C1" s="1"/>
      <c r="D1" s="2"/>
      <c r="E1" s="3"/>
      <c r="F1" s="2"/>
      <c r="G1" s="2"/>
      <c r="H1" s="2"/>
      <c r="I1" s="2"/>
      <c r="J1" s="2"/>
      <c r="K1" s="1061"/>
      <c r="L1" s="2"/>
      <c r="M1" s="2"/>
      <c r="P1" s="3812"/>
      <c r="Q1" s="3812"/>
      <c r="R1" s="3812"/>
      <c r="S1" s="3812"/>
      <c r="T1" s="3812"/>
      <c r="U1" s="3812"/>
      <c r="V1" s="3812"/>
      <c r="W1" s="3812"/>
      <c r="X1" s="65"/>
      <c r="Y1" s="2274"/>
      <c r="Z1" s="1098"/>
      <c r="AA1" s="3151"/>
      <c r="AB1" s="2439" t="s">
        <v>44</v>
      </c>
      <c r="AC1" s="2440" t="s">
        <v>45</v>
      </c>
      <c r="AD1" s="2440"/>
      <c r="AE1" s="2441"/>
      <c r="AF1" s="2441"/>
      <c r="AG1" s="1137"/>
      <c r="AH1" s="5" t="s">
        <v>346</v>
      </c>
      <c r="AI1" s="6"/>
      <c r="AJ1" s="7"/>
      <c r="AK1" s="7"/>
      <c r="AL1" s="7"/>
      <c r="AM1" s="7"/>
      <c r="AN1" s="7"/>
      <c r="AO1" s="7"/>
      <c r="AP1" s="7"/>
      <c r="AQ1" s="7"/>
    </row>
    <row r="2" spans="2:46" s="4" customFormat="1" ht="17.399999999999999" customHeight="1" x14ac:dyDescent="0.25">
      <c r="B2" s="1354"/>
      <c r="C2" s="8"/>
      <c r="D2" s="9"/>
      <c r="E2" s="10"/>
      <c r="F2" s="11"/>
      <c r="G2" s="11"/>
      <c r="H2" s="11"/>
      <c r="I2" s="11"/>
      <c r="J2" s="11"/>
      <c r="K2" s="1064" t="s">
        <v>2</v>
      </c>
      <c r="L2" s="1905"/>
      <c r="M2" s="1995"/>
      <c r="N2" s="2121"/>
      <c r="O2" s="1722"/>
      <c r="P2" s="1723"/>
      <c r="Q2" s="1723"/>
      <c r="R2" s="1723"/>
      <c r="S2" s="1724"/>
      <c r="T2" s="1724"/>
      <c r="U2" s="1724"/>
      <c r="V2" s="1724"/>
      <c r="W2" s="1903"/>
      <c r="X2" s="1904"/>
      <c r="Y2" s="2275"/>
      <c r="Z2" s="1098"/>
      <c r="AA2" s="3151"/>
      <c r="AB2" s="2442"/>
      <c r="AC2" s="2441" t="s">
        <v>3235</v>
      </c>
      <c r="AD2" s="2441"/>
      <c r="AE2" s="2441"/>
      <c r="AF2" s="2441"/>
      <c r="AG2" s="1137"/>
      <c r="AH2" s="5" t="s">
        <v>285</v>
      </c>
      <c r="AI2" s="6"/>
      <c r="AJ2" s="7"/>
      <c r="AK2" s="7"/>
      <c r="AL2" s="7"/>
      <c r="AM2" s="7"/>
      <c r="AN2" s="7"/>
      <c r="AO2" s="7"/>
      <c r="AP2" s="7"/>
      <c r="AQ2" s="7"/>
    </row>
    <row r="3" spans="2:46" s="4" customFormat="1" ht="17.399999999999999" customHeight="1" x14ac:dyDescent="0.25">
      <c r="B3" s="1355"/>
      <c r="C3" s="12"/>
      <c r="D3" s="13"/>
      <c r="E3" s="14"/>
      <c r="F3" s="9"/>
      <c r="G3" s="9"/>
      <c r="H3" s="9"/>
      <c r="I3" s="9"/>
      <c r="J3" s="9"/>
      <c r="K3" s="1065" t="s">
        <v>3</v>
      </c>
      <c r="L3" s="1906"/>
      <c r="M3" s="9"/>
      <c r="N3" s="2122"/>
      <c r="O3" s="14"/>
      <c r="P3" s="66"/>
      <c r="Q3" s="66"/>
      <c r="R3" s="66"/>
      <c r="S3" s="66"/>
      <c r="T3" s="66"/>
      <c r="U3" s="66"/>
      <c r="V3" s="66"/>
      <c r="W3" s="66"/>
      <c r="X3" s="1115"/>
      <c r="Y3" s="2276"/>
      <c r="Z3" s="1098"/>
      <c r="AA3" s="3151"/>
      <c r="AB3" s="2442"/>
      <c r="AC3" s="2443" t="s">
        <v>3236</v>
      </c>
      <c r="AD3" s="2441">
        <v>37</v>
      </c>
      <c r="AE3" s="2441"/>
      <c r="AF3" s="2441"/>
      <c r="AG3" s="1137"/>
      <c r="AH3" s="5" t="s">
        <v>141</v>
      </c>
      <c r="AI3" s="6"/>
      <c r="AJ3" s="7"/>
      <c r="AK3" s="7"/>
      <c r="AL3" s="7"/>
      <c r="AM3" s="7"/>
      <c r="AN3" s="7"/>
      <c r="AO3" s="7"/>
      <c r="AP3" s="7"/>
      <c r="AQ3" s="7"/>
    </row>
    <row r="4" spans="2:46" s="4" customFormat="1" ht="17.399999999999999" customHeight="1" x14ac:dyDescent="0.3">
      <c r="B4" s="1356"/>
      <c r="C4" s="15"/>
      <c r="D4" s="925"/>
      <c r="E4" s="10"/>
      <c r="K4" s="1062"/>
      <c r="N4" s="16"/>
      <c r="O4" s="16"/>
      <c r="P4" s="17"/>
      <c r="Q4" s="17"/>
      <c r="R4" s="17"/>
      <c r="T4" s="18"/>
      <c r="U4" s="18"/>
      <c r="V4" s="18"/>
      <c r="W4" s="19"/>
      <c r="X4" s="19"/>
      <c r="Y4" s="2274"/>
      <c r="Z4" s="1098"/>
      <c r="AA4" s="3151"/>
      <c r="AB4" s="2442"/>
      <c r="AC4" s="2443" t="s">
        <v>3237</v>
      </c>
      <c r="AD4" s="2441">
        <v>44</v>
      </c>
      <c r="AE4" s="2441"/>
      <c r="AF4" s="2441"/>
      <c r="AG4" s="1137"/>
      <c r="AH4" s="5" t="s">
        <v>2839</v>
      </c>
      <c r="AI4" s="6"/>
      <c r="AJ4" s="7"/>
      <c r="AK4" s="7"/>
      <c r="AL4" s="7"/>
      <c r="AM4" s="7"/>
      <c r="AN4" s="7"/>
      <c r="AO4" s="7"/>
      <c r="AP4" s="7"/>
      <c r="AQ4" s="7"/>
    </row>
    <row r="5" spans="2:46" s="4" customFormat="1" ht="17.399999999999999" customHeight="1" x14ac:dyDescent="0.3">
      <c r="B5" s="1356"/>
      <c r="C5" s="15"/>
      <c r="D5" s="925"/>
      <c r="E5" s="10"/>
      <c r="P5" s="16"/>
      <c r="Q5" s="16"/>
      <c r="R5" s="16"/>
      <c r="T5" s="20"/>
      <c r="U5" s="20"/>
      <c r="V5" s="18"/>
      <c r="W5" s="19"/>
      <c r="X5" s="19"/>
      <c r="Y5" s="2274"/>
      <c r="Z5" s="1098"/>
      <c r="AA5" s="3151"/>
      <c r="AB5" s="2441"/>
      <c r="AC5" s="2444" t="s">
        <v>3238</v>
      </c>
      <c r="AD5" s="2441">
        <v>37</v>
      </c>
      <c r="AE5" s="2441"/>
      <c r="AF5" s="2441"/>
      <c r="AG5" s="1137"/>
      <c r="AH5" s="5" t="s">
        <v>2844</v>
      </c>
      <c r="AI5" s="6"/>
      <c r="AJ5" s="7"/>
      <c r="AK5" s="7"/>
      <c r="AL5" s="7"/>
      <c r="AM5" s="7"/>
      <c r="AN5" s="7"/>
      <c r="AO5" s="7"/>
      <c r="AP5" s="7"/>
      <c r="AQ5" s="7"/>
    </row>
    <row r="6" spans="2:46" s="21" customFormat="1" ht="24.75" customHeight="1" x14ac:dyDescent="0.25">
      <c r="B6" s="1654"/>
      <c r="D6" s="2901" t="s">
        <v>4</v>
      </c>
      <c r="E6" s="1337" t="s">
        <v>2914</v>
      </c>
      <c r="F6" s="1328"/>
      <c r="G6" s="1328"/>
      <c r="H6" s="1328"/>
      <c r="J6" s="1655" t="s">
        <v>3044</v>
      </c>
      <c r="K6" s="1197">
        <v>11383</v>
      </c>
      <c r="O6" s="1719"/>
      <c r="P6" s="1719"/>
      <c r="Q6" s="1719"/>
      <c r="R6" s="1719"/>
      <c r="S6" s="1719"/>
      <c r="T6" s="1719"/>
      <c r="U6" s="1719"/>
      <c r="V6" s="1719"/>
      <c r="W6" s="1719"/>
      <c r="X6" s="3419"/>
      <c r="Y6" s="2277"/>
      <c r="Z6" s="1099"/>
      <c r="AA6" s="3151"/>
      <c r="AB6" s="2445"/>
      <c r="AC6" s="2446" t="s">
        <v>3239</v>
      </c>
      <c r="AD6" s="2447">
        <v>25</v>
      </c>
      <c r="AE6" s="2447"/>
      <c r="AF6" s="2447"/>
      <c r="AG6" s="1138"/>
      <c r="AH6" s="22" t="s">
        <v>2845</v>
      </c>
      <c r="AI6" s="23"/>
      <c r="AJ6" s="24"/>
      <c r="AK6" s="24"/>
      <c r="AL6" s="24"/>
      <c r="AM6" s="24"/>
      <c r="AN6" s="24"/>
      <c r="AO6" s="24"/>
      <c r="AP6" s="24"/>
      <c r="AQ6" s="24"/>
      <c r="AR6" s="25"/>
      <c r="AS6" s="25"/>
      <c r="AT6" s="25"/>
    </row>
    <row r="7" spans="2:46" s="21" customFormat="1" ht="24.75" customHeight="1" x14ac:dyDescent="0.25">
      <c r="B7" s="1654"/>
      <c r="D7" s="2902" t="s">
        <v>6</v>
      </c>
      <c r="E7" s="1337" t="s">
        <v>2389</v>
      </c>
      <c r="F7" s="2887"/>
      <c r="G7" s="2413"/>
      <c r="H7" s="2887"/>
      <c r="J7" s="1655" t="s">
        <v>3159</v>
      </c>
      <c r="K7" s="1197" t="s">
        <v>3737</v>
      </c>
      <c r="O7" s="1656"/>
      <c r="P7" s="1654"/>
      <c r="Q7" s="1654"/>
      <c r="R7" s="1654"/>
      <c r="S7" s="1657"/>
      <c r="T7" s="1657"/>
      <c r="U7" s="1657"/>
      <c r="V7" s="1657"/>
      <c r="W7" s="1657"/>
      <c r="X7" s="3420"/>
      <c r="Y7" s="2404"/>
      <c r="Z7" s="1099"/>
      <c r="AA7" s="3151"/>
      <c r="AB7" s="2447"/>
      <c r="AC7" s="2447" t="s">
        <v>3240</v>
      </c>
      <c r="AD7" s="2447">
        <v>15</v>
      </c>
      <c r="AE7" s="2447"/>
      <c r="AF7" s="2447"/>
      <c r="AG7" s="1138"/>
      <c r="AH7" s="22" t="s">
        <v>2846</v>
      </c>
      <c r="AI7" s="23"/>
      <c r="AJ7" s="24"/>
      <c r="AK7" s="24"/>
      <c r="AL7" s="24"/>
      <c r="AM7" s="24"/>
      <c r="AN7" s="24"/>
      <c r="AO7" s="24"/>
      <c r="AP7" s="24"/>
      <c r="AQ7" s="24"/>
      <c r="AR7" s="25"/>
      <c r="AS7" s="25"/>
      <c r="AT7" s="25"/>
    </row>
    <row r="8" spans="2:46" s="21" customFormat="1" ht="24.75" customHeight="1" x14ac:dyDescent="0.25">
      <c r="B8" s="1654"/>
      <c r="D8" s="2902" t="s">
        <v>7</v>
      </c>
      <c r="E8" s="1337" t="s">
        <v>2390</v>
      </c>
      <c r="F8" s="2887"/>
      <c r="G8" s="2413"/>
      <c r="H8" s="2887"/>
      <c r="J8" s="1655" t="s">
        <v>2703</v>
      </c>
      <c r="K8" s="1130" t="s">
        <v>3736</v>
      </c>
      <c r="O8" s="1656"/>
      <c r="P8" s="1654"/>
      <c r="Q8" s="1654"/>
      <c r="R8" s="1654"/>
      <c r="S8" s="1658"/>
      <c r="T8" s="1658"/>
      <c r="U8" s="1658"/>
      <c r="V8" s="1658"/>
      <c r="W8" s="1658"/>
      <c r="X8" s="3422"/>
      <c r="Y8" s="2277"/>
      <c r="Z8" s="1100"/>
      <c r="AA8" s="3151"/>
      <c r="AB8" s="2448"/>
      <c r="AC8" s="2449" t="s">
        <v>2701</v>
      </c>
      <c r="AD8" s="2450" t="s">
        <v>2452</v>
      </c>
      <c r="AE8" s="2449"/>
      <c r="AF8" s="2449"/>
      <c r="AG8" s="1139"/>
      <c r="AH8" s="26"/>
      <c r="AI8" s="27"/>
      <c r="AJ8" s="28"/>
      <c r="AK8" s="29"/>
      <c r="AL8" s="29"/>
      <c r="AM8" s="29"/>
      <c r="AN8" s="29"/>
      <c r="AO8" s="29"/>
      <c r="AP8" s="28"/>
      <c r="AQ8" s="28"/>
      <c r="AR8" s="25"/>
      <c r="AS8" s="25"/>
      <c r="AT8" s="25"/>
    </row>
    <row r="9" spans="2:46" s="30" customFormat="1" ht="24.75" customHeight="1" x14ac:dyDescent="0.3">
      <c r="B9" s="1659"/>
      <c r="D9" s="2902" t="s">
        <v>3227</v>
      </c>
      <c r="E9" s="3725"/>
      <c r="F9" s="2888"/>
      <c r="G9" s="2414"/>
      <c r="H9" s="2888"/>
      <c r="J9" s="1655" t="s">
        <v>0</v>
      </c>
      <c r="K9" s="1130" t="s">
        <v>3738</v>
      </c>
      <c r="O9" s="1883"/>
      <c r="P9" s="1656"/>
      <c r="Q9" s="1656"/>
      <c r="R9" s="1656"/>
      <c r="S9" s="1656"/>
      <c r="T9" s="1656"/>
      <c r="U9" s="1656"/>
      <c r="V9" s="1656"/>
      <c r="W9" s="1656"/>
      <c r="X9" s="3421"/>
      <c r="Y9" s="2278"/>
      <c r="Z9" s="1885">
        <f>+W308/3</f>
        <v>0</v>
      </c>
      <c r="AA9" s="3151"/>
      <c r="AB9" s="2451"/>
      <c r="AC9" s="2452">
        <v>0.43</v>
      </c>
      <c r="AD9" s="2453">
        <v>1.6</v>
      </c>
      <c r="AE9" s="2450" t="s">
        <v>322</v>
      </c>
      <c r="AF9" s="2450" t="s">
        <v>2700</v>
      </c>
      <c r="AG9" s="2097"/>
      <c r="AH9" s="31"/>
      <c r="AI9" s="32"/>
      <c r="AJ9" s="33"/>
      <c r="AK9" s="33"/>
      <c r="AL9" s="33"/>
      <c r="AM9" s="33"/>
      <c r="AN9" s="33"/>
      <c r="AO9" s="33"/>
      <c r="AP9" s="33"/>
      <c r="AQ9" s="33"/>
      <c r="AR9" s="34"/>
      <c r="AS9" s="34"/>
      <c r="AT9" s="34"/>
    </row>
    <row r="10" spans="2:46" s="30" customFormat="1" ht="24.75" customHeight="1" thickBot="1" x14ac:dyDescent="0.35">
      <c r="B10" s="1659"/>
      <c r="D10" s="2902" t="s">
        <v>3160</v>
      </c>
      <c r="E10" s="1198" t="s">
        <v>3735</v>
      </c>
      <c r="F10" s="2911"/>
      <c r="G10" s="1983"/>
      <c r="H10" s="1719"/>
      <c r="J10" s="1655"/>
      <c r="K10" s="2974"/>
      <c r="L10" s="1655"/>
      <c r="M10" s="1655"/>
      <c r="N10" s="1655"/>
      <c r="O10" s="1655"/>
      <c r="P10" s="1655"/>
      <c r="Q10" s="1655"/>
      <c r="R10" s="1655"/>
      <c r="S10" s="1655"/>
      <c r="T10" s="1655"/>
      <c r="U10" s="1655"/>
      <c r="V10" s="1655"/>
      <c r="W10" s="1655"/>
      <c r="X10" s="1655"/>
      <c r="Y10" s="1655"/>
      <c r="Z10" s="1884"/>
      <c r="AA10" s="3151">
        <f>+AA220+AA224</f>
        <v>14310</v>
      </c>
      <c r="AB10" s="2451" t="s">
        <v>3461</v>
      </c>
      <c r="AC10" s="2454" t="s">
        <v>3462</v>
      </c>
      <c r="AD10" s="2455"/>
      <c r="AE10" s="2456"/>
      <c r="AF10" s="2456"/>
      <c r="AG10" s="1140"/>
      <c r="AH10" s="31"/>
      <c r="AI10" s="32"/>
      <c r="AJ10" s="33"/>
      <c r="AK10" s="33"/>
      <c r="AL10" s="33"/>
      <c r="AM10" s="33"/>
      <c r="AN10" s="33"/>
      <c r="AO10" s="33"/>
      <c r="AP10" s="33"/>
      <c r="AQ10" s="33"/>
      <c r="AR10" s="34"/>
      <c r="AS10" s="34"/>
      <c r="AT10" s="34"/>
    </row>
    <row r="11" spans="2:46" s="930" customFormat="1" ht="18.600000000000001" customHeight="1" x14ac:dyDescent="0.2">
      <c r="B11" s="1660"/>
      <c r="C11" s="3819" t="s">
        <v>11</v>
      </c>
      <c r="D11" s="3820"/>
      <c r="E11" s="3821"/>
      <c r="F11" s="3825" t="s">
        <v>12</v>
      </c>
      <c r="G11" s="3826"/>
      <c r="H11" s="3827"/>
      <c r="I11" s="3828"/>
      <c r="J11" s="3828"/>
      <c r="K11" s="3833" t="s">
        <v>3318</v>
      </c>
      <c r="L11" s="3834"/>
      <c r="M11" s="3834"/>
      <c r="N11" s="3834"/>
      <c r="O11" s="3834"/>
      <c r="P11" s="3834"/>
      <c r="Q11" s="3834"/>
      <c r="R11" s="3834"/>
      <c r="S11" s="3834"/>
      <c r="T11" s="3834"/>
      <c r="U11" s="3834"/>
      <c r="V11" s="3834"/>
      <c r="W11" s="3834"/>
      <c r="X11" s="3834"/>
      <c r="Y11" s="3825"/>
      <c r="Z11" s="1093"/>
      <c r="AA11" s="3152">
        <f>+AA9*0.6</f>
        <v>0</v>
      </c>
      <c r="AB11" s="2458"/>
      <c r="AC11" s="2455">
        <v>13780</v>
      </c>
      <c r="AD11" s="2457"/>
      <c r="AE11" s="2455"/>
      <c r="AF11" s="2455"/>
      <c r="AG11" s="1321"/>
      <c r="AH11" s="931"/>
      <c r="AI11" s="932"/>
      <c r="AJ11" s="929"/>
      <c r="AK11" s="929"/>
      <c r="AL11" s="929"/>
      <c r="AM11" s="929"/>
      <c r="AN11" s="929"/>
      <c r="AO11" s="929"/>
      <c r="AP11" s="929"/>
      <c r="AQ11" s="929"/>
    </row>
    <row r="12" spans="2:46" s="2160" customFormat="1" ht="18.600000000000001" customHeight="1" thickBot="1" x14ac:dyDescent="0.25">
      <c r="B12" s="2875"/>
      <c r="C12" s="3822" t="s">
        <v>13</v>
      </c>
      <c r="D12" s="3823"/>
      <c r="E12" s="3823"/>
      <c r="F12" s="3829" t="s">
        <v>14</v>
      </c>
      <c r="G12" s="3830"/>
      <c r="H12" s="3831"/>
      <c r="I12" s="3832"/>
      <c r="J12" s="3832"/>
      <c r="K12" s="3835"/>
      <c r="L12" s="3836"/>
      <c r="M12" s="3836"/>
      <c r="N12" s="3836"/>
      <c r="O12" s="3836"/>
      <c r="P12" s="3836"/>
      <c r="Q12" s="3836"/>
      <c r="R12" s="3836"/>
      <c r="S12" s="3836"/>
      <c r="T12" s="3836"/>
      <c r="U12" s="3836"/>
      <c r="V12" s="3836"/>
      <c r="W12" s="3836"/>
      <c r="X12" s="3837"/>
      <c r="Y12" s="3838"/>
      <c r="Z12" s="2876" t="s">
        <v>3137</v>
      </c>
      <c r="AA12" s="3153"/>
      <c r="AB12" s="2878"/>
      <c r="AC12" s="2877">
        <f>+AC127+AC130+AC133</f>
        <v>13800</v>
      </c>
      <c r="AD12" s="2877"/>
      <c r="AE12" s="2877" t="s">
        <v>2986</v>
      </c>
      <c r="AF12" s="2877"/>
      <c r="AG12" s="2879"/>
      <c r="AH12" s="2880"/>
      <c r="AI12" s="2881"/>
      <c r="AJ12" s="2882" t="s">
        <v>15</v>
      </c>
      <c r="AK12" s="2883"/>
      <c r="AL12" s="2883"/>
      <c r="AM12" s="2883"/>
      <c r="AN12" s="2883"/>
      <c r="AO12" s="2883"/>
      <c r="AP12" s="2883"/>
      <c r="AQ12" s="2883"/>
      <c r="AR12" s="2883"/>
    </row>
    <row r="13" spans="2:46" s="3402" customFormat="1" ht="16.95" customHeight="1" thickBot="1" x14ac:dyDescent="0.25">
      <c r="B13" s="3403"/>
      <c r="C13" s="3404"/>
      <c r="D13" s="3405" t="s">
        <v>3392</v>
      </c>
      <c r="E13" s="3406"/>
      <c r="F13" s="3407"/>
      <c r="G13" s="1661"/>
      <c r="H13" s="3408"/>
      <c r="I13" s="2335"/>
      <c r="J13" s="3406"/>
      <c r="K13" s="3406"/>
      <c r="L13" s="3406"/>
      <c r="M13" s="3406"/>
      <c r="N13" s="3406"/>
      <c r="O13" s="3406"/>
      <c r="P13" s="3406"/>
      <c r="Q13" s="3406"/>
      <c r="R13" s="3406"/>
      <c r="S13" s="3406"/>
      <c r="T13" s="3406"/>
      <c r="U13" s="3406"/>
      <c r="V13" s="3406"/>
      <c r="W13" s="3406"/>
      <c r="X13" s="2123">
        <v>1181</v>
      </c>
      <c r="Y13" s="2123"/>
      <c r="Z13" s="3409" t="s">
        <v>344</v>
      </c>
      <c r="AA13" s="3410" t="s">
        <v>50</v>
      </c>
      <c r="AB13" s="3411" t="s">
        <v>36</v>
      </c>
      <c r="AC13" s="3411" t="s">
        <v>361</v>
      </c>
      <c r="AD13" s="3411" t="s">
        <v>37</v>
      </c>
      <c r="AE13" s="3486" t="s">
        <v>37</v>
      </c>
      <c r="AF13" s="3412"/>
      <c r="AG13" s="3413" t="s">
        <v>19</v>
      </c>
      <c r="AH13" s="3414" t="s">
        <v>39</v>
      </c>
      <c r="AI13" s="3415"/>
      <c r="AJ13" s="3415"/>
    </row>
    <row r="14" spans="2:46" s="2871" customFormat="1" ht="15" customHeight="1" thickBot="1" x14ac:dyDescent="0.25">
      <c r="B14" s="2858"/>
      <c r="C14" s="2859" t="s">
        <v>16</v>
      </c>
      <c r="D14" s="3816" t="s">
        <v>3207</v>
      </c>
      <c r="E14" s="3816"/>
      <c r="F14" s="3816"/>
      <c r="G14" s="3817"/>
      <c r="H14" s="3816"/>
      <c r="I14" s="3816"/>
      <c r="J14" s="3816"/>
      <c r="K14" s="3816"/>
      <c r="L14" s="3818"/>
      <c r="M14" s="3818"/>
      <c r="N14" s="3818"/>
      <c r="O14" s="3818"/>
      <c r="P14" s="3824" t="s">
        <v>3069</v>
      </c>
      <c r="Q14" s="3824"/>
      <c r="R14" s="3824"/>
      <c r="S14" s="2387" t="s">
        <v>3062</v>
      </c>
      <c r="T14" s="2387" t="s">
        <v>3061</v>
      </c>
      <c r="U14" s="2860"/>
      <c r="V14" s="2860"/>
      <c r="W14" s="2861" t="s">
        <v>17</v>
      </c>
      <c r="X14" s="2862" t="s">
        <v>3258</v>
      </c>
      <c r="Y14" s="2863" t="s">
        <v>3211</v>
      </c>
      <c r="Z14" s="2864" t="s">
        <v>549</v>
      </c>
      <c r="AA14" s="2865" t="s">
        <v>2783</v>
      </c>
      <c r="AB14" s="2866" t="s">
        <v>2838</v>
      </c>
      <c r="AC14" s="2865" t="s">
        <v>2699</v>
      </c>
      <c r="AD14" s="2865" t="s">
        <v>3018</v>
      </c>
      <c r="AE14" s="2867"/>
      <c r="AF14" s="2868"/>
      <c r="AG14" s="2869" t="s">
        <v>19</v>
      </c>
      <c r="AH14" s="2870" t="s">
        <v>20</v>
      </c>
      <c r="AJ14" s="2871" t="s">
        <v>15</v>
      </c>
      <c r="AK14" s="2872"/>
      <c r="AL14" s="2872"/>
      <c r="AM14" s="2872"/>
      <c r="AN14" s="2872"/>
      <c r="AO14" s="2872"/>
      <c r="AP14" s="2872"/>
      <c r="AQ14" s="2872"/>
      <c r="AR14" s="2872"/>
    </row>
    <row r="15" spans="2:46" s="2136" customFormat="1" ht="20.399999999999999" hidden="1" customHeight="1" thickBot="1" x14ac:dyDescent="0.25">
      <c r="C15" s="2855"/>
      <c r="D15" s="1532" t="s">
        <v>3245</v>
      </c>
      <c r="E15" s="1532"/>
      <c r="F15" s="2124" t="s">
        <v>3161</v>
      </c>
      <c r="G15" s="2061" t="s">
        <v>3072</v>
      </c>
      <c r="H15" s="2137" t="s">
        <v>3186</v>
      </c>
      <c r="I15" s="2137" t="s">
        <v>2987</v>
      </c>
      <c r="J15" s="2137" t="s">
        <v>3242</v>
      </c>
      <c r="K15" s="2856" t="s">
        <v>1323</v>
      </c>
      <c r="L15" s="1448"/>
      <c r="M15" s="1448"/>
      <c r="N15" s="1532"/>
      <c r="O15" s="1426"/>
      <c r="P15" s="1426"/>
      <c r="Q15" s="2062"/>
      <c r="R15" s="2062"/>
      <c r="S15" s="1426"/>
      <c r="T15" s="1426"/>
      <c r="U15" s="1426"/>
      <c r="V15" s="1426"/>
      <c r="W15" s="2062"/>
      <c r="X15" s="1449"/>
      <c r="Y15" s="2857"/>
      <c r="Z15" s="2142"/>
      <c r="AA15" s="2493" t="s">
        <v>2781</v>
      </c>
      <c r="AB15" s="2494" t="s">
        <v>2782</v>
      </c>
      <c r="AC15" s="2493" t="s">
        <v>3013</v>
      </c>
      <c r="AD15" s="2493"/>
      <c r="AE15" s="2493"/>
      <c r="AF15" s="2495"/>
      <c r="AG15" s="2143"/>
      <c r="AH15" s="2144"/>
    </row>
    <row r="16" spans="2:46" s="1003" customFormat="1" ht="12.6" hidden="1" x14ac:dyDescent="0.2">
      <c r="B16" s="1357"/>
      <c r="C16" s="1387"/>
      <c r="D16" s="1388" t="s">
        <v>310</v>
      </c>
      <c r="E16" s="2364" t="s">
        <v>3024</v>
      </c>
      <c r="F16" s="1902" t="s">
        <v>279</v>
      </c>
      <c r="G16" s="1390"/>
      <c r="H16" s="1390"/>
      <c r="I16" s="1390"/>
      <c r="J16" s="1902" t="s">
        <v>2805</v>
      </c>
      <c r="K16" s="1390"/>
      <c r="L16" s="1391" t="s">
        <v>3009</v>
      </c>
      <c r="M16" s="1391"/>
      <c r="N16" s="1388" t="s">
        <v>2798</v>
      </c>
      <c r="O16" s="1391" t="s">
        <v>3010</v>
      </c>
      <c r="P16" s="1392"/>
      <c r="Q16" s="1393"/>
      <c r="R16" s="1393"/>
      <c r="S16" s="1394"/>
      <c r="T16" s="1394"/>
      <c r="U16" s="1394"/>
      <c r="V16" s="1395"/>
      <c r="W16" s="1396">
        <f>+AE16*1.5*C16</f>
        <v>0</v>
      </c>
      <c r="X16" s="1397">
        <f>+ROUNDUP(W16,0)</f>
        <v>0</v>
      </c>
      <c r="Y16" s="3851">
        <f>+X16+X17+X19</f>
        <v>0</v>
      </c>
      <c r="Z16" s="999" t="s">
        <v>321</v>
      </c>
      <c r="AA16" s="3154">
        <v>267</v>
      </c>
      <c r="AB16" s="2462">
        <f>12+12+22</f>
        <v>46</v>
      </c>
      <c r="AC16" s="2463">
        <f>+AB16+AA16</f>
        <v>313</v>
      </c>
      <c r="AD16" s="2464">
        <f>+AC16*0.61</f>
        <v>190.93</v>
      </c>
      <c r="AE16" s="2465">
        <f>+AC16+AD16</f>
        <v>503.93</v>
      </c>
      <c r="AF16" s="2466">
        <f>+AE16*C16</f>
        <v>0</v>
      </c>
      <c r="AG16" s="1189">
        <f>+X16-AF16</f>
        <v>0</v>
      </c>
      <c r="AH16" s="1023" t="e">
        <f>+AG16/W16</f>
        <v>#DIV/0!</v>
      </c>
    </row>
    <row r="17" spans="1:35" s="238" customFormat="1" ht="12.6" hidden="1" x14ac:dyDescent="0.2">
      <c r="B17" s="1357"/>
      <c r="C17" s="1398"/>
      <c r="D17" s="1399" t="s">
        <v>25</v>
      </c>
      <c r="E17" s="1480" t="s">
        <v>3026</v>
      </c>
      <c r="F17" s="1480" t="s">
        <v>279</v>
      </c>
      <c r="G17" s="1400"/>
      <c r="H17" s="1400"/>
      <c r="I17" s="1400"/>
      <c r="J17" s="1480" t="s">
        <v>2953</v>
      </c>
      <c r="K17" s="1401"/>
      <c r="L17" s="1391" t="s">
        <v>3009</v>
      </c>
      <c r="M17" s="1391"/>
      <c r="N17" s="1399" t="s">
        <v>2797</v>
      </c>
      <c r="O17" s="1400"/>
      <c r="P17" s="1402"/>
      <c r="Q17" s="1403"/>
      <c r="R17" s="1403"/>
      <c r="S17" s="1404"/>
      <c r="T17" s="1404"/>
      <c r="U17" s="1404"/>
      <c r="V17" s="1405"/>
      <c r="W17" s="1406">
        <f>+AE17*1.5*C17</f>
        <v>0</v>
      </c>
      <c r="X17" s="1407">
        <f>+ROUNDUP(W17,0)</f>
        <v>0</v>
      </c>
      <c r="Y17" s="3852"/>
      <c r="Z17" s="1005" t="s">
        <v>321</v>
      </c>
      <c r="AA17" s="3155">
        <v>267</v>
      </c>
      <c r="AB17" s="2462">
        <f>12+12+22</f>
        <v>46</v>
      </c>
      <c r="AC17" s="2463">
        <f>+AB17+AA17</f>
        <v>313</v>
      </c>
      <c r="AD17" s="2464">
        <f>+AC17*0.58</f>
        <v>181.54</v>
      </c>
      <c r="AE17" s="2465">
        <f>+AC17+AD17</f>
        <v>494.53999999999996</v>
      </c>
      <c r="AF17" s="2466">
        <f>+AD17+AE17</f>
        <v>676.07999999999993</v>
      </c>
      <c r="AG17" s="1190" t="e">
        <f>+W17-#REF!</f>
        <v>#REF!</v>
      </c>
      <c r="AH17" s="1006" t="e">
        <f>+AG17/W17</f>
        <v>#REF!</v>
      </c>
    </row>
    <row r="18" spans="1:35" s="238" customFormat="1" ht="12.6" hidden="1" x14ac:dyDescent="0.2">
      <c r="B18" s="1357"/>
      <c r="C18" s="1408"/>
      <c r="D18" s="1409" t="s">
        <v>373</v>
      </c>
      <c r="E18" s="2362">
        <v>7020</v>
      </c>
      <c r="F18" s="2362" t="s">
        <v>281</v>
      </c>
      <c r="G18" s="1410"/>
      <c r="H18" s="1400"/>
      <c r="I18" s="1410"/>
      <c r="J18" s="2365" t="s">
        <v>2571</v>
      </c>
      <c r="K18" s="1401"/>
      <c r="L18" s="1410"/>
      <c r="M18" s="1410"/>
      <c r="N18" s="1409"/>
      <c r="O18" s="1393"/>
      <c r="P18" s="1402"/>
      <c r="Q18" s="1403"/>
      <c r="R18" s="1403"/>
      <c r="S18" s="1404"/>
      <c r="T18" s="1404"/>
      <c r="U18" s="1404"/>
      <c r="V18" s="1405"/>
      <c r="W18" s="1406">
        <f>+AE18*1.5*C18</f>
        <v>0</v>
      </c>
      <c r="X18" s="1411">
        <f>+ROUNDUP(W18,0)</f>
        <v>0</v>
      </c>
      <c r="Y18" s="3853"/>
      <c r="Z18" s="1005" t="s">
        <v>321</v>
      </c>
      <c r="AA18" s="3156"/>
      <c r="AB18" s="2467"/>
      <c r="AC18" s="2468">
        <f>903+18+92+24+26+210</f>
        <v>1273</v>
      </c>
      <c r="AD18" s="2462">
        <f>+AC18</f>
        <v>1273</v>
      </c>
      <c r="AE18" s="2465">
        <v>0</v>
      </c>
      <c r="AF18" s="2466">
        <f>+AC18*0.441</f>
        <v>561.39300000000003</v>
      </c>
      <c r="AG18" s="1190" t="e">
        <f>+W18-#REF!</f>
        <v>#REF!</v>
      </c>
      <c r="AH18" s="1006" t="e">
        <f>+AG18/W18</f>
        <v>#REF!</v>
      </c>
    </row>
    <row r="19" spans="1:35" s="1090" customFormat="1" ht="13.2" hidden="1" thickBot="1" x14ac:dyDescent="0.25">
      <c r="B19" s="1358"/>
      <c r="C19" s="1412"/>
      <c r="D19" s="1413" t="s">
        <v>2565</v>
      </c>
      <c r="E19" s="2363">
        <v>6068</v>
      </c>
      <c r="F19" s="2363" t="s">
        <v>429</v>
      </c>
      <c r="G19" s="1415" t="s">
        <v>97</v>
      </c>
      <c r="H19" s="1415"/>
      <c r="I19" s="1415"/>
      <c r="J19" s="2363" t="s">
        <v>2805</v>
      </c>
      <c r="K19" s="1414"/>
      <c r="L19" s="1414"/>
      <c r="M19" s="1414"/>
      <c r="N19" s="1413" t="s">
        <v>3025</v>
      </c>
      <c r="O19" s="1415"/>
      <c r="P19" s="1416"/>
      <c r="Q19" s="1417"/>
      <c r="R19" s="1417"/>
      <c r="S19" s="1418"/>
      <c r="T19" s="1418"/>
      <c r="U19" s="1418"/>
      <c r="V19" s="1419"/>
      <c r="W19" s="1406">
        <f>+AE19*1.5*C19</f>
        <v>0</v>
      </c>
      <c r="X19" s="1420">
        <f>+ROUNDUP(W19,0)</f>
        <v>0</v>
      </c>
      <c r="Y19" s="3854"/>
      <c r="Z19" s="1091" t="s">
        <v>321</v>
      </c>
      <c r="AA19" s="3157">
        <v>99</v>
      </c>
      <c r="AB19" s="2469">
        <f>7+35+AA19</f>
        <v>141</v>
      </c>
      <c r="AC19" s="2463">
        <f>+AB19</f>
        <v>141</v>
      </c>
      <c r="AD19" s="2464">
        <f>+AC19*0.58</f>
        <v>81.78</v>
      </c>
      <c r="AE19" s="2465">
        <f>+AC19+AD19</f>
        <v>222.78</v>
      </c>
      <c r="AF19" s="2466">
        <f>+AE19*C19</f>
        <v>0</v>
      </c>
      <c r="AG19" s="1189">
        <f>+X19-AF19</f>
        <v>0</v>
      </c>
      <c r="AH19" s="1092" t="e">
        <f>+AG19/W19</f>
        <v>#DIV/0!</v>
      </c>
    </row>
    <row r="20" spans="1:35" s="2126" customFormat="1" ht="20.399999999999999" hidden="1" customHeight="1" thickBot="1" x14ac:dyDescent="0.25">
      <c r="C20" s="2127"/>
      <c r="D20" s="2123" t="s">
        <v>3325</v>
      </c>
      <c r="E20" s="2907"/>
      <c r="F20" s="2128" t="s">
        <v>3161</v>
      </c>
      <c r="G20" s="2061" t="s">
        <v>3072</v>
      </c>
      <c r="H20" s="2125" t="s">
        <v>3186</v>
      </c>
      <c r="I20" s="2125" t="s">
        <v>2987</v>
      </c>
      <c r="J20" s="2125" t="s">
        <v>3242</v>
      </c>
      <c r="K20" s="2129" t="s">
        <v>1323</v>
      </c>
      <c r="L20" s="1448"/>
      <c r="M20" s="1448"/>
      <c r="N20" s="2123"/>
      <c r="O20" s="1426"/>
      <c r="P20" s="1424"/>
      <c r="Q20" s="1425"/>
      <c r="R20" s="1425"/>
      <c r="S20" s="1424"/>
      <c r="T20" s="1424"/>
      <c r="U20" s="1424"/>
      <c r="V20" s="1424"/>
      <c r="W20" s="2062"/>
      <c r="X20" s="1449"/>
      <c r="Y20" s="2130"/>
      <c r="Z20" s="2131"/>
      <c r="AA20" s="2459" t="s">
        <v>2781</v>
      </c>
      <c r="AB20" s="2460" t="s">
        <v>2782</v>
      </c>
      <c r="AC20" s="2459" t="s">
        <v>3013</v>
      </c>
      <c r="AD20" s="2459"/>
      <c r="AE20" s="2459"/>
      <c r="AF20" s="2461"/>
      <c r="AG20" s="2132"/>
      <c r="AH20" s="2133"/>
    </row>
    <row r="21" spans="1:35" s="817" customFormat="1" ht="13.8" hidden="1" x14ac:dyDescent="0.25">
      <c r="A21" s="1362" t="s">
        <v>3219</v>
      </c>
      <c r="C21" s="2368"/>
      <c r="D21" s="2386" t="s">
        <v>310</v>
      </c>
      <c r="E21" s="2367" t="s">
        <v>3367</v>
      </c>
      <c r="F21" s="2367" t="s">
        <v>279</v>
      </c>
      <c r="G21" s="1464" t="s">
        <v>2331</v>
      </c>
      <c r="H21" s="2369" t="s">
        <v>3146</v>
      </c>
      <c r="I21" s="2369" t="s">
        <v>2765</v>
      </c>
      <c r="J21" s="2367" t="s">
        <v>2954</v>
      </c>
      <c r="K21" s="1400"/>
      <c r="L21" s="1465"/>
      <c r="M21" s="1465"/>
      <c r="N21" s="1399" t="s">
        <v>328</v>
      </c>
      <c r="O21" s="1466" t="s">
        <v>1191</v>
      </c>
      <c r="P21" s="1462"/>
      <c r="Q21" s="1462"/>
      <c r="R21" s="1462"/>
      <c r="S21" s="1467"/>
      <c r="T21" s="1462"/>
      <c r="U21" s="1462"/>
      <c r="V21" s="1468"/>
      <c r="W21" s="2415">
        <f>AD21*C21*1.7</f>
        <v>0</v>
      </c>
      <c r="X21" s="2370">
        <f>+ROUNDUP(W21,0)</f>
        <v>0</v>
      </c>
      <c r="Y21" s="3855">
        <f>+X21+X22+X23</f>
        <v>0</v>
      </c>
      <c r="Z21" s="1128" t="s">
        <v>1363</v>
      </c>
      <c r="AA21" s="3158">
        <v>410</v>
      </c>
      <c r="AB21" s="2462">
        <f>12+25</f>
        <v>37</v>
      </c>
      <c r="AC21" s="2463"/>
      <c r="AD21" s="2464">
        <f>+AA21+AB21+AC21</f>
        <v>447</v>
      </c>
      <c r="AE21" s="2471">
        <f t="shared" ref="AE21:AF23" si="0">+AD21</f>
        <v>447</v>
      </c>
      <c r="AF21" s="2472">
        <f t="shared" si="0"/>
        <v>447</v>
      </c>
      <c r="AG21" s="1189">
        <f>+X21-(AD21*C21)</f>
        <v>0</v>
      </c>
      <c r="AH21" s="1125" t="e">
        <f>+AG21/W21</f>
        <v>#DIV/0!</v>
      </c>
      <c r="AI21" s="1033"/>
    </row>
    <row r="22" spans="1:35" s="236" customFormat="1" ht="13.8" hidden="1" x14ac:dyDescent="0.25">
      <c r="A22" s="1362" t="s">
        <v>3219</v>
      </c>
      <c r="C22" s="2368"/>
      <c r="D22" s="2386" t="s">
        <v>25</v>
      </c>
      <c r="E22" s="2367" t="s">
        <v>3368</v>
      </c>
      <c r="F22" s="2367" t="s">
        <v>279</v>
      </c>
      <c r="G22" s="1464" t="s">
        <v>2331</v>
      </c>
      <c r="H22" s="2369" t="s">
        <v>3250</v>
      </c>
      <c r="I22" s="2369" t="s">
        <v>2331</v>
      </c>
      <c r="J22" s="2367" t="s">
        <v>3185</v>
      </c>
      <c r="K22" s="1399"/>
      <c r="L22" s="1465"/>
      <c r="M22" s="1465"/>
      <c r="N22" s="1399" t="s">
        <v>328</v>
      </c>
      <c r="O22" s="1400" t="s">
        <v>2720</v>
      </c>
      <c r="P22" s="1401"/>
      <c r="Q22" s="1401"/>
      <c r="R22" s="1401"/>
      <c r="S22" s="1437"/>
      <c r="T22" s="1399"/>
      <c r="U22" s="1399"/>
      <c r="V22" s="1438"/>
      <c r="W22" s="2415">
        <f>AD22*C22*1.7</f>
        <v>0</v>
      </c>
      <c r="X22" s="2371">
        <f>+ROUNDUP(W22,0)</f>
        <v>0</v>
      </c>
      <c r="Y22" s="3855"/>
      <c r="Z22" s="858" t="s">
        <v>1363</v>
      </c>
      <c r="AA22" s="3158">
        <v>385</v>
      </c>
      <c r="AB22" s="2462">
        <f>32+12</f>
        <v>44</v>
      </c>
      <c r="AC22" s="2463"/>
      <c r="AD22" s="2464">
        <f>+AA22+AB22+AC22</f>
        <v>429</v>
      </c>
      <c r="AE22" s="2473">
        <f t="shared" si="0"/>
        <v>429</v>
      </c>
      <c r="AF22" s="2472">
        <f t="shared" si="0"/>
        <v>429</v>
      </c>
      <c r="AG22" s="1189">
        <f>+X22-(AD22*C22)</f>
        <v>0</v>
      </c>
      <c r="AH22" s="1125" t="e">
        <f>+AG22/W22</f>
        <v>#DIV/0!</v>
      </c>
      <c r="AI22" s="240"/>
    </row>
    <row r="23" spans="1:35" s="2437" customFormat="1" ht="13.8" hidden="1" x14ac:dyDescent="0.25">
      <c r="A23" s="2433" t="s">
        <v>3219</v>
      </c>
      <c r="C23" s="2368"/>
      <c r="D23" s="2386" t="s">
        <v>2642</v>
      </c>
      <c r="E23" s="2367">
        <v>6080</v>
      </c>
      <c r="F23" s="2367" t="s">
        <v>3369</v>
      </c>
      <c r="G23" s="1472">
        <v>3</v>
      </c>
      <c r="H23" s="2367" t="s">
        <v>349</v>
      </c>
      <c r="I23" s="2367"/>
      <c r="J23" s="2367" t="s">
        <v>2953</v>
      </c>
      <c r="K23" s="1559"/>
      <c r="L23" s="1462"/>
      <c r="M23" s="1462"/>
      <c r="N23" s="1399" t="s">
        <v>328</v>
      </c>
      <c r="O23" s="1462" t="s">
        <v>2720</v>
      </c>
      <c r="P23" s="1463"/>
      <c r="Q23" s="1463"/>
      <c r="R23" s="1463"/>
      <c r="S23" s="1467"/>
      <c r="T23" s="1462"/>
      <c r="U23" s="1462"/>
      <c r="V23" s="1468"/>
      <c r="W23" s="2415">
        <f>AD23*C23*1.7</f>
        <v>0</v>
      </c>
      <c r="X23" s="2370">
        <f>+ROUNDUP(W23,0)</f>
        <v>0</v>
      </c>
      <c r="Y23" s="3855"/>
      <c r="Z23" s="2434" t="s">
        <v>1363</v>
      </c>
      <c r="AA23" s="3159">
        <v>132</v>
      </c>
      <c r="AB23" s="2474">
        <v>100</v>
      </c>
      <c r="AC23" s="2475"/>
      <c r="AD23" s="2476">
        <f>+AA23+AB23+AC23</f>
        <v>232</v>
      </c>
      <c r="AE23" s="2477">
        <f t="shared" si="0"/>
        <v>232</v>
      </c>
      <c r="AF23" s="2472">
        <f t="shared" si="0"/>
        <v>232</v>
      </c>
      <c r="AG23" s="2435">
        <f>+X23-(AD23*C23)</f>
        <v>0</v>
      </c>
      <c r="AH23" s="1125" t="e">
        <f>+AG23/W23</f>
        <v>#DIV/0!</v>
      </c>
      <c r="AI23" s="2436"/>
    </row>
    <row r="24" spans="1:35" s="2429" customFormat="1" ht="17.399999999999999" hidden="1" customHeight="1" x14ac:dyDescent="0.2">
      <c r="B24" s="2418"/>
      <c r="C24" s="2419"/>
      <c r="D24" s="2847" t="s">
        <v>3188</v>
      </c>
      <c r="E24" s="2420"/>
      <c r="F24" s="2848" t="s">
        <v>3161</v>
      </c>
      <c r="G24" s="2352" t="s">
        <v>3186</v>
      </c>
      <c r="H24" s="2352" t="s">
        <v>3186</v>
      </c>
      <c r="I24" s="2352" t="s">
        <v>2987</v>
      </c>
      <c r="J24" s="2352" t="s">
        <v>3242</v>
      </c>
      <c r="K24" s="2849" t="s">
        <v>1323</v>
      </c>
      <c r="L24" s="2850" t="s">
        <v>3193</v>
      </c>
      <c r="M24" s="2421"/>
      <c r="N24" s="2422" t="s">
        <v>3045</v>
      </c>
      <c r="O24" s="2423" t="s">
        <v>2980</v>
      </c>
      <c r="P24" s="1451"/>
      <c r="Q24" s="2424"/>
      <c r="R24" s="2424"/>
      <c r="S24" s="2424"/>
      <c r="T24" s="1451"/>
      <c r="U24" s="1451"/>
      <c r="V24" s="2425"/>
      <c r="W24" s="1572"/>
      <c r="X24" s="2426"/>
      <c r="Y24" s="2427"/>
      <c r="Z24" s="2428"/>
      <c r="AA24" s="2851"/>
      <c r="AB24" s="2852"/>
      <c r="AC24" s="2853"/>
      <c r="AD24" s="2851"/>
      <c r="AE24" s="2854"/>
      <c r="AF24" s="2589"/>
      <c r="AG24" s="2430" t="s">
        <v>19</v>
      </c>
      <c r="AH24" s="2431" t="s">
        <v>39</v>
      </c>
      <c r="AI24" s="2432"/>
    </row>
    <row r="25" spans="1:35" s="930" customFormat="1" ht="13.8" hidden="1" x14ac:dyDescent="0.2">
      <c r="A25" s="238" t="s">
        <v>3219</v>
      </c>
      <c r="C25" s="2146"/>
      <c r="D25" s="1928" t="s">
        <v>2955</v>
      </c>
      <c r="E25" s="2066" t="s">
        <v>3350</v>
      </c>
      <c r="F25" s="2066" t="s">
        <v>279</v>
      </c>
      <c r="G25" s="1920"/>
      <c r="H25" s="2066" t="s">
        <v>376</v>
      </c>
      <c r="I25" s="2066" t="s">
        <v>2331</v>
      </c>
      <c r="J25" s="2066" t="s">
        <v>2805</v>
      </c>
      <c r="K25" s="1930"/>
      <c r="L25" s="1920"/>
      <c r="M25" s="1920"/>
      <c r="N25" s="1929" t="s">
        <v>328</v>
      </c>
      <c r="O25" s="1930" t="s">
        <v>1204</v>
      </c>
      <c r="P25" s="2147"/>
      <c r="Q25" s="2147"/>
      <c r="R25" s="2147"/>
      <c r="S25" s="2147" t="s">
        <v>3063</v>
      </c>
      <c r="T25" s="2147"/>
      <c r="U25" s="2147"/>
      <c r="V25" s="2148"/>
      <c r="W25" s="2416">
        <f>+AE25*1.65*C25</f>
        <v>0</v>
      </c>
      <c r="X25" s="2417">
        <f t="shared" ref="X25:X26" si="1">+ROUNDUP(W25,0)</f>
        <v>0</v>
      </c>
      <c r="Y25" s="3746">
        <f>+X25+X26</f>
        <v>0</v>
      </c>
      <c r="Z25" s="2150" t="s">
        <v>321</v>
      </c>
      <c r="AA25" s="3160">
        <v>474</v>
      </c>
      <c r="AB25" s="2478">
        <v>37</v>
      </c>
      <c r="AC25" s="2463">
        <f>0.61*(AA25+AB25)</f>
        <v>311.70999999999998</v>
      </c>
      <c r="AD25" s="2464">
        <f>+AA25+AB25+AC25</f>
        <v>822.71</v>
      </c>
      <c r="AE25" s="2479">
        <f>+AD25*C25</f>
        <v>0</v>
      </c>
      <c r="AF25" s="2480"/>
      <c r="AG25" s="2151">
        <f>+X25-AE25</f>
        <v>0</v>
      </c>
      <c r="AH25" s="2152" t="e">
        <f>+AG25/W25</f>
        <v>#DIV/0!</v>
      </c>
      <c r="AI25" s="2153"/>
    </row>
    <row r="26" spans="1:35" s="2160" customFormat="1" ht="14.4" hidden="1" thickBot="1" x14ac:dyDescent="0.25">
      <c r="A26" s="238" t="s">
        <v>3219</v>
      </c>
      <c r="C26" s="2154"/>
      <c r="D26" s="1944" t="s">
        <v>2957</v>
      </c>
      <c r="E26" s="2072">
        <v>3090</v>
      </c>
      <c r="F26" s="2172" t="s">
        <v>97</v>
      </c>
      <c r="G26" s="1946"/>
      <c r="H26" s="2072" t="s">
        <v>293</v>
      </c>
      <c r="I26" s="2072"/>
      <c r="J26" s="2072" t="s">
        <v>2805</v>
      </c>
      <c r="K26" s="1949"/>
      <c r="L26" s="1946"/>
      <c r="M26" s="1946"/>
      <c r="N26" s="1945" t="s">
        <v>328</v>
      </c>
      <c r="O26" s="1949" t="s">
        <v>2510</v>
      </c>
      <c r="P26" s="2075"/>
      <c r="Q26" s="2075"/>
      <c r="R26" s="2075"/>
      <c r="S26" s="1947"/>
      <c r="T26" s="1947"/>
      <c r="U26" s="1947"/>
      <c r="V26" s="2155"/>
      <c r="W26" s="2082">
        <f>+AE26*1.65*C26</f>
        <v>0</v>
      </c>
      <c r="X26" s="2198">
        <f t="shared" si="1"/>
        <v>0</v>
      </c>
      <c r="Y26" s="3747"/>
      <c r="Z26" s="2156" t="s">
        <v>321</v>
      </c>
      <c r="AA26" s="3161">
        <v>125</v>
      </c>
      <c r="AB26" s="2481">
        <v>25</v>
      </c>
      <c r="AC26" s="2482">
        <f>+AB26+AA26</f>
        <v>150</v>
      </c>
      <c r="AD26" s="2464">
        <f>+AA26+AB26+AC26</f>
        <v>300</v>
      </c>
      <c r="AE26" s="2483">
        <f>+AD26*C26</f>
        <v>0</v>
      </c>
      <c r="AF26" s="2484"/>
      <c r="AG26" s="2157">
        <f>+W26-AD26</f>
        <v>-300</v>
      </c>
      <c r="AH26" s="2158" t="e">
        <f>+AG26/W26</f>
        <v>#DIV/0!</v>
      </c>
      <c r="AI26" s="2159"/>
    </row>
    <row r="27" spans="1:35" s="1675" customFormat="1" ht="17.399999999999999" hidden="1" customHeight="1" thickBot="1" x14ac:dyDescent="0.25">
      <c r="B27" s="1673"/>
      <c r="C27" s="1489"/>
      <c r="D27" s="2174" t="s">
        <v>3188</v>
      </c>
      <c r="E27" s="1491"/>
      <c r="F27" s="2124" t="s">
        <v>3161</v>
      </c>
      <c r="G27" s="2137" t="s">
        <v>3186</v>
      </c>
      <c r="H27" s="2137" t="s">
        <v>3186</v>
      </c>
      <c r="I27" s="2137" t="s">
        <v>2987</v>
      </c>
      <c r="J27" s="2137" t="s">
        <v>3242</v>
      </c>
      <c r="K27" s="2138" t="s">
        <v>1323</v>
      </c>
      <c r="L27" s="1938" t="s">
        <v>3193</v>
      </c>
      <c r="M27" s="1676"/>
      <c r="N27" s="1674" t="s">
        <v>3045</v>
      </c>
      <c r="O27" s="1677" t="s">
        <v>2980</v>
      </c>
      <c r="P27" s="1499"/>
      <c r="Q27" s="1678"/>
      <c r="R27" s="1678"/>
      <c r="S27" s="1678"/>
      <c r="T27" s="1499"/>
      <c r="U27" s="1499"/>
      <c r="V27" s="1679"/>
      <c r="W27" s="1529"/>
      <c r="X27" s="1535"/>
      <c r="Y27" s="1680"/>
      <c r="Z27" s="1662"/>
      <c r="AA27" s="2485"/>
      <c r="AB27" s="2486"/>
      <c r="AC27" s="2487"/>
      <c r="AD27" s="2485"/>
      <c r="AE27" s="2488"/>
      <c r="AF27" s="2489"/>
      <c r="AG27" s="1681" t="s">
        <v>19</v>
      </c>
      <c r="AH27" s="1682" t="s">
        <v>39</v>
      </c>
      <c r="AI27" s="1683"/>
    </row>
    <row r="28" spans="1:35" s="930" customFormat="1" ht="14.4" hidden="1" thickBot="1" x14ac:dyDescent="0.25">
      <c r="A28" s="238" t="s">
        <v>3219</v>
      </c>
      <c r="C28" s="2146"/>
      <c r="D28" s="1928" t="s">
        <v>2955</v>
      </c>
      <c r="E28" s="2066" t="s">
        <v>3233</v>
      </c>
      <c r="F28" s="2066" t="s">
        <v>279</v>
      </c>
      <c r="G28" s="1920"/>
      <c r="H28" s="2066" t="s">
        <v>3146</v>
      </c>
      <c r="I28" s="2066" t="s">
        <v>2331</v>
      </c>
      <c r="J28" s="2066" t="s">
        <v>2954</v>
      </c>
      <c r="K28" s="1930"/>
      <c r="L28" s="1920"/>
      <c r="M28" s="1920"/>
      <c r="N28" s="1929" t="s">
        <v>328</v>
      </c>
      <c r="O28" s="1930" t="s">
        <v>1204</v>
      </c>
      <c r="P28" s="2147"/>
      <c r="Q28" s="2147"/>
      <c r="R28" s="2147"/>
      <c r="S28" s="2147" t="s">
        <v>3063</v>
      </c>
      <c r="T28" s="2147"/>
      <c r="U28" s="2147"/>
      <c r="V28" s="2148"/>
      <c r="W28" s="2161">
        <f>+AE28*1.5*C28</f>
        <v>0</v>
      </c>
      <c r="X28" s="2149">
        <f t="shared" ref="X28" si="2">+ROUNDUP(W28,0)</f>
        <v>0</v>
      </c>
      <c r="Y28" s="3535"/>
      <c r="Z28" s="2150" t="s">
        <v>321</v>
      </c>
      <c r="AA28" s="3160">
        <v>240</v>
      </c>
      <c r="AB28" s="2478">
        <v>37</v>
      </c>
      <c r="AC28" s="2490">
        <v>1.6</v>
      </c>
      <c r="AD28" s="2491">
        <f t="shared" ref="AD28" si="3">+(AA28+AB28)*AC28</f>
        <v>443.20000000000005</v>
      </c>
      <c r="AE28" s="2479">
        <f>+AD28*C28</f>
        <v>0</v>
      </c>
      <c r="AF28" s="2480"/>
      <c r="AG28" s="2151">
        <f>+X28-AE28</f>
        <v>0</v>
      </c>
      <c r="AH28" s="2152" t="e">
        <f>+AG28/W28</f>
        <v>#DIV/0!</v>
      </c>
      <c r="AI28" s="2153"/>
    </row>
    <row r="29" spans="1:35" s="2160" customFormat="1" ht="14.4" hidden="1" thickBot="1" x14ac:dyDescent="0.25">
      <c r="A29" s="238" t="s">
        <v>3219</v>
      </c>
      <c r="C29" s="2154"/>
      <c r="D29" s="1944" t="s">
        <v>2957</v>
      </c>
      <c r="E29" s="2072">
        <v>3070</v>
      </c>
      <c r="F29" s="2172" t="s">
        <v>349</v>
      </c>
      <c r="G29" s="1946"/>
      <c r="H29" s="2072" t="s">
        <v>2749</v>
      </c>
      <c r="I29" s="2072" t="s">
        <v>2997</v>
      </c>
      <c r="J29" s="2072" t="s">
        <v>2805</v>
      </c>
      <c r="K29" s="1949"/>
      <c r="L29" s="1946"/>
      <c r="M29" s="1946"/>
      <c r="N29" s="1945" t="s">
        <v>328</v>
      </c>
      <c r="O29" s="1949" t="s">
        <v>2510</v>
      </c>
      <c r="P29" s="2075"/>
      <c r="Q29" s="2075"/>
      <c r="R29" s="2075"/>
      <c r="S29" s="1947"/>
      <c r="T29" s="1947"/>
      <c r="U29" s="1947"/>
      <c r="V29" s="2155"/>
      <c r="W29" s="2166">
        <f>+AE29*1.5*C29</f>
        <v>0</v>
      </c>
      <c r="X29" s="2149">
        <f t="shared" ref="X29" si="4">+ROUNDUP(W29,0)</f>
        <v>0</v>
      </c>
      <c r="Y29" s="3536"/>
      <c r="Z29" s="2156" t="s">
        <v>321</v>
      </c>
      <c r="AA29" s="3161">
        <v>96</v>
      </c>
      <c r="AB29" s="2481">
        <v>25</v>
      </c>
      <c r="AC29" s="2482">
        <f>+AB29+AA29</f>
        <v>121</v>
      </c>
      <c r="AD29" s="2492">
        <f>+AC29*1.58</f>
        <v>191.18</v>
      </c>
      <c r="AE29" s="2483">
        <f>+AD29*C29</f>
        <v>0</v>
      </c>
      <c r="AF29" s="2484"/>
      <c r="AG29" s="2157">
        <f>+W29-AD29</f>
        <v>-191.18</v>
      </c>
      <c r="AH29" s="2158" t="e">
        <f>+AG29/W29</f>
        <v>#DIV/0!</v>
      </c>
      <c r="AI29" s="2159"/>
    </row>
    <row r="30" spans="1:35" s="2136" customFormat="1" ht="20.399999999999999" hidden="1" customHeight="1" thickBot="1" x14ac:dyDescent="0.25">
      <c r="C30" s="2127"/>
      <c r="D30" s="2173" t="s">
        <v>3359</v>
      </c>
      <c r="E30" s="1532"/>
      <c r="F30" s="2124" t="s">
        <v>3161</v>
      </c>
      <c r="G30" s="2061" t="s">
        <v>3072</v>
      </c>
      <c r="H30" s="2137" t="s">
        <v>3186</v>
      </c>
      <c r="I30" s="2137" t="s">
        <v>2987</v>
      </c>
      <c r="J30" s="2137" t="s">
        <v>3242</v>
      </c>
      <c r="K30" s="2138" t="s">
        <v>1323</v>
      </c>
      <c r="L30" s="2139" t="s">
        <v>3193</v>
      </c>
      <c r="M30" s="2139"/>
      <c r="N30" s="1593"/>
      <c r="O30" s="2062"/>
      <c r="P30" s="1426"/>
      <c r="Q30" s="2062"/>
      <c r="R30" s="2062"/>
      <c r="S30" s="1426"/>
      <c r="T30" s="1426"/>
      <c r="U30" s="1426"/>
      <c r="V30" s="1426"/>
      <c r="W30" s="1426"/>
      <c r="X30" s="2140"/>
      <c r="Y30" s="1680"/>
      <c r="Z30" s="2142"/>
      <c r="AA30" s="2493" t="s">
        <v>2781</v>
      </c>
      <c r="AB30" s="2494" t="s">
        <v>2782</v>
      </c>
      <c r="AC30" s="2493" t="s">
        <v>3013</v>
      </c>
      <c r="AD30" s="2493"/>
      <c r="AE30" s="2493"/>
      <c r="AF30" s="2495"/>
      <c r="AG30" s="2143"/>
      <c r="AH30" s="2144"/>
    </row>
    <row r="31" spans="1:35" s="1004" customFormat="1" ht="13.2" hidden="1" thickBot="1" x14ac:dyDescent="0.25">
      <c r="A31" s="3109" t="s">
        <v>3494</v>
      </c>
      <c r="B31" s="3106"/>
      <c r="C31" s="1927"/>
      <c r="D31" s="1928" t="s">
        <v>310</v>
      </c>
      <c r="E31" s="2066" t="s">
        <v>3384</v>
      </c>
      <c r="F31" s="2066" t="s">
        <v>279</v>
      </c>
      <c r="G31" s="2094"/>
      <c r="H31" s="2066" t="s">
        <v>423</v>
      </c>
      <c r="I31" s="2066" t="s">
        <v>3234</v>
      </c>
      <c r="J31" s="2066" t="s">
        <v>3185</v>
      </c>
      <c r="K31" s="1920"/>
      <c r="L31" s="1907"/>
      <c r="M31" s="1907"/>
      <c r="N31" s="1399" t="s">
        <v>1</v>
      </c>
      <c r="O31" s="1399"/>
      <c r="P31" s="1431"/>
      <c r="Q31" s="1431"/>
      <c r="R31" s="1431"/>
      <c r="S31" s="1432"/>
      <c r="T31" s="1388"/>
      <c r="U31" s="1388"/>
      <c r="V31" s="1433"/>
      <c r="W31" s="1406">
        <f>+AE31*1.5*C31</f>
        <v>0</v>
      </c>
      <c r="X31" s="1434">
        <f t="shared" ref="X31:X33" si="5">+ROUNDUP(W31,0)</f>
        <v>0</v>
      </c>
      <c r="Y31" s="3734">
        <f>+X31+X32+X33</f>
        <v>0</v>
      </c>
      <c r="Z31" s="1007" t="s">
        <v>321</v>
      </c>
      <c r="AA31" s="3154">
        <v>381</v>
      </c>
      <c r="AB31" s="2462"/>
      <c r="AC31" s="2496"/>
      <c r="AD31" s="2497">
        <f>+AA31+AB31+AC31</f>
        <v>381</v>
      </c>
      <c r="AE31" s="2465">
        <f>+AD31*C31</f>
        <v>0</v>
      </c>
      <c r="AF31" s="2498"/>
      <c r="AG31" s="1189">
        <f>+X31-AE31</f>
        <v>0</v>
      </c>
      <c r="AH31" s="1056" t="e">
        <f>+AG31/W31</f>
        <v>#DIV/0!</v>
      </c>
    </row>
    <row r="32" spans="1:35" s="1071" customFormat="1" ht="13.2" hidden="1" thickBot="1" x14ac:dyDescent="0.25">
      <c r="A32" s="3109" t="s">
        <v>3494</v>
      </c>
      <c r="B32" s="3107"/>
      <c r="C32" s="1908"/>
      <c r="D32" s="1909" t="s">
        <v>2488</v>
      </c>
      <c r="E32" s="2169" t="s">
        <v>3385</v>
      </c>
      <c r="F32" s="2169" t="s">
        <v>279</v>
      </c>
      <c r="G32" s="2095"/>
      <c r="H32" s="2170" t="s">
        <v>3382</v>
      </c>
      <c r="I32" s="2171" t="s">
        <v>2331</v>
      </c>
      <c r="J32" s="2065" t="s">
        <v>3185</v>
      </c>
      <c r="K32" s="1913"/>
      <c r="L32" s="1910"/>
      <c r="M32" s="1910"/>
      <c r="N32" s="1435"/>
      <c r="O32" s="1435"/>
      <c r="P32" s="1400"/>
      <c r="Q32" s="1436"/>
      <c r="R32" s="1436"/>
      <c r="S32" s="1437"/>
      <c r="T32" s="1399"/>
      <c r="U32" s="1399"/>
      <c r="V32" s="1438"/>
      <c r="W32" s="1406">
        <f>+AE32*1.6*C32</f>
        <v>0</v>
      </c>
      <c r="X32" s="1434">
        <f t="shared" si="5"/>
        <v>0</v>
      </c>
      <c r="Y32" s="3735"/>
      <c r="Z32" s="1007" t="s">
        <v>321</v>
      </c>
      <c r="AA32" s="3162">
        <v>322</v>
      </c>
      <c r="AB32" s="2462"/>
      <c r="AC32" s="2496"/>
      <c r="AD32" s="2497">
        <f t="shared" ref="AD32:AD33" si="6">+AA32+AB32+AC32</f>
        <v>322</v>
      </c>
      <c r="AE32" s="2465">
        <f>+AD32*C32</f>
        <v>0</v>
      </c>
      <c r="AF32" s="2466">
        <f>+AE32*C32</f>
        <v>0</v>
      </c>
      <c r="AG32" s="1189">
        <f t="shared" ref="AG32:AG33" si="7">+X32-AE32</f>
        <v>0</v>
      </c>
      <c r="AH32" s="1056" t="e">
        <f>+AG32/W32</f>
        <v>#DIV/0!</v>
      </c>
    </row>
    <row r="33" spans="1:34" s="1120" customFormat="1" ht="14.4" hidden="1" thickBot="1" x14ac:dyDescent="0.25">
      <c r="A33" s="3109" t="s">
        <v>3494</v>
      </c>
      <c r="B33" s="3108"/>
      <c r="C33" s="1943"/>
      <c r="D33" s="1944" t="s">
        <v>2566</v>
      </c>
      <c r="E33" s="2072" t="s">
        <v>3386</v>
      </c>
      <c r="F33" s="2072" t="s">
        <v>3383</v>
      </c>
      <c r="G33" s="2096"/>
      <c r="H33" s="2074" t="s">
        <v>3387</v>
      </c>
      <c r="I33" s="2074" t="s">
        <v>2997</v>
      </c>
      <c r="J33" s="2072" t="s">
        <v>2994</v>
      </c>
      <c r="K33" s="1950"/>
      <c r="L33" s="1949"/>
      <c r="M33" s="1911"/>
      <c r="N33" s="1399"/>
      <c r="O33" s="1399"/>
      <c r="P33" s="1440"/>
      <c r="Q33" s="1441"/>
      <c r="R33" s="1441"/>
      <c r="S33" s="1442"/>
      <c r="T33" s="1443"/>
      <c r="U33" s="1443"/>
      <c r="V33" s="1444"/>
      <c r="W33" s="2167">
        <f>+AE33*1.65*C33</f>
        <v>0</v>
      </c>
      <c r="X33" s="1445">
        <f t="shared" si="5"/>
        <v>0</v>
      </c>
      <c r="Y33" s="3736"/>
      <c r="Z33" s="2168" t="s">
        <v>321</v>
      </c>
      <c r="AA33" s="3163">
        <v>110.5</v>
      </c>
      <c r="AB33" s="2499">
        <v>50</v>
      </c>
      <c r="AC33" s="2500"/>
      <c r="AD33" s="2497">
        <f t="shared" si="6"/>
        <v>160.5</v>
      </c>
      <c r="AE33" s="2502">
        <f>+AD33*C33</f>
        <v>0</v>
      </c>
      <c r="AF33" s="2503">
        <f>+AE33*C33</f>
        <v>0</v>
      </c>
      <c r="AG33" s="1952">
        <f t="shared" si="7"/>
        <v>0</v>
      </c>
      <c r="AH33" s="1919" t="e">
        <f>+AG33/W33</f>
        <v>#DIV/0!</v>
      </c>
    </row>
    <row r="34" spans="1:34" s="2136" customFormat="1" ht="20.399999999999999" hidden="1" customHeight="1" thickBot="1" x14ac:dyDescent="0.25">
      <c r="C34" s="2127"/>
      <c r="D34" s="2173" t="s">
        <v>3359</v>
      </c>
      <c r="E34" s="1532"/>
      <c r="F34" s="2124" t="s">
        <v>3161</v>
      </c>
      <c r="G34" s="2061" t="s">
        <v>3072</v>
      </c>
      <c r="H34" s="2137" t="s">
        <v>3186</v>
      </c>
      <c r="I34" s="2137" t="s">
        <v>2987</v>
      </c>
      <c r="J34" s="2137" t="s">
        <v>3242</v>
      </c>
      <c r="K34" s="2138" t="s">
        <v>1323</v>
      </c>
      <c r="L34" s="2139" t="s">
        <v>3193</v>
      </c>
      <c r="M34" s="2139"/>
      <c r="N34" s="1593"/>
      <c r="O34" s="2062"/>
      <c r="P34" s="1426"/>
      <c r="Q34" s="2062"/>
      <c r="R34" s="2062"/>
      <c r="S34" s="1426"/>
      <c r="T34" s="1426"/>
      <c r="U34" s="1426"/>
      <c r="V34" s="1426"/>
      <c r="W34" s="1426"/>
      <c r="X34" s="2140"/>
      <c r="Y34" s="2141"/>
      <c r="Z34" s="2142"/>
      <c r="AA34" s="2493" t="s">
        <v>2781</v>
      </c>
      <c r="AB34" s="2494" t="s">
        <v>2782</v>
      </c>
      <c r="AC34" s="2493" t="s">
        <v>3013</v>
      </c>
      <c r="AD34" s="2493"/>
      <c r="AE34" s="2493"/>
      <c r="AF34" s="2495"/>
      <c r="AG34" s="2143"/>
      <c r="AH34" s="2144"/>
    </row>
    <row r="35" spans="1:34" s="1004" customFormat="1" ht="13.2" hidden="1" thickBot="1" x14ac:dyDescent="0.25">
      <c r="A35" s="3109" t="s">
        <v>3494</v>
      </c>
      <c r="B35" s="3106"/>
      <c r="C35" s="1927"/>
      <c r="D35" s="1928" t="s">
        <v>310</v>
      </c>
      <c r="E35" s="2066" t="s">
        <v>3384</v>
      </c>
      <c r="F35" s="2066" t="s">
        <v>279</v>
      </c>
      <c r="G35" s="2094"/>
      <c r="H35" s="2066" t="s">
        <v>3146</v>
      </c>
      <c r="I35" s="2066" t="s">
        <v>3234</v>
      </c>
      <c r="J35" s="2066" t="s">
        <v>3185</v>
      </c>
      <c r="K35" s="1920"/>
      <c r="L35" s="1907"/>
      <c r="M35" s="1907"/>
      <c r="N35" s="1399" t="s">
        <v>1</v>
      </c>
      <c r="O35" s="1399"/>
      <c r="P35" s="1431"/>
      <c r="Q35" s="1431"/>
      <c r="R35" s="1431"/>
      <c r="S35" s="1432"/>
      <c r="T35" s="1388"/>
      <c r="U35" s="1388"/>
      <c r="V35" s="1433"/>
      <c r="W35" s="1406">
        <f>+AE35*1.5*C35</f>
        <v>0</v>
      </c>
      <c r="X35" s="1434">
        <f t="shared" ref="X35:X68" si="8">+ROUNDUP(W35,0)</f>
        <v>0</v>
      </c>
      <c r="Y35" s="3856">
        <f>+X35+X36+X37</f>
        <v>0</v>
      </c>
      <c r="Z35" s="1007" t="s">
        <v>321</v>
      </c>
      <c r="AA35" s="3154">
        <v>322</v>
      </c>
      <c r="AB35" s="2462"/>
      <c r="AC35" s="2496"/>
      <c r="AD35" s="2497">
        <f>+AA35+AB35+AC35</f>
        <v>322</v>
      </c>
      <c r="AE35" s="2465">
        <f>+AD35*C35</f>
        <v>0</v>
      </c>
      <c r="AF35" s="2498"/>
      <c r="AG35" s="1189">
        <f>+X35-AE35</f>
        <v>0</v>
      </c>
      <c r="AH35" s="1056" t="e">
        <f>+AG35/W35</f>
        <v>#DIV/0!</v>
      </c>
    </row>
    <row r="36" spans="1:34" s="1071" customFormat="1" ht="13.2" hidden="1" thickBot="1" x14ac:dyDescent="0.25">
      <c r="A36" s="3109" t="s">
        <v>3494</v>
      </c>
      <c r="B36" s="3107"/>
      <c r="C36" s="1908"/>
      <c r="D36" s="1909" t="s">
        <v>2488</v>
      </c>
      <c r="E36" s="2169" t="s">
        <v>3385</v>
      </c>
      <c r="F36" s="2169" t="s">
        <v>279</v>
      </c>
      <c r="G36" s="2095"/>
      <c r="H36" s="2170" t="s">
        <v>3382</v>
      </c>
      <c r="I36" s="2171" t="s">
        <v>2331</v>
      </c>
      <c r="J36" s="2065" t="s">
        <v>3185</v>
      </c>
      <c r="K36" s="1913"/>
      <c r="L36" s="1910"/>
      <c r="M36" s="1910"/>
      <c r="N36" s="1435"/>
      <c r="O36" s="1435"/>
      <c r="P36" s="1400"/>
      <c r="Q36" s="1436"/>
      <c r="R36" s="1436"/>
      <c r="S36" s="1437"/>
      <c r="T36" s="1399"/>
      <c r="U36" s="1399"/>
      <c r="V36" s="1438"/>
      <c r="W36" s="1406">
        <f>+AE36*1.6*C36</f>
        <v>0</v>
      </c>
      <c r="X36" s="1434">
        <f t="shared" si="8"/>
        <v>0</v>
      </c>
      <c r="Y36" s="3857"/>
      <c r="Z36" s="1007" t="s">
        <v>321</v>
      </c>
      <c r="AA36" s="3162">
        <v>322</v>
      </c>
      <c r="AB36" s="2462"/>
      <c r="AC36" s="2496"/>
      <c r="AD36" s="2497">
        <f t="shared" ref="AD36:AD37" si="9">+AA36+AB36+AC36</f>
        <v>322</v>
      </c>
      <c r="AE36" s="2465">
        <f>+AD36*C36</f>
        <v>0</v>
      </c>
      <c r="AF36" s="2466">
        <f>+AE36*C36</f>
        <v>0</v>
      </c>
      <c r="AG36" s="1189">
        <f t="shared" ref="AG36:AG37" si="10">+X36-AE36</f>
        <v>0</v>
      </c>
      <c r="AH36" s="1056" t="e">
        <f>+AG36/W36</f>
        <v>#DIV/0!</v>
      </c>
    </row>
    <row r="37" spans="1:34" s="1120" customFormat="1" ht="14.4" hidden="1" thickBot="1" x14ac:dyDescent="0.25">
      <c r="A37" s="3109" t="s">
        <v>3494</v>
      </c>
      <c r="B37" s="3108"/>
      <c r="C37" s="1943"/>
      <c r="D37" s="1944" t="s">
        <v>2566</v>
      </c>
      <c r="E37" s="2072" t="s">
        <v>3386</v>
      </c>
      <c r="F37" s="2072" t="s">
        <v>3383</v>
      </c>
      <c r="G37" s="2096"/>
      <c r="H37" s="2074" t="s">
        <v>3387</v>
      </c>
      <c r="I37" s="2074" t="s">
        <v>2997</v>
      </c>
      <c r="J37" s="2072" t="s">
        <v>2994</v>
      </c>
      <c r="K37" s="1950"/>
      <c r="L37" s="1949"/>
      <c r="M37" s="1911"/>
      <c r="N37" s="1399"/>
      <c r="O37" s="1399"/>
      <c r="P37" s="1440"/>
      <c r="Q37" s="1441"/>
      <c r="R37" s="1441"/>
      <c r="S37" s="1442"/>
      <c r="T37" s="1443"/>
      <c r="U37" s="1443"/>
      <c r="V37" s="1444"/>
      <c r="W37" s="2167">
        <f>+AE37*1.65*C37</f>
        <v>0</v>
      </c>
      <c r="X37" s="1445">
        <f t="shared" si="8"/>
        <v>0</v>
      </c>
      <c r="Y37" s="3858"/>
      <c r="Z37" s="2168" t="s">
        <v>321</v>
      </c>
      <c r="AA37" s="3163">
        <v>110.5</v>
      </c>
      <c r="AB37" s="2499">
        <v>50</v>
      </c>
      <c r="AC37" s="2500"/>
      <c r="AD37" s="2497">
        <f t="shared" si="9"/>
        <v>160.5</v>
      </c>
      <c r="AE37" s="2502">
        <f>+AD37*C37</f>
        <v>0</v>
      </c>
      <c r="AF37" s="2503">
        <f>+AE37*C37</f>
        <v>0</v>
      </c>
      <c r="AG37" s="1952">
        <f t="shared" si="10"/>
        <v>0</v>
      </c>
      <c r="AH37" s="1919" t="e">
        <f>+AG37/W37</f>
        <v>#DIV/0!</v>
      </c>
    </row>
    <row r="38" spans="1:34" s="2136" customFormat="1" ht="20.399999999999999" hidden="1" customHeight="1" thickBot="1" x14ac:dyDescent="0.25">
      <c r="C38" s="2127"/>
      <c r="D38" s="2173" t="s">
        <v>3708</v>
      </c>
      <c r="E38" s="1532"/>
      <c r="F38" s="2124" t="s">
        <v>3161</v>
      </c>
      <c r="G38" s="2061" t="s">
        <v>3072</v>
      </c>
      <c r="H38" s="2137" t="s">
        <v>3186</v>
      </c>
      <c r="I38" s="2137" t="s">
        <v>2987</v>
      </c>
      <c r="J38" s="2137" t="s">
        <v>3242</v>
      </c>
      <c r="K38" s="2138" t="s">
        <v>1323</v>
      </c>
      <c r="L38" s="2139" t="s">
        <v>3193</v>
      </c>
      <c r="M38" s="2139"/>
      <c r="N38" s="1593"/>
      <c r="O38" s="2062"/>
      <c r="P38" s="1426"/>
      <c r="Q38" s="2062"/>
      <c r="R38" s="2062"/>
      <c r="S38" s="1426"/>
      <c r="T38" s="1426"/>
      <c r="U38" s="1426"/>
      <c r="V38" s="1426"/>
      <c r="W38" s="1426"/>
      <c r="X38" s="2140"/>
      <c r="Y38" s="3534"/>
      <c r="Z38" s="2142"/>
      <c r="AA38" s="2493" t="s">
        <v>2781</v>
      </c>
      <c r="AB38" s="2494" t="s">
        <v>2782</v>
      </c>
      <c r="AC38" s="2493" t="s">
        <v>3013</v>
      </c>
      <c r="AD38" s="2493"/>
      <c r="AE38" s="2493"/>
      <c r="AF38" s="2495"/>
      <c r="AG38" s="2143"/>
      <c r="AH38" s="2144"/>
    </row>
    <row r="39" spans="1:34" s="1004" customFormat="1" ht="13.2" hidden="1" thickBot="1" x14ac:dyDescent="0.25">
      <c r="A39" s="3109" t="s">
        <v>3704</v>
      </c>
      <c r="B39" s="3106"/>
      <c r="C39" s="1927"/>
      <c r="D39" s="1928" t="s">
        <v>310</v>
      </c>
      <c r="E39" s="2066" t="s">
        <v>3700</v>
      </c>
      <c r="F39" s="2066" t="s">
        <v>3146</v>
      </c>
      <c r="G39" s="2094"/>
      <c r="H39" s="2066" t="s">
        <v>3581</v>
      </c>
      <c r="I39" s="2066" t="s">
        <v>3234</v>
      </c>
      <c r="J39" s="2066" t="s">
        <v>3185</v>
      </c>
      <c r="K39" s="1920"/>
      <c r="L39" s="1907"/>
      <c r="M39" s="1907"/>
      <c r="N39" s="1399" t="s">
        <v>1</v>
      </c>
      <c r="O39" s="1399"/>
      <c r="P39" s="1431"/>
      <c r="Q39" s="1431"/>
      <c r="R39" s="1431"/>
      <c r="S39" s="1432"/>
      <c r="T39" s="1388"/>
      <c r="U39" s="1388"/>
      <c r="V39" s="1433"/>
      <c r="W39" s="1406">
        <f>+AD39*1.65*C39</f>
        <v>0</v>
      </c>
      <c r="X39" s="1434">
        <f t="shared" ref="X39:X41" si="11">+ROUNDUP(W39,0)</f>
        <v>0</v>
      </c>
      <c r="Y39" s="3844">
        <f>+X39+X40+X41</f>
        <v>0</v>
      </c>
      <c r="Z39" s="1007" t="s">
        <v>1363</v>
      </c>
      <c r="AA39" s="3154">
        <v>243.81</v>
      </c>
      <c r="AB39" s="2462"/>
      <c r="AC39" s="2496"/>
      <c r="AD39" s="2497">
        <f>+AA39+AB39+AC39</f>
        <v>243.81</v>
      </c>
      <c r="AE39" s="2465">
        <f>+AD39*C39</f>
        <v>0</v>
      </c>
      <c r="AF39" s="2466">
        <f>+AE39*C39</f>
        <v>0</v>
      </c>
      <c r="AG39" s="1189">
        <f>+X39-AE39</f>
        <v>0</v>
      </c>
      <c r="AH39" s="1056" t="e">
        <f>+AG39/W39</f>
        <v>#DIV/0!</v>
      </c>
    </row>
    <row r="40" spans="1:34" s="1071" customFormat="1" ht="13.2" hidden="1" thickBot="1" x14ac:dyDescent="0.25">
      <c r="A40" s="3109" t="s">
        <v>3494</v>
      </c>
      <c r="B40" s="3107"/>
      <c r="C40" s="1908"/>
      <c r="D40" s="1909" t="s">
        <v>2488</v>
      </c>
      <c r="E40" s="2169" t="s">
        <v>3701</v>
      </c>
      <c r="F40" s="2169" t="s">
        <v>279</v>
      </c>
      <c r="G40" s="2095"/>
      <c r="H40" s="2170" t="s">
        <v>3703</v>
      </c>
      <c r="I40" s="2171" t="s">
        <v>2331</v>
      </c>
      <c r="J40" s="2065" t="s">
        <v>3185</v>
      </c>
      <c r="K40" s="1913"/>
      <c r="L40" s="1910"/>
      <c r="M40" s="1910"/>
      <c r="N40" s="1435"/>
      <c r="O40" s="1435"/>
      <c r="P40" s="1400"/>
      <c r="Q40" s="1436"/>
      <c r="R40" s="1436"/>
      <c r="S40" s="1437"/>
      <c r="T40" s="1399"/>
      <c r="U40" s="1399"/>
      <c r="V40" s="1438"/>
      <c r="W40" s="1406">
        <f>+AD40*1.65*C40</f>
        <v>0</v>
      </c>
      <c r="X40" s="1434">
        <f t="shared" si="11"/>
        <v>0</v>
      </c>
      <c r="Y40" s="3735"/>
      <c r="Z40" s="1007" t="s">
        <v>1363</v>
      </c>
      <c r="AA40" s="3162">
        <v>346.15</v>
      </c>
      <c r="AB40" s="2462"/>
      <c r="AC40" s="2496"/>
      <c r="AD40" s="2497">
        <f t="shared" ref="AD40:AD41" si="12">+AA40+AB40+AC40</f>
        <v>346.15</v>
      </c>
      <c r="AE40" s="2465">
        <f>+AD40*C40</f>
        <v>0</v>
      </c>
      <c r="AF40" s="2466">
        <f>+AE40*C40</f>
        <v>0</v>
      </c>
      <c r="AG40" s="1189">
        <f t="shared" ref="AG40:AG41" si="13">+X40-AE40</f>
        <v>0</v>
      </c>
      <c r="AH40" s="1056" t="e">
        <f>+AG40/W40</f>
        <v>#DIV/0!</v>
      </c>
    </row>
    <row r="41" spans="1:34" s="1120" customFormat="1" ht="14.4" hidden="1" thickBot="1" x14ac:dyDescent="0.25">
      <c r="A41" s="3109" t="s">
        <v>3494</v>
      </c>
      <c r="B41" s="3108"/>
      <c r="C41" s="1943"/>
      <c r="D41" s="1944" t="s">
        <v>2566</v>
      </c>
      <c r="E41" s="2072" t="s">
        <v>3710</v>
      </c>
      <c r="F41" s="2194" t="s">
        <v>3711</v>
      </c>
      <c r="G41" s="2096"/>
      <c r="H41" s="2074" t="s">
        <v>3702</v>
      </c>
      <c r="I41" s="2074" t="s">
        <v>2997</v>
      </c>
      <c r="J41" s="2072" t="s">
        <v>2994</v>
      </c>
      <c r="K41" s="1950"/>
      <c r="L41" s="1949"/>
      <c r="M41" s="1911"/>
      <c r="N41" s="1399"/>
      <c r="O41" s="1399"/>
      <c r="P41" s="1440"/>
      <c r="Q41" s="1441"/>
      <c r="R41" s="1441"/>
      <c r="S41" s="1442"/>
      <c r="T41" s="1443"/>
      <c r="U41" s="1443"/>
      <c r="V41" s="1444"/>
      <c r="W41" s="1406">
        <f>+AD41*1.65*C41</f>
        <v>0</v>
      </c>
      <c r="X41" s="1445">
        <f t="shared" si="11"/>
        <v>0</v>
      </c>
      <c r="Y41" s="3845"/>
      <c r="Z41" s="2168" t="s">
        <v>1363</v>
      </c>
      <c r="AA41" s="3163">
        <v>175.01</v>
      </c>
      <c r="AB41" s="2499"/>
      <c r="AC41" s="2500"/>
      <c r="AD41" s="2497">
        <f t="shared" si="12"/>
        <v>175.01</v>
      </c>
      <c r="AE41" s="2502">
        <f>+AD41*C41</f>
        <v>0</v>
      </c>
      <c r="AF41" s="2503">
        <f>+AE41*C41</f>
        <v>0</v>
      </c>
      <c r="AG41" s="1952">
        <f t="shared" si="13"/>
        <v>0</v>
      </c>
      <c r="AH41" s="1919" t="e">
        <f>+AG41/W41</f>
        <v>#DIV/0!</v>
      </c>
    </row>
    <row r="42" spans="1:34" s="2136" customFormat="1" ht="20.399999999999999" hidden="1" customHeight="1" thickBot="1" x14ac:dyDescent="0.25">
      <c r="C42" s="2127"/>
      <c r="D42" s="2173" t="s">
        <v>3708</v>
      </c>
      <c r="E42" s="1532"/>
      <c r="F42" s="2124" t="s">
        <v>3161</v>
      </c>
      <c r="G42" s="2061" t="s">
        <v>3072</v>
      </c>
      <c r="H42" s="2137" t="s">
        <v>3186</v>
      </c>
      <c r="I42" s="2137" t="s">
        <v>2987</v>
      </c>
      <c r="J42" s="2137" t="s">
        <v>3242</v>
      </c>
      <c r="K42" s="2138" t="s">
        <v>1323</v>
      </c>
      <c r="L42" s="2139" t="s">
        <v>3193</v>
      </c>
      <c r="M42" s="2139"/>
      <c r="N42" s="1593"/>
      <c r="O42" s="2062"/>
      <c r="P42" s="1426"/>
      <c r="Q42" s="2062"/>
      <c r="R42" s="2062"/>
      <c r="S42" s="1426"/>
      <c r="T42" s="1426"/>
      <c r="U42" s="1426"/>
      <c r="V42" s="1426"/>
      <c r="W42" s="1426"/>
      <c r="X42" s="2140"/>
      <c r="Y42" s="3534"/>
      <c r="Z42" s="2142"/>
      <c r="AA42" s="2493" t="s">
        <v>2781</v>
      </c>
      <c r="AB42" s="2494" t="s">
        <v>2782</v>
      </c>
      <c r="AC42" s="2493" t="s">
        <v>3013</v>
      </c>
      <c r="AD42" s="2493"/>
      <c r="AE42" s="2493"/>
      <c r="AF42" s="2495"/>
      <c r="AG42" s="2143"/>
      <c r="AH42" s="2144"/>
    </row>
    <row r="43" spans="1:34" s="1004" customFormat="1" ht="13.2" hidden="1" customHeight="1" thickBot="1" x14ac:dyDescent="0.25">
      <c r="A43" s="3109" t="s">
        <v>3704</v>
      </c>
      <c r="B43" s="3106"/>
      <c r="C43" s="1927"/>
      <c r="D43" s="1928" t="s">
        <v>3712</v>
      </c>
      <c r="E43" s="2066" t="s">
        <v>3700</v>
      </c>
      <c r="F43" s="2066" t="s">
        <v>279</v>
      </c>
      <c r="G43" s="2094"/>
      <c r="H43" s="2066" t="s">
        <v>376</v>
      </c>
      <c r="I43" s="2066" t="s">
        <v>3234</v>
      </c>
      <c r="J43" s="2066" t="s">
        <v>3185</v>
      </c>
      <c r="K43" s="3954" t="s">
        <v>3713</v>
      </c>
      <c r="L43" s="1907"/>
      <c r="M43" s="1907"/>
      <c r="N43" s="1399" t="s">
        <v>1</v>
      </c>
      <c r="O43" s="1399"/>
      <c r="P43" s="1431"/>
      <c r="Q43" s="1431"/>
      <c r="R43" s="1431"/>
      <c r="S43" s="1432"/>
      <c r="T43" s="1388"/>
      <c r="U43" s="1388"/>
      <c r="V43" s="1433"/>
      <c r="W43" s="1406">
        <f>+AE43*1.65*C43</f>
        <v>0</v>
      </c>
      <c r="X43" s="1434">
        <f t="shared" ref="X43:X45" si="14">+ROUNDUP(W43,0)</f>
        <v>0</v>
      </c>
      <c r="Y43" s="3844">
        <f>+X43+X44+X45</f>
        <v>0</v>
      </c>
      <c r="Z43" s="1007" t="s">
        <v>1363</v>
      </c>
      <c r="AA43" s="3154">
        <v>243.81</v>
      </c>
      <c r="AB43" s="2462"/>
      <c r="AC43" s="2496"/>
      <c r="AD43" s="2497">
        <f>+AA43+AB43+AC43</f>
        <v>243.81</v>
      </c>
      <c r="AE43" s="2465">
        <f>+AD43*C43</f>
        <v>0</v>
      </c>
      <c r="AF43" s="2466">
        <f>+AE43*C43</f>
        <v>0</v>
      </c>
      <c r="AG43" s="1189">
        <f>+X43-AE43</f>
        <v>0</v>
      </c>
      <c r="AH43" s="1056" t="e">
        <f>+AG43/W43</f>
        <v>#DIV/0!</v>
      </c>
    </row>
    <row r="44" spans="1:34" s="1071" customFormat="1" ht="13.2" hidden="1" thickBot="1" x14ac:dyDescent="0.25">
      <c r="A44" s="3109" t="s">
        <v>3494</v>
      </c>
      <c r="B44" s="3107"/>
      <c r="C44" s="1908"/>
      <c r="D44" s="1909" t="s">
        <v>2488</v>
      </c>
      <c r="E44" s="2169" t="s">
        <v>3701</v>
      </c>
      <c r="F44" s="2169" t="s">
        <v>279</v>
      </c>
      <c r="G44" s="2095"/>
      <c r="H44" s="2170" t="s">
        <v>3703</v>
      </c>
      <c r="I44" s="2171" t="s">
        <v>2331</v>
      </c>
      <c r="J44" s="2065" t="s">
        <v>3185</v>
      </c>
      <c r="K44" s="3955"/>
      <c r="L44" s="1910"/>
      <c r="M44" s="1910"/>
      <c r="N44" s="1435"/>
      <c r="O44" s="1435"/>
      <c r="P44" s="1400"/>
      <c r="Q44" s="1436"/>
      <c r="R44" s="1436"/>
      <c r="S44" s="1437"/>
      <c r="T44" s="1399"/>
      <c r="U44" s="1399"/>
      <c r="V44" s="1438"/>
      <c r="W44" s="1406">
        <f>+AE44*1.65*C44</f>
        <v>0</v>
      </c>
      <c r="X44" s="1434">
        <f t="shared" si="14"/>
        <v>0</v>
      </c>
      <c r="Y44" s="3735"/>
      <c r="Z44" s="1007" t="s">
        <v>1363</v>
      </c>
      <c r="AA44" s="3162">
        <v>346.15</v>
      </c>
      <c r="AB44" s="2462"/>
      <c r="AC44" s="2496"/>
      <c r="AD44" s="2497">
        <f t="shared" ref="AD44:AD45" si="15">+AA44+AB44+AC44</f>
        <v>346.15</v>
      </c>
      <c r="AE44" s="2465">
        <f>+AD44*C44</f>
        <v>0</v>
      </c>
      <c r="AF44" s="2466">
        <f>+AE44*C44</f>
        <v>0</v>
      </c>
      <c r="AG44" s="1189">
        <f t="shared" ref="AG44:AG45" si="16">+X44-AE44</f>
        <v>0</v>
      </c>
      <c r="AH44" s="1056" t="e">
        <f>+AG44/W44</f>
        <v>#DIV/0!</v>
      </c>
    </row>
    <row r="45" spans="1:34" s="1120" customFormat="1" ht="14.4" hidden="1" thickBot="1" x14ac:dyDescent="0.25">
      <c r="A45" s="3109" t="s">
        <v>3494</v>
      </c>
      <c r="B45" s="3108"/>
      <c r="C45" s="1943"/>
      <c r="D45" s="1944" t="s">
        <v>2566</v>
      </c>
      <c r="E45" s="2072" t="s">
        <v>3710</v>
      </c>
      <c r="F45" s="2194" t="s">
        <v>3711</v>
      </c>
      <c r="G45" s="2096"/>
      <c r="H45" s="2074" t="s">
        <v>3702</v>
      </c>
      <c r="I45" s="2074" t="s">
        <v>2997</v>
      </c>
      <c r="J45" s="2072" t="s">
        <v>2994</v>
      </c>
      <c r="K45" s="3956"/>
      <c r="L45" s="1949"/>
      <c r="M45" s="1911"/>
      <c r="N45" s="1399"/>
      <c r="O45" s="1399"/>
      <c r="P45" s="1440"/>
      <c r="Q45" s="1441"/>
      <c r="R45" s="1441"/>
      <c r="S45" s="1442"/>
      <c r="T45" s="1443"/>
      <c r="U45" s="1443"/>
      <c r="V45" s="1444"/>
      <c r="W45" s="2167">
        <f>+AE45*1.65*C45</f>
        <v>0</v>
      </c>
      <c r="X45" s="1445">
        <f t="shared" si="14"/>
        <v>0</v>
      </c>
      <c r="Y45" s="3845"/>
      <c r="Z45" s="2168" t="s">
        <v>1363</v>
      </c>
      <c r="AA45" s="3163">
        <v>175.01</v>
      </c>
      <c r="AB45" s="2499"/>
      <c r="AC45" s="2500"/>
      <c r="AD45" s="2497">
        <f t="shared" si="15"/>
        <v>175.01</v>
      </c>
      <c r="AE45" s="2502">
        <f>+AD45*C45</f>
        <v>0</v>
      </c>
      <c r="AF45" s="2503">
        <f>+AE45*C45</f>
        <v>0</v>
      </c>
      <c r="AG45" s="1952">
        <f t="shared" si="16"/>
        <v>0</v>
      </c>
      <c r="AH45" s="1919" t="e">
        <f>+AG45/W45</f>
        <v>#DIV/0!</v>
      </c>
    </row>
    <row r="46" spans="1:34" s="2126" customFormat="1" ht="20.399999999999999" hidden="1" customHeight="1" thickBot="1" x14ac:dyDescent="0.25">
      <c r="C46" s="2127"/>
      <c r="D46" s="2123" t="s">
        <v>3187</v>
      </c>
      <c r="E46" s="2123"/>
      <c r="F46" s="2128" t="s">
        <v>3161</v>
      </c>
      <c r="G46" s="3477" t="s">
        <v>3072</v>
      </c>
      <c r="H46" s="2848" t="s">
        <v>3186</v>
      </c>
      <c r="I46" s="3478" t="s">
        <v>2987</v>
      </c>
      <c r="J46" s="2848" t="s">
        <v>3242</v>
      </c>
      <c r="K46" s="2848" t="s">
        <v>1323</v>
      </c>
      <c r="L46" s="1448"/>
      <c r="M46" s="1448"/>
      <c r="N46" s="2123"/>
      <c r="O46" s="1426"/>
      <c r="P46" s="1424"/>
      <c r="Q46" s="1425"/>
      <c r="R46" s="1425"/>
      <c r="S46" s="1424"/>
      <c r="T46" s="1424"/>
      <c r="U46" s="1424"/>
      <c r="V46" s="1424"/>
      <c r="W46" s="2062"/>
      <c r="X46" s="3475" t="s">
        <v>3646</v>
      </c>
      <c r="Y46" s="3476" t="s">
        <v>3645</v>
      </c>
      <c r="Z46" s="2131"/>
      <c r="AA46" s="2459" t="s">
        <v>2781</v>
      </c>
      <c r="AB46" s="2460" t="s">
        <v>2782</v>
      </c>
      <c r="AC46" s="2459" t="s">
        <v>3649</v>
      </c>
      <c r="AD46" s="2459"/>
      <c r="AE46" s="2459"/>
      <c r="AF46" s="2461"/>
      <c r="AG46" s="2132"/>
      <c r="AH46" s="2133"/>
    </row>
    <row r="47" spans="1:34" s="1004" customFormat="1" ht="13.2" hidden="1" thickBot="1" x14ac:dyDescent="0.25">
      <c r="A47" s="1357" t="s">
        <v>3246</v>
      </c>
      <c r="C47" s="1927"/>
      <c r="D47" s="1928" t="s">
        <v>310</v>
      </c>
      <c r="E47" s="1930" t="s">
        <v>3652</v>
      </c>
      <c r="F47" s="1920" t="s">
        <v>279</v>
      </c>
      <c r="G47" s="2079"/>
      <c r="H47" s="1930" t="s">
        <v>3650</v>
      </c>
      <c r="I47" s="2067" t="s">
        <v>2331</v>
      </c>
      <c r="J47" s="1920" t="s">
        <v>3644</v>
      </c>
      <c r="K47" s="1920" t="s">
        <v>3010</v>
      </c>
      <c r="L47" s="1920"/>
      <c r="M47" s="1920"/>
      <c r="N47" s="1929" t="s">
        <v>1204</v>
      </c>
      <c r="O47" s="1929"/>
      <c r="P47" s="1930"/>
      <c r="Q47" s="2091"/>
      <c r="R47" s="2091"/>
      <c r="S47" s="2080"/>
      <c r="T47" s="1929"/>
      <c r="U47" s="1929"/>
      <c r="V47" s="2081"/>
      <c r="W47" s="2082">
        <f>+AD47*1.7*C47</f>
        <v>0</v>
      </c>
      <c r="X47" s="3473">
        <f>+ROUNDUP(W47,0)</f>
        <v>0</v>
      </c>
      <c r="Y47" s="3793">
        <f>+X47+X48+X49</f>
        <v>0</v>
      </c>
      <c r="Z47" s="1007" t="s">
        <v>321</v>
      </c>
      <c r="AA47" s="3154">
        <v>430</v>
      </c>
      <c r="AB47" s="2462">
        <f>12+25+25</f>
        <v>62</v>
      </c>
      <c r="AC47" s="2496">
        <f>+AA47+AB47</f>
        <v>492</v>
      </c>
      <c r="AD47" s="2497">
        <f>+AC47*1.61</f>
        <v>792.12</v>
      </c>
      <c r="AE47" s="2465">
        <f>+AD47*C47</f>
        <v>0</v>
      </c>
      <c r="AF47" s="2530" t="s">
        <v>3651</v>
      </c>
      <c r="AG47" s="1189">
        <f>+W47-AE47</f>
        <v>0</v>
      </c>
      <c r="AH47" s="1056" t="e">
        <f>+AG47/W47</f>
        <v>#DIV/0!</v>
      </c>
    </row>
    <row r="48" spans="1:34" s="1071" customFormat="1" ht="13.2" hidden="1" thickBot="1" x14ac:dyDescent="0.25">
      <c r="A48" s="1357" t="s">
        <v>3246</v>
      </c>
      <c r="C48" s="2083"/>
      <c r="D48" s="1928" t="s">
        <v>310</v>
      </c>
      <c r="E48" s="1930" t="s">
        <v>3653</v>
      </c>
      <c r="F48" s="1920" t="s">
        <v>279</v>
      </c>
      <c r="G48" s="2079"/>
      <c r="H48" s="1912" t="s">
        <v>3647</v>
      </c>
      <c r="I48" s="2067" t="s">
        <v>2331</v>
      </c>
      <c r="J48" s="1920" t="s">
        <v>3644</v>
      </c>
      <c r="K48" s="2084" t="s">
        <v>3278</v>
      </c>
      <c r="L48" s="1907" t="s">
        <v>279</v>
      </c>
      <c r="M48" s="1907"/>
      <c r="N48" s="1699" t="str">
        <f>+N113</f>
        <v>HWHG_PAC</v>
      </c>
      <c r="O48" s="1699"/>
      <c r="P48" s="1911"/>
      <c r="Q48" s="2085"/>
      <c r="R48" s="2085"/>
      <c r="S48" s="2086"/>
      <c r="T48" s="1699"/>
      <c r="U48" s="1699"/>
      <c r="V48" s="1701"/>
      <c r="W48" s="2082">
        <f>+AD48*1.7*C48</f>
        <v>0</v>
      </c>
      <c r="X48" s="2092">
        <f>+ROUNDUP(W48,0)</f>
        <v>0</v>
      </c>
      <c r="Y48" s="3857"/>
      <c r="Z48" s="999" t="s">
        <v>321</v>
      </c>
      <c r="AA48" s="3162">
        <v>430</v>
      </c>
      <c r="AB48" s="2462">
        <f>12+32</f>
        <v>44</v>
      </c>
      <c r="AC48" s="2496">
        <f t="shared" ref="AC48:AC49" si="17">+AA48+AB48</f>
        <v>474</v>
      </c>
      <c r="AD48" s="2497">
        <f t="shared" ref="AD48:AD49" si="18">+AC48*1.61</f>
        <v>763.1400000000001</v>
      </c>
      <c r="AE48" s="2465">
        <f>+AD48*C48</f>
        <v>0</v>
      </c>
      <c r="AF48" s="2531"/>
      <c r="AG48" s="1189">
        <f>+W48-AE48</f>
        <v>0</v>
      </c>
      <c r="AH48" s="1056" t="e">
        <f>+AG48/W48</f>
        <v>#DIV/0!</v>
      </c>
    </row>
    <row r="49" spans="1:35" s="1003" customFormat="1" ht="14.4" hidden="1" thickBot="1" x14ac:dyDescent="0.25">
      <c r="A49" s="1357" t="s">
        <v>3246</v>
      </c>
      <c r="C49" s="2341"/>
      <c r="D49" s="2287" t="s">
        <v>2566</v>
      </c>
      <c r="E49" s="2342" t="s">
        <v>3654</v>
      </c>
      <c r="F49" s="2343" t="s">
        <v>2997</v>
      </c>
      <c r="G49" s="2186"/>
      <c r="H49" s="2344" t="s">
        <v>3218</v>
      </c>
      <c r="I49" s="2345" t="s">
        <v>349</v>
      </c>
      <c r="J49" s="1920" t="s">
        <v>3644</v>
      </c>
      <c r="K49" s="2346"/>
      <c r="L49" s="1949"/>
      <c r="M49" s="1949"/>
      <c r="N49" s="1945"/>
      <c r="O49" s="1945"/>
      <c r="P49" s="1949"/>
      <c r="Q49" s="2187"/>
      <c r="R49" s="2187"/>
      <c r="S49" s="2087"/>
      <c r="T49" s="1945"/>
      <c r="U49" s="1945"/>
      <c r="V49" s="2088"/>
      <c r="W49" s="2188">
        <f>+AD49*1.7*C49</f>
        <v>0</v>
      </c>
      <c r="X49" s="2347">
        <f>+ROUNDUP(W49,0)</f>
        <v>0</v>
      </c>
      <c r="Y49" s="3792"/>
      <c r="Z49" s="1008" t="s">
        <v>321</v>
      </c>
      <c r="AA49" s="3171">
        <v>149</v>
      </c>
      <c r="AB49" s="2532">
        <f>26+7</f>
        <v>33</v>
      </c>
      <c r="AC49" s="2496">
        <f t="shared" si="17"/>
        <v>182</v>
      </c>
      <c r="AD49" s="2497">
        <f t="shared" si="18"/>
        <v>293.02000000000004</v>
      </c>
      <c r="AE49" s="2533">
        <f>+AD49*C49</f>
        <v>0</v>
      </c>
      <c r="AF49" s="2534"/>
      <c r="AG49" s="1671">
        <f>+W49-AE49</f>
        <v>0</v>
      </c>
      <c r="AH49" s="2348" t="e">
        <f>+AG49/W49</f>
        <v>#DIV/0!</v>
      </c>
    </row>
    <row r="50" spans="1:35" s="1933" customFormat="1" ht="20.399999999999999" hidden="1" customHeight="1" thickBot="1" x14ac:dyDescent="0.25">
      <c r="C50" s="1934"/>
      <c r="D50" s="1935" t="s">
        <v>3266</v>
      </c>
      <c r="E50" s="2909"/>
      <c r="F50" s="1931" t="s">
        <v>3161</v>
      </c>
      <c r="G50" s="2061" t="s">
        <v>3072</v>
      </c>
      <c r="H50" s="1937" t="s">
        <v>3186</v>
      </c>
      <c r="I50" s="1937" t="s">
        <v>2987</v>
      </c>
      <c r="J50" s="1938" t="s">
        <v>94</v>
      </c>
      <c r="K50" s="1939" t="s">
        <v>1323</v>
      </c>
      <c r="L50" s="1422" t="s">
        <v>3193</v>
      </c>
      <c r="M50" s="1422"/>
      <c r="N50" s="1423"/>
      <c r="O50" s="1421"/>
      <c r="P50" s="1424"/>
      <c r="Q50" s="1425"/>
      <c r="R50" s="1425"/>
      <c r="S50" s="1424"/>
      <c r="T50" s="1424"/>
      <c r="U50" s="1424"/>
      <c r="V50" s="1424"/>
      <c r="W50" s="1426"/>
      <c r="X50" s="2908"/>
      <c r="Y50" s="2915"/>
      <c r="Z50" s="1134"/>
      <c r="AA50" s="2504" t="s">
        <v>2781</v>
      </c>
      <c r="AB50" s="2505" t="s">
        <v>2782</v>
      </c>
      <c r="AC50" s="2504" t="s">
        <v>3013</v>
      </c>
      <c r="AD50" s="2504"/>
      <c r="AE50" s="2504"/>
      <c r="AF50" s="2506"/>
      <c r="AG50" s="1941"/>
      <c r="AH50" s="1942"/>
    </row>
    <row r="51" spans="1:35" s="1004" customFormat="1" ht="13.2" hidden="1" thickBot="1" x14ac:dyDescent="0.25">
      <c r="A51" s="2233" t="s">
        <v>3219</v>
      </c>
      <c r="C51" s="1927"/>
      <c r="D51" s="1928" t="s">
        <v>310</v>
      </c>
      <c r="E51" s="2066" t="s">
        <v>2993</v>
      </c>
      <c r="F51" s="2066" t="s">
        <v>279</v>
      </c>
      <c r="G51" s="1897"/>
      <c r="H51" s="1930" t="s">
        <v>3146</v>
      </c>
      <c r="I51" s="2066" t="s">
        <v>2331</v>
      </c>
      <c r="J51" s="2066" t="s">
        <v>3185</v>
      </c>
      <c r="K51" s="1920" t="s">
        <v>3204</v>
      </c>
      <c r="L51" s="1907"/>
      <c r="M51" s="1907"/>
      <c r="N51" s="1399"/>
      <c r="O51" s="1399"/>
      <c r="P51" s="1431"/>
      <c r="Q51" s="1431"/>
      <c r="R51" s="1431"/>
      <c r="S51" s="1432"/>
      <c r="T51" s="1388"/>
      <c r="U51" s="1388"/>
      <c r="V51" s="1433"/>
      <c r="W51" s="1406">
        <f>+AE51*1.55*C51</f>
        <v>0</v>
      </c>
      <c r="X51" s="1434">
        <f t="shared" ref="X51:X52" si="19">+ROUNDUP(W51,0)</f>
        <v>0</v>
      </c>
      <c r="Y51" s="3839">
        <f>+X51+X52</f>
        <v>0</v>
      </c>
      <c r="Z51" s="1007" t="s">
        <v>1363</v>
      </c>
      <c r="AA51" s="3154">
        <v>343</v>
      </c>
      <c r="AB51" s="2462"/>
      <c r="AC51" s="2463">
        <f>+AB51+AA51</f>
        <v>343</v>
      </c>
      <c r="AD51" s="2464"/>
      <c r="AE51" s="2465">
        <f>+AC51+AD51</f>
        <v>343</v>
      </c>
      <c r="AF51" s="2498">
        <v>343</v>
      </c>
      <c r="AG51" s="1189">
        <f>+X51-AF51</f>
        <v>-343</v>
      </c>
      <c r="AH51" s="1056" t="e">
        <f>+AG51/W51</f>
        <v>#DIV/0!</v>
      </c>
    </row>
    <row r="52" spans="1:35" s="1120" customFormat="1" ht="14.4" hidden="1" thickBot="1" x14ac:dyDescent="0.25">
      <c r="A52" s="2233" t="s">
        <v>3219</v>
      </c>
      <c r="C52" s="1943"/>
      <c r="D52" s="1944" t="s">
        <v>2566</v>
      </c>
      <c r="E52" s="2072">
        <v>3068</v>
      </c>
      <c r="F52" s="2072" t="s">
        <v>3370</v>
      </c>
      <c r="G52" s="1898"/>
      <c r="H52" s="1947" t="s">
        <v>2749</v>
      </c>
      <c r="I52" s="2074" t="s">
        <v>349</v>
      </c>
      <c r="J52" s="2072" t="s">
        <v>2994</v>
      </c>
      <c r="K52" s="1950"/>
      <c r="L52" s="2065"/>
      <c r="M52" s="1911"/>
      <c r="N52" s="1399"/>
      <c r="O52" s="1399"/>
      <c r="P52" s="1440"/>
      <c r="Q52" s="1441"/>
      <c r="R52" s="1441"/>
      <c r="S52" s="1442"/>
      <c r="T52" s="1443"/>
      <c r="U52" s="1443"/>
      <c r="V52" s="1444"/>
      <c r="W52" s="1406">
        <f>+AE52*1.55*C52</f>
        <v>0</v>
      </c>
      <c r="X52" s="1445">
        <f t="shared" si="19"/>
        <v>0</v>
      </c>
      <c r="Y52" s="3840"/>
      <c r="Z52" s="1951" t="s">
        <v>1363</v>
      </c>
      <c r="AA52" s="3163">
        <v>111</v>
      </c>
      <c r="AB52" s="2499">
        <v>25</v>
      </c>
      <c r="AC52" s="2507">
        <f>+AB52+AA52</f>
        <v>136</v>
      </c>
      <c r="AD52" s="2508"/>
      <c r="AE52" s="2502">
        <f>+AC52</f>
        <v>136</v>
      </c>
      <c r="AF52" s="2503">
        <v>136</v>
      </c>
      <c r="AG52" s="1952">
        <f t="shared" ref="AG52" si="20">+X52-AF52</f>
        <v>-136</v>
      </c>
      <c r="AH52" s="1919" t="e">
        <f>+AG52/W52</f>
        <v>#DIV/0!</v>
      </c>
    </row>
    <row r="53" spans="1:35" s="1933" customFormat="1" ht="20.399999999999999" hidden="1" customHeight="1" thickBot="1" x14ac:dyDescent="0.25">
      <c r="C53" s="1934"/>
      <c r="D53" s="1935" t="s">
        <v>3707</v>
      </c>
      <c r="E53" s="1936"/>
      <c r="F53" s="1931" t="s">
        <v>3161</v>
      </c>
      <c r="G53" s="2061" t="s">
        <v>3072</v>
      </c>
      <c r="H53" s="1937" t="s">
        <v>3186</v>
      </c>
      <c r="I53" s="1937" t="s">
        <v>2987</v>
      </c>
      <c r="J53" s="1938" t="s">
        <v>94</v>
      </c>
      <c r="K53" s="1939" t="s">
        <v>1323</v>
      </c>
      <c r="L53" s="1422" t="s">
        <v>3193</v>
      </c>
      <c r="M53" s="1422"/>
      <c r="N53" s="1423"/>
      <c r="O53" s="1421"/>
      <c r="P53" s="1424"/>
      <c r="Q53" s="1425"/>
      <c r="R53" s="1425"/>
      <c r="S53" s="1424"/>
      <c r="T53" s="1424"/>
      <c r="U53" s="1424"/>
      <c r="V53" s="1424"/>
      <c r="W53" s="1426"/>
      <c r="X53" s="1427"/>
      <c r="Y53" s="2915"/>
      <c r="Z53" s="1134"/>
      <c r="AA53" s="2504" t="s">
        <v>2781</v>
      </c>
      <c r="AB53" s="2505" t="s">
        <v>2782</v>
      </c>
      <c r="AC53" s="2504" t="s">
        <v>3013</v>
      </c>
      <c r="AD53" s="2504"/>
      <c r="AE53" s="2504"/>
      <c r="AF53" s="2506"/>
      <c r="AG53" s="1941"/>
      <c r="AH53" s="1942"/>
    </row>
    <row r="54" spans="1:35" s="1004" customFormat="1" ht="13.2" hidden="1" thickBot="1" x14ac:dyDescent="0.25">
      <c r="A54" s="2233" t="s">
        <v>3705</v>
      </c>
      <c r="C54" s="1927"/>
      <c r="D54" s="1928" t="s">
        <v>310</v>
      </c>
      <c r="E54" s="2066" t="s">
        <v>3048</v>
      </c>
      <c r="F54" s="1920" t="s">
        <v>279</v>
      </c>
      <c r="G54" s="1897"/>
      <c r="H54" s="1930" t="s">
        <v>3146</v>
      </c>
      <c r="I54" s="2066" t="s">
        <v>2331</v>
      </c>
      <c r="J54" s="2066" t="s">
        <v>3185</v>
      </c>
      <c r="K54" s="1920" t="s">
        <v>3204</v>
      </c>
      <c r="L54" s="1907"/>
      <c r="M54" s="1907"/>
      <c r="N54" s="1399"/>
      <c r="O54" s="1399"/>
      <c r="P54" s="1431"/>
      <c r="Q54" s="1431"/>
      <c r="R54" s="1431"/>
      <c r="S54" s="1432"/>
      <c r="T54" s="1388"/>
      <c r="U54" s="1388"/>
      <c r="V54" s="1433"/>
      <c r="W54" s="1406">
        <f>+AE54*1.55*C54</f>
        <v>0</v>
      </c>
      <c r="X54" s="1434">
        <f t="shared" ref="X54:X55" si="21">+ROUNDUP(W54,0)</f>
        <v>0</v>
      </c>
      <c r="Y54" s="3844">
        <f>+X54+X55</f>
        <v>0</v>
      </c>
      <c r="Z54" s="1007" t="s">
        <v>1363</v>
      </c>
      <c r="AA54" s="3154">
        <v>243.81</v>
      </c>
      <c r="AB54" s="2462"/>
      <c r="AC54" s="2463">
        <f>+AB54+AA54</f>
        <v>243.81</v>
      </c>
      <c r="AD54" s="2464"/>
      <c r="AE54" s="2465">
        <f>+AC54+AD54</f>
        <v>243.81</v>
      </c>
      <c r="AF54" s="2498">
        <f>+AE54*C54</f>
        <v>0</v>
      </c>
      <c r="AG54" s="1189">
        <f>+X54-AF54</f>
        <v>0</v>
      </c>
      <c r="AH54" s="1056" t="e">
        <f>+AG54/W54</f>
        <v>#DIV/0!</v>
      </c>
    </row>
    <row r="55" spans="1:35" s="1120" customFormat="1" ht="14.4" hidden="1" thickBot="1" x14ac:dyDescent="0.25">
      <c r="A55" s="2233" t="s">
        <v>3219</v>
      </c>
      <c r="C55" s="1943"/>
      <c r="D55" s="1944" t="s">
        <v>2566</v>
      </c>
      <c r="E55" s="2072">
        <v>3070</v>
      </c>
      <c r="F55" s="1946" t="s">
        <v>2820</v>
      </c>
      <c r="G55" s="1898"/>
      <c r="H55" s="1947" t="s">
        <v>3218</v>
      </c>
      <c r="I55" s="2074" t="s">
        <v>349</v>
      </c>
      <c r="J55" s="2072" t="s">
        <v>2994</v>
      </c>
      <c r="K55" s="1950"/>
      <c r="L55" s="1911"/>
      <c r="M55" s="1911"/>
      <c r="N55" s="1399"/>
      <c r="O55" s="1399"/>
      <c r="P55" s="1440"/>
      <c r="Q55" s="1441"/>
      <c r="R55" s="1441"/>
      <c r="S55" s="1442"/>
      <c r="T55" s="1443"/>
      <c r="U55" s="1443"/>
      <c r="V55" s="1444"/>
      <c r="W55" s="1406">
        <f>+AE55*1.6*C55</f>
        <v>0</v>
      </c>
      <c r="X55" s="1445">
        <f t="shared" si="21"/>
        <v>0</v>
      </c>
      <c r="Y55" s="3845"/>
      <c r="Z55" s="1951" t="s">
        <v>1363</v>
      </c>
      <c r="AA55" s="3163">
        <v>119.11</v>
      </c>
      <c r="AB55" s="2499"/>
      <c r="AC55" s="2507">
        <f>+AB55+AA55</f>
        <v>119.11</v>
      </c>
      <c r="AD55" s="2508"/>
      <c r="AE55" s="2502">
        <f>+AC55</f>
        <v>119.11</v>
      </c>
      <c r="AF55" s="2503">
        <f>+AE55*C55</f>
        <v>0</v>
      </c>
      <c r="AG55" s="1952">
        <f t="shared" ref="AG55" si="22">+X55-AF55</f>
        <v>0</v>
      </c>
      <c r="AH55" s="1919" t="e">
        <f>+AG55/W55</f>
        <v>#DIV/0!</v>
      </c>
    </row>
    <row r="56" spans="1:35" s="1933" customFormat="1" ht="20.399999999999999" hidden="1" customHeight="1" thickBot="1" x14ac:dyDescent="0.25">
      <c r="C56" s="1934"/>
      <c r="D56" s="1935" t="s">
        <v>3198</v>
      </c>
      <c r="E56" s="1936"/>
      <c r="F56" s="1931" t="s">
        <v>3161</v>
      </c>
      <c r="G56" s="1677" t="s">
        <v>3072</v>
      </c>
      <c r="H56" s="1937" t="s">
        <v>3186</v>
      </c>
      <c r="I56" s="1937" t="s">
        <v>2987</v>
      </c>
      <c r="J56" s="1938" t="s">
        <v>94</v>
      </c>
      <c r="K56" s="1531" t="s">
        <v>1323</v>
      </c>
      <c r="L56" s="1685" t="s">
        <v>3071</v>
      </c>
      <c r="M56" s="1932" t="s">
        <v>3193</v>
      </c>
      <c r="N56" s="1423"/>
      <c r="O56" s="1421"/>
      <c r="P56" s="1424"/>
      <c r="Q56" s="1425"/>
      <c r="R56" s="1425"/>
      <c r="S56" s="1424"/>
      <c r="T56" s="1424"/>
      <c r="U56" s="1424"/>
      <c r="V56" s="1424"/>
      <c r="W56" s="1426"/>
      <c r="X56" s="2027"/>
      <c r="Y56" s="1990"/>
      <c r="Z56" s="1134"/>
      <c r="AA56" s="2504" t="s">
        <v>2781</v>
      </c>
      <c r="AB56" s="2505" t="s">
        <v>2782</v>
      </c>
      <c r="AC56" s="2504" t="s">
        <v>3013</v>
      </c>
      <c r="AD56" s="2504"/>
      <c r="AE56" s="2504"/>
      <c r="AF56" s="2506"/>
      <c r="AG56" s="1941"/>
      <c r="AH56" s="1942"/>
    </row>
    <row r="57" spans="1:35" s="238" customFormat="1" ht="13.8" hidden="1" x14ac:dyDescent="0.2">
      <c r="A57" s="238" t="s">
        <v>3219</v>
      </c>
      <c r="C57" s="2063"/>
      <c r="D57" s="2064" t="s">
        <v>2626</v>
      </c>
      <c r="E57" s="2065" t="s">
        <v>3229</v>
      </c>
      <c r="F57" s="1907" t="s">
        <v>279</v>
      </c>
      <c r="G57" s="2066"/>
      <c r="H57" s="2065" t="s">
        <v>376</v>
      </c>
      <c r="I57" s="2067" t="s">
        <v>3009</v>
      </c>
      <c r="J57" s="1907" t="s">
        <v>2954</v>
      </c>
      <c r="K57" s="2068" t="s">
        <v>3228</v>
      </c>
      <c r="L57" s="1705"/>
      <c r="M57" s="2069"/>
      <c r="N57" s="1700" t="s">
        <v>2636</v>
      </c>
      <c r="O57" s="2089"/>
      <c r="P57" s="1705"/>
      <c r="Q57" s="1705"/>
      <c r="R57" s="1705"/>
      <c r="S57" s="1705"/>
      <c r="T57" s="1705"/>
      <c r="U57" s="1705"/>
      <c r="V57" s="1706"/>
      <c r="W57" s="1406">
        <f>+AE57*1.55*C57</f>
        <v>0</v>
      </c>
      <c r="X57" s="2070">
        <f>+ROUNDUP(W57,0)</f>
        <v>0</v>
      </c>
      <c r="Y57" s="3792">
        <f>+X58+X57</f>
        <v>0</v>
      </c>
      <c r="Z57" s="74" t="s">
        <v>321</v>
      </c>
      <c r="AA57" s="3164">
        <v>350</v>
      </c>
      <c r="AB57" s="2509">
        <v>50</v>
      </c>
      <c r="AC57" s="2463">
        <f t="shared" ref="AC57:AC58" si="23">+AB57+AA57</f>
        <v>400</v>
      </c>
      <c r="AD57" s="2497"/>
      <c r="AE57" s="2465">
        <f>+AC57+AD57</f>
        <v>400</v>
      </c>
      <c r="AF57" s="2498">
        <f>+AE57*C57</f>
        <v>0</v>
      </c>
      <c r="AG57" s="1189">
        <f>+X57-AF57</f>
        <v>0</v>
      </c>
      <c r="AH57" s="1353" t="e">
        <f>+AG57/X57</f>
        <v>#DIV/0!</v>
      </c>
      <c r="AI57" s="1023"/>
    </row>
    <row r="58" spans="1:35" s="1287" customFormat="1" ht="14.4" hidden="1" thickBot="1" x14ac:dyDescent="0.25">
      <c r="A58" s="1287" t="s">
        <v>3219</v>
      </c>
      <c r="C58" s="2071"/>
      <c r="D58" s="1944" t="s">
        <v>3206</v>
      </c>
      <c r="E58" s="2072">
        <v>3070</v>
      </c>
      <c r="F58" s="2073" t="s">
        <v>2820</v>
      </c>
      <c r="G58" s="2066"/>
      <c r="H58" s="2074" t="s">
        <v>3205</v>
      </c>
      <c r="I58" s="1948" t="s">
        <v>349</v>
      </c>
      <c r="J58" s="1946" t="s">
        <v>2805</v>
      </c>
      <c r="K58" s="2075"/>
      <c r="L58" s="1704"/>
      <c r="M58" s="2076"/>
      <c r="N58" s="2090" t="s">
        <v>2636</v>
      </c>
      <c r="O58" s="2077"/>
      <c r="P58" s="1704"/>
      <c r="Q58" s="1704"/>
      <c r="R58" s="1704"/>
      <c r="S58" s="1705"/>
      <c r="T58" s="1705"/>
      <c r="U58" s="1705"/>
      <c r="V58" s="1706"/>
      <c r="W58" s="1406">
        <f>+AE58*1.55*C58</f>
        <v>0</v>
      </c>
      <c r="X58" s="2078">
        <f>+ROUNDUP(W58,0)</f>
        <v>0</v>
      </c>
      <c r="Y58" s="3793"/>
      <c r="Z58" s="193" t="s">
        <v>321</v>
      </c>
      <c r="AA58" s="3165">
        <v>96</v>
      </c>
      <c r="AB58" s="2510"/>
      <c r="AC58" s="2463">
        <f t="shared" si="23"/>
        <v>96</v>
      </c>
      <c r="AD58" s="2511"/>
      <c r="AE58" s="2465">
        <f>+AC58+AD58</f>
        <v>96</v>
      </c>
      <c r="AF58" s="2498">
        <f>+AE58*C58</f>
        <v>0</v>
      </c>
      <c r="AG58" s="1189">
        <f>+X58-AF58</f>
        <v>0</v>
      </c>
      <c r="AH58" s="1977" t="e">
        <f>+AG58/X58</f>
        <v>#DIV/0!</v>
      </c>
      <c r="AI58" s="1121"/>
    </row>
    <row r="59" spans="1:35" s="1933" customFormat="1" ht="20.399999999999999" hidden="1" customHeight="1" thickBot="1" x14ac:dyDescent="0.25">
      <c r="C59" s="1934"/>
      <c r="D59" s="1935" t="s">
        <v>3198</v>
      </c>
      <c r="E59" s="1936"/>
      <c r="F59" s="1931" t="s">
        <v>3161</v>
      </c>
      <c r="G59" s="2061" t="s">
        <v>3072</v>
      </c>
      <c r="H59" s="1937" t="s">
        <v>3186</v>
      </c>
      <c r="I59" s="1937" t="s">
        <v>2987</v>
      </c>
      <c r="J59" s="1938" t="s">
        <v>94</v>
      </c>
      <c r="K59" s="1531" t="s">
        <v>1323</v>
      </c>
      <c r="L59" s="1932"/>
      <c r="M59" s="1932" t="s">
        <v>3193</v>
      </c>
      <c r="N59" s="1423"/>
      <c r="O59" s="1421"/>
      <c r="P59" s="1424"/>
      <c r="Q59" s="1425"/>
      <c r="R59" s="1425"/>
      <c r="S59" s="1424"/>
      <c r="T59" s="1424"/>
      <c r="U59" s="1424"/>
      <c r="V59" s="1424"/>
      <c r="W59" s="1426"/>
      <c r="X59" s="1427"/>
      <c r="Y59" s="1990"/>
      <c r="Z59" s="1134"/>
      <c r="AA59" s="2504" t="s">
        <v>2781</v>
      </c>
      <c r="AB59" s="2505" t="s">
        <v>2782</v>
      </c>
      <c r="AC59" s="2504" t="s">
        <v>3013</v>
      </c>
      <c r="AD59" s="2504"/>
      <c r="AE59" s="2504"/>
      <c r="AF59" s="2504"/>
      <c r="AG59" s="1940"/>
      <c r="AH59" s="1942"/>
    </row>
    <row r="60" spans="1:35" s="238" customFormat="1" ht="13.8" hidden="1" x14ac:dyDescent="0.2">
      <c r="A60" s="238" t="s">
        <v>3219</v>
      </c>
      <c r="C60" s="1558"/>
      <c r="D60" s="1428" t="s">
        <v>2626</v>
      </c>
      <c r="E60" s="1480" t="s">
        <v>3296</v>
      </c>
      <c r="F60" s="1430" t="s">
        <v>279</v>
      </c>
      <c r="G60" s="1902"/>
      <c r="H60" s="1480" t="s">
        <v>3146</v>
      </c>
      <c r="I60" s="1430" t="s">
        <v>3295</v>
      </c>
      <c r="J60" s="1430" t="s">
        <v>2954</v>
      </c>
      <c r="K60" s="1978" t="s">
        <v>78</v>
      </c>
      <c r="L60" s="1506"/>
      <c r="M60" s="1994"/>
      <c r="N60" s="1559" t="s">
        <v>2636</v>
      </c>
      <c r="P60" s="1462"/>
      <c r="Q60" s="1462"/>
      <c r="R60" s="1462"/>
      <c r="S60" s="1462"/>
      <c r="T60" s="1462"/>
      <c r="U60" s="1462"/>
      <c r="V60" s="1468"/>
      <c r="W60" s="1406">
        <f>+AE60*1.55*C60</f>
        <v>0</v>
      </c>
      <c r="X60" s="1562">
        <f>+ROUNDUP(W60,0)</f>
        <v>0</v>
      </c>
      <c r="Y60" s="3792">
        <f>+X60+X61</f>
        <v>0</v>
      </c>
      <c r="Z60" s="74" t="s">
        <v>321</v>
      </c>
      <c r="AA60" s="3164">
        <v>525</v>
      </c>
      <c r="AB60" s="2509">
        <v>50</v>
      </c>
      <c r="AC60" s="2463">
        <f t="shared" ref="AC60:AC61" si="24">+AB60+AA60</f>
        <v>575</v>
      </c>
      <c r="AD60" s="2497"/>
      <c r="AE60" s="2465">
        <f>+AC60+AD60</f>
        <v>575</v>
      </c>
      <c r="AF60" s="2498">
        <f>+AE60*C60</f>
        <v>0</v>
      </c>
      <c r="AG60" s="1189">
        <f>+X60-AF60</f>
        <v>0</v>
      </c>
      <c r="AH60" s="1353" t="e">
        <f>+AG60/X60</f>
        <v>#DIV/0!</v>
      </c>
      <c r="AI60" s="1023"/>
    </row>
    <row r="61" spans="1:35" s="1287" customFormat="1" ht="14.4" hidden="1" thickBot="1" x14ac:dyDescent="0.25">
      <c r="A61" s="1287" t="s">
        <v>3219</v>
      </c>
      <c r="C61" s="1563"/>
      <c r="D61" s="1564" t="s">
        <v>3206</v>
      </c>
      <c r="E61" s="1976">
        <v>3080</v>
      </c>
      <c r="F61" s="2269" t="s">
        <v>2820</v>
      </c>
      <c r="G61" s="1625"/>
      <c r="H61" s="1516" t="s">
        <v>3218</v>
      </c>
      <c r="I61" s="1625" t="s">
        <v>349</v>
      </c>
      <c r="J61" s="2014" t="s">
        <v>2805</v>
      </c>
      <c r="K61" s="2013" t="s">
        <v>1505</v>
      </c>
      <c r="L61" s="1547"/>
      <c r="M61" s="1993"/>
      <c r="N61" s="1565" t="s">
        <v>2636</v>
      </c>
      <c r="O61" s="1560"/>
      <c r="P61" s="1463"/>
      <c r="Q61" s="1463"/>
      <c r="R61" s="1463"/>
      <c r="S61" s="1462"/>
      <c r="T61" s="1462"/>
      <c r="U61" s="1462"/>
      <c r="V61" s="1468"/>
      <c r="W61" s="1406">
        <f>+AE61*1.55*C61</f>
        <v>0</v>
      </c>
      <c r="X61" s="1566">
        <f>+ROUNDUP(W61,0)</f>
        <v>0</v>
      </c>
      <c r="Y61" s="3793"/>
      <c r="Z61" s="193" t="s">
        <v>321</v>
      </c>
      <c r="AA61" s="3165">
        <v>108</v>
      </c>
      <c r="AB61" s="2510">
        <v>50</v>
      </c>
      <c r="AC61" s="2463">
        <f t="shared" si="24"/>
        <v>158</v>
      </c>
      <c r="AD61" s="2511"/>
      <c r="AE61" s="2465">
        <f>+AC61+AD61</f>
        <v>158</v>
      </c>
      <c r="AF61" s="2498">
        <f>+AE61*C61</f>
        <v>0</v>
      </c>
      <c r="AG61" s="1189">
        <f>+X61-AF61</f>
        <v>0</v>
      </c>
      <c r="AH61" s="1977" t="e">
        <f>+AG61/X61</f>
        <v>#DIV/0!</v>
      </c>
      <c r="AI61" s="1121"/>
    </row>
    <row r="62" spans="1:35" s="1675" customFormat="1" ht="17.399999999999999" customHeight="1" thickBot="1" x14ac:dyDescent="0.25">
      <c r="B62" s="1673"/>
      <c r="C62" s="1489"/>
      <c r="D62" s="2162" t="s">
        <v>3188</v>
      </c>
      <c r="E62" s="1491"/>
      <c r="F62" s="2196" t="s">
        <v>3161</v>
      </c>
      <c r="G62" s="2061" t="s">
        <v>3072</v>
      </c>
      <c r="H62" s="2125" t="s">
        <v>3186</v>
      </c>
      <c r="I62" s="2125" t="s">
        <v>2987</v>
      </c>
      <c r="J62" s="2125" t="s">
        <v>3242</v>
      </c>
      <c r="K62" s="2135" t="s">
        <v>1323</v>
      </c>
      <c r="L62" s="1685" t="s">
        <v>3193</v>
      </c>
      <c r="M62" s="1685"/>
      <c r="N62" s="1674" t="s">
        <v>2409</v>
      </c>
      <c r="O62" s="1677" t="s">
        <v>2980</v>
      </c>
      <c r="P62" s="1499"/>
      <c r="Q62" s="1499"/>
      <c r="R62" s="1499"/>
      <c r="S62" s="1499"/>
      <c r="T62" s="1499"/>
      <c r="U62" s="1499"/>
      <c r="V62" s="1493"/>
      <c r="W62" s="1493"/>
      <c r="X62" s="1615"/>
      <c r="Y62" s="1680"/>
      <c r="Z62" s="1662"/>
      <c r="AA62" s="2485"/>
      <c r="AB62" s="2486"/>
      <c r="AC62" s="2487"/>
      <c r="AD62" s="2485"/>
      <c r="AE62" s="2485"/>
      <c r="AF62" s="2485"/>
      <c r="AG62" s="2485"/>
      <c r="AH62" s="1693" t="s">
        <v>39</v>
      </c>
      <c r="AI62" s="1683"/>
    </row>
    <row r="63" spans="1:35" s="1071" customFormat="1" ht="14.4" thickBot="1" x14ac:dyDescent="0.25">
      <c r="A63" s="2175" t="s">
        <v>3246</v>
      </c>
      <c r="C63" s="1697">
        <v>1</v>
      </c>
      <c r="D63" s="1928" t="s">
        <v>2626</v>
      </c>
      <c r="E63" s="2066" t="s">
        <v>3739</v>
      </c>
      <c r="F63" s="2066" t="s">
        <v>279</v>
      </c>
      <c r="G63" s="2066"/>
      <c r="H63" s="2193" t="s">
        <v>3249</v>
      </c>
      <c r="I63" s="2066" t="s">
        <v>3247</v>
      </c>
      <c r="J63" s="2193" t="s">
        <v>2953</v>
      </c>
      <c r="K63" s="1920" t="s">
        <v>3254</v>
      </c>
      <c r="L63" s="2066" t="s">
        <v>3254</v>
      </c>
      <c r="M63" s="2066"/>
      <c r="N63" s="2066" t="s">
        <v>328</v>
      </c>
      <c r="O63" s="2066" t="s">
        <v>1204</v>
      </c>
      <c r="P63" s="1506"/>
      <c r="Q63" s="1506"/>
      <c r="R63" s="1506"/>
      <c r="S63" s="1506"/>
      <c r="T63" s="1506"/>
      <c r="U63" s="1506">
        <v>702</v>
      </c>
      <c r="V63" s="1620"/>
      <c r="W63" s="3726">
        <f>+AD63*1.5*C63</f>
        <v>899.58</v>
      </c>
      <c r="X63" s="2177">
        <f t="shared" si="8"/>
        <v>900</v>
      </c>
      <c r="Y63" s="3859">
        <f>+X63+X64</f>
        <v>1208</v>
      </c>
      <c r="Z63" s="74" t="s">
        <v>3475</v>
      </c>
      <c r="AA63" s="3166">
        <v>1363</v>
      </c>
      <c r="AB63" s="2513"/>
      <c r="AC63" s="2517">
        <f>+AA63</f>
        <v>1363</v>
      </c>
      <c r="AD63" s="2501">
        <f>+AC63*0.44</f>
        <v>599.72</v>
      </c>
      <c r="AE63" s="2518">
        <f>+AD63*C63</f>
        <v>599.72</v>
      </c>
      <c r="AF63" s="2515"/>
      <c r="AG63" s="1193">
        <f>+W63-AD63</f>
        <v>299.86</v>
      </c>
      <c r="AH63" s="1353">
        <f>+AG63/W63</f>
        <v>0.33333333333333331</v>
      </c>
      <c r="AI63" s="1330"/>
    </row>
    <row r="64" spans="1:35" s="1695" customFormat="1" ht="14.4" thickBot="1" x14ac:dyDescent="0.25">
      <c r="A64" s="2183" t="s">
        <v>3246</v>
      </c>
      <c r="C64" s="2145">
        <v>1</v>
      </c>
      <c r="D64" s="1944" t="s">
        <v>2423</v>
      </c>
      <c r="E64" s="2072">
        <v>3070</v>
      </c>
      <c r="F64" s="2072" t="s">
        <v>3481</v>
      </c>
      <c r="G64" s="2072"/>
      <c r="H64" s="2194" t="s">
        <v>3249</v>
      </c>
      <c r="I64" s="2072" t="s">
        <v>349</v>
      </c>
      <c r="J64" s="3401" t="s">
        <v>2953</v>
      </c>
      <c r="K64" s="2195"/>
      <c r="L64" s="2072"/>
      <c r="M64" s="2072"/>
      <c r="N64" s="2072" t="s">
        <v>328</v>
      </c>
      <c r="O64" s="2072" t="s">
        <v>2510</v>
      </c>
      <c r="P64" s="1547"/>
      <c r="Q64" s="1547"/>
      <c r="R64" s="1547"/>
      <c r="S64" s="1554"/>
      <c r="T64" s="1554"/>
      <c r="U64" s="1554">
        <v>291</v>
      </c>
      <c r="V64" s="1627"/>
      <c r="W64" s="3726">
        <f>+AD64*1.5*C64</f>
        <v>307.02</v>
      </c>
      <c r="X64" s="2177">
        <f t="shared" si="8"/>
        <v>308</v>
      </c>
      <c r="Y64" s="3860"/>
      <c r="Z64" s="193" t="s">
        <v>3476</v>
      </c>
      <c r="AA64" s="3167">
        <v>476</v>
      </c>
      <c r="AB64" s="2516"/>
      <c r="AC64" s="2517">
        <f>+AA64</f>
        <v>476</v>
      </c>
      <c r="AD64" s="2501">
        <f>+AC64*0.43</f>
        <v>204.68</v>
      </c>
      <c r="AE64" s="2518">
        <f>+AD64*C64</f>
        <v>204.68</v>
      </c>
      <c r="AF64" s="2519"/>
      <c r="AG64" s="1218">
        <f>+W64-AD64</f>
        <v>102.33999999999997</v>
      </c>
      <c r="AH64" s="1977">
        <f>+AG64/W64</f>
        <v>0.33333333333333326</v>
      </c>
      <c r="AI64" s="1696"/>
    </row>
    <row r="65" spans="1:35" s="1122" customFormat="1" ht="18.600000000000001" customHeight="1" thickBot="1" x14ac:dyDescent="0.25">
      <c r="B65" s="1364"/>
      <c r="C65" s="2189"/>
      <c r="D65" s="2162" t="s">
        <v>3187</v>
      </c>
      <c r="E65" s="2190"/>
      <c r="F65" s="1530" t="s">
        <v>3161</v>
      </c>
      <c r="G65" s="2061" t="s">
        <v>3072</v>
      </c>
      <c r="H65" s="1937" t="s">
        <v>3186</v>
      </c>
      <c r="I65" s="1937" t="s">
        <v>2987</v>
      </c>
      <c r="J65" s="2125" t="s">
        <v>3242</v>
      </c>
      <c r="K65" s="2135" t="s">
        <v>1323</v>
      </c>
      <c r="L65" s="1938" t="s">
        <v>3193</v>
      </c>
      <c r="M65" s="1938"/>
      <c r="N65" s="2137" t="s">
        <v>2409</v>
      </c>
      <c r="O65" s="1534"/>
      <c r="P65" s="1534"/>
      <c r="Q65" s="1534"/>
      <c r="R65" s="1534"/>
      <c r="S65" s="1534"/>
      <c r="T65" s="1534"/>
      <c r="U65" s="1534"/>
      <c r="V65" s="1534"/>
      <c r="W65" s="1534"/>
      <c r="X65" s="2182"/>
      <c r="Y65" s="3359"/>
      <c r="Z65" s="2191"/>
      <c r="AA65" s="3168"/>
      <c r="AB65" s="2520"/>
      <c r="AC65" s="2521"/>
      <c r="AD65" s="2522"/>
      <c r="AE65" s="2523"/>
      <c r="AF65" s="2524"/>
      <c r="AG65" s="2192"/>
      <c r="AH65" s="1108"/>
      <c r="AI65" s="1109"/>
    </row>
    <row r="66" spans="1:35" s="1071" customFormat="1" ht="12.6" x14ac:dyDescent="0.2">
      <c r="A66" s="1359" t="s">
        <v>3246</v>
      </c>
      <c r="C66" s="2146">
        <v>1</v>
      </c>
      <c r="D66" s="1929" t="s">
        <v>310</v>
      </c>
      <c r="E66" s="2176" t="s">
        <v>3740</v>
      </c>
      <c r="F66" s="2066" t="s">
        <v>279</v>
      </c>
      <c r="G66" s="1930"/>
      <c r="H66" s="2066" t="s">
        <v>3581</v>
      </c>
      <c r="I66" s="2066" t="s">
        <v>3247</v>
      </c>
      <c r="J66" s="2193" t="s">
        <v>2953</v>
      </c>
      <c r="K66" s="1920" t="s">
        <v>3254</v>
      </c>
      <c r="L66" s="2066" t="s">
        <v>3582</v>
      </c>
      <c r="M66" s="1920"/>
      <c r="N66" s="1920" t="s">
        <v>485</v>
      </c>
      <c r="O66" s="1929" t="s">
        <v>485</v>
      </c>
      <c r="P66" s="1930"/>
      <c r="Q66" s="1930"/>
      <c r="R66" s="1930"/>
      <c r="S66" s="1929"/>
      <c r="T66" s="1929">
        <f>351+22+15</f>
        <v>388</v>
      </c>
      <c r="U66" s="1071">
        <f>+T66*1.61</f>
        <v>624.68000000000006</v>
      </c>
      <c r="V66" s="2081">
        <f>+U66*1.65</f>
        <v>1030.722</v>
      </c>
      <c r="W66" s="3588">
        <f>+AE66*1.5</f>
        <v>950.40000000000009</v>
      </c>
      <c r="X66" s="2177">
        <f t="shared" si="8"/>
        <v>951</v>
      </c>
      <c r="Y66" s="3847">
        <f>+X66+X67+X68</f>
        <v>2389</v>
      </c>
      <c r="Z66" s="74" t="s">
        <v>3475</v>
      </c>
      <c r="AA66" s="3169">
        <v>1440</v>
      </c>
      <c r="AB66" s="2525"/>
      <c r="AC66" s="2463">
        <f>+AA66*0.44</f>
        <v>633.6</v>
      </c>
      <c r="AD66" s="2464">
        <f>+AC66</f>
        <v>633.6</v>
      </c>
      <c r="AE66" s="2526">
        <f>+AD66*C66</f>
        <v>633.6</v>
      </c>
      <c r="AF66" s="2498"/>
      <c r="AG66" s="1189">
        <f>+X66-AE66</f>
        <v>317.39999999999998</v>
      </c>
      <c r="AH66" s="1217">
        <f>+AG66/X66</f>
        <v>0.33375394321766561</v>
      </c>
      <c r="AI66" s="1330"/>
    </row>
    <row r="67" spans="1:35" s="1071" customFormat="1" ht="13.2" thickBot="1" x14ac:dyDescent="0.25">
      <c r="A67" s="1359" t="s">
        <v>3246</v>
      </c>
      <c r="C67" s="2181">
        <v>1</v>
      </c>
      <c r="D67" s="1699" t="s">
        <v>25</v>
      </c>
      <c r="E67" s="2065" t="s">
        <v>3741</v>
      </c>
      <c r="F67" s="2065" t="s">
        <v>279</v>
      </c>
      <c r="G67" s="1911"/>
      <c r="H67" s="2066" t="s">
        <v>3250</v>
      </c>
      <c r="I67" s="2066" t="s">
        <v>3248</v>
      </c>
      <c r="J67" s="2193" t="s">
        <v>2953</v>
      </c>
      <c r="K67" s="1920" t="s">
        <v>3254</v>
      </c>
      <c r="L67" s="2066"/>
      <c r="M67" s="1920"/>
      <c r="N67" s="1699" t="s">
        <v>3257</v>
      </c>
      <c r="O67" s="1699"/>
      <c r="P67" s="1911"/>
      <c r="Q67" s="1911"/>
      <c r="R67" s="1911"/>
      <c r="S67" s="1699"/>
      <c r="T67" s="1699"/>
      <c r="U67" s="1699"/>
      <c r="V67" s="1701"/>
      <c r="W67" s="1477">
        <f>+AE67*1.5</f>
        <v>982.08</v>
      </c>
      <c r="X67" s="2177">
        <f t="shared" si="8"/>
        <v>983</v>
      </c>
      <c r="Y67" s="3848"/>
      <c r="Z67" s="74" t="s">
        <v>3475</v>
      </c>
      <c r="AA67" s="3170">
        <v>1488</v>
      </c>
      <c r="AB67" s="2527"/>
      <c r="AC67" s="2463">
        <f>+AA67*0.44</f>
        <v>654.72</v>
      </c>
      <c r="AD67" s="2464">
        <f t="shared" ref="AD67:AD68" si="25">+AC67</f>
        <v>654.72</v>
      </c>
      <c r="AE67" s="2526">
        <f>+AD67*C67</f>
        <v>654.72</v>
      </c>
      <c r="AF67" s="2466"/>
      <c r="AG67" s="1189">
        <f>+X67-AE67</f>
        <v>328.28</v>
      </c>
      <c r="AH67" s="1217">
        <f>+AG67/X67</f>
        <v>0.33395727365208544</v>
      </c>
      <c r="AI67" s="240"/>
    </row>
    <row r="68" spans="1:35" s="1335" customFormat="1" ht="12.6" x14ac:dyDescent="0.2">
      <c r="A68" s="1360" t="s">
        <v>3246</v>
      </c>
      <c r="C68" s="2146">
        <v>1</v>
      </c>
      <c r="D68" s="1699" t="s">
        <v>2565</v>
      </c>
      <c r="E68" s="2065" t="s">
        <v>3742</v>
      </c>
      <c r="F68" s="2283" t="s">
        <v>3481</v>
      </c>
      <c r="G68" s="1907"/>
      <c r="H68" s="2169" t="s">
        <v>3025</v>
      </c>
      <c r="I68" s="2066" t="s">
        <v>349</v>
      </c>
      <c r="J68" s="2284" t="s">
        <v>2953</v>
      </c>
      <c r="K68" s="3474"/>
      <c r="L68" s="1911"/>
      <c r="M68" s="1911"/>
      <c r="N68" s="1907" t="s">
        <v>2835</v>
      </c>
      <c r="O68" s="1699"/>
      <c r="P68" s="2178"/>
      <c r="Q68" s="930"/>
      <c r="R68" s="930"/>
      <c r="S68" s="2179"/>
      <c r="T68" s="2179"/>
      <c r="U68" s="2179"/>
      <c r="V68" s="2180"/>
      <c r="W68" s="3588">
        <f>+AE68*1.5</f>
        <v>454.07999999999993</v>
      </c>
      <c r="X68" s="2272">
        <f t="shared" si="8"/>
        <v>455</v>
      </c>
      <c r="Y68" s="3849"/>
      <c r="Z68" s="197" t="s">
        <v>3476</v>
      </c>
      <c r="AA68" s="3169">
        <v>704</v>
      </c>
      <c r="AB68" s="2528"/>
      <c r="AC68" s="2475">
        <f>+AA68*0.43</f>
        <v>302.71999999999997</v>
      </c>
      <c r="AD68" s="2464">
        <f t="shared" si="25"/>
        <v>302.71999999999997</v>
      </c>
      <c r="AE68" s="2529">
        <f>+AD68*C68</f>
        <v>302.71999999999997</v>
      </c>
      <c r="AF68" s="2466"/>
      <c r="AG68" s="1189">
        <f>+X68-AE68</f>
        <v>152.28000000000003</v>
      </c>
      <c r="AH68" s="1217">
        <f>+AG68/X68</f>
        <v>0.33468131868131873</v>
      </c>
      <c r="AI68" s="1336"/>
    </row>
    <row r="69" spans="1:35" s="2126" customFormat="1" ht="20.399999999999999" hidden="1" customHeight="1" thickBot="1" x14ac:dyDescent="0.25">
      <c r="C69" s="2127"/>
      <c r="D69" s="2123" t="s">
        <v>3187</v>
      </c>
      <c r="E69" s="2123"/>
      <c r="F69" s="2128" t="s">
        <v>3161</v>
      </c>
      <c r="G69" s="3477" t="s">
        <v>3072</v>
      </c>
      <c r="H69" s="2848" t="s">
        <v>3186</v>
      </c>
      <c r="I69" s="3478" t="s">
        <v>2987</v>
      </c>
      <c r="J69" s="2848" t="s">
        <v>3242</v>
      </c>
      <c r="K69" s="2848" t="s">
        <v>1323</v>
      </c>
      <c r="L69" s="1448"/>
      <c r="M69" s="1448"/>
      <c r="N69" s="2123"/>
      <c r="O69" s="1426"/>
      <c r="P69" s="1424"/>
      <c r="Q69" s="1425"/>
      <c r="R69" s="1425"/>
      <c r="S69" s="1424"/>
      <c r="T69" s="1424"/>
      <c r="U69" s="1424"/>
      <c r="V69" s="1424"/>
      <c r="W69" s="2062"/>
      <c r="X69" s="3475" t="s">
        <v>3646</v>
      </c>
      <c r="Y69" s="3476" t="s">
        <v>3645</v>
      </c>
      <c r="Z69" s="2131"/>
      <c r="AA69" s="2459" t="s">
        <v>2781</v>
      </c>
      <c r="AB69" s="2460" t="s">
        <v>2782</v>
      </c>
      <c r="AC69" s="2459" t="s">
        <v>3649</v>
      </c>
      <c r="AD69" s="2459"/>
      <c r="AE69" s="2459"/>
      <c r="AF69" s="2461"/>
      <c r="AG69" s="2132"/>
      <c r="AH69" s="2133"/>
    </row>
    <row r="70" spans="1:35" s="1004" customFormat="1" ht="13.2" hidden="1" thickBot="1" x14ac:dyDescent="0.25">
      <c r="A70" s="1357" t="s">
        <v>3246</v>
      </c>
      <c r="C70" s="1927"/>
      <c r="D70" s="1928" t="s">
        <v>310</v>
      </c>
      <c r="E70" s="1930" t="s">
        <v>3652</v>
      </c>
      <c r="F70" s="1920" t="s">
        <v>279</v>
      </c>
      <c r="G70" s="2079"/>
      <c r="H70" s="1930" t="s">
        <v>3650</v>
      </c>
      <c r="I70" s="2067" t="s">
        <v>2331</v>
      </c>
      <c r="J70" s="1920" t="s">
        <v>3644</v>
      </c>
      <c r="K70" s="1920" t="s">
        <v>3010</v>
      </c>
      <c r="L70" s="1920"/>
      <c r="M70" s="1920"/>
      <c r="N70" s="1929" t="s">
        <v>1204</v>
      </c>
      <c r="O70" s="1929"/>
      <c r="P70" s="1930"/>
      <c r="Q70" s="2091"/>
      <c r="R70" s="2091"/>
      <c r="S70" s="2080"/>
      <c r="T70" s="1929"/>
      <c r="U70" s="1929"/>
      <c r="V70" s="2081"/>
      <c r="W70" s="2082">
        <f>+AD70*1.7*C70</f>
        <v>0</v>
      </c>
      <c r="X70" s="3473">
        <f>+ROUNDUP(W70,0)</f>
        <v>0</v>
      </c>
      <c r="Y70" s="3793">
        <f>+X70+X71+X72</f>
        <v>0</v>
      </c>
      <c r="Z70" s="1007" t="s">
        <v>321</v>
      </c>
      <c r="AA70" s="3154">
        <v>430</v>
      </c>
      <c r="AB70" s="2462">
        <f>12+25+25</f>
        <v>62</v>
      </c>
      <c r="AC70" s="2496">
        <f>+AA70+AB70</f>
        <v>492</v>
      </c>
      <c r="AD70" s="2497">
        <f>+AC70*1.61</f>
        <v>792.12</v>
      </c>
      <c r="AE70" s="2465">
        <f>+AD70*C70</f>
        <v>0</v>
      </c>
      <c r="AF70" s="2530" t="s">
        <v>3651</v>
      </c>
      <c r="AG70" s="1189">
        <f>+W70-AE70</f>
        <v>0</v>
      </c>
      <c r="AH70" s="1056" t="e">
        <f>+AG70/W70</f>
        <v>#DIV/0!</v>
      </c>
    </row>
    <row r="71" spans="1:35" s="1071" customFormat="1" ht="13.2" hidden="1" thickBot="1" x14ac:dyDescent="0.25">
      <c r="A71" s="1357" t="s">
        <v>3246</v>
      </c>
      <c r="C71" s="2083"/>
      <c r="D71" s="1928" t="s">
        <v>310</v>
      </c>
      <c r="E71" s="1930" t="s">
        <v>3653</v>
      </c>
      <c r="F71" s="1920" t="s">
        <v>279</v>
      </c>
      <c r="G71" s="2079"/>
      <c r="H71" s="1912" t="s">
        <v>3647</v>
      </c>
      <c r="I71" s="2067" t="s">
        <v>2331</v>
      </c>
      <c r="J71" s="1920" t="s">
        <v>3644</v>
      </c>
      <c r="K71" s="2084" t="s">
        <v>3278</v>
      </c>
      <c r="L71" s="1907" t="s">
        <v>279</v>
      </c>
      <c r="M71" s="1907"/>
      <c r="N71" s="1699" t="str">
        <f>+N136</f>
        <v>4.5" HWHG</v>
      </c>
      <c r="O71" s="1699"/>
      <c r="P71" s="1911"/>
      <c r="Q71" s="2085"/>
      <c r="R71" s="2085"/>
      <c r="S71" s="2086"/>
      <c r="T71" s="1699"/>
      <c r="U71" s="1699"/>
      <c r="V71" s="1701"/>
      <c r="W71" s="2082">
        <f>+AD71*1.7*C71</f>
        <v>0</v>
      </c>
      <c r="X71" s="2092">
        <f>+ROUNDUP(W71,0)</f>
        <v>0</v>
      </c>
      <c r="Y71" s="3857"/>
      <c r="Z71" s="999" t="s">
        <v>321</v>
      </c>
      <c r="AA71" s="3162">
        <v>430</v>
      </c>
      <c r="AB71" s="2462">
        <f>12+32</f>
        <v>44</v>
      </c>
      <c r="AC71" s="2496">
        <f t="shared" ref="AC71:AC72" si="26">+AA71+AB71</f>
        <v>474</v>
      </c>
      <c r="AD71" s="2497">
        <f t="shared" ref="AD71:AD72" si="27">+AC71*1.61</f>
        <v>763.1400000000001</v>
      </c>
      <c r="AE71" s="2465">
        <f>+AD71*C71</f>
        <v>0</v>
      </c>
      <c r="AF71" s="2531"/>
      <c r="AG71" s="1189">
        <f>+W71-AE71</f>
        <v>0</v>
      </c>
      <c r="AH71" s="1056" t="e">
        <f>+AG71/W71</f>
        <v>#DIV/0!</v>
      </c>
    </row>
    <row r="72" spans="1:35" s="1003" customFormat="1" ht="14.4" hidden="1" thickBot="1" x14ac:dyDescent="0.25">
      <c r="A72" s="1357" t="s">
        <v>3246</v>
      </c>
      <c r="C72" s="2341"/>
      <c r="D72" s="2287" t="s">
        <v>2566</v>
      </c>
      <c r="E72" s="2342" t="s">
        <v>3654</v>
      </c>
      <c r="F72" s="2343" t="s">
        <v>2997</v>
      </c>
      <c r="G72" s="2186"/>
      <c r="H72" s="2344" t="s">
        <v>3218</v>
      </c>
      <c r="I72" s="2345" t="s">
        <v>349</v>
      </c>
      <c r="J72" s="1920" t="s">
        <v>3644</v>
      </c>
      <c r="K72" s="2346"/>
      <c r="L72" s="1949"/>
      <c r="M72" s="1949"/>
      <c r="N72" s="1945"/>
      <c r="O72" s="1945"/>
      <c r="P72" s="1949"/>
      <c r="Q72" s="2187"/>
      <c r="R72" s="2187"/>
      <c r="S72" s="2087"/>
      <c r="T72" s="1945"/>
      <c r="U72" s="1945"/>
      <c r="V72" s="2088"/>
      <c r="W72" s="2188">
        <f>+AD72*1.7*C72</f>
        <v>0</v>
      </c>
      <c r="X72" s="2347">
        <f>+ROUNDUP(W72,0)</f>
        <v>0</v>
      </c>
      <c r="Y72" s="3792"/>
      <c r="Z72" s="1008" t="s">
        <v>321</v>
      </c>
      <c r="AA72" s="3171">
        <v>149</v>
      </c>
      <c r="AB72" s="2532">
        <f>26+7</f>
        <v>33</v>
      </c>
      <c r="AC72" s="2496">
        <f t="shared" si="26"/>
        <v>182</v>
      </c>
      <c r="AD72" s="2497">
        <f t="shared" si="27"/>
        <v>293.02000000000004</v>
      </c>
      <c r="AE72" s="2533">
        <f>+AD72*C72</f>
        <v>0</v>
      </c>
      <c r="AF72" s="2534"/>
      <c r="AG72" s="1671">
        <f>+W72-AE72</f>
        <v>0</v>
      </c>
      <c r="AH72" s="2348" t="e">
        <f>+AG72/W72</f>
        <v>#DIV/0!</v>
      </c>
    </row>
    <row r="73" spans="1:35" s="2340" customFormat="1" ht="17.399999999999999" hidden="1" customHeight="1" thickBot="1" x14ac:dyDescent="0.25">
      <c r="B73" s="2349"/>
      <c r="C73" s="2350"/>
      <c r="D73" s="2334" t="s">
        <v>3188</v>
      </c>
      <c r="E73" s="2351"/>
      <c r="F73" s="3479" t="s">
        <v>3161</v>
      </c>
      <c r="G73" s="3480" t="s">
        <v>3072</v>
      </c>
      <c r="H73" s="3479" t="s">
        <v>3186</v>
      </c>
      <c r="I73" s="3479" t="s">
        <v>2987</v>
      </c>
      <c r="J73" s="3479" t="s">
        <v>3242</v>
      </c>
      <c r="K73" s="3479" t="s">
        <v>1323</v>
      </c>
      <c r="L73" s="3481" t="s">
        <v>3193</v>
      </c>
      <c r="M73" s="3481"/>
      <c r="N73" s="3481" t="s">
        <v>2409</v>
      </c>
      <c r="O73" s="3482" t="s">
        <v>2980</v>
      </c>
      <c r="P73" s="3483"/>
      <c r="Q73" s="3483"/>
      <c r="R73" s="3483"/>
      <c r="S73" s="3483"/>
      <c r="T73" s="3483"/>
      <c r="U73" s="3483"/>
      <c r="V73" s="3484"/>
      <c r="W73" s="3485"/>
      <c r="X73" s="3475" t="s">
        <v>3646</v>
      </c>
      <c r="Y73" s="3476" t="s">
        <v>3645</v>
      </c>
      <c r="Z73" s="2353"/>
      <c r="AA73" s="2535"/>
      <c r="AB73" s="2536"/>
      <c r="AC73" s="2537"/>
      <c r="AD73" s="2535"/>
      <c r="AE73" s="2538">
        <f>+AC73</f>
        <v>0</v>
      </c>
      <c r="AF73" s="2539"/>
      <c r="AG73" s="2354"/>
      <c r="AH73" s="2355"/>
      <c r="AI73" s="2356"/>
    </row>
    <row r="74" spans="1:35" s="1071" customFormat="1" ht="13.8" hidden="1" x14ac:dyDescent="0.2">
      <c r="A74" s="2175" t="s">
        <v>3303</v>
      </c>
      <c r="C74" s="2146"/>
      <c r="D74" s="1928" t="s">
        <v>2626</v>
      </c>
      <c r="E74" s="1930" t="s">
        <v>3643</v>
      </c>
      <c r="F74" s="1920" t="s">
        <v>279</v>
      </c>
      <c r="G74" s="2066"/>
      <c r="H74" s="1929" t="s">
        <v>3541</v>
      </c>
      <c r="I74" s="2066" t="s">
        <v>3542</v>
      </c>
      <c r="J74" s="1920" t="s">
        <v>3644</v>
      </c>
      <c r="K74" s="3143" t="s">
        <v>3251</v>
      </c>
      <c r="L74" s="2066"/>
      <c r="M74" s="2066"/>
      <c r="N74" s="2066" t="s">
        <v>328</v>
      </c>
      <c r="O74" s="2066"/>
      <c r="P74" s="1506"/>
      <c r="Q74" s="1506"/>
      <c r="R74" s="1506"/>
      <c r="S74" s="1506"/>
      <c r="T74" s="1506"/>
      <c r="U74" s="1506"/>
      <c r="V74" s="1620"/>
      <c r="W74" s="1621">
        <f>+AD74*1.7*C74</f>
        <v>0</v>
      </c>
      <c r="X74" s="2177">
        <f>+ROUNDUP(W74,0)</f>
        <v>0</v>
      </c>
      <c r="Y74" s="3861">
        <f>+X74+X75</f>
        <v>0</v>
      </c>
      <c r="Z74" s="999" t="s">
        <v>321</v>
      </c>
      <c r="AA74" s="3166">
        <v>339</v>
      </c>
      <c r="AB74" s="2513">
        <f>12+12</f>
        <v>24</v>
      </c>
      <c r="AC74" s="2496">
        <f>+AA74+AB74</f>
        <v>363</v>
      </c>
      <c r="AD74" s="3139">
        <f>+AC74*1.61</f>
        <v>584.43000000000006</v>
      </c>
      <c r="AE74" s="2533">
        <f t="shared" ref="AE74:AE75" si="28">+AD74*C74</f>
        <v>0</v>
      </c>
      <c r="AF74" s="2515" t="s">
        <v>3545</v>
      </c>
      <c r="AG74" s="1189">
        <f>+X74-(AE74*C74)</f>
        <v>0</v>
      </c>
      <c r="AH74" s="1353" t="e">
        <f>+AG74/W74</f>
        <v>#DIV/0!</v>
      </c>
      <c r="AI74" s="1330"/>
    </row>
    <row r="75" spans="1:35" s="1071" customFormat="1" ht="13.8" hidden="1" x14ac:dyDescent="0.2">
      <c r="A75" s="2175" t="s">
        <v>3303</v>
      </c>
      <c r="C75" s="3511"/>
      <c r="D75" s="2287" t="s">
        <v>2423</v>
      </c>
      <c r="E75" s="3512" t="s">
        <v>3642</v>
      </c>
      <c r="F75" s="2343" t="s">
        <v>3648</v>
      </c>
      <c r="G75" s="2065"/>
      <c r="H75" s="3513" t="s">
        <v>3541</v>
      </c>
      <c r="I75" s="2065" t="s">
        <v>3543</v>
      </c>
      <c r="J75" s="1910" t="s">
        <v>3644</v>
      </c>
      <c r="K75" s="2955" t="s">
        <v>3544</v>
      </c>
      <c r="L75" s="2065" t="s">
        <v>3314</v>
      </c>
      <c r="M75" s="2065"/>
      <c r="N75" s="2065" t="s">
        <v>328</v>
      </c>
      <c r="O75" s="2065"/>
      <c r="P75" s="1463"/>
      <c r="Q75" s="1463"/>
      <c r="R75" s="1463"/>
      <c r="S75" s="1462"/>
      <c r="T75" s="1462"/>
      <c r="U75" s="1462"/>
      <c r="V75" s="1468"/>
      <c r="W75" s="1621">
        <f>+AD75*1.7*C75</f>
        <v>0</v>
      </c>
      <c r="X75" s="2272">
        <f t="shared" ref="X75" si="29">+ROUNDUP(W75,0)</f>
        <v>0</v>
      </c>
      <c r="Y75" s="3862"/>
      <c r="Z75" s="1008" t="s">
        <v>321</v>
      </c>
      <c r="AA75" s="3172">
        <v>96</v>
      </c>
      <c r="AB75" s="2532">
        <f>26+7+7</f>
        <v>40</v>
      </c>
      <c r="AC75" s="3514">
        <f t="shared" ref="AC75" si="30">+AA75+AB75</f>
        <v>136</v>
      </c>
      <c r="AD75" s="3139">
        <f>+AC75*1.61</f>
        <v>218.96</v>
      </c>
      <c r="AE75" s="2533">
        <f t="shared" si="28"/>
        <v>0</v>
      </c>
      <c r="AF75" s="2543" t="s">
        <v>321</v>
      </c>
      <c r="AG75" s="1671">
        <f>+X75-(AE75*C75)</f>
        <v>0</v>
      </c>
      <c r="AH75" s="2288" t="e">
        <f>+AG75/W75</f>
        <v>#DIV/0!</v>
      </c>
      <c r="AI75" s="2289"/>
    </row>
    <row r="76" spans="1:35" s="3515" customFormat="1" ht="17.399999999999999" hidden="1" customHeight="1" thickBot="1" x14ac:dyDescent="0.25">
      <c r="B76" s="3516"/>
      <c r="C76" s="3517"/>
      <c r="D76" s="3392" t="s">
        <v>3696</v>
      </c>
      <c r="E76" s="3518"/>
      <c r="F76" s="3519" t="s">
        <v>3161</v>
      </c>
      <c r="G76" s="1937" t="s">
        <v>3072</v>
      </c>
      <c r="H76" s="3519" t="s">
        <v>3186</v>
      </c>
      <c r="I76" s="3470" t="s">
        <v>2987</v>
      </c>
      <c r="J76" s="3519" t="s">
        <v>3242</v>
      </c>
      <c r="K76" s="3519" t="s">
        <v>1323</v>
      </c>
      <c r="L76" s="3471" t="s">
        <v>3193</v>
      </c>
      <c r="M76" s="3471"/>
      <c r="N76" s="1937" t="s">
        <v>2409</v>
      </c>
      <c r="O76" s="2061" t="s">
        <v>2980</v>
      </c>
      <c r="P76" s="1534"/>
      <c r="Q76" s="1534"/>
      <c r="R76" s="1534"/>
      <c r="S76" s="1534"/>
      <c r="T76" s="1534"/>
      <c r="U76" s="1534"/>
      <c r="V76" s="1529"/>
      <c r="W76" s="3472"/>
      <c r="X76" s="3533" t="s">
        <v>3258</v>
      </c>
      <c r="Y76" s="3520"/>
      <c r="Z76" s="3521"/>
      <c r="AA76" s="3522" t="s">
        <v>3533</v>
      </c>
      <c r="AB76" s="3523" t="s">
        <v>3534</v>
      </c>
      <c r="AC76" s="3524"/>
      <c r="AD76" s="3525"/>
      <c r="AE76" s="3526">
        <f>+AC76</f>
        <v>0</v>
      </c>
      <c r="AF76" s="3527"/>
      <c r="AG76" s="3528"/>
      <c r="AH76" s="3529"/>
      <c r="AI76" s="3530"/>
    </row>
    <row r="77" spans="1:35" s="1071" customFormat="1" ht="13.8" hidden="1" x14ac:dyDescent="0.2">
      <c r="A77" s="2175" t="s">
        <v>3303</v>
      </c>
      <c r="B77" s="1071" t="s">
        <v>3609</v>
      </c>
      <c r="C77" s="2146"/>
      <c r="D77" s="3084" t="s">
        <v>2626</v>
      </c>
      <c r="E77" s="2066" t="s">
        <v>3691</v>
      </c>
      <c r="F77" s="2066" t="s">
        <v>279</v>
      </c>
      <c r="G77" s="2066"/>
      <c r="H77" s="2066" t="s">
        <v>2631</v>
      </c>
      <c r="I77" s="2066" t="s">
        <v>3304</v>
      </c>
      <c r="J77" s="1920" t="s">
        <v>2953</v>
      </c>
      <c r="K77" s="3143" t="s">
        <v>3251</v>
      </c>
      <c r="L77" s="2066" t="s">
        <v>3254</v>
      </c>
      <c r="M77" s="2066"/>
      <c r="N77" s="2066" t="s">
        <v>328</v>
      </c>
      <c r="O77" s="2066"/>
      <c r="P77" s="1506"/>
      <c r="Q77" s="1506"/>
      <c r="R77" s="1506"/>
      <c r="S77" s="1506"/>
      <c r="T77" s="1506"/>
      <c r="U77" s="1506"/>
      <c r="V77" s="1620"/>
      <c r="W77" s="1621">
        <f>+AD77*1.55*C77</f>
        <v>0</v>
      </c>
      <c r="X77" s="2177">
        <f t="shared" ref="X77:X80" si="31">+ROUNDUP(W77,0)</f>
        <v>0</v>
      </c>
      <c r="Y77" s="3863">
        <f>+X77+X78+X80</f>
        <v>0</v>
      </c>
      <c r="Z77" s="74" t="s">
        <v>3475</v>
      </c>
      <c r="AA77" s="3416">
        <v>1881</v>
      </c>
      <c r="AB77" s="2512"/>
      <c r="AC77" s="2514">
        <f>+AA77+AB77</f>
        <v>1881</v>
      </c>
      <c r="AD77" s="3139">
        <f>+AC77*0.44</f>
        <v>827.64</v>
      </c>
      <c r="AE77" s="2526">
        <f t="shared" ref="AE77" si="32">+AD77</f>
        <v>827.64</v>
      </c>
      <c r="AF77" s="2515"/>
      <c r="AG77" s="1189">
        <f>+W77-AE77</f>
        <v>-827.64</v>
      </c>
      <c r="AH77" s="1353" t="e">
        <f>+AG77/W77</f>
        <v>#DIV/0!</v>
      </c>
      <c r="AI77" s="1330"/>
    </row>
    <row r="78" spans="1:35" s="1071" customFormat="1" ht="12.6" hidden="1" x14ac:dyDescent="0.2">
      <c r="A78" s="1357" t="s">
        <v>3246</v>
      </c>
      <c r="C78" s="2083"/>
      <c r="D78" s="1928" t="s">
        <v>25</v>
      </c>
      <c r="E78" s="2066" t="s">
        <v>3695</v>
      </c>
      <c r="F78" s="2066" t="s">
        <v>279</v>
      </c>
      <c r="G78" s="2079"/>
      <c r="H78" s="2170" t="s">
        <v>3694</v>
      </c>
      <c r="I78" s="2067" t="s">
        <v>2331</v>
      </c>
      <c r="J78" s="1920" t="s">
        <v>3644</v>
      </c>
      <c r="K78" s="2084"/>
      <c r="L78" s="1907" t="s">
        <v>279</v>
      </c>
      <c r="M78" s="1907"/>
      <c r="N78" s="1699" t="str">
        <f>+N143</f>
        <v>HWHG_PAC</v>
      </c>
      <c r="O78" s="1699"/>
      <c r="P78" s="1911"/>
      <c r="Q78" s="2085"/>
      <c r="R78" s="2085"/>
      <c r="S78" s="2086"/>
      <c r="T78" s="1699"/>
      <c r="U78" s="1699"/>
      <c r="V78" s="1701"/>
      <c r="W78" s="2082">
        <f>+AD78*1.55*C78</f>
        <v>0</v>
      </c>
      <c r="X78" s="2092">
        <f>+ROUNDUP(W78,0)</f>
        <v>0</v>
      </c>
      <c r="Y78" s="3864"/>
      <c r="Z78" s="999" t="s">
        <v>321</v>
      </c>
      <c r="AA78" s="3416">
        <v>1881</v>
      </c>
      <c r="AB78" s="2462">
        <f>12+32</f>
        <v>44</v>
      </c>
      <c r="AC78" s="2496">
        <f t="shared" ref="AC78" si="33">+AA78+AB78</f>
        <v>1925</v>
      </c>
      <c r="AD78" s="3139">
        <f>+AC78*0.44</f>
        <v>847</v>
      </c>
      <c r="AE78" s="2465">
        <f>+AD78*C78</f>
        <v>0</v>
      </c>
      <c r="AF78" s="2531"/>
      <c r="AG78" s="1189">
        <f>+W78-AE78</f>
        <v>0</v>
      </c>
      <c r="AH78" s="1056" t="e">
        <f>+AG78/W78</f>
        <v>#DIV/0!</v>
      </c>
    </row>
    <row r="79" spans="1:35" s="1071" customFormat="1" ht="14.4" hidden="1" thickBot="1" x14ac:dyDescent="0.25">
      <c r="A79" s="2175" t="s">
        <v>3303</v>
      </c>
      <c r="B79" s="1071" t="s">
        <v>3609</v>
      </c>
      <c r="C79" s="2146"/>
      <c r="D79" s="2287" t="s">
        <v>2423</v>
      </c>
      <c r="E79" s="2283" t="s">
        <v>3482</v>
      </c>
      <c r="F79" s="2283" t="s">
        <v>3481</v>
      </c>
      <c r="G79" s="2072"/>
      <c r="H79" s="2169" t="s">
        <v>2798</v>
      </c>
      <c r="I79" s="2283" t="s">
        <v>349</v>
      </c>
      <c r="J79" s="2284" t="s">
        <v>2953</v>
      </c>
      <c r="K79" s="2955"/>
      <c r="L79" s="2072"/>
      <c r="M79" s="2072"/>
      <c r="N79" s="2072" t="s">
        <v>328</v>
      </c>
      <c r="O79" s="2072"/>
      <c r="P79" s="1547"/>
      <c r="Q79" s="1547"/>
      <c r="R79" s="1547"/>
      <c r="S79" s="1554"/>
      <c r="T79" s="1554"/>
      <c r="U79" s="1554"/>
      <c r="V79" s="1627"/>
      <c r="W79" s="1621">
        <f>+AD79*1.55*C79</f>
        <v>0</v>
      </c>
      <c r="X79" s="2272">
        <f t="shared" ref="X79" si="34">+ROUNDUP(W79,0)</f>
        <v>0</v>
      </c>
      <c r="Y79" s="3864"/>
      <c r="Z79" s="197" t="s">
        <v>3476</v>
      </c>
      <c r="AA79" s="3416">
        <v>537</v>
      </c>
      <c r="AB79" s="2540"/>
      <c r="AC79" s="2514">
        <f>+AA79+AB79</f>
        <v>537</v>
      </c>
      <c r="AD79" s="3139">
        <f>+AC79*0.43</f>
        <v>230.91</v>
      </c>
      <c r="AE79" s="2526">
        <f t="shared" ref="AE79" si="35">+AD79</f>
        <v>230.91</v>
      </c>
      <c r="AF79" s="2515"/>
      <c r="AG79" s="1189">
        <f>+W79-AE79</f>
        <v>-230.91</v>
      </c>
      <c r="AH79" s="2288" t="e">
        <f>+AG79/W79</f>
        <v>#DIV/0!</v>
      </c>
      <c r="AI79" s="2289"/>
    </row>
    <row r="80" spans="1:35" s="1071" customFormat="1" ht="14.4" hidden="1" thickBot="1" x14ac:dyDescent="0.25">
      <c r="A80" s="2175" t="s">
        <v>3303</v>
      </c>
      <c r="B80" s="1071" t="s">
        <v>3609</v>
      </c>
      <c r="C80" s="2146"/>
      <c r="D80" s="2287" t="s">
        <v>3690</v>
      </c>
      <c r="E80" s="2283" t="s">
        <v>3692</v>
      </c>
      <c r="F80" s="2283" t="s">
        <v>3481</v>
      </c>
      <c r="G80" s="2072"/>
      <c r="H80" s="2169" t="s">
        <v>3693</v>
      </c>
      <c r="I80" s="2283" t="s">
        <v>349</v>
      </c>
      <c r="J80" s="1910" t="s">
        <v>2953</v>
      </c>
      <c r="K80" s="2955"/>
      <c r="L80" s="2072"/>
      <c r="M80" s="2072"/>
      <c r="N80" s="2072" t="s">
        <v>328</v>
      </c>
      <c r="O80" s="2072"/>
      <c r="P80" s="1547"/>
      <c r="Q80" s="1547"/>
      <c r="R80" s="1547"/>
      <c r="S80" s="1554"/>
      <c r="T80" s="1554"/>
      <c r="U80" s="1554"/>
      <c r="V80" s="1627"/>
      <c r="W80" s="1621">
        <f>+AD80*1.55*C80</f>
        <v>0</v>
      </c>
      <c r="X80" s="2272">
        <f t="shared" si="31"/>
        <v>0</v>
      </c>
      <c r="Y80" s="3865"/>
      <c r="Z80" s="197" t="s">
        <v>3476</v>
      </c>
      <c r="AA80" s="3416">
        <v>537</v>
      </c>
      <c r="AB80" s="2540"/>
      <c r="AC80" s="2514">
        <f>+AA80+AB80</f>
        <v>537</v>
      </c>
      <c r="AD80" s="3139">
        <f>+AC80*0.43</f>
        <v>230.91</v>
      </c>
      <c r="AE80" s="2526">
        <f t="shared" ref="AE80" si="36">+AD80</f>
        <v>230.91</v>
      </c>
      <c r="AF80" s="2515"/>
      <c r="AG80" s="1189">
        <f>+W80-AE80</f>
        <v>-230.91</v>
      </c>
      <c r="AH80" s="2288" t="e">
        <f>+AG80/W80</f>
        <v>#DIV/0!</v>
      </c>
      <c r="AI80" s="2289"/>
    </row>
    <row r="81" spans="1:37" s="2340" customFormat="1" ht="17.399999999999999" hidden="1" customHeight="1" thickBot="1" x14ac:dyDescent="0.25">
      <c r="B81" s="2349"/>
      <c r="C81" s="2350"/>
      <c r="D81" s="2334" t="s">
        <v>3188</v>
      </c>
      <c r="E81" s="2351"/>
      <c r="F81" s="2352" t="s">
        <v>3161</v>
      </c>
      <c r="G81" s="1937" t="s">
        <v>3072</v>
      </c>
      <c r="H81" s="2352" t="s">
        <v>3186</v>
      </c>
      <c r="I81" s="2352" t="s">
        <v>2987</v>
      </c>
      <c r="J81" s="2352" t="s">
        <v>3242</v>
      </c>
      <c r="K81" s="2352" t="s">
        <v>1323</v>
      </c>
      <c r="L81" s="1685" t="s">
        <v>3193</v>
      </c>
      <c r="M81" s="1685"/>
      <c r="N81" s="1674" t="s">
        <v>2409</v>
      </c>
      <c r="O81" s="1677" t="s">
        <v>2980</v>
      </c>
      <c r="P81" s="1499"/>
      <c r="Q81" s="1499"/>
      <c r="R81" s="1499"/>
      <c r="S81" s="1499"/>
      <c r="T81" s="1499"/>
      <c r="U81" s="1499"/>
      <c r="V81" s="1493"/>
      <c r="W81" s="1679"/>
      <c r="X81" s="2357" t="s">
        <v>3258</v>
      </c>
      <c r="Y81" s="2358" t="s">
        <v>3211</v>
      </c>
      <c r="Z81" s="2353"/>
      <c r="AA81" s="2535"/>
      <c r="AB81" s="2536"/>
      <c r="AC81" s="2537"/>
      <c r="AD81" s="3140"/>
      <c r="AE81" s="2538">
        <f>+AC81</f>
        <v>0</v>
      </c>
      <c r="AF81" s="2539">
        <f>+AE81*C81</f>
        <v>0</v>
      </c>
      <c r="AG81" s="2354" t="e">
        <f t="shared" ref="AG81" si="37">+X81-AF81</f>
        <v>#VALUE!</v>
      </c>
      <c r="AH81" s="2355" t="s">
        <v>39</v>
      </c>
      <c r="AI81" s="2356"/>
    </row>
    <row r="82" spans="1:37" s="1071" customFormat="1" ht="13.8" hidden="1" x14ac:dyDescent="0.2">
      <c r="A82" s="2175" t="s">
        <v>3303</v>
      </c>
      <c r="C82" s="2146"/>
      <c r="D82" s="1928" t="s">
        <v>2626</v>
      </c>
      <c r="E82" s="2066" t="s">
        <v>3422</v>
      </c>
      <c r="F82" s="2066" t="s">
        <v>279</v>
      </c>
      <c r="G82" s="2066"/>
      <c r="H82" s="2066" t="s">
        <v>3402</v>
      </c>
      <c r="I82" s="2066" t="s">
        <v>3304</v>
      </c>
      <c r="J82" s="2193" t="s">
        <v>2953</v>
      </c>
      <c r="K82" s="3143" t="s">
        <v>3251</v>
      </c>
      <c r="L82" s="2066"/>
      <c r="M82" s="2066"/>
      <c r="N82" s="2066" t="s">
        <v>328</v>
      </c>
      <c r="O82" s="2066"/>
      <c r="P82" s="1506"/>
      <c r="Q82" s="1506"/>
      <c r="R82" s="1506"/>
      <c r="S82" s="1506"/>
      <c r="T82" s="1506"/>
      <c r="U82" s="1506"/>
      <c r="V82" s="1620"/>
      <c r="W82" s="1621">
        <f>+AD82*1.65*C82</f>
        <v>0</v>
      </c>
      <c r="X82" s="2177">
        <f t="shared" ref="X82:X83" si="38">+ROUNDUP(W82,0)</f>
        <v>0</v>
      </c>
      <c r="Y82" s="3861">
        <f>+X82+X83</f>
        <v>0</v>
      </c>
      <c r="Z82" s="74" t="s">
        <v>3475</v>
      </c>
      <c r="AA82" s="3166">
        <f>1881*0.44</f>
        <v>827.64</v>
      </c>
      <c r="AB82" s="2513"/>
      <c r="AC82" s="2514">
        <f>+AA82+AB82</f>
        <v>827.64</v>
      </c>
      <c r="AD82" s="3139">
        <f>+AC82</f>
        <v>827.64</v>
      </c>
      <c r="AE82" s="2526">
        <f t="shared" ref="AE82:AE83" si="39">+AD82</f>
        <v>827.64</v>
      </c>
      <c r="AF82" s="2515"/>
      <c r="AG82" s="1189">
        <f>+X82-(AE82*C82)</f>
        <v>0</v>
      </c>
      <c r="AH82" s="1353" t="e">
        <f>+AG82/W82</f>
        <v>#DIV/0!</v>
      </c>
      <c r="AI82" s="1330"/>
    </row>
    <row r="83" spans="1:37" s="1071" customFormat="1" ht="14.4" hidden="1" thickBot="1" x14ac:dyDescent="0.25">
      <c r="A83" s="2175" t="s">
        <v>3303</v>
      </c>
      <c r="C83" s="2146"/>
      <c r="D83" s="2287" t="s">
        <v>2423</v>
      </c>
      <c r="E83" s="2283">
        <v>4090</v>
      </c>
      <c r="F83" s="2283" t="s">
        <v>2820</v>
      </c>
      <c r="G83" s="2072"/>
      <c r="H83" s="2169" t="s">
        <v>2749</v>
      </c>
      <c r="I83" s="2283" t="s">
        <v>349</v>
      </c>
      <c r="J83" s="2284" t="s">
        <v>2953</v>
      </c>
      <c r="K83" s="2955" t="s">
        <v>3421</v>
      </c>
      <c r="L83" s="2072" t="s">
        <v>3314</v>
      </c>
      <c r="M83" s="2072"/>
      <c r="N83" s="2072" t="s">
        <v>328</v>
      </c>
      <c r="O83" s="2072"/>
      <c r="P83" s="1547"/>
      <c r="Q83" s="1547"/>
      <c r="R83" s="1547"/>
      <c r="S83" s="1554"/>
      <c r="T83" s="1554"/>
      <c r="U83" s="1554"/>
      <c r="V83" s="1627"/>
      <c r="W83" s="1621">
        <f>+AD83*1.65*C83</f>
        <v>0</v>
      </c>
      <c r="X83" s="2272">
        <f t="shared" si="38"/>
        <v>0</v>
      </c>
      <c r="Y83" s="3862"/>
      <c r="Z83" s="197" t="s">
        <v>3476</v>
      </c>
      <c r="AA83" s="3172">
        <f>659*0.43</f>
        <v>283.37</v>
      </c>
      <c r="AB83" s="2541"/>
      <c r="AC83" s="2542">
        <f>+AB83+AA83</f>
        <v>283.37</v>
      </c>
      <c r="AD83" s="3139">
        <f>+AC83</f>
        <v>283.37</v>
      </c>
      <c r="AE83" s="2526">
        <f t="shared" si="39"/>
        <v>283.37</v>
      </c>
      <c r="AF83" s="2543"/>
      <c r="AG83" s="1189">
        <f>+X83-(AE83*C83)</f>
        <v>0</v>
      </c>
      <c r="AH83" s="2288" t="e">
        <f>+AG83/W83</f>
        <v>#DIV/0!</v>
      </c>
      <c r="AI83" s="2289"/>
    </row>
    <row r="84" spans="1:37" s="2340" customFormat="1" ht="18.600000000000001" hidden="1" customHeight="1" thickBot="1" x14ac:dyDescent="0.25">
      <c r="B84" s="2332"/>
      <c r="C84" s="2333"/>
      <c r="D84" s="2334" t="s">
        <v>3187</v>
      </c>
      <c r="E84" s="2335"/>
      <c r="F84" s="2285" t="s">
        <v>3161</v>
      </c>
      <c r="G84" s="1937" t="s">
        <v>3072</v>
      </c>
      <c r="H84" s="2285" t="s">
        <v>3186</v>
      </c>
      <c r="I84" s="2285" t="s">
        <v>2987</v>
      </c>
      <c r="J84" s="2285" t="s">
        <v>3242</v>
      </c>
      <c r="K84" s="2285" t="s">
        <v>1323</v>
      </c>
      <c r="L84" s="1938" t="s">
        <v>3193</v>
      </c>
      <c r="M84" s="1938"/>
      <c r="N84" s="2137" t="s">
        <v>2409</v>
      </c>
      <c r="O84" s="1534"/>
      <c r="P84" s="1534"/>
      <c r="Q84" s="1534"/>
      <c r="R84" s="1534"/>
      <c r="S84" s="1534"/>
      <c r="T84" s="1534"/>
      <c r="U84" s="1534"/>
      <c r="V84" s="1534"/>
      <c r="W84" s="2286"/>
      <c r="X84" s="2336"/>
      <c r="Y84" s="3328"/>
      <c r="Z84" s="2337"/>
      <c r="AA84" s="3173"/>
      <c r="AB84" s="2544"/>
      <c r="AC84" s="2545"/>
      <c r="AD84" s="2545"/>
      <c r="AE84" s="2546"/>
      <c r="AF84" s="2547"/>
      <c r="AG84" s="2291"/>
      <c r="AH84" s="2338"/>
      <c r="AI84" s="2339"/>
    </row>
    <row r="85" spans="1:37" s="1071" customFormat="1" ht="12.6" hidden="1" x14ac:dyDescent="0.2">
      <c r="A85" s="2175" t="s">
        <v>3303</v>
      </c>
      <c r="C85" s="2181"/>
      <c r="D85" s="1699" t="s">
        <v>310</v>
      </c>
      <c r="E85" s="2065" t="s">
        <v>3576</v>
      </c>
      <c r="F85" s="2065" t="s">
        <v>279</v>
      </c>
      <c r="G85" s="2091"/>
      <c r="H85" s="2065" t="s">
        <v>3547</v>
      </c>
      <c r="I85" s="2066" t="s">
        <v>3542</v>
      </c>
      <c r="J85" s="2193" t="s">
        <v>2936</v>
      </c>
      <c r="K85" s="3143" t="s">
        <v>3251</v>
      </c>
      <c r="L85" s="2319"/>
      <c r="M85" s="1920"/>
      <c r="N85" s="1920" t="str">
        <f>+N75</f>
        <v>4.5" HWHG</v>
      </c>
      <c r="O85" s="1920" t="s">
        <v>3305</v>
      </c>
      <c r="P85" s="1930"/>
      <c r="Q85" s="1930"/>
      <c r="R85" s="1930"/>
      <c r="S85" s="1929"/>
      <c r="T85" s="1929"/>
      <c r="U85" s="1929"/>
      <c r="V85" s="2081"/>
      <c r="W85" s="2082">
        <f>+AE85*1.6*C85</f>
        <v>0</v>
      </c>
      <c r="X85" s="2092">
        <f t="shared" ref="X85:X87" si="40">+ROUNDUP(W85,0)</f>
        <v>0</v>
      </c>
      <c r="Y85" s="3963">
        <f>+X85+X86+X87</f>
        <v>0</v>
      </c>
      <c r="Z85" s="74" t="s">
        <v>3475</v>
      </c>
      <c r="AA85" s="3169">
        <f>240+24+6+25</f>
        <v>295</v>
      </c>
      <c r="AB85" s="2525">
        <f>+AA85*0.61</f>
        <v>179.95</v>
      </c>
      <c r="AC85" s="2463">
        <f>+AA85+AB85</f>
        <v>474.95</v>
      </c>
      <c r="AD85" s="3141">
        <f t="shared" ref="AD85:AE87" si="41">+AC85</f>
        <v>474.95</v>
      </c>
      <c r="AE85" s="2526">
        <f t="shared" si="41"/>
        <v>474.95</v>
      </c>
      <c r="AF85" s="2498" t="s">
        <v>3546</v>
      </c>
      <c r="AG85" s="1189">
        <f>+X85-(AE85*C85)</f>
        <v>0</v>
      </c>
      <c r="AH85" s="1217" t="e">
        <f>+AG85/X85</f>
        <v>#DIV/0!</v>
      </c>
      <c r="AI85" s="1330"/>
    </row>
    <row r="86" spans="1:37" s="1071" customFormat="1" ht="12.6" hidden="1" x14ac:dyDescent="0.2">
      <c r="A86" s="2175" t="s">
        <v>3303</v>
      </c>
      <c r="C86" s="2181"/>
      <c r="D86" s="1699" t="s">
        <v>25</v>
      </c>
      <c r="E86" s="2065" t="s">
        <v>3577</v>
      </c>
      <c r="F86" s="2065" t="s">
        <v>279</v>
      </c>
      <c r="G86" s="2085"/>
      <c r="H86" s="2065" t="s">
        <v>3250</v>
      </c>
      <c r="I86" s="2066" t="s">
        <v>3553</v>
      </c>
      <c r="J86" s="2193" t="s">
        <v>2936</v>
      </c>
      <c r="K86" s="1907"/>
      <c r="L86" s="2319"/>
      <c r="M86" s="1920"/>
      <c r="N86" s="1907" t="s">
        <v>3257</v>
      </c>
      <c r="O86" s="1907" t="s">
        <v>3306</v>
      </c>
      <c r="P86" s="1911"/>
      <c r="Q86" s="1911"/>
      <c r="R86" s="1911"/>
      <c r="S86" s="1699"/>
      <c r="T86" s="1699"/>
      <c r="U86" s="1699"/>
      <c r="V86" s="1701"/>
      <c r="W86" s="2082">
        <f>+AE86*1.6*C86</f>
        <v>0</v>
      </c>
      <c r="X86" s="2092">
        <f t="shared" si="40"/>
        <v>0</v>
      </c>
      <c r="Y86" s="3964"/>
      <c r="Z86" s="74" t="s">
        <v>3475</v>
      </c>
      <c r="AA86" s="3169">
        <f>240+12+32</f>
        <v>284</v>
      </c>
      <c r="AB86" s="2525">
        <f t="shared" ref="AB86:AB87" si="42">+AA86*0.61</f>
        <v>173.24</v>
      </c>
      <c r="AC86" s="2463">
        <f>+AA86+AB86</f>
        <v>457.24</v>
      </c>
      <c r="AD86" s="3141">
        <f t="shared" si="41"/>
        <v>457.24</v>
      </c>
      <c r="AE86" s="2526">
        <f t="shared" si="41"/>
        <v>457.24</v>
      </c>
      <c r="AF86" s="2466" t="s">
        <v>321</v>
      </c>
      <c r="AG86" s="1189">
        <f>+X86-(AE86*C86)</f>
        <v>0</v>
      </c>
      <c r="AH86" s="1217" t="e">
        <f>+AG86/X86</f>
        <v>#DIV/0!</v>
      </c>
      <c r="AI86" s="240"/>
    </row>
    <row r="87" spans="1:37" s="1695" customFormat="1" ht="13.2" hidden="1" thickBot="1" x14ac:dyDescent="0.25">
      <c r="A87" s="2183" t="s">
        <v>3303</v>
      </c>
      <c r="C87" s="2181"/>
      <c r="D87" s="1699" t="s">
        <v>2565</v>
      </c>
      <c r="E87" s="2065" t="s">
        <v>3578</v>
      </c>
      <c r="F87" s="2283" t="s">
        <v>3548</v>
      </c>
      <c r="G87" s="2318"/>
      <c r="H87" s="2065" t="s">
        <v>3579</v>
      </c>
      <c r="I87" s="2065" t="s">
        <v>3543</v>
      </c>
      <c r="J87" s="2193" t="s">
        <v>2953</v>
      </c>
      <c r="K87" s="1907" t="s">
        <v>3544</v>
      </c>
      <c r="L87" s="2320" t="s">
        <v>3314</v>
      </c>
      <c r="M87" s="1911"/>
      <c r="N87" s="1907" t="s">
        <v>2835</v>
      </c>
      <c r="O87" s="1907" t="s">
        <v>3305</v>
      </c>
      <c r="P87" s="2178"/>
      <c r="Q87" s="930"/>
      <c r="R87" s="930"/>
      <c r="S87" s="2179"/>
      <c r="T87" s="2179"/>
      <c r="U87" s="2179"/>
      <c r="V87" s="2180"/>
      <c r="W87" s="2082">
        <f>+AE87*1.6*C87</f>
        <v>0</v>
      </c>
      <c r="X87" s="2092">
        <f t="shared" si="40"/>
        <v>0</v>
      </c>
      <c r="Y87" s="3965"/>
      <c r="Z87" s="197" t="s">
        <v>3476</v>
      </c>
      <c r="AA87" s="3172">
        <f>128+12+26+23</f>
        <v>189</v>
      </c>
      <c r="AB87" s="2525">
        <f t="shared" si="42"/>
        <v>115.28999999999999</v>
      </c>
      <c r="AC87" s="2507">
        <f>+AA87+AB87</f>
        <v>304.28999999999996</v>
      </c>
      <c r="AD87" s="3142">
        <f t="shared" si="41"/>
        <v>304.28999999999996</v>
      </c>
      <c r="AE87" s="2549">
        <f t="shared" si="41"/>
        <v>304.28999999999996</v>
      </c>
      <c r="AF87" s="2503" t="s">
        <v>321</v>
      </c>
      <c r="AG87" s="1189">
        <f>+X87-(AE87*C87)</f>
        <v>0</v>
      </c>
      <c r="AH87" s="1919" t="e">
        <f>+AG87/X87</f>
        <v>#DIV/0!</v>
      </c>
      <c r="AI87" s="1696"/>
    </row>
    <row r="88" spans="1:37" s="1686" customFormat="1" ht="17.399999999999999" hidden="1" customHeight="1" thickBot="1" x14ac:dyDescent="0.25">
      <c r="C88" s="3081"/>
      <c r="D88" s="1721" t="s">
        <v>3188</v>
      </c>
      <c r="E88" s="1687"/>
      <c r="F88" s="1899" t="s">
        <v>2787</v>
      </c>
      <c r="G88" s="1900" t="s">
        <v>3072</v>
      </c>
      <c r="H88" s="1674" t="s">
        <v>3186</v>
      </c>
      <c r="I88" s="1688"/>
      <c r="J88" s="1674" t="s">
        <v>94</v>
      </c>
      <c r="K88" s="1688"/>
      <c r="L88" s="1685"/>
      <c r="M88" s="1685"/>
      <c r="N88" s="1674" t="s">
        <v>3047</v>
      </c>
      <c r="O88" s="1677" t="s">
        <v>2980</v>
      </c>
      <c r="P88" s="1689"/>
      <c r="Q88" s="1689"/>
      <c r="R88" s="1689"/>
      <c r="S88" s="1689" t="s">
        <v>3454</v>
      </c>
      <c r="T88" s="1577">
        <v>572</v>
      </c>
      <c r="U88" s="1689">
        <v>196</v>
      </c>
      <c r="V88" s="1689"/>
      <c r="W88" s="1577"/>
      <c r="X88" s="1690"/>
      <c r="Y88" s="3083"/>
      <c r="Z88" s="1691"/>
      <c r="AA88" s="2560"/>
      <c r="AB88" s="2561"/>
      <c r="AC88" s="2562"/>
      <c r="AD88" s="2563"/>
      <c r="AE88" s="2561"/>
      <c r="AF88" s="2564"/>
      <c r="AG88" s="1692" t="s">
        <v>19</v>
      </c>
      <c r="AH88" s="1693" t="s">
        <v>39</v>
      </c>
    </row>
    <row r="89" spans="1:37" s="2391" customFormat="1" ht="13.8" hidden="1" x14ac:dyDescent="0.2">
      <c r="A89" s="2391" t="s">
        <v>3423</v>
      </c>
      <c r="C89" s="3082"/>
      <c r="D89" s="3079" t="s">
        <v>3460</v>
      </c>
      <c r="E89" s="2411" t="s">
        <v>3048</v>
      </c>
      <c r="F89" s="2412" t="s">
        <v>279</v>
      </c>
      <c r="G89" s="2393"/>
      <c r="H89" s="2394" t="s">
        <v>3146</v>
      </c>
      <c r="I89" s="2394" t="s">
        <v>2331</v>
      </c>
      <c r="J89" s="2412" t="s">
        <v>2954</v>
      </c>
      <c r="K89" s="2393" t="s">
        <v>3425</v>
      </c>
      <c r="L89" s="2393"/>
      <c r="M89" s="2393"/>
      <c r="N89" s="2147" t="s">
        <v>328</v>
      </c>
      <c r="O89" s="2392" t="s">
        <v>1191</v>
      </c>
      <c r="P89" s="2393" t="s">
        <v>2981</v>
      </c>
      <c r="Q89" s="2147"/>
      <c r="R89" s="2388"/>
      <c r="S89" s="2388" t="s">
        <v>3455</v>
      </c>
      <c r="T89" s="2388" t="s">
        <v>3459</v>
      </c>
      <c r="U89" s="2147" t="s">
        <v>3457</v>
      </c>
      <c r="V89" s="2147"/>
      <c r="W89" s="2401">
        <f>+AE89*1.8</f>
        <v>505.00800000000004</v>
      </c>
      <c r="X89" s="1893">
        <f>+ROUNDUP(W89,0)*C89</f>
        <v>0</v>
      </c>
      <c r="Y89" s="3841">
        <f>+X89+X90</f>
        <v>0</v>
      </c>
      <c r="Z89" s="2395" t="s">
        <v>3458</v>
      </c>
      <c r="AA89" s="3176">
        <f>668*0.42</f>
        <v>280.56</v>
      </c>
      <c r="AB89" s="2565"/>
      <c r="AC89" s="2566">
        <f>+AA89+AB89</f>
        <v>280.56</v>
      </c>
      <c r="AD89" s="2567">
        <f>+AC89</f>
        <v>280.56</v>
      </c>
      <c r="AE89" s="2568">
        <f>+AD89</f>
        <v>280.56</v>
      </c>
      <c r="AF89" s="2569"/>
      <c r="AG89" s="2396">
        <f>+W89-AD89</f>
        <v>224.44800000000004</v>
      </c>
      <c r="AH89" s="2397">
        <f>+AG89/W89</f>
        <v>0.44444444444444448</v>
      </c>
      <c r="AI89" s="2398"/>
      <c r="AJ89" s="2391">
        <v>868.14</v>
      </c>
      <c r="AK89" s="2391">
        <f>+AJ89/3</f>
        <v>289.38</v>
      </c>
    </row>
    <row r="90" spans="1:37" s="2399" customFormat="1" ht="14.4" hidden="1" thickBot="1" x14ac:dyDescent="0.25">
      <c r="C90" s="3082"/>
      <c r="D90" s="3080" t="s">
        <v>2423</v>
      </c>
      <c r="E90" s="2400" t="s">
        <v>3426</v>
      </c>
      <c r="F90" s="1704" t="s">
        <v>3424</v>
      </c>
      <c r="G90" s="2409"/>
      <c r="H90" s="2068" t="s">
        <v>2749</v>
      </c>
      <c r="I90" s="2068"/>
      <c r="J90" s="1704" t="s">
        <v>2953</v>
      </c>
      <c r="K90" s="2410" t="s">
        <v>3425</v>
      </c>
      <c r="L90" s="2957"/>
      <c r="M90" s="2068"/>
      <c r="N90" s="1705" t="s">
        <v>328</v>
      </c>
      <c r="O90" s="1704" t="s">
        <v>2749</v>
      </c>
      <c r="P90" s="2068" t="s">
        <v>2981</v>
      </c>
      <c r="Q90" s="1704"/>
      <c r="R90" s="2389"/>
      <c r="S90" s="2389" t="s">
        <v>3456</v>
      </c>
      <c r="T90" s="2390">
        <f>+T88+74+22</f>
        <v>668</v>
      </c>
      <c r="U90" s="1705">
        <f>+U88+20+22+74+60+52+52</f>
        <v>476</v>
      </c>
      <c r="V90" s="1705">
        <f>+U90*0.5</f>
        <v>238</v>
      </c>
      <c r="W90" s="2401">
        <f>+AE90*1.5</f>
        <v>335.89499999999998</v>
      </c>
      <c r="X90" s="1893">
        <f>+ROUNDUP(W90,0)*C90</f>
        <v>0</v>
      </c>
      <c r="Y90" s="3841"/>
      <c r="Z90" s="2402" t="s">
        <v>3458</v>
      </c>
      <c r="AA90" s="3177">
        <f>457*0.49</f>
        <v>223.93</v>
      </c>
      <c r="AB90" s="2570"/>
      <c r="AC90" s="2571">
        <f>+AA90+AB90</f>
        <v>223.93</v>
      </c>
      <c r="AD90" s="2572">
        <f>+AC90</f>
        <v>223.93</v>
      </c>
      <c r="AE90" s="2573">
        <f>+AD90</f>
        <v>223.93</v>
      </c>
      <c r="AF90" s="2574"/>
      <c r="AG90" s="2407">
        <f>+W90-AD90</f>
        <v>111.96499999999997</v>
      </c>
      <c r="AH90" s="2408">
        <f>+AG90/W90</f>
        <v>0.33333333333333326</v>
      </c>
      <c r="AI90" s="2403"/>
      <c r="AJ90" s="2399">
        <v>676.2</v>
      </c>
      <c r="AK90" s="2399">
        <f>+AJ90/3</f>
        <v>225.4</v>
      </c>
    </row>
    <row r="91" spans="1:37" s="1122" customFormat="1" ht="17.399999999999999" hidden="1" customHeight="1" thickBot="1" x14ac:dyDescent="0.25">
      <c r="B91" s="1364"/>
      <c r="C91" s="1525"/>
      <c r="D91" s="1721" t="s">
        <v>3188</v>
      </c>
      <c r="E91" s="1527"/>
      <c r="F91" s="2405" t="s">
        <v>2958</v>
      </c>
      <c r="G91" s="1900" t="s">
        <v>3072</v>
      </c>
      <c r="H91" s="1937" t="s">
        <v>3186</v>
      </c>
      <c r="I91" s="1584"/>
      <c r="J91" s="2406" t="s">
        <v>2979</v>
      </c>
      <c r="K91" s="1107"/>
      <c r="L91" s="1107"/>
      <c r="M91" s="1107"/>
      <c r="N91" s="1107"/>
      <c r="O91" s="1107"/>
      <c r="P91" s="1107"/>
      <c r="Q91" s="1107"/>
      <c r="R91" s="1107"/>
      <c r="S91" s="1107"/>
      <c r="T91" s="1107"/>
      <c r="U91" s="1107"/>
      <c r="V91" s="1107"/>
      <c r="W91" s="1107"/>
      <c r="X91" s="1107"/>
      <c r="Y91" s="1107"/>
      <c r="Z91" s="1107"/>
      <c r="AA91" s="2575"/>
      <c r="AB91" s="2576"/>
      <c r="AC91" s="2577"/>
      <c r="AD91" s="2577"/>
      <c r="AE91" s="2578"/>
      <c r="AF91" s="2579"/>
      <c r="AG91" s="1194" t="s">
        <v>19</v>
      </c>
      <c r="AH91" s="1124" t="s">
        <v>39</v>
      </c>
      <c r="AI91" s="1109"/>
    </row>
    <row r="92" spans="1:37" s="930" customFormat="1" ht="13.8" hidden="1" x14ac:dyDescent="0.2">
      <c r="A92" s="930" t="s">
        <v>3729</v>
      </c>
      <c r="C92" s="2146"/>
      <c r="D92" s="1928" t="s">
        <v>2955</v>
      </c>
      <c r="E92" s="2066">
        <v>3070</v>
      </c>
      <c r="F92" s="1930" t="s">
        <v>279</v>
      </c>
      <c r="G92" s="1920"/>
      <c r="H92" s="1920"/>
      <c r="I92" s="3474" t="s">
        <v>3140</v>
      </c>
      <c r="J92" s="1930" t="s">
        <v>2805</v>
      </c>
      <c r="K92" s="3542"/>
      <c r="L92" s="1907"/>
      <c r="M92" s="1920"/>
      <c r="N92" s="1929" t="s">
        <v>328</v>
      </c>
      <c r="O92" s="1930" t="s">
        <v>485</v>
      </c>
      <c r="P92" s="2147"/>
      <c r="Q92" s="2147"/>
      <c r="R92" s="2147"/>
      <c r="S92" s="2147"/>
      <c r="T92" s="2147"/>
      <c r="U92" s="2147"/>
      <c r="V92" s="2148"/>
      <c r="W92" s="3567">
        <f t="shared" ref="W92:W93" si="43">+AD92*1.5*C92</f>
        <v>0</v>
      </c>
      <c r="X92" s="2092">
        <f t="shared" ref="X92:X93" si="44">+ROUNDUP(W92,0)</f>
        <v>0</v>
      </c>
      <c r="Y92" s="3846">
        <f>X92+X94+X95</f>
        <v>0</v>
      </c>
      <c r="Z92" s="2892" t="s">
        <v>321</v>
      </c>
      <c r="AA92" s="3543">
        <v>422</v>
      </c>
      <c r="AB92" s="2893">
        <f>24+12</f>
        <v>36</v>
      </c>
      <c r="AC92" s="3544">
        <f>+AA92+AB92</f>
        <v>458</v>
      </c>
      <c r="AD92" s="3545">
        <f>+AC92</f>
        <v>458</v>
      </c>
      <c r="AE92" s="3546">
        <f>+AD92*C92</f>
        <v>0</v>
      </c>
      <c r="AF92" s="3547"/>
      <c r="AG92" s="3548">
        <f>+W92-AD92</f>
        <v>-458</v>
      </c>
      <c r="AH92" s="3549" t="e">
        <f>+AG92/W92</f>
        <v>#DIV/0!</v>
      </c>
      <c r="AI92" s="3550"/>
    </row>
    <row r="93" spans="1:37" s="2089" customFormat="1" ht="13.8" hidden="1" x14ac:dyDescent="0.25">
      <c r="A93" s="2089" t="s">
        <v>3729</v>
      </c>
      <c r="B93" s="3551"/>
      <c r="C93" s="3552"/>
      <c r="D93" s="1928" t="s">
        <v>2956</v>
      </c>
      <c r="E93" s="2066" t="s">
        <v>3142</v>
      </c>
      <c r="F93" s="3553" t="s">
        <v>279</v>
      </c>
      <c r="G93" s="1920"/>
      <c r="H93" s="1920"/>
      <c r="I93" s="3474" t="s">
        <v>3140</v>
      </c>
      <c r="J93" s="1930" t="s">
        <v>3730</v>
      </c>
      <c r="K93" s="1699"/>
      <c r="L93" s="3456"/>
      <c r="M93" s="3456"/>
      <c r="N93" s="1699" t="s">
        <v>328</v>
      </c>
      <c r="O93" s="1699" t="s">
        <v>2965</v>
      </c>
      <c r="P93" s="1700"/>
      <c r="Q93" s="1700"/>
      <c r="R93" s="1700"/>
      <c r="S93" s="1699"/>
      <c r="T93" s="1699"/>
      <c r="U93" s="1699"/>
      <c r="V93" s="1701"/>
      <c r="W93" s="3567">
        <f t="shared" si="43"/>
        <v>0</v>
      </c>
      <c r="X93" s="2092">
        <f t="shared" si="44"/>
        <v>0</v>
      </c>
      <c r="Y93" s="3846"/>
      <c r="Z93" s="3554"/>
      <c r="AA93" s="3555"/>
      <c r="AB93" s="3556"/>
      <c r="AC93" s="3544">
        <f t="shared" ref="AC93:AC94" si="45">+AA93+AB93</f>
        <v>0</v>
      </c>
      <c r="AD93" s="3557"/>
      <c r="AE93" s="3558"/>
      <c r="AF93" s="3559">
        <f>+X93</f>
        <v>0</v>
      </c>
      <c r="AG93" s="3548">
        <f>+W93-AD93</f>
        <v>0</v>
      </c>
      <c r="AH93" s="2397" t="e">
        <f>+AG93/X93</f>
        <v>#DIV/0!</v>
      </c>
      <c r="AI93" s="3560"/>
    </row>
    <row r="94" spans="1:37" s="3561" customFormat="1" ht="13.8" hidden="1" x14ac:dyDescent="0.25">
      <c r="A94" s="3561" t="s">
        <v>3729</v>
      </c>
      <c r="C94" s="3562"/>
      <c r="D94" s="2064" t="s">
        <v>2638</v>
      </c>
      <c r="E94" s="2400">
        <v>3010</v>
      </c>
      <c r="F94" s="2390"/>
      <c r="G94" s="3563"/>
      <c r="H94" s="3454" t="s">
        <v>3731</v>
      </c>
      <c r="I94" s="3563"/>
      <c r="J94" s="1930" t="s">
        <v>2954</v>
      </c>
      <c r="K94" s="3564"/>
      <c r="L94" s="3564"/>
      <c r="M94" s="3564"/>
      <c r="N94" s="3456" t="s">
        <v>2633</v>
      </c>
      <c r="O94" s="3962"/>
      <c r="P94" s="3962"/>
      <c r="Q94" s="3457"/>
      <c r="R94" s="3457"/>
      <c r="S94" s="3565"/>
      <c r="T94" s="3565"/>
      <c r="U94" s="3565"/>
      <c r="V94" s="3566"/>
      <c r="W94" s="3567">
        <f>+AD94*1.5*C94</f>
        <v>0</v>
      </c>
      <c r="X94" s="2092">
        <f>+ROUNDUP(W94,0)</f>
        <v>0</v>
      </c>
      <c r="Y94" s="3846"/>
      <c r="Z94" s="3568" t="s">
        <v>321</v>
      </c>
      <c r="AA94" s="3569">
        <v>222</v>
      </c>
      <c r="AB94" s="3556"/>
      <c r="AC94" s="3544">
        <f t="shared" si="45"/>
        <v>222</v>
      </c>
      <c r="AD94" s="3557">
        <f t="shared" ref="AD94" si="46">+AB94+AC94</f>
        <v>222</v>
      </c>
      <c r="AE94" s="3558"/>
      <c r="AF94" s="3559"/>
      <c r="AG94" s="3548">
        <f t="shared" ref="AG94" si="47">+W94-AD94</f>
        <v>-222</v>
      </c>
      <c r="AH94" s="2397" t="e">
        <f>+AG94/X94</f>
        <v>#DIV/0!</v>
      </c>
      <c r="AI94" s="3570"/>
    </row>
    <row r="95" spans="1:37" s="3571" customFormat="1" ht="14.4" hidden="1" thickBot="1" x14ac:dyDescent="0.3">
      <c r="A95" s="3571" t="s">
        <v>3729</v>
      </c>
      <c r="B95" s="3572"/>
      <c r="C95" s="3573"/>
      <c r="D95" s="1944" t="s">
        <v>3732</v>
      </c>
      <c r="E95" s="2074">
        <v>3080</v>
      </c>
      <c r="F95" s="3574">
        <v>5.75</v>
      </c>
      <c r="G95" s="3575"/>
      <c r="H95" s="3576" t="s">
        <v>3500</v>
      </c>
      <c r="I95" s="3577" t="s">
        <v>3139</v>
      </c>
      <c r="J95" s="1947" t="s">
        <v>2953</v>
      </c>
      <c r="K95" s="1700" t="s">
        <v>2962</v>
      </c>
      <c r="L95" s="1705"/>
      <c r="M95" s="1705"/>
      <c r="N95" s="1699" t="s">
        <v>328</v>
      </c>
      <c r="O95" s="1911" t="s">
        <v>2965</v>
      </c>
      <c r="P95" s="1704"/>
      <c r="Q95" s="1704"/>
      <c r="R95" s="1704"/>
      <c r="S95" s="1705"/>
      <c r="T95" s="1705"/>
      <c r="U95" s="1705"/>
      <c r="V95" s="1706"/>
      <c r="W95" s="1702">
        <f>+AD95*1.8*C95</f>
        <v>0</v>
      </c>
      <c r="X95" s="1703">
        <f>+ROUNDUP(W95,0)</f>
        <v>0</v>
      </c>
      <c r="Y95" s="3846"/>
      <c r="Z95" s="2402"/>
      <c r="AA95" s="3578">
        <v>185</v>
      </c>
      <c r="AB95" s="3556">
        <v>0</v>
      </c>
      <c r="AC95" s="2565">
        <f>+AB95*0.58</f>
        <v>0</v>
      </c>
      <c r="AD95" s="3557">
        <v>185</v>
      </c>
      <c r="AE95" s="3579"/>
      <c r="AF95" s="3559"/>
      <c r="AG95" s="3548">
        <f>+W95-AD95</f>
        <v>-185</v>
      </c>
      <c r="AH95" s="2397" t="e">
        <f>+AG95/X95</f>
        <v>#DIV/0!</v>
      </c>
      <c r="AI95" s="3580"/>
    </row>
    <row r="96" spans="1:37" s="3571" customFormat="1" ht="14.4" hidden="1" thickBot="1" x14ac:dyDescent="0.3">
      <c r="A96" s="3571" t="s">
        <v>3729</v>
      </c>
      <c r="B96" s="3572"/>
      <c r="C96" s="3573"/>
      <c r="D96" s="1944" t="s">
        <v>3141</v>
      </c>
      <c r="E96" s="2074"/>
      <c r="F96" s="3574">
        <v>5.75</v>
      </c>
      <c r="G96" s="3575"/>
      <c r="H96" s="3576" t="s">
        <v>3500</v>
      </c>
      <c r="I96" s="3577" t="s">
        <v>3139</v>
      </c>
      <c r="J96" s="1947" t="s">
        <v>2953</v>
      </c>
      <c r="K96" s="1700" t="s">
        <v>2962</v>
      </c>
      <c r="L96" s="1705"/>
      <c r="M96" s="1705"/>
      <c r="N96" s="1699" t="s">
        <v>328</v>
      </c>
      <c r="O96" s="1911" t="s">
        <v>2965</v>
      </c>
      <c r="P96" s="1704"/>
      <c r="Q96" s="1704"/>
      <c r="R96" s="1704"/>
      <c r="S96" s="1705"/>
      <c r="T96" s="1705"/>
      <c r="U96" s="1705"/>
      <c r="V96" s="1706"/>
      <c r="W96" s="1702">
        <f>+AD96*1.55*C96</f>
        <v>0</v>
      </c>
      <c r="X96" s="1703">
        <f>+ROUNDUP(W96,0)</f>
        <v>0</v>
      </c>
      <c r="Y96" s="3582"/>
      <c r="Z96" s="2402"/>
      <c r="AA96" s="3578">
        <v>185</v>
      </c>
      <c r="AB96" s="3556">
        <v>0</v>
      </c>
      <c r="AC96" s="2565">
        <f>+AB96*0.58</f>
        <v>0</v>
      </c>
      <c r="AD96" s="3557">
        <v>185</v>
      </c>
      <c r="AE96" s="3579"/>
      <c r="AF96" s="3559"/>
      <c r="AG96" s="3548">
        <f>+W96-AD96</f>
        <v>-185</v>
      </c>
      <c r="AH96" s="2397" t="e">
        <f>+AG96/X96</f>
        <v>#DIV/0!</v>
      </c>
      <c r="AI96" s="3580"/>
    </row>
    <row r="97" spans="1:35" s="3583" customFormat="1" ht="17.399999999999999" hidden="1" customHeight="1" thickBot="1" x14ac:dyDescent="0.25">
      <c r="C97" s="3584"/>
      <c r="D97" s="1600" t="s">
        <v>2780</v>
      </c>
      <c r="E97" s="3585"/>
      <c r="F97" s="3586" t="s">
        <v>3734</v>
      </c>
      <c r="G97" s="3587" t="s">
        <v>3072</v>
      </c>
      <c r="H97" s="3452"/>
      <c r="I97" s="3452"/>
      <c r="J97" s="3586"/>
      <c r="K97" s="3588"/>
      <c r="L97" s="1607"/>
      <c r="M97" s="1607"/>
      <c r="N97" s="1608"/>
      <c r="O97" s="3588"/>
      <c r="P97" s="3588"/>
      <c r="Q97" s="3588"/>
      <c r="R97" s="3588"/>
      <c r="S97" s="3589"/>
      <c r="T97" s="3589"/>
      <c r="U97" s="3589"/>
      <c r="V97" s="1612"/>
      <c r="W97" s="3452"/>
      <c r="X97" s="3590"/>
      <c r="Y97" s="1206"/>
      <c r="Z97" s="3612"/>
      <c r="AA97" s="3613"/>
      <c r="AB97" s="3614"/>
      <c r="AC97" s="3615"/>
      <c r="AD97" s="3613"/>
      <c r="AE97" s="3616"/>
      <c r="AF97" s="3617"/>
      <c r="AG97" s="3618" t="s">
        <v>19</v>
      </c>
      <c r="AH97" s="3591" t="s">
        <v>39</v>
      </c>
      <c r="AI97" s="3592"/>
    </row>
    <row r="98" spans="1:35" s="3593" customFormat="1" ht="13.8" hidden="1" x14ac:dyDescent="0.2">
      <c r="A98" s="3593" t="s">
        <v>3729</v>
      </c>
      <c r="C98" s="3594"/>
      <c r="D98" s="3595" t="s">
        <v>2626</v>
      </c>
      <c r="E98" s="3596">
        <v>3080</v>
      </c>
      <c r="F98" s="3597" t="s">
        <v>279</v>
      </c>
      <c r="G98" s="3596" t="s">
        <v>2885</v>
      </c>
      <c r="H98" s="3596"/>
      <c r="I98" s="3596"/>
      <c r="J98" s="1930" t="s">
        <v>2805</v>
      </c>
      <c r="K98" s="3599"/>
      <c r="L98" s="3598"/>
      <c r="M98" s="3598"/>
      <c r="N98" s="3596" t="s">
        <v>376</v>
      </c>
      <c r="O98" s="3596"/>
      <c r="P98" s="3600"/>
      <c r="Q98" s="3601"/>
      <c r="R98" s="3601"/>
      <c r="S98" s="3601"/>
      <c r="T98" s="3600"/>
      <c r="U98" s="3600"/>
      <c r="V98" s="3602"/>
      <c r="W98" s="1702">
        <f>+AD98*1.55*C98</f>
        <v>0</v>
      </c>
      <c r="X98" s="3620">
        <f>+ROUNDUP(W98,0)</f>
        <v>0</v>
      </c>
      <c r="Y98" s="3732">
        <f>+X98+X99</f>
        <v>0</v>
      </c>
      <c r="Z98" s="3620"/>
      <c r="AA98" s="3621">
        <v>465</v>
      </c>
      <c r="AB98" s="3622">
        <v>55</v>
      </c>
      <c r="AC98" s="3623">
        <f>+AA98+AB98</f>
        <v>520</v>
      </c>
      <c r="AD98" s="3624">
        <f>+AC98</f>
        <v>520</v>
      </c>
      <c r="AE98" s="3625">
        <f>+AD98*C98</f>
        <v>0</v>
      </c>
      <c r="AF98" s="3626">
        <f>+W98</f>
        <v>0</v>
      </c>
      <c r="AG98" s="3627">
        <f>+W98-AE98</f>
        <v>0</v>
      </c>
      <c r="AH98" s="3610" t="e">
        <f>+AG98/AF98</f>
        <v>#DIV/0!</v>
      </c>
      <c r="AI98" s="3603"/>
    </row>
    <row r="99" spans="1:35" s="3604" customFormat="1" ht="14.4" hidden="1" thickBot="1" x14ac:dyDescent="0.3">
      <c r="A99" s="3604" t="s">
        <v>3729</v>
      </c>
      <c r="C99" s="3594"/>
      <c r="D99" s="3595" t="s">
        <v>2423</v>
      </c>
      <c r="E99" s="3596">
        <v>3080</v>
      </c>
      <c r="F99" s="3605">
        <v>5.75</v>
      </c>
      <c r="G99" s="3600" t="s">
        <v>2896</v>
      </c>
      <c r="H99" s="3600" t="s">
        <v>3500</v>
      </c>
      <c r="I99" s="3600"/>
      <c r="J99" s="3598"/>
      <c r="K99" s="3606" t="s">
        <v>2962</v>
      </c>
      <c r="L99" s="3598"/>
      <c r="M99" s="3598"/>
      <c r="N99" s="3596" t="s">
        <v>2749</v>
      </c>
      <c r="O99" s="3596"/>
      <c r="P99" s="3607"/>
      <c r="Q99" s="3608"/>
      <c r="R99" s="3608"/>
      <c r="S99" s="3601"/>
      <c r="T99" s="3600"/>
      <c r="U99" s="3600"/>
      <c r="V99" s="3602"/>
      <c r="W99" s="1702">
        <f>+AD99*1.55*C99</f>
        <v>0</v>
      </c>
      <c r="X99" s="3620">
        <f>+ROUNDUP(W99,0)</f>
        <v>0</v>
      </c>
      <c r="Y99" s="3733"/>
      <c r="Z99" s="3620"/>
      <c r="AA99" s="3578">
        <v>185</v>
      </c>
      <c r="AB99" s="3556">
        <v>0</v>
      </c>
      <c r="AC99" s="2565">
        <f>+AB99*0.58</f>
        <v>0</v>
      </c>
      <c r="AD99" s="3557">
        <v>185</v>
      </c>
      <c r="AE99" s="3625"/>
      <c r="AF99" s="3626"/>
      <c r="AG99" s="3627"/>
      <c r="AH99" s="3611"/>
      <c r="AI99" s="3609"/>
    </row>
    <row r="100" spans="1:35" s="1122" customFormat="1" ht="17.399999999999999" hidden="1" customHeight="1" thickBot="1" x14ac:dyDescent="0.25">
      <c r="C100" s="1474"/>
      <c r="D100" s="1526" t="s">
        <v>2780</v>
      </c>
      <c r="E100" s="1483"/>
      <c r="F100" s="1567"/>
      <c r="G100" s="1900" t="s">
        <v>3072</v>
      </c>
      <c r="H100" s="1478"/>
      <c r="I100" s="1478"/>
      <c r="J100" s="1567"/>
      <c r="K100" s="1477"/>
      <c r="L100" s="1568"/>
      <c r="M100" s="1568"/>
      <c r="N100" s="1569"/>
      <c r="O100" s="1477"/>
      <c r="P100" s="1477"/>
      <c r="Q100" s="1477"/>
      <c r="R100" s="1477"/>
      <c r="S100" s="1452"/>
      <c r="T100" s="1452"/>
      <c r="U100" s="1452"/>
      <c r="V100" s="1484"/>
      <c r="W100" s="1478"/>
      <c r="X100" s="1479"/>
      <c r="Y100" s="1127"/>
      <c r="Z100" s="3708"/>
      <c r="AA100" s="3709"/>
      <c r="AB100" s="3710"/>
      <c r="AC100" s="3711"/>
      <c r="AD100" s="2575"/>
      <c r="AE100" s="2578"/>
      <c r="AF100" s="3619"/>
      <c r="AG100" s="1194" t="s">
        <v>19</v>
      </c>
      <c r="AH100" s="1124" t="s">
        <v>39</v>
      </c>
      <c r="AI100" s="1109"/>
    </row>
    <row r="101" spans="1:35" s="2890" customFormat="1" ht="13.8" hidden="1" x14ac:dyDescent="0.2">
      <c r="A101" s="2890" t="s">
        <v>3729</v>
      </c>
      <c r="C101" s="2181"/>
      <c r="D101" s="2064" t="s">
        <v>2626</v>
      </c>
      <c r="E101" s="1699" t="s">
        <v>3048</v>
      </c>
      <c r="F101" s="1930" t="s">
        <v>279</v>
      </c>
      <c r="G101" s="1699" t="s">
        <v>2885</v>
      </c>
      <c r="H101" s="1699"/>
      <c r="I101" s="1699"/>
      <c r="J101" s="1930" t="s">
        <v>2805</v>
      </c>
      <c r="K101" s="3581"/>
      <c r="L101" s="1911"/>
      <c r="M101" s="1911"/>
      <c r="N101" s="1699" t="s">
        <v>376</v>
      </c>
      <c r="O101" s="1699"/>
      <c r="P101" s="1705"/>
      <c r="Q101" s="2390"/>
      <c r="R101" s="2390"/>
      <c r="S101" s="2390"/>
      <c r="T101" s="1705"/>
      <c r="U101" s="1705"/>
      <c r="V101" s="3464"/>
      <c r="W101" s="3567">
        <f t="shared" ref="W101" si="48">+AD101*1.5*C101</f>
        <v>0</v>
      </c>
      <c r="X101" s="3850">
        <f>+ROUNDUP(W101,0)</f>
        <v>0</v>
      </c>
      <c r="Y101" s="3850">
        <f>+X101+X102</f>
        <v>0</v>
      </c>
      <c r="Z101" s="3713"/>
      <c r="AA101" s="3714">
        <v>422</v>
      </c>
      <c r="AB101" s="3715">
        <v>36</v>
      </c>
      <c r="AC101" s="3716">
        <f>+AB101+AA101</f>
        <v>458</v>
      </c>
      <c r="AD101" s="3717">
        <f>+AC101</f>
        <v>458</v>
      </c>
      <c r="AE101" s="3719">
        <f>+AD101*C101</f>
        <v>0</v>
      </c>
      <c r="AF101" s="3730">
        <f>+W101</f>
        <v>0</v>
      </c>
      <c r="AG101" s="3721">
        <f>+W101-AE101</f>
        <v>0</v>
      </c>
      <c r="AH101" s="3723" t="e">
        <f>+AG101/AF101</f>
        <v>#DIV/0!</v>
      </c>
      <c r="AI101" s="2899"/>
    </row>
    <row r="102" spans="1:35" s="2891" customFormat="1" ht="14.4" hidden="1" thickBot="1" x14ac:dyDescent="0.25">
      <c r="A102" s="2891" t="s">
        <v>3729</v>
      </c>
      <c r="C102" s="2181"/>
      <c r="D102" s="2064" t="s">
        <v>2423</v>
      </c>
      <c r="E102" s="1699">
        <v>3070</v>
      </c>
      <c r="F102" s="2068">
        <v>5.75</v>
      </c>
      <c r="G102" s="1705" t="s">
        <v>2896</v>
      </c>
      <c r="H102" s="1705" t="s">
        <v>3500</v>
      </c>
      <c r="I102" s="1705"/>
      <c r="J102" s="1911"/>
      <c r="K102" s="1700" t="s">
        <v>2962</v>
      </c>
      <c r="L102" s="1911"/>
      <c r="M102" s="1911"/>
      <c r="N102" s="1699" t="s">
        <v>2749</v>
      </c>
      <c r="O102" s="1699"/>
      <c r="P102" s="1704"/>
      <c r="Q102" s="2389"/>
      <c r="R102" s="2389"/>
      <c r="S102" s="2390"/>
      <c r="T102" s="1705"/>
      <c r="U102" s="1705"/>
      <c r="V102" s="3464"/>
      <c r="W102" s="3712">
        <f>+AD102*1.5</f>
        <v>247.5</v>
      </c>
      <c r="X102" s="3850"/>
      <c r="Y102" s="3850"/>
      <c r="Z102" s="3713"/>
      <c r="AA102" s="3714">
        <v>140</v>
      </c>
      <c r="AB102" s="3715">
        <v>25</v>
      </c>
      <c r="AC102" s="3716">
        <f>+AA102+AB102</f>
        <v>165</v>
      </c>
      <c r="AD102" s="3718">
        <f>+AC102</f>
        <v>165</v>
      </c>
      <c r="AE102" s="3720"/>
      <c r="AF102" s="3731"/>
      <c r="AG102" s="3722"/>
      <c r="AH102" s="3724"/>
      <c r="AI102" s="2900"/>
    </row>
    <row r="103" spans="1:35" s="1110" customFormat="1" ht="17.399999999999999" hidden="1" customHeight="1" thickBot="1" x14ac:dyDescent="0.25">
      <c r="C103" s="1489"/>
      <c r="D103" s="1490" t="s">
        <v>2780</v>
      </c>
      <c r="E103" s="1491"/>
      <c r="F103" s="1492"/>
      <c r="G103" s="1900" t="s">
        <v>3072</v>
      </c>
      <c r="H103" s="1674" t="s">
        <v>3186</v>
      </c>
      <c r="I103" s="1494"/>
      <c r="J103" s="1495"/>
      <c r="K103" s="1568"/>
      <c r="L103" s="1568"/>
      <c r="M103" s="1568"/>
      <c r="N103" s="1497" t="s">
        <v>2826</v>
      </c>
      <c r="O103" s="1709" t="s">
        <v>2842</v>
      </c>
      <c r="P103" s="1498"/>
      <c r="Q103" s="1498"/>
      <c r="R103" s="1498"/>
      <c r="S103" s="1499"/>
      <c r="T103" s="1499"/>
      <c r="U103" s="1499"/>
      <c r="V103" s="1493"/>
      <c r="W103" s="1478"/>
      <c r="X103" s="1479"/>
      <c r="Y103" s="1127"/>
      <c r="Z103" s="1107"/>
      <c r="AA103" s="2575"/>
      <c r="AB103" s="2576"/>
      <c r="AC103" s="2577"/>
      <c r="AD103" s="2587"/>
      <c r="AE103" s="2588"/>
      <c r="AF103" s="2589"/>
      <c r="AG103" s="1191" t="s">
        <v>19</v>
      </c>
      <c r="AH103" s="1123" t="s">
        <v>39</v>
      </c>
      <c r="AI103" s="1113"/>
    </row>
    <row r="104" spans="1:35" s="817" customFormat="1" ht="13.8" hidden="1" x14ac:dyDescent="0.25">
      <c r="C104" s="1501"/>
      <c r="D104" s="1428" t="s">
        <v>2955</v>
      </c>
      <c r="E104" s="1502" t="s">
        <v>2832</v>
      </c>
      <c r="F104" s="1503" t="s">
        <v>2798</v>
      </c>
      <c r="G104" s="1504"/>
      <c r="H104" s="1504"/>
      <c r="I104" s="1504"/>
      <c r="J104" s="1465" t="s">
        <v>2459</v>
      </c>
      <c r="K104" s="1506"/>
      <c r="L104" s="1465"/>
      <c r="M104" s="1536"/>
      <c r="N104" s="1505" t="s">
        <v>2636</v>
      </c>
      <c r="O104" s="1506" t="s">
        <v>2837</v>
      </c>
      <c r="P104" s="1506"/>
      <c r="Q104" s="1507"/>
      <c r="R104" s="1507"/>
      <c r="S104" s="1508"/>
      <c r="T104" s="1508"/>
      <c r="U104" s="1508"/>
      <c r="V104" s="1509"/>
      <c r="W104" s="1469">
        <f>+AD104*1.5*C104</f>
        <v>0</v>
      </c>
      <c r="X104" s="1470">
        <f>+ROUNDUP(W104,0)</f>
        <v>0</v>
      </c>
      <c r="Y104" s="3780">
        <f>SUM(X104:X106)</f>
        <v>0</v>
      </c>
      <c r="Z104" s="1031" t="s">
        <v>321</v>
      </c>
      <c r="AA104" s="3158">
        <v>381</v>
      </c>
      <c r="AB104" s="2470">
        <f>+AA104+12+7</f>
        <v>400</v>
      </c>
      <c r="AC104" s="2580">
        <f>+AB104*0.58</f>
        <v>231.99999999999997</v>
      </c>
      <c r="AD104" s="2581">
        <f>+AB104+AC104</f>
        <v>632</v>
      </c>
      <c r="AE104" s="2471"/>
      <c r="AF104" s="2582"/>
      <c r="AG104" s="1193">
        <f>+W104-AD104</f>
        <v>-632</v>
      </c>
      <c r="AH104" s="1188" t="e">
        <f>+AG104/X104</f>
        <v>#DIV/0!</v>
      </c>
      <c r="AI104" s="1033"/>
    </row>
    <row r="105" spans="1:35" s="236" customFormat="1" ht="13.8" hidden="1" x14ac:dyDescent="0.25">
      <c r="C105" s="1510"/>
      <c r="D105" s="1428" t="s">
        <v>2956</v>
      </c>
      <c r="E105" s="1472" t="s">
        <v>2628</v>
      </c>
      <c r="F105" s="1511" t="s">
        <v>2632</v>
      </c>
      <c r="G105" s="1512"/>
      <c r="H105" s="1512"/>
      <c r="I105" s="1512"/>
      <c r="J105" s="1465" t="s">
        <v>2459</v>
      </c>
      <c r="K105" s="1507"/>
      <c r="L105" s="1465"/>
      <c r="M105" s="1536"/>
      <c r="N105" s="1505" t="s">
        <v>2636</v>
      </c>
      <c r="O105" s="1507"/>
      <c r="P105" s="1513"/>
      <c r="Q105" s="1513"/>
      <c r="R105" s="1513"/>
      <c r="S105" s="1404"/>
      <c r="T105" s="1404"/>
      <c r="U105" s="1404"/>
      <c r="V105" s="1405"/>
      <c r="W105" s="1469">
        <f>+AD105*1.5*C105</f>
        <v>0</v>
      </c>
      <c r="X105" s="1470">
        <f>+ROUNDUP(W105,0)</f>
        <v>0</v>
      </c>
      <c r="Y105" s="3780"/>
      <c r="Z105" s="61" t="s">
        <v>345</v>
      </c>
      <c r="AA105" s="3174">
        <v>461</v>
      </c>
      <c r="AB105" s="2470">
        <f>+AA105+12+7</f>
        <v>480</v>
      </c>
      <c r="AC105" s="2580">
        <f>+AB105*0.58</f>
        <v>278.39999999999998</v>
      </c>
      <c r="AD105" s="2581">
        <f t="shared" ref="AD105:AD111" si="49">+AB105+AC105</f>
        <v>758.4</v>
      </c>
      <c r="AE105" s="2471"/>
      <c r="AF105" s="2582">
        <f>+X105</f>
        <v>0</v>
      </c>
      <c r="AG105" s="1193">
        <f t="shared" ref="AG105:AG111" si="50">+W105-AD105</f>
        <v>-758.4</v>
      </c>
      <c r="AH105" s="1188" t="e">
        <f>+AG105/X105</f>
        <v>#DIV/0!</v>
      </c>
      <c r="AI105" s="240"/>
    </row>
    <row r="106" spans="1:35" s="1034" customFormat="1" ht="14.4" hidden="1" thickBot="1" x14ac:dyDescent="0.3">
      <c r="C106" s="1514"/>
      <c r="D106" s="1515" t="s">
        <v>2637</v>
      </c>
      <c r="E106" s="1516">
        <v>4010</v>
      </c>
      <c r="F106" s="1517" t="s">
        <v>2836</v>
      </c>
      <c r="G106" s="1519"/>
      <c r="H106" s="1519"/>
      <c r="I106" s="1519"/>
      <c r="J106" s="1462" t="s">
        <v>2640</v>
      </c>
      <c r="K106" s="1522"/>
      <c r="L106" s="1462"/>
      <c r="M106" s="1667"/>
      <c r="N106" s="1520" t="s">
        <v>2636</v>
      </c>
      <c r="O106" s="1521" t="s">
        <v>376</v>
      </c>
      <c r="P106" s="1521"/>
      <c r="Q106" s="1521"/>
      <c r="R106" s="1521"/>
      <c r="S106" s="1523"/>
      <c r="T106" s="1523"/>
      <c r="U106" s="1523"/>
      <c r="V106" s="1524"/>
      <c r="W106" s="1469">
        <f>+AD106*1.5*C106</f>
        <v>0</v>
      </c>
      <c r="X106" s="1470">
        <f>+ROUNDUP(W106,0)</f>
        <v>0</v>
      </c>
      <c r="Y106" s="3780"/>
      <c r="Z106" s="1036" t="s">
        <v>321</v>
      </c>
      <c r="AA106" s="3178">
        <v>133</v>
      </c>
      <c r="AB106" s="2470">
        <f>+AA106+(12+125)</f>
        <v>270</v>
      </c>
      <c r="AC106" s="2580">
        <f>+AB106*0.58</f>
        <v>156.6</v>
      </c>
      <c r="AD106" s="2581">
        <f t="shared" si="49"/>
        <v>426.6</v>
      </c>
      <c r="AE106" s="2584"/>
      <c r="AF106" s="2582"/>
      <c r="AG106" s="1193">
        <f t="shared" si="50"/>
        <v>-426.6</v>
      </c>
      <c r="AH106" s="1188" t="e">
        <f>+AG106/X106</f>
        <v>#DIV/0!</v>
      </c>
      <c r="AI106" s="1038"/>
    </row>
    <row r="107" spans="1:35" s="1122" customFormat="1" ht="17.399999999999999" hidden="1" customHeight="1" thickBot="1" x14ac:dyDescent="0.25">
      <c r="C107" s="1525"/>
      <c r="D107" s="1526" t="s">
        <v>2780</v>
      </c>
      <c r="E107" s="1527"/>
      <c r="F107" s="1528" t="s">
        <v>1317</v>
      </c>
      <c r="G107" s="1900" t="s">
        <v>3072</v>
      </c>
      <c r="H107" s="1674" t="s">
        <v>3186</v>
      </c>
      <c r="I107" s="1529" t="s">
        <v>2987</v>
      </c>
      <c r="J107" s="1530" t="s">
        <v>94</v>
      </c>
      <c r="K107" s="1531" t="s">
        <v>2980</v>
      </c>
      <c r="L107" s="1531"/>
      <c r="M107" s="1531"/>
      <c r="N107" s="1532" t="s">
        <v>3001</v>
      </c>
      <c r="O107" s="3814" t="s">
        <v>2842</v>
      </c>
      <c r="P107" s="3815"/>
      <c r="Q107" s="1533"/>
      <c r="R107" s="1533"/>
      <c r="S107" s="1534"/>
      <c r="T107" s="1534"/>
      <c r="U107" s="1534"/>
      <c r="V107" s="1529"/>
      <c r="W107" s="1529"/>
      <c r="X107" s="1535"/>
      <c r="Y107" s="1127"/>
      <c r="Z107" s="1107"/>
      <c r="AA107" s="2575"/>
      <c r="AB107" s="2575"/>
      <c r="AC107" s="2587"/>
      <c r="AD107" s="2587"/>
      <c r="AE107" s="2578"/>
      <c r="AF107" s="2590"/>
      <c r="AG107" s="1194" t="s">
        <v>19</v>
      </c>
      <c r="AH107" s="1124" t="s">
        <v>39</v>
      </c>
      <c r="AI107" s="1109"/>
    </row>
    <row r="108" spans="1:35" s="817" customFormat="1" ht="13.8" hidden="1" x14ac:dyDescent="0.25">
      <c r="C108" s="1501"/>
      <c r="D108" s="1428" t="s">
        <v>2955</v>
      </c>
      <c r="E108" s="1472">
        <v>3080</v>
      </c>
      <c r="F108" s="1536" t="s">
        <v>279</v>
      </c>
      <c r="G108" s="1537"/>
      <c r="H108" s="1537"/>
      <c r="I108" s="1537" t="s">
        <v>2331</v>
      </c>
      <c r="J108" s="1538" t="s">
        <v>2998</v>
      </c>
      <c r="K108" s="1465" t="s">
        <v>2765</v>
      </c>
      <c r="L108" s="1465"/>
      <c r="M108" s="1465"/>
      <c r="N108" s="1465" t="s">
        <v>3000</v>
      </c>
      <c r="O108" s="3813" t="s">
        <v>2996</v>
      </c>
      <c r="P108" s="3813"/>
      <c r="Q108" s="1507"/>
      <c r="R108" s="1507"/>
      <c r="S108" s="1508"/>
      <c r="T108" s="1508"/>
      <c r="U108" s="1508"/>
      <c r="V108" s="1509"/>
      <c r="W108" s="1469">
        <f>850*C108</f>
        <v>0</v>
      </c>
      <c r="X108" s="1539">
        <f>+ROUNDUP(W108,0)</f>
        <v>0</v>
      </c>
      <c r="Y108" s="3780">
        <f>SUM(X108:X111)</f>
        <v>0</v>
      </c>
      <c r="Z108" s="1031" t="s">
        <v>321</v>
      </c>
      <c r="AA108" s="3158">
        <v>309</v>
      </c>
      <c r="AB108" s="2470">
        <f>+AA108+12+12</f>
        <v>333</v>
      </c>
      <c r="AC108" s="2580"/>
      <c r="AD108" s="2581">
        <f t="shared" si="49"/>
        <v>333</v>
      </c>
      <c r="AE108" s="2471"/>
      <c r="AF108" s="2582"/>
      <c r="AG108" s="1193">
        <f t="shared" si="50"/>
        <v>-333</v>
      </c>
      <c r="AH108" s="1188" t="e">
        <f>+AG108/X108</f>
        <v>#DIV/0!</v>
      </c>
      <c r="AI108" s="1033"/>
    </row>
    <row r="109" spans="1:35" s="236" customFormat="1" ht="13.8" hidden="1" x14ac:dyDescent="0.25">
      <c r="C109" s="1510"/>
      <c r="D109" s="1428" t="s">
        <v>2956</v>
      </c>
      <c r="E109" s="1472" t="s">
        <v>3002</v>
      </c>
      <c r="F109" s="1536" t="s">
        <v>279</v>
      </c>
      <c r="G109" s="1537"/>
      <c r="H109" s="1537"/>
      <c r="I109" s="1537" t="s">
        <v>2331</v>
      </c>
      <c r="J109" s="1538" t="s">
        <v>2998</v>
      </c>
      <c r="K109" s="1465"/>
      <c r="L109" s="1465"/>
      <c r="M109" s="1465"/>
      <c r="N109" s="1465" t="s">
        <v>3000</v>
      </c>
      <c r="O109" s="3813" t="s">
        <v>2829</v>
      </c>
      <c r="P109" s="3813"/>
      <c r="Q109" s="1507"/>
      <c r="R109" s="1507"/>
      <c r="S109" s="1404"/>
      <c r="T109" s="1404"/>
      <c r="U109" s="1404"/>
      <c r="V109" s="1405"/>
      <c r="W109" s="1469">
        <f>875*C109</f>
        <v>0</v>
      </c>
      <c r="X109" s="1482">
        <f>+ROUNDUP(W109,0)</f>
        <v>0</v>
      </c>
      <c r="Y109" s="3780"/>
      <c r="Z109" s="61" t="s">
        <v>321</v>
      </c>
      <c r="AA109" s="3174">
        <v>309</v>
      </c>
      <c r="AB109" s="2470">
        <f>+AA109+12+38</f>
        <v>359</v>
      </c>
      <c r="AC109" s="2580"/>
      <c r="AD109" s="2581">
        <f t="shared" si="49"/>
        <v>359</v>
      </c>
      <c r="AE109" s="2471"/>
      <c r="AF109" s="2582"/>
      <c r="AG109" s="1193">
        <f t="shared" si="50"/>
        <v>-359</v>
      </c>
      <c r="AH109" s="1188" t="e">
        <f>+AG109/X109</f>
        <v>#DIV/0!</v>
      </c>
      <c r="AI109" s="240"/>
    </row>
    <row r="110" spans="1:35" s="817" customFormat="1" ht="13.8" hidden="1" x14ac:dyDescent="0.25">
      <c r="C110" s="1540"/>
      <c r="D110" s="1541" t="s">
        <v>2638</v>
      </c>
      <c r="E110" s="1472" t="s">
        <v>2830</v>
      </c>
      <c r="F110" s="1467" t="s">
        <v>2633</v>
      </c>
      <c r="G110" s="1542"/>
      <c r="H110" s="1542"/>
      <c r="I110" s="1542"/>
      <c r="J110" s="1538" t="s">
        <v>2639</v>
      </c>
      <c r="K110" s="1536"/>
      <c r="L110" s="1536"/>
      <c r="M110" s="1536"/>
      <c r="N110" s="1465"/>
      <c r="O110" s="3813"/>
      <c r="P110" s="3813"/>
      <c r="Q110" s="1507"/>
      <c r="R110" s="1507"/>
      <c r="S110" s="1543"/>
      <c r="T110" s="1543"/>
      <c r="U110" s="1543"/>
      <c r="V110" s="1544"/>
      <c r="W110" s="1469">
        <f>+AD110*1.5*C110</f>
        <v>0</v>
      </c>
      <c r="X110" s="1482">
        <f>+ROUNDUP(W110,0)</f>
        <v>0</v>
      </c>
      <c r="Y110" s="3751"/>
      <c r="Z110" s="914" t="s">
        <v>321</v>
      </c>
      <c r="AA110" s="3175">
        <v>222</v>
      </c>
      <c r="AB110" s="2470">
        <f>+AA110+AA110/2</f>
        <v>333</v>
      </c>
      <c r="AC110" s="2580">
        <f>+AB110*0.58</f>
        <v>193.14</v>
      </c>
      <c r="AD110" s="2581">
        <f t="shared" si="49"/>
        <v>526.14</v>
      </c>
      <c r="AE110" s="2471"/>
      <c r="AF110" s="2582"/>
      <c r="AG110" s="1193">
        <f t="shared" si="50"/>
        <v>-526.14</v>
      </c>
      <c r="AH110" s="1188" t="e">
        <f>+AG110/X110</f>
        <v>#DIV/0!</v>
      </c>
      <c r="AI110" s="915"/>
    </row>
    <row r="111" spans="1:35" s="1034" customFormat="1" ht="14.4" hidden="1" thickBot="1" x14ac:dyDescent="0.3">
      <c r="C111" s="1514"/>
      <c r="D111" s="1515" t="s">
        <v>2642</v>
      </c>
      <c r="E111" s="1516" t="s">
        <v>2995</v>
      </c>
      <c r="F111" s="1545" t="s">
        <v>349</v>
      </c>
      <c r="G111" s="1901" t="s">
        <v>2997</v>
      </c>
      <c r="H111" s="1546"/>
      <c r="I111" s="1546"/>
      <c r="J111" s="1547" t="s">
        <v>2999</v>
      </c>
      <c r="K111" s="1548"/>
      <c r="L111" s="1548"/>
      <c r="M111" s="1507"/>
      <c r="N111" s="1465" t="s">
        <v>3000</v>
      </c>
      <c r="O111" s="3813" t="s">
        <v>2835</v>
      </c>
      <c r="P111" s="3813"/>
      <c r="Q111" s="1548"/>
      <c r="R111" s="1548"/>
      <c r="S111" s="1523"/>
      <c r="T111" s="1523"/>
      <c r="U111" s="1523"/>
      <c r="V111" s="1524"/>
      <c r="W111" s="1469">
        <f>+AD111*1.5*C111</f>
        <v>0</v>
      </c>
      <c r="X111" s="1549">
        <f>+ROUNDUP(W111,0)</f>
        <v>0</v>
      </c>
      <c r="Y111" s="3780"/>
      <c r="Z111" s="1036" t="s">
        <v>321</v>
      </c>
      <c r="AA111" s="3178">
        <v>144</v>
      </c>
      <c r="AB111" s="2583">
        <f>+AA111+(12+125)</f>
        <v>281</v>
      </c>
      <c r="AC111" s="2591"/>
      <c r="AD111" s="2592">
        <f t="shared" si="49"/>
        <v>281</v>
      </c>
      <c r="AE111" s="2593"/>
      <c r="AF111" s="2582"/>
      <c r="AG111" s="1193">
        <f t="shared" si="50"/>
        <v>-281</v>
      </c>
      <c r="AH111" s="1188" t="e">
        <f>+AG111/X111</f>
        <v>#DIV/0!</v>
      </c>
      <c r="AI111" s="1038"/>
    </row>
    <row r="112" spans="1:35" s="1110" customFormat="1" ht="17.399999999999999" hidden="1" customHeight="1" thickBot="1" x14ac:dyDescent="0.25">
      <c r="C112" s="1489"/>
      <c r="D112" s="1454" t="s">
        <v>2780</v>
      </c>
      <c r="E112" s="1491"/>
      <c r="F112" s="1492"/>
      <c r="G112" s="1900" t="s">
        <v>3072</v>
      </c>
      <c r="H112" s="1493"/>
      <c r="I112" s="1493"/>
      <c r="J112" s="1550"/>
      <c r="K112" s="1551"/>
      <c r="L112" s="1551"/>
      <c r="M112" s="1551"/>
      <c r="N112" s="1497" t="s">
        <v>2826</v>
      </c>
      <c r="O112" s="1710" t="s">
        <v>2842</v>
      </c>
      <c r="P112" s="1533"/>
      <c r="Q112" s="1498"/>
      <c r="R112" s="1498"/>
      <c r="S112" s="1499"/>
      <c r="T112" s="1499"/>
      <c r="U112" s="1499"/>
      <c r="V112" s="1493"/>
      <c r="W112" s="1494"/>
      <c r="X112" s="1500"/>
      <c r="Y112" s="1127"/>
      <c r="Z112" s="1111"/>
      <c r="AA112" s="2585"/>
      <c r="AB112" s="2586"/>
      <c r="AC112" s="2587"/>
      <c r="AD112" s="2587"/>
      <c r="AE112" s="2588"/>
      <c r="AF112" s="2589"/>
      <c r="AG112" s="1191" t="s">
        <v>19</v>
      </c>
      <c r="AH112" s="1123" t="s">
        <v>39</v>
      </c>
      <c r="AI112" s="1113"/>
    </row>
    <row r="113" spans="2:35" s="817" customFormat="1" ht="13.8" hidden="1" x14ac:dyDescent="0.25">
      <c r="C113" s="1501"/>
      <c r="D113" s="1552" t="s">
        <v>2626</v>
      </c>
      <c r="E113" s="1502" t="s">
        <v>2879</v>
      </c>
      <c r="F113" s="1503" t="s">
        <v>2673</v>
      </c>
      <c r="G113" s="1504"/>
      <c r="H113" s="1504"/>
      <c r="I113" s="1504"/>
      <c r="J113" s="1553" t="s">
        <v>2459</v>
      </c>
      <c r="K113" s="1506"/>
      <c r="L113" s="1536"/>
      <c r="M113" s="1536"/>
      <c r="N113" s="1505" t="s">
        <v>2636</v>
      </c>
      <c r="O113" s="1506" t="s">
        <v>2837</v>
      </c>
      <c r="P113" s="1506"/>
      <c r="Q113" s="1507"/>
      <c r="R113" s="1507"/>
      <c r="S113" s="1508"/>
      <c r="T113" s="1508"/>
      <c r="U113" s="1508"/>
      <c r="V113" s="1509"/>
      <c r="W113" s="1469">
        <f>+AD113*1.5*C113</f>
        <v>0</v>
      </c>
      <c r="X113" s="1470">
        <f>+ROUNDUP(W113,0)</f>
        <v>0</v>
      </c>
      <c r="Y113" s="3780">
        <f>SUM(X113:X115)</f>
        <v>0</v>
      </c>
      <c r="Z113" s="1031" t="s">
        <v>321</v>
      </c>
      <c r="AA113" s="3158">
        <v>381</v>
      </c>
      <c r="AB113" s="2470">
        <f>+AA113+12+7</f>
        <v>400</v>
      </c>
      <c r="AC113" s="2580">
        <f>+AB113*0.58</f>
        <v>231.99999999999997</v>
      </c>
      <c r="AD113" s="2581">
        <f>+AB113+AC113</f>
        <v>632</v>
      </c>
      <c r="AE113" s="2471"/>
      <c r="AF113" s="2582"/>
      <c r="AG113" s="1193">
        <f>+W113-AD113</f>
        <v>-632</v>
      </c>
      <c r="AH113" s="1188" t="e">
        <f>+AG113/X113</f>
        <v>#DIV/0!</v>
      </c>
      <c r="AI113" s="1033"/>
    </row>
    <row r="114" spans="2:35" s="236" customFormat="1" ht="13.8" hidden="1" x14ac:dyDescent="0.25">
      <c r="C114" s="1510"/>
      <c r="D114" s="1541" t="s">
        <v>2627</v>
      </c>
      <c r="E114" s="1472" t="s">
        <v>2878</v>
      </c>
      <c r="F114" s="1511" t="s">
        <v>2632</v>
      </c>
      <c r="G114" s="1512"/>
      <c r="H114" s="1512"/>
      <c r="I114" s="1512"/>
      <c r="J114" s="1465" t="s">
        <v>2459</v>
      </c>
      <c r="K114" s="1507"/>
      <c r="L114" s="1536"/>
      <c r="M114" s="1536"/>
      <c r="N114" s="1505" t="s">
        <v>2636</v>
      </c>
      <c r="O114" s="1507"/>
      <c r="P114" s="1513"/>
      <c r="Q114" s="1513"/>
      <c r="R114" s="1513"/>
      <c r="S114" s="1404"/>
      <c r="T114" s="1404"/>
      <c r="U114" s="1404"/>
      <c r="V114" s="1405"/>
      <c r="W114" s="1469">
        <f>+AD114*1.5*C114</f>
        <v>0</v>
      </c>
      <c r="X114" s="1470">
        <f>+ROUNDUP(W114,0)</f>
        <v>0</v>
      </c>
      <c r="Y114" s="3780"/>
      <c r="Z114" s="61" t="s">
        <v>345</v>
      </c>
      <c r="AA114" s="3174">
        <v>461</v>
      </c>
      <c r="AB114" s="2470">
        <f>+AA114+12+7</f>
        <v>480</v>
      </c>
      <c r="AC114" s="2580">
        <f>+AB114*0.58</f>
        <v>278.39999999999998</v>
      </c>
      <c r="AD114" s="2581">
        <f>+AB114+AC114</f>
        <v>758.4</v>
      </c>
      <c r="AE114" s="2471"/>
      <c r="AF114" s="2582">
        <f>+X114</f>
        <v>0</v>
      </c>
      <c r="AG114" s="1193">
        <f>+W114-AD114</f>
        <v>-758.4</v>
      </c>
      <c r="AH114" s="1188" t="e">
        <f>+AG114/X114</f>
        <v>#DIV/0!</v>
      </c>
      <c r="AI114" s="240"/>
    </row>
    <row r="115" spans="2:35" s="1034" customFormat="1" ht="14.4" hidden="1" thickBot="1" x14ac:dyDescent="0.3">
      <c r="C115" s="1514"/>
      <c r="D115" s="1515" t="s">
        <v>2637</v>
      </c>
      <c r="E115" s="1516">
        <v>4010</v>
      </c>
      <c r="F115" s="1517" t="s">
        <v>2836</v>
      </c>
      <c r="G115" s="1519"/>
      <c r="H115" s="1518"/>
      <c r="I115" s="1518"/>
      <c r="J115" s="1554" t="s">
        <v>2640</v>
      </c>
      <c r="K115" s="1522"/>
      <c r="L115" s="1548"/>
      <c r="M115" s="1548"/>
      <c r="N115" s="1555" t="s">
        <v>2636</v>
      </c>
      <c r="O115" s="1521" t="s">
        <v>376</v>
      </c>
      <c r="P115" s="1521"/>
      <c r="Q115" s="1521"/>
      <c r="R115" s="1521"/>
      <c r="S115" s="1523"/>
      <c r="T115" s="1523"/>
      <c r="U115" s="1523"/>
      <c r="V115" s="1524"/>
      <c r="W115" s="1469">
        <f>+AD115*1.5*C115</f>
        <v>0</v>
      </c>
      <c r="X115" s="1470">
        <f>+ROUNDUP(W115,0)</f>
        <v>0</v>
      </c>
      <c r="Y115" s="3780"/>
      <c r="Z115" s="1036" t="s">
        <v>321</v>
      </c>
      <c r="AA115" s="3178">
        <v>133</v>
      </c>
      <c r="AB115" s="2470">
        <f>+AA115+(12+125)</f>
        <v>270</v>
      </c>
      <c r="AC115" s="2580">
        <f>+AB115*0.58</f>
        <v>156.6</v>
      </c>
      <c r="AD115" s="2581">
        <f>+AB115+AC115</f>
        <v>426.6</v>
      </c>
      <c r="AE115" s="2584"/>
      <c r="AF115" s="2582"/>
      <c r="AG115" s="1193">
        <f>+W115-AD115</f>
        <v>-426.6</v>
      </c>
      <c r="AH115" s="1188" t="e">
        <f>+AG115/X115</f>
        <v>#DIV/0!</v>
      </c>
      <c r="AI115" s="1038"/>
    </row>
    <row r="116" spans="2:35" s="1122" customFormat="1" ht="17.399999999999999" hidden="1" customHeight="1" thickBot="1" x14ac:dyDescent="0.25">
      <c r="C116" s="1525"/>
      <c r="D116" s="1454" t="s">
        <v>2780</v>
      </c>
      <c r="E116" s="1527"/>
      <c r="F116" s="1556" t="s">
        <v>3046</v>
      </c>
      <c r="G116" s="1900" t="s">
        <v>3072</v>
      </c>
      <c r="H116" s="1557"/>
      <c r="I116" s="1557"/>
      <c r="J116" s="1476" t="s">
        <v>94</v>
      </c>
      <c r="K116" s="1531"/>
      <c r="L116" s="1531"/>
      <c r="M116" s="1531"/>
      <c r="N116" s="1532" t="s">
        <v>2827</v>
      </c>
      <c r="O116" s="3807"/>
      <c r="P116" s="3808"/>
      <c r="Q116" s="1533"/>
      <c r="R116" s="1533"/>
      <c r="S116" s="1534"/>
      <c r="T116" s="1534"/>
      <c r="U116" s="1534"/>
      <c r="V116" s="1529"/>
      <c r="W116" s="1529"/>
      <c r="X116" s="1535"/>
      <c r="Y116" s="1131"/>
      <c r="Z116" s="1107"/>
      <c r="AA116" s="2575"/>
      <c r="AB116" s="2575"/>
      <c r="AC116" s="2587"/>
      <c r="AD116" s="2587"/>
      <c r="AE116" s="2578"/>
      <c r="AF116" s="2590"/>
      <c r="AG116" s="1194" t="s">
        <v>19</v>
      </c>
      <c r="AH116" s="1124" t="s">
        <v>39</v>
      </c>
      <c r="AI116" s="1109"/>
    </row>
    <row r="117" spans="2:35" s="238" customFormat="1" ht="14.4" hidden="1" thickBot="1" x14ac:dyDescent="0.25">
      <c r="C117" s="1558"/>
      <c r="D117" s="1428" t="s">
        <v>2626</v>
      </c>
      <c r="E117" s="1480" t="s">
        <v>3058</v>
      </c>
      <c r="F117" s="1400" t="s">
        <v>279</v>
      </c>
      <c r="G117" s="1902" t="s">
        <v>428</v>
      </c>
      <c r="H117" s="1480"/>
      <c r="I117" s="1480"/>
      <c r="J117" s="1400" t="s">
        <v>2805</v>
      </c>
      <c r="K117" s="1486"/>
      <c r="L117" s="1401"/>
      <c r="M117" s="1401"/>
      <c r="N117" s="1559" t="s">
        <v>2636</v>
      </c>
      <c r="O117" s="1560" t="s">
        <v>525</v>
      </c>
      <c r="P117" s="1462"/>
      <c r="Q117" s="1462"/>
      <c r="R117" s="1462"/>
      <c r="S117" s="1462"/>
      <c r="T117" s="1462"/>
      <c r="U117" s="1462"/>
      <c r="V117" s="1468"/>
      <c r="W117" s="1561">
        <f>+AD117*1.5*C117</f>
        <v>0</v>
      </c>
      <c r="X117" s="1562">
        <f>+ROUNDUP(W117,0)</f>
        <v>0</v>
      </c>
      <c r="Y117" s="3792">
        <f>SUM(X117:X119)</f>
        <v>0</v>
      </c>
      <c r="Z117" s="74" t="s">
        <v>321</v>
      </c>
      <c r="AA117" s="3164">
        <v>351</v>
      </c>
      <c r="AB117" s="2509">
        <v>47</v>
      </c>
      <c r="AC117" s="2513">
        <f>+AB117*0.58</f>
        <v>27.259999999999998</v>
      </c>
      <c r="AD117" s="2497">
        <f>+AB117+AC117</f>
        <v>74.259999999999991</v>
      </c>
      <c r="AE117" s="2465"/>
      <c r="AF117" s="2594"/>
      <c r="AG117" s="1193">
        <f>+W117-AD117</f>
        <v>-74.259999999999991</v>
      </c>
      <c r="AH117" s="1353" t="e">
        <f>+AG117/X117</f>
        <v>#DIV/0!</v>
      </c>
      <c r="AI117" s="1023"/>
    </row>
    <row r="118" spans="2:35" s="236" customFormat="1" ht="14.4" hidden="1" thickBot="1" x14ac:dyDescent="0.25">
      <c r="B118" s="238"/>
      <c r="C118" s="1510"/>
      <c r="D118" s="1428" t="s">
        <v>2627</v>
      </c>
      <c r="E118" s="1480" t="s">
        <v>3059</v>
      </c>
      <c r="F118" s="1400" t="s">
        <v>279</v>
      </c>
      <c r="G118" s="1480" t="s">
        <v>428</v>
      </c>
      <c r="H118" s="1480"/>
      <c r="I118" s="1480"/>
      <c r="J118" s="1400" t="s">
        <v>2805</v>
      </c>
      <c r="K118" s="1486"/>
      <c r="L118" s="1401"/>
      <c r="M118" s="1401"/>
      <c r="N118" s="1559" t="s">
        <v>2636</v>
      </c>
      <c r="O118" s="1560" t="s">
        <v>2829</v>
      </c>
      <c r="P118" s="1463"/>
      <c r="Q118" s="1463"/>
      <c r="R118" s="1463"/>
      <c r="S118" s="1462"/>
      <c r="T118" s="1462"/>
      <c r="U118" s="1462"/>
      <c r="V118" s="1468"/>
      <c r="W118" s="1561">
        <f>+AD118*1.5*C118</f>
        <v>0</v>
      </c>
      <c r="X118" s="1482">
        <f>+ROUNDUP(W118,0)</f>
        <v>0</v>
      </c>
      <c r="Y118" s="3857"/>
      <c r="Z118" s="61" t="s">
        <v>321</v>
      </c>
      <c r="AA118" s="3179">
        <v>351</v>
      </c>
      <c r="AB118" s="2509">
        <f>47+25</f>
        <v>72</v>
      </c>
      <c r="AC118" s="2513">
        <f>+AB118*0.58</f>
        <v>41.76</v>
      </c>
      <c r="AD118" s="2497">
        <f>+AB118+AC118</f>
        <v>113.75999999999999</v>
      </c>
      <c r="AE118" s="2465"/>
      <c r="AF118" s="2594"/>
      <c r="AG118" s="1193">
        <f>+W118-AD118</f>
        <v>-113.75999999999999</v>
      </c>
      <c r="AH118" s="1353" t="e">
        <f>+AG118/X118</f>
        <v>#DIV/0!</v>
      </c>
      <c r="AI118" s="240"/>
    </row>
    <row r="119" spans="2:35" s="1287" customFormat="1" ht="14.4" hidden="1" thickBot="1" x14ac:dyDescent="0.25">
      <c r="C119" s="1563"/>
      <c r="D119" s="1564" t="s">
        <v>2642</v>
      </c>
      <c r="E119" s="1480">
        <v>6080</v>
      </c>
      <c r="F119" s="1442"/>
      <c r="G119" s="1439" t="s">
        <v>2997</v>
      </c>
      <c r="H119" s="1439"/>
      <c r="I119" s="1439"/>
      <c r="J119" s="1400" t="s">
        <v>2805</v>
      </c>
      <c r="K119" s="1486"/>
      <c r="L119" s="1401"/>
      <c r="M119" s="1996"/>
      <c r="N119" s="1565" t="s">
        <v>2636</v>
      </c>
      <c r="O119" s="1560" t="s">
        <v>2835</v>
      </c>
      <c r="P119" s="1463"/>
      <c r="Q119" s="1463"/>
      <c r="R119" s="1463"/>
      <c r="S119" s="1462"/>
      <c r="T119" s="1462"/>
      <c r="U119" s="1462"/>
      <c r="V119" s="1468"/>
      <c r="W119" s="1561">
        <f>+AD119*1.5*C119</f>
        <v>0</v>
      </c>
      <c r="X119" s="1566">
        <f>+ROUNDUP(W119,0)</f>
        <v>0</v>
      </c>
      <c r="Y119" s="3793"/>
      <c r="Z119" s="193" t="s">
        <v>321</v>
      </c>
      <c r="AA119" s="3165">
        <v>144</v>
      </c>
      <c r="AB119" s="2510">
        <f>+AA119+(12+125)</f>
        <v>281</v>
      </c>
      <c r="AC119" s="2548">
        <f>+AB119*0.58</f>
        <v>162.97999999999999</v>
      </c>
      <c r="AD119" s="2511">
        <f>+AB119+AC119</f>
        <v>443.98</v>
      </c>
      <c r="AE119" s="2502"/>
      <c r="AF119" s="2594"/>
      <c r="AG119" s="1193">
        <f>+W119-AD119</f>
        <v>-443.98</v>
      </c>
      <c r="AH119" s="1353" t="e">
        <f>+AG119/X119</f>
        <v>#DIV/0!</v>
      </c>
      <c r="AI119" s="1121"/>
    </row>
    <row r="120" spans="2:35" s="1122" customFormat="1" ht="17.399999999999999" hidden="1" customHeight="1" thickBot="1" x14ac:dyDescent="0.25">
      <c r="C120" s="1474"/>
      <c r="D120" s="1526" t="s">
        <v>2780</v>
      </c>
      <c r="E120" s="1483"/>
      <c r="F120" s="1567"/>
      <c r="G120" s="1900" t="s">
        <v>3072</v>
      </c>
      <c r="H120" s="1478"/>
      <c r="I120" s="1478"/>
      <c r="J120" s="1567"/>
      <c r="K120" s="1477"/>
      <c r="L120" s="1568"/>
      <c r="M120" s="1568"/>
      <c r="N120" s="1569"/>
      <c r="O120" s="1477"/>
      <c r="P120" s="1477"/>
      <c r="Q120" s="1477"/>
      <c r="R120" s="1477"/>
      <c r="S120" s="1452"/>
      <c r="T120" s="1452"/>
      <c r="U120" s="1452"/>
      <c r="V120" s="1484"/>
      <c r="W120" s="1478"/>
      <c r="X120" s="1479"/>
      <c r="Y120" s="1127"/>
      <c r="Z120" s="1107"/>
      <c r="AA120" s="2575"/>
      <c r="AB120" s="2576"/>
      <c r="AC120" s="2577"/>
      <c r="AD120" s="2575"/>
      <c r="AE120" s="2578"/>
      <c r="AF120" s="2589"/>
      <c r="AG120" s="1191" t="s">
        <v>19</v>
      </c>
      <c r="AH120" s="1124" t="s">
        <v>39</v>
      </c>
      <c r="AI120" s="1109"/>
    </row>
    <row r="121" spans="2:35" s="1003" customFormat="1" ht="13.8" hidden="1" x14ac:dyDescent="0.2">
      <c r="C121" s="1398"/>
      <c r="D121" s="1428" t="s">
        <v>2626</v>
      </c>
      <c r="E121" s="1399" t="s">
        <v>2895</v>
      </c>
      <c r="F121" s="1400"/>
      <c r="G121" s="1399" t="s">
        <v>2885</v>
      </c>
      <c r="H121" s="1399"/>
      <c r="I121" s="1399"/>
      <c r="J121" s="1400" t="s">
        <v>2886</v>
      </c>
      <c r="K121" s="1429"/>
      <c r="L121" s="1400"/>
      <c r="M121" s="1400"/>
      <c r="N121" s="1399" t="s">
        <v>376</v>
      </c>
      <c r="O121" s="1399"/>
      <c r="P121" s="1462"/>
      <c r="Q121" s="1467"/>
      <c r="R121" s="1467"/>
      <c r="S121" s="1467"/>
      <c r="T121" s="1462"/>
      <c r="U121" s="1462"/>
      <c r="V121" s="1570"/>
      <c r="W121" s="3949">
        <f>AD121*C121*1.5</f>
        <v>0</v>
      </c>
      <c r="X121" s="3952">
        <f>+ROUNDUP(W121,0)</f>
        <v>0</v>
      </c>
      <c r="Y121" s="3779">
        <f>+X121+X122</f>
        <v>0</v>
      </c>
      <c r="Z121" s="74" t="s">
        <v>2897</v>
      </c>
      <c r="AA121" s="3912">
        <v>2551</v>
      </c>
      <c r="AB121" s="2462"/>
      <c r="AC121" s="2463">
        <f>+AB121*0.58</f>
        <v>0</v>
      </c>
      <c r="AD121" s="3915">
        <v>2551</v>
      </c>
      <c r="AE121" s="3886">
        <f>+AD121*C121</f>
        <v>0</v>
      </c>
      <c r="AF121" s="3884">
        <f>+W121</f>
        <v>0</v>
      </c>
      <c r="AG121" s="3891">
        <f>+W121-AE121</f>
        <v>0</v>
      </c>
      <c r="AH121" s="3944" t="e">
        <f>+AG121/AF121</f>
        <v>#DIV/0!</v>
      </c>
      <c r="AI121" s="1023"/>
    </row>
    <row r="122" spans="2:35" s="1120" customFormat="1" ht="14.4" hidden="1" thickBot="1" x14ac:dyDescent="0.25">
      <c r="C122" s="1398"/>
      <c r="D122" s="1428" t="s">
        <v>2423</v>
      </c>
      <c r="E122" s="1399" t="s">
        <v>2909</v>
      </c>
      <c r="F122" s="1439" t="s">
        <v>2820</v>
      </c>
      <c r="G122" s="1462" t="s">
        <v>2896</v>
      </c>
      <c r="H122" s="1462"/>
      <c r="I122" s="1462"/>
      <c r="J122" s="1400" t="s">
        <v>2886</v>
      </c>
      <c r="K122" s="1429"/>
      <c r="L122" s="1400"/>
      <c r="M122" s="1400"/>
      <c r="N122" s="1399" t="s">
        <v>2749</v>
      </c>
      <c r="O122" s="1399"/>
      <c r="P122" s="1463"/>
      <c r="Q122" s="1488"/>
      <c r="R122" s="1488"/>
      <c r="S122" s="1467"/>
      <c r="T122" s="1462"/>
      <c r="U122" s="1462"/>
      <c r="V122" s="1570"/>
      <c r="W122" s="3950"/>
      <c r="X122" s="3953"/>
      <c r="Y122" s="3747"/>
      <c r="Z122" s="74" t="s">
        <v>2897</v>
      </c>
      <c r="AA122" s="3913"/>
      <c r="AB122" s="2462"/>
      <c r="AC122" s="2463"/>
      <c r="AD122" s="3916"/>
      <c r="AE122" s="3917"/>
      <c r="AF122" s="3885"/>
      <c r="AG122" s="3893"/>
      <c r="AH122" s="3945"/>
      <c r="AI122" s="1121"/>
    </row>
    <row r="123" spans="2:35" s="1110" customFormat="1" ht="17.399999999999999" hidden="1" customHeight="1" thickBot="1" x14ac:dyDescent="0.25">
      <c r="C123" s="1446"/>
      <c r="D123" s="1887" t="s">
        <v>3162</v>
      </c>
      <c r="E123" s="1483" t="s">
        <v>93</v>
      </c>
      <c r="F123" s="1886" t="s">
        <v>3161</v>
      </c>
      <c r="G123" s="1900" t="s">
        <v>3072</v>
      </c>
      <c r="H123" s="1571" t="s">
        <v>35</v>
      </c>
      <c r="I123" s="1484" t="s">
        <v>3163</v>
      </c>
      <c r="J123" s="1571" t="s">
        <v>94</v>
      </c>
      <c r="K123" s="1452"/>
      <c r="L123" s="1568"/>
      <c r="M123" s="1568"/>
      <c r="N123" s="1569"/>
      <c r="O123" s="1452"/>
      <c r="P123" s="1452"/>
      <c r="Q123" s="1452"/>
      <c r="R123" s="1452"/>
      <c r="S123" s="1451"/>
      <c r="T123" s="1451"/>
      <c r="U123" s="1451"/>
      <c r="V123" s="1572"/>
      <c r="W123" s="1484"/>
      <c r="X123" s="1485"/>
      <c r="Y123" s="1127"/>
      <c r="Z123" s="1111"/>
      <c r="AA123" s="2585"/>
      <c r="AB123" s="2586"/>
      <c r="AC123" s="2587"/>
      <c r="AD123" s="2585"/>
      <c r="AE123" s="2588"/>
      <c r="AF123" s="2589"/>
      <c r="AG123" s="1192"/>
      <c r="AH123" s="1112" t="s">
        <v>19</v>
      </c>
      <c r="AI123" s="1113"/>
    </row>
    <row r="124" spans="2:35" s="1003" customFormat="1" ht="13.8" hidden="1" x14ac:dyDescent="0.2">
      <c r="B124" s="1003" t="s">
        <v>3262</v>
      </c>
      <c r="C124" s="1698"/>
      <c r="D124" s="997" t="s">
        <v>2626</v>
      </c>
      <c r="E124" s="1066">
        <v>4070</v>
      </c>
      <c r="F124" s="1055" t="s">
        <v>279</v>
      </c>
      <c r="G124" s="1055"/>
      <c r="H124" s="1066" t="s">
        <v>3146</v>
      </c>
      <c r="I124" s="1066" t="s">
        <v>78</v>
      </c>
      <c r="J124" s="1066" t="s">
        <v>3260</v>
      </c>
      <c r="K124" s="1060"/>
      <c r="L124" s="1400"/>
      <c r="M124" s="1400"/>
      <c r="N124" s="1055"/>
      <c r="O124" s="1055"/>
      <c r="P124" s="1462"/>
      <c r="Q124" s="1462"/>
      <c r="R124" s="1462"/>
      <c r="S124" s="1462"/>
      <c r="T124" s="1462"/>
      <c r="U124" s="1462"/>
      <c r="V124" s="1468"/>
      <c r="W124" s="818">
        <f>AE124*C124*1.8</f>
        <v>0</v>
      </c>
      <c r="X124" s="1720">
        <f>+ROUNDUP(W124,0)</f>
        <v>0</v>
      </c>
      <c r="Y124" s="3930">
        <f>+X124+X125</f>
        <v>0</v>
      </c>
      <c r="Z124" s="74" t="s">
        <v>321</v>
      </c>
      <c r="AA124" s="3180">
        <v>347</v>
      </c>
      <c r="AB124" s="2462">
        <v>1.58</v>
      </c>
      <c r="AC124" s="2463">
        <f>+AA124*AB124</f>
        <v>548.26</v>
      </c>
      <c r="AD124" s="2464">
        <f>+AC124</f>
        <v>548.26</v>
      </c>
      <c r="AE124" s="2526">
        <f>+AD124</f>
        <v>548.26</v>
      </c>
      <c r="AF124" s="2466"/>
      <c r="AG124" s="1189">
        <f>+W124-(AE124*C124)</f>
        <v>0</v>
      </c>
      <c r="AH124" s="1072" t="e">
        <f>+AG124/W124</f>
        <v>#DIV/0!</v>
      </c>
      <c r="AI124" s="1023"/>
    </row>
    <row r="125" spans="2:35" s="1120" customFormat="1" ht="14.4" hidden="1" thickBot="1" x14ac:dyDescent="0.25">
      <c r="B125" s="1120" t="s">
        <v>3262</v>
      </c>
      <c r="C125" s="1698"/>
      <c r="D125" s="997" t="s">
        <v>2423</v>
      </c>
      <c r="E125" s="1712">
        <v>4070</v>
      </c>
      <c r="F125" s="1896" t="s">
        <v>3259</v>
      </c>
      <c r="G125" s="1711" t="s">
        <v>349</v>
      </c>
      <c r="H125" s="1711" t="s">
        <v>2749</v>
      </c>
      <c r="I125" s="1066" t="s">
        <v>3261</v>
      </c>
      <c r="J125" s="1066" t="s">
        <v>2953</v>
      </c>
      <c r="K125" s="1060"/>
      <c r="L125" s="1400"/>
      <c r="M125" s="1400"/>
      <c r="N125" s="1055" t="s">
        <v>328</v>
      </c>
      <c r="O125" s="1055"/>
      <c r="P125" s="1463"/>
      <c r="Q125" s="1463"/>
      <c r="R125" s="1463"/>
      <c r="S125" s="1462"/>
      <c r="T125" s="1462"/>
      <c r="U125" s="1462"/>
      <c r="V125" s="1468"/>
      <c r="W125" s="818">
        <f>AE125*C125*1.8</f>
        <v>0</v>
      </c>
      <c r="X125" s="1720">
        <f>+ROUNDUP(W125,0)</f>
        <v>0</v>
      </c>
      <c r="Y125" s="3930"/>
      <c r="Z125" s="193" t="s">
        <v>321</v>
      </c>
      <c r="AA125" s="3181">
        <v>135</v>
      </c>
      <c r="AB125" s="2513">
        <v>1.58</v>
      </c>
      <c r="AC125" s="2463">
        <f>+AA125*AB125</f>
        <v>213.3</v>
      </c>
      <c r="AD125" s="2501">
        <f>+AA125</f>
        <v>135</v>
      </c>
      <c r="AE125" s="2526">
        <f>+AC125+AB125+AA125</f>
        <v>349.88</v>
      </c>
      <c r="AF125" s="2466"/>
      <c r="AG125" s="1189">
        <f>+W125-(AE125*C125)</f>
        <v>0</v>
      </c>
      <c r="AH125" s="1072" t="e">
        <f>+AG125/W125</f>
        <v>#DIV/0!</v>
      </c>
      <c r="AI125" s="1121"/>
    </row>
    <row r="126" spans="2:35" s="1110" customFormat="1" ht="17.399999999999999" hidden="1" customHeight="1" thickBot="1" x14ac:dyDescent="0.25">
      <c r="C126" s="1714"/>
      <c r="D126" s="1887" t="s">
        <v>3162</v>
      </c>
      <c r="E126" s="1715" t="s">
        <v>93</v>
      </c>
      <c r="F126" s="1888" t="s">
        <v>3161</v>
      </c>
      <c r="G126" s="1900" t="s">
        <v>3072</v>
      </c>
      <c r="H126" s="1713"/>
      <c r="I126" s="1575"/>
      <c r="J126" s="1713"/>
      <c r="K126" s="1717"/>
      <c r="L126" s="1496"/>
      <c r="M126" s="1496"/>
      <c r="N126" s="1716"/>
      <c r="O126" s="1717"/>
      <c r="P126" s="1576"/>
      <c r="Q126" s="1576"/>
      <c r="R126" s="1576"/>
      <c r="S126" s="1451"/>
      <c r="T126" s="1451"/>
      <c r="U126" s="1451"/>
      <c r="V126" s="1572"/>
      <c r="W126" s="1572"/>
      <c r="X126" s="1500"/>
      <c r="Y126" s="1127"/>
      <c r="Z126" s="1111"/>
      <c r="AA126" s="2585"/>
      <c r="AB126" s="2586"/>
      <c r="AC126" s="2587"/>
      <c r="AD126" s="2585"/>
      <c r="AE126" s="2588"/>
      <c r="AF126" s="2589"/>
      <c r="AG126" s="1191" t="s">
        <v>19</v>
      </c>
      <c r="AH126" s="1123" t="s">
        <v>39</v>
      </c>
      <c r="AI126" s="1113"/>
    </row>
    <row r="127" spans="2:35" s="2890" customFormat="1" ht="14.4" hidden="1" thickBot="1" x14ac:dyDescent="0.25">
      <c r="B127" s="2891" t="s">
        <v>2672</v>
      </c>
      <c r="C127" s="2181"/>
      <c r="D127" s="2064" t="s">
        <v>2626</v>
      </c>
      <c r="E127" s="2065" t="s">
        <v>3614</v>
      </c>
      <c r="F127" s="1699" t="s">
        <v>3322</v>
      </c>
      <c r="G127" s="1066" t="s">
        <v>3145</v>
      </c>
      <c r="H127" s="1907" t="s">
        <v>1204</v>
      </c>
      <c r="I127" s="1055" t="s">
        <v>3251</v>
      </c>
      <c r="J127" s="1907" t="s">
        <v>3620</v>
      </c>
      <c r="K127" s="1911" t="s">
        <v>3623</v>
      </c>
      <c r="L127" s="1400"/>
      <c r="M127" s="1400"/>
      <c r="N127" s="1055"/>
      <c r="O127" s="1055"/>
      <c r="P127" s="1462"/>
      <c r="Q127" s="1467"/>
      <c r="R127" s="1467"/>
      <c r="S127" s="1467"/>
      <c r="T127" s="1462"/>
      <c r="U127" s="1462">
        <f>+W127/10</f>
        <v>0</v>
      </c>
      <c r="V127" s="1468"/>
      <c r="W127" s="818">
        <f>AE127*C127*1.44</f>
        <v>0</v>
      </c>
      <c r="X127" s="1720">
        <f>+ROUNDUP(W127,0)</f>
        <v>0</v>
      </c>
      <c r="Y127" s="3931">
        <f>+X127+X128</f>
        <v>0</v>
      </c>
      <c r="Z127" s="2892" t="s">
        <v>321</v>
      </c>
      <c r="AA127" s="3182">
        <v>4600</v>
      </c>
      <c r="AB127" s="2478">
        <v>1</v>
      </c>
      <c r="AC127" s="2894">
        <v>4600</v>
      </c>
      <c r="AD127" s="2895">
        <f>+AC127</f>
        <v>4600</v>
      </c>
      <c r="AE127" s="2896">
        <f>+AD127</f>
        <v>4600</v>
      </c>
      <c r="AF127" s="2897"/>
      <c r="AG127" s="2151">
        <f>+W127-(AE127*C127)</f>
        <v>0</v>
      </c>
      <c r="AH127" s="2898" t="e">
        <f>+AG127/W127</f>
        <v>#DIV/0!</v>
      </c>
      <c r="AI127" s="2899"/>
    </row>
    <row r="128" spans="2:35" s="2891" customFormat="1" ht="14.4" hidden="1" thickBot="1" x14ac:dyDescent="0.25">
      <c r="B128" s="2891" t="s">
        <v>2672</v>
      </c>
      <c r="C128" s="2181"/>
      <c r="D128" s="2064" t="s">
        <v>3621</v>
      </c>
      <c r="E128" s="2065" t="s">
        <v>3615</v>
      </c>
      <c r="F128" s="2068" t="s">
        <v>3622</v>
      </c>
      <c r="G128" s="1711" t="s">
        <v>349</v>
      </c>
      <c r="H128" s="1907" t="s">
        <v>1204</v>
      </c>
      <c r="I128" s="1707" t="s">
        <v>3628</v>
      </c>
      <c r="J128" s="1907" t="s">
        <v>3620</v>
      </c>
      <c r="K128" s="1911" t="s">
        <v>3624</v>
      </c>
      <c r="L128" s="1400"/>
      <c r="M128" s="1400"/>
      <c r="N128" s="1055" t="s">
        <v>328</v>
      </c>
      <c r="O128" s="1055"/>
      <c r="P128" s="1463"/>
      <c r="Q128" s="1488"/>
      <c r="R128" s="1488"/>
      <c r="S128" s="1467"/>
      <c r="T128" s="1462"/>
      <c r="U128" s="1462"/>
      <c r="V128" s="1468"/>
      <c r="W128" s="818">
        <f>AD128*C128*1.5</f>
        <v>0</v>
      </c>
      <c r="X128" s="1720">
        <f>+ROUNDUP(W128,0)</f>
        <v>0</v>
      </c>
      <c r="Y128" s="3931"/>
      <c r="Z128" s="2156" t="s">
        <v>321</v>
      </c>
      <c r="AA128" s="3161"/>
      <c r="AB128" s="2893"/>
      <c r="AC128" s="2894"/>
      <c r="AD128" s="2492">
        <f>+AA128</f>
        <v>0</v>
      </c>
      <c r="AE128" s="2896">
        <f>+AC128+AB128+AA128</f>
        <v>0</v>
      </c>
      <c r="AF128" s="2897"/>
      <c r="AG128" s="2151">
        <f>+W128-(AE128*C128)</f>
        <v>0</v>
      </c>
      <c r="AH128" s="2898" t="e">
        <f>+AG128/W128</f>
        <v>#DIV/0!</v>
      </c>
      <c r="AI128" s="2900"/>
    </row>
    <row r="129" spans="2:35" s="1110" customFormat="1" ht="17.399999999999999" hidden="1" customHeight="1" thickBot="1" x14ac:dyDescent="0.25">
      <c r="C129" s="1714"/>
      <c r="D129" s="1887" t="s">
        <v>3162</v>
      </c>
      <c r="E129" s="1715" t="s">
        <v>93</v>
      </c>
      <c r="F129" s="1888" t="s">
        <v>3161</v>
      </c>
      <c r="G129" s="1900" t="s">
        <v>3072</v>
      </c>
      <c r="H129" s="1713"/>
      <c r="I129" s="1575"/>
      <c r="J129" s="1713"/>
      <c r="K129" s="1717"/>
      <c r="L129" s="1496"/>
      <c r="M129" s="1496"/>
      <c r="N129" s="1716"/>
      <c r="O129" s="1717"/>
      <c r="P129" s="1576"/>
      <c r="Q129" s="1576"/>
      <c r="R129" s="1576"/>
      <c r="S129" s="1451"/>
      <c r="T129" s="1451"/>
      <c r="U129" s="1451"/>
      <c r="V129" s="1572"/>
      <c r="W129" s="1572"/>
      <c r="X129" s="1500"/>
      <c r="Y129" s="1127"/>
      <c r="Z129" s="1111"/>
      <c r="AA129" s="2585"/>
      <c r="AB129" s="2586"/>
      <c r="AC129" s="2587"/>
      <c r="AD129" s="2585"/>
      <c r="AE129" s="2588"/>
      <c r="AF129" s="2589"/>
      <c r="AG129" s="1191" t="s">
        <v>19</v>
      </c>
      <c r="AH129" s="1123" t="s">
        <v>39</v>
      </c>
      <c r="AI129" s="1113"/>
    </row>
    <row r="130" spans="2:35" s="2890" customFormat="1" ht="14.4" hidden="1" thickBot="1" x14ac:dyDescent="0.25">
      <c r="B130" s="2891" t="s">
        <v>2672</v>
      </c>
      <c r="C130" s="2181"/>
      <c r="D130" s="2064" t="s">
        <v>2626</v>
      </c>
      <c r="E130" s="2065" t="s">
        <v>3616</v>
      </c>
      <c r="F130" s="1699" t="s">
        <v>3322</v>
      </c>
      <c r="G130" s="1066" t="s">
        <v>3145</v>
      </c>
      <c r="H130" s="1907" t="s">
        <v>1204</v>
      </c>
      <c r="I130" s="1055" t="s">
        <v>3251</v>
      </c>
      <c r="J130" s="1907" t="s">
        <v>3620</v>
      </c>
      <c r="K130" s="1911" t="s">
        <v>3623</v>
      </c>
      <c r="L130" s="1400"/>
      <c r="M130" s="1400"/>
      <c r="N130" s="1055"/>
      <c r="O130" s="1055"/>
      <c r="P130" s="1462"/>
      <c r="Q130" s="1467"/>
      <c r="R130" s="1467"/>
      <c r="S130" s="1467"/>
      <c r="T130" s="1462"/>
      <c r="U130" s="1462">
        <f>+W130/10</f>
        <v>0</v>
      </c>
      <c r="V130" s="1468"/>
      <c r="W130" s="818">
        <f>AE130*C130*1.44</f>
        <v>0</v>
      </c>
      <c r="X130" s="1720">
        <f>+ROUNDUP(W130,0)</f>
        <v>0</v>
      </c>
      <c r="Y130" s="3931">
        <f>+X130+X131</f>
        <v>0</v>
      </c>
      <c r="Z130" s="2892" t="s">
        <v>321</v>
      </c>
      <c r="AA130" s="3182">
        <v>4600</v>
      </c>
      <c r="AB130" s="2478">
        <v>1</v>
      </c>
      <c r="AC130" s="2894">
        <v>4600</v>
      </c>
      <c r="AD130" s="2895">
        <f>+AC130</f>
        <v>4600</v>
      </c>
      <c r="AE130" s="2896">
        <f>+AD130</f>
        <v>4600</v>
      </c>
      <c r="AF130" s="2897"/>
      <c r="AG130" s="2151">
        <f>+W130-(AE130*C130)</f>
        <v>0</v>
      </c>
      <c r="AH130" s="2898" t="e">
        <f>+AG130/W130</f>
        <v>#DIV/0!</v>
      </c>
      <c r="AI130" s="2899"/>
    </row>
    <row r="131" spans="2:35" s="2891" customFormat="1" ht="14.4" hidden="1" thickBot="1" x14ac:dyDescent="0.25">
      <c r="B131" s="2891" t="s">
        <v>2672</v>
      </c>
      <c r="C131" s="2181"/>
      <c r="D131" s="2064" t="s">
        <v>3621</v>
      </c>
      <c r="E131" s="2065" t="s">
        <v>3617</v>
      </c>
      <c r="F131" s="2068" t="s">
        <v>3622</v>
      </c>
      <c r="G131" s="1711" t="s">
        <v>349</v>
      </c>
      <c r="H131" s="1907" t="s">
        <v>1204</v>
      </c>
      <c r="I131" s="1707" t="s">
        <v>3628</v>
      </c>
      <c r="J131" s="1907" t="s">
        <v>3620</v>
      </c>
      <c r="K131" s="1911" t="s">
        <v>3624</v>
      </c>
      <c r="L131" s="1400"/>
      <c r="M131" s="1400"/>
      <c r="N131" s="1055" t="s">
        <v>328</v>
      </c>
      <c r="O131" s="1055"/>
      <c r="P131" s="1463"/>
      <c r="Q131" s="1488"/>
      <c r="R131" s="1488"/>
      <c r="S131" s="1467"/>
      <c r="T131" s="1462"/>
      <c r="U131" s="1462"/>
      <c r="V131" s="1468"/>
      <c r="W131" s="818">
        <f>AD131*C131*1.5</f>
        <v>0</v>
      </c>
      <c r="X131" s="1720">
        <f>+ROUNDUP(W131,0)</f>
        <v>0</v>
      </c>
      <c r="Y131" s="3931"/>
      <c r="Z131" s="2156" t="s">
        <v>321</v>
      </c>
      <c r="AA131" s="3161"/>
      <c r="AB131" s="2893"/>
      <c r="AC131" s="2894"/>
      <c r="AD131" s="2492">
        <f>+AA131</f>
        <v>0</v>
      </c>
      <c r="AE131" s="2896">
        <f>+AC131+AB131+AA131</f>
        <v>0</v>
      </c>
      <c r="AF131" s="2897"/>
      <c r="AG131" s="2151">
        <f>+W131-(AE131*C131)</f>
        <v>0</v>
      </c>
      <c r="AH131" s="2898" t="e">
        <f>+AG131/W131</f>
        <v>#DIV/0!</v>
      </c>
      <c r="AI131" s="2900"/>
    </row>
    <row r="132" spans="2:35" s="1110" customFormat="1" ht="17.399999999999999" hidden="1" customHeight="1" thickBot="1" x14ac:dyDescent="0.25">
      <c r="C132" s="1714"/>
      <c r="D132" s="1887" t="s">
        <v>3162</v>
      </c>
      <c r="E132" s="1715" t="s">
        <v>93</v>
      </c>
      <c r="F132" s="1888" t="s">
        <v>3161</v>
      </c>
      <c r="G132" s="1900" t="s">
        <v>3072</v>
      </c>
      <c r="H132" s="1713"/>
      <c r="I132" s="1575"/>
      <c r="J132" s="1713"/>
      <c r="K132" s="1717"/>
      <c r="L132" s="1496"/>
      <c r="M132" s="1496"/>
      <c r="N132" s="1716"/>
      <c r="O132" s="1717"/>
      <c r="P132" s="1576"/>
      <c r="Q132" s="1576"/>
      <c r="R132" s="1576"/>
      <c r="S132" s="1451"/>
      <c r="T132" s="1451"/>
      <c r="U132" s="1451"/>
      <c r="V132" s="1572"/>
      <c r="W132" s="1572"/>
      <c r="X132" s="1500"/>
      <c r="Y132" s="1127"/>
      <c r="Z132" s="1111"/>
      <c r="AA132" s="2585"/>
      <c r="AB132" s="2586"/>
      <c r="AC132" s="2587"/>
      <c r="AD132" s="2585"/>
      <c r="AE132" s="2588"/>
      <c r="AF132" s="2589"/>
      <c r="AG132" s="1191" t="s">
        <v>19</v>
      </c>
      <c r="AH132" s="1123" t="s">
        <v>39</v>
      </c>
      <c r="AI132" s="1113"/>
    </row>
    <row r="133" spans="2:35" s="2890" customFormat="1" ht="14.4" hidden="1" thickBot="1" x14ac:dyDescent="0.25">
      <c r="B133" s="2891" t="s">
        <v>2672</v>
      </c>
      <c r="C133" s="2181"/>
      <c r="D133" s="2064" t="s">
        <v>2626</v>
      </c>
      <c r="E133" s="2065" t="s">
        <v>3618</v>
      </c>
      <c r="F133" s="1699" t="s">
        <v>3322</v>
      </c>
      <c r="G133" s="1066" t="s">
        <v>3145</v>
      </c>
      <c r="H133" s="1907" t="s">
        <v>1204</v>
      </c>
      <c r="I133" s="1055" t="s">
        <v>3251</v>
      </c>
      <c r="J133" s="1907" t="s">
        <v>3620</v>
      </c>
      <c r="K133" s="1911" t="s">
        <v>3623</v>
      </c>
      <c r="L133" s="1400"/>
      <c r="M133" s="1400"/>
      <c r="N133" s="1055"/>
      <c r="O133" s="1055"/>
      <c r="P133" s="1462"/>
      <c r="Q133" s="1467"/>
      <c r="R133" s="1467"/>
      <c r="S133" s="1467"/>
      <c r="T133" s="1462"/>
      <c r="U133" s="1462">
        <f>+W133/10</f>
        <v>0</v>
      </c>
      <c r="V133" s="1468"/>
      <c r="W133" s="818">
        <f>AE133*C133*1.44</f>
        <v>0</v>
      </c>
      <c r="X133" s="1720">
        <f>+ROUNDUP(W133,0)</f>
        <v>0</v>
      </c>
      <c r="Y133" s="3931">
        <f>+X133+X134</f>
        <v>0</v>
      </c>
      <c r="Z133" s="2892" t="s">
        <v>321</v>
      </c>
      <c r="AA133" s="3182">
        <v>4600</v>
      </c>
      <c r="AB133" s="2478">
        <v>1</v>
      </c>
      <c r="AC133" s="2894">
        <v>4600</v>
      </c>
      <c r="AD133" s="2895">
        <f>+AC133</f>
        <v>4600</v>
      </c>
      <c r="AE133" s="2896">
        <f>+AD133</f>
        <v>4600</v>
      </c>
      <c r="AF133" s="2897"/>
      <c r="AG133" s="2151">
        <f>+W133-(AE133*C133)</f>
        <v>0</v>
      </c>
      <c r="AH133" s="2898" t="e">
        <f>+AG133/W133</f>
        <v>#DIV/0!</v>
      </c>
      <c r="AI133" s="2899"/>
    </row>
    <row r="134" spans="2:35" s="2891" customFormat="1" ht="14.4" hidden="1" thickBot="1" x14ac:dyDescent="0.25">
      <c r="B134" s="2891" t="s">
        <v>2672</v>
      </c>
      <c r="C134" s="2181"/>
      <c r="D134" s="2064" t="s">
        <v>3621</v>
      </c>
      <c r="E134" s="2065" t="s">
        <v>3619</v>
      </c>
      <c r="F134" s="2068" t="s">
        <v>3622</v>
      </c>
      <c r="G134" s="1711" t="s">
        <v>349</v>
      </c>
      <c r="H134" s="1907" t="s">
        <v>1204</v>
      </c>
      <c r="I134" s="1707" t="s">
        <v>3628</v>
      </c>
      <c r="J134" s="1907" t="s">
        <v>3620</v>
      </c>
      <c r="K134" s="1911" t="s">
        <v>3624</v>
      </c>
      <c r="L134" s="1400"/>
      <c r="M134" s="1400"/>
      <c r="N134" s="1055" t="s">
        <v>328</v>
      </c>
      <c r="O134" s="1055"/>
      <c r="P134" s="1463"/>
      <c r="Q134" s="1488"/>
      <c r="R134" s="1488"/>
      <c r="S134" s="1467"/>
      <c r="T134" s="1462"/>
      <c r="U134" s="1462"/>
      <c r="V134" s="1468"/>
      <c r="W134" s="818">
        <f>AD134*C134*1.5</f>
        <v>0</v>
      </c>
      <c r="X134" s="1720">
        <f>+ROUNDUP(W134,0)</f>
        <v>0</v>
      </c>
      <c r="Y134" s="3931"/>
      <c r="Z134" s="2156" t="s">
        <v>321</v>
      </c>
      <c r="AA134" s="3161"/>
      <c r="AB134" s="2893"/>
      <c r="AC134" s="2894"/>
      <c r="AD134" s="2492">
        <f>+AA134</f>
        <v>0</v>
      </c>
      <c r="AE134" s="2896">
        <f>+AC134+AB134+AA134</f>
        <v>0</v>
      </c>
      <c r="AF134" s="2897"/>
      <c r="AG134" s="2151">
        <f>+W134-(AE134*C134)</f>
        <v>0</v>
      </c>
      <c r="AH134" s="2898" t="e">
        <f>+AG134/W134</f>
        <v>#DIV/0!</v>
      </c>
      <c r="AI134" s="2900"/>
    </row>
    <row r="135" spans="2:35" s="1331" customFormat="1" ht="17.399999999999999" hidden="1" customHeight="1" thickBot="1" x14ac:dyDescent="0.3">
      <c r="B135" s="1361"/>
      <c r="C135" s="1453"/>
      <c r="D135" s="1721" t="s">
        <v>3503</v>
      </c>
      <c r="E135" s="1455" t="s">
        <v>2460</v>
      </c>
      <c r="F135" s="1456"/>
      <c r="G135" s="2061" t="s">
        <v>3072</v>
      </c>
      <c r="H135" s="1937" t="s">
        <v>3186</v>
      </c>
      <c r="I135" s="1937" t="s">
        <v>2987</v>
      </c>
      <c r="J135" s="1456" t="s">
        <v>94</v>
      </c>
      <c r="K135" s="1457"/>
      <c r="L135" s="1457"/>
      <c r="M135" s="1457"/>
      <c r="N135" s="1458" t="s">
        <v>2990</v>
      </c>
      <c r="O135" s="1459" t="s">
        <v>2980</v>
      </c>
      <c r="P135" s="1457"/>
      <c r="Q135" s="1457"/>
      <c r="R135" s="1457"/>
      <c r="S135" s="1457"/>
      <c r="T135" s="1457"/>
      <c r="U135" s="2184"/>
      <c r="V135" s="2185"/>
      <c r="W135" s="2185"/>
      <c r="X135" s="1460"/>
      <c r="Y135" s="1329"/>
      <c r="Z135" s="1332"/>
      <c r="AA135" s="2550"/>
      <c r="AB135" s="2551"/>
      <c r="AC135" s="2552" t="s">
        <v>2825</v>
      </c>
      <c r="AD135" s="2550" t="s">
        <v>37</v>
      </c>
      <c r="AE135" s="2553"/>
      <c r="AF135" s="2554"/>
      <c r="AG135" s="1333" t="s">
        <v>19</v>
      </c>
      <c r="AH135" s="1334" t="s">
        <v>39</v>
      </c>
    </row>
    <row r="136" spans="2:35" s="817" customFormat="1" ht="14.4" hidden="1" thickBot="1" x14ac:dyDescent="0.3">
      <c r="B136" s="2891" t="s">
        <v>2672</v>
      </c>
      <c r="C136" s="3115"/>
      <c r="D136" s="1705" t="s">
        <v>310</v>
      </c>
      <c r="E136" s="1704" t="s">
        <v>3233</v>
      </c>
      <c r="F136" s="1699" t="s">
        <v>279</v>
      </c>
      <c r="G136" s="1464" t="s">
        <v>2331</v>
      </c>
      <c r="H136" s="3117" t="s">
        <v>3499</v>
      </c>
      <c r="I136" s="1464"/>
      <c r="J136" s="1911" t="s">
        <v>3498</v>
      </c>
      <c r="K136" s="1911" t="s">
        <v>141</v>
      </c>
      <c r="L136" s="1465"/>
      <c r="M136" s="1465"/>
      <c r="N136" s="1399" t="s">
        <v>328</v>
      </c>
      <c r="O136" s="1466" t="s">
        <v>141</v>
      </c>
      <c r="P136" s="1462"/>
      <c r="Q136" s="1462"/>
      <c r="R136" s="1462"/>
      <c r="S136" s="1467"/>
      <c r="T136" s="1462"/>
      <c r="U136" s="1462"/>
      <c r="V136" s="1468"/>
      <c r="W136" s="3110">
        <f>AD136*C136*(1.6)</f>
        <v>0</v>
      </c>
      <c r="X136" s="1470">
        <f>+ROUNDUP(W136,0)</f>
        <v>0</v>
      </c>
      <c r="Y136" s="3933">
        <f>+X136+X137+X138</f>
        <v>0</v>
      </c>
      <c r="Z136" s="1128" t="s">
        <v>3501</v>
      </c>
      <c r="AA136" s="3158"/>
      <c r="AB136" s="2462"/>
      <c r="AC136" s="2463"/>
      <c r="AD136" s="2464">
        <v>4620</v>
      </c>
      <c r="AE136" s="2471">
        <f>+AD136</f>
        <v>4620</v>
      </c>
      <c r="AF136" s="2472">
        <f>+AE136</f>
        <v>4620</v>
      </c>
      <c r="AG136" s="1189">
        <f>+W136-AE136</f>
        <v>-4620</v>
      </c>
      <c r="AH136" s="1125" t="e">
        <f>+AG136/W136</f>
        <v>#DIV/0!</v>
      </c>
      <c r="AI136" s="1033"/>
    </row>
    <row r="137" spans="2:35" s="236" customFormat="1" ht="14.4" hidden="1" thickBot="1" x14ac:dyDescent="0.3">
      <c r="B137" s="2891" t="s">
        <v>2672</v>
      </c>
      <c r="C137" s="2181"/>
      <c r="D137" s="1705" t="s">
        <v>25</v>
      </c>
      <c r="E137" s="1911" t="s">
        <v>3497</v>
      </c>
      <c r="F137" s="1699" t="s">
        <v>279</v>
      </c>
      <c r="G137" s="1464" t="s">
        <v>2331</v>
      </c>
      <c r="H137" s="3117" t="s">
        <v>3499</v>
      </c>
      <c r="I137" s="1464"/>
      <c r="J137" s="1911" t="s">
        <v>3498</v>
      </c>
      <c r="K137" s="1705" t="s">
        <v>3502</v>
      </c>
      <c r="L137" s="1465"/>
      <c r="M137" s="1465"/>
      <c r="N137" s="1399" t="s">
        <v>328</v>
      </c>
      <c r="O137" s="1400" t="s">
        <v>2720</v>
      </c>
      <c r="P137" s="1401"/>
      <c r="Q137" s="1401"/>
      <c r="R137" s="1401"/>
      <c r="S137" s="1437"/>
      <c r="T137" s="1399"/>
      <c r="U137" s="1399"/>
      <c r="V137" s="1438"/>
      <c r="W137" s="1469">
        <f>AD137*C137*1.6</f>
        <v>0</v>
      </c>
      <c r="X137" s="1471">
        <f>+ROUNDUP(W137,0)</f>
        <v>0</v>
      </c>
      <c r="Y137" s="3933"/>
      <c r="Z137" s="1128" t="s">
        <v>3501</v>
      </c>
      <c r="AA137" s="3174"/>
      <c r="AB137" s="2462"/>
      <c r="AC137" s="2463"/>
      <c r="AD137" s="2464"/>
      <c r="AE137" s="2473"/>
      <c r="AF137" s="2472"/>
      <c r="AG137" s="1189"/>
      <c r="AH137" s="1125" t="e">
        <f>+AG137/W137</f>
        <v>#DIV/0!</v>
      </c>
      <c r="AI137" s="240"/>
    </row>
    <row r="138" spans="2:35" s="817" customFormat="1" ht="14.4" hidden="1" thickBot="1" x14ac:dyDescent="0.3">
      <c r="B138" s="2891" t="s">
        <v>2672</v>
      </c>
      <c r="C138" s="3116"/>
      <c r="D138" s="2344" t="s">
        <v>2642</v>
      </c>
      <c r="E138" s="2342">
        <v>6070</v>
      </c>
      <c r="F138" s="2344" t="s">
        <v>3508</v>
      </c>
      <c r="G138" s="1665">
        <v>3</v>
      </c>
      <c r="H138" s="3118" t="s">
        <v>3500</v>
      </c>
      <c r="I138" s="1665"/>
      <c r="J138" s="1911" t="s">
        <v>3498</v>
      </c>
      <c r="K138" s="3119" t="s">
        <v>3315</v>
      </c>
      <c r="L138" s="1664"/>
      <c r="M138" s="1664"/>
      <c r="N138" s="1413" t="s">
        <v>328</v>
      </c>
      <c r="O138" s="1664" t="s">
        <v>2720</v>
      </c>
      <c r="P138" s="1666"/>
      <c r="Q138" s="1666"/>
      <c r="R138" s="1666"/>
      <c r="S138" s="1667"/>
      <c r="T138" s="1664"/>
      <c r="U138" s="1664"/>
      <c r="V138" s="1668"/>
      <c r="W138" s="1669">
        <f>AD138*C138*1.6</f>
        <v>0</v>
      </c>
      <c r="X138" s="1670">
        <f>+ROUNDUP(W138,0)</f>
        <v>0</v>
      </c>
      <c r="Y138" s="3933"/>
      <c r="Z138" s="1128" t="s">
        <v>3501</v>
      </c>
      <c r="AA138" s="3175"/>
      <c r="AB138" s="2555"/>
      <c r="AC138" s="2556"/>
      <c r="AD138" s="2557"/>
      <c r="AE138" s="2558"/>
      <c r="AF138" s="2559"/>
      <c r="AG138" s="1671"/>
      <c r="AH138" s="1672" t="e">
        <f>+AG138/W138</f>
        <v>#DIV/0!</v>
      </c>
      <c r="AI138" s="915"/>
    </row>
    <row r="139" spans="2:35" s="1110" customFormat="1" ht="17.399999999999999" hidden="1" customHeight="1" thickBot="1" x14ac:dyDescent="0.25">
      <c r="C139" s="1489"/>
      <c r="D139" s="1490" t="s">
        <v>2780</v>
      </c>
      <c r="E139" s="1491"/>
      <c r="F139" s="1577"/>
      <c r="G139" s="1900" t="s">
        <v>3072</v>
      </c>
      <c r="H139" s="1578"/>
      <c r="I139" s="1578"/>
      <c r="J139" s="1550"/>
      <c r="K139" s="1551"/>
      <c r="L139" s="1551"/>
      <c r="M139" s="1551"/>
      <c r="N139" s="1497" t="s">
        <v>2826</v>
      </c>
      <c r="O139" s="1709" t="s">
        <v>2842</v>
      </c>
      <c r="P139" s="1498"/>
      <c r="Q139" s="1498"/>
      <c r="R139" s="1498"/>
      <c r="S139" s="1499"/>
      <c r="T139" s="1499"/>
      <c r="U139" s="1499"/>
      <c r="V139" s="1493"/>
      <c r="W139" s="1494"/>
      <c r="X139" s="1500"/>
      <c r="Y139" s="1127"/>
      <c r="Z139" s="1111"/>
      <c r="AA139" s="2585"/>
      <c r="AB139" s="2586"/>
      <c r="AC139" s="2587"/>
      <c r="AD139" s="2587"/>
      <c r="AE139" s="2588"/>
      <c r="AF139" s="2589"/>
      <c r="AG139" s="1191" t="s">
        <v>19</v>
      </c>
      <c r="AH139" s="1123" t="s">
        <v>39</v>
      </c>
      <c r="AI139" s="1113"/>
    </row>
    <row r="140" spans="2:35" s="817" customFormat="1" ht="13.8" hidden="1" x14ac:dyDescent="0.25">
      <c r="C140" s="1501"/>
      <c r="D140" s="1552" t="s">
        <v>2626</v>
      </c>
      <c r="E140" s="1502" t="s">
        <v>2832</v>
      </c>
      <c r="F140" s="1579" t="s">
        <v>2798</v>
      </c>
      <c r="G140" s="1580"/>
      <c r="H140" s="1580"/>
      <c r="I140" s="1580"/>
      <c r="J140" s="1553" t="s">
        <v>2459</v>
      </c>
      <c r="K140" s="1506"/>
      <c r="L140" s="1536"/>
      <c r="M140" s="1536"/>
      <c r="N140" s="1505" t="s">
        <v>2636</v>
      </c>
      <c r="O140" s="1506" t="s">
        <v>2837</v>
      </c>
      <c r="P140" s="1506"/>
      <c r="Q140" s="1507"/>
      <c r="R140" s="1507"/>
      <c r="S140" s="1508"/>
      <c r="T140" s="1508"/>
      <c r="U140" s="1508"/>
      <c r="V140" s="1509"/>
      <c r="W140" s="1469">
        <f>+AD140*1.5*C140</f>
        <v>0</v>
      </c>
      <c r="X140" s="1470">
        <f>+ROUNDUP(W140,0)</f>
        <v>0</v>
      </c>
      <c r="Y140" s="3780">
        <f>SUM(X140:X143)</f>
        <v>0</v>
      </c>
      <c r="Z140" s="1031" t="s">
        <v>321</v>
      </c>
      <c r="AA140" s="3158">
        <v>381</v>
      </c>
      <c r="AB140" s="2470">
        <f>+AA140+12+7</f>
        <v>400</v>
      </c>
      <c r="AC140" s="2580">
        <f>+AB140*0.58</f>
        <v>231.99999999999997</v>
      </c>
      <c r="AD140" s="2581">
        <f>+AB140+AC140</f>
        <v>632</v>
      </c>
      <c r="AE140" s="2471"/>
      <c r="AF140" s="2582"/>
      <c r="AG140" s="1193">
        <f>+W140-AD140</f>
        <v>-632</v>
      </c>
      <c r="AH140" s="1188" t="e">
        <f>+AG140/X140</f>
        <v>#DIV/0!</v>
      </c>
      <c r="AI140" s="1033"/>
    </row>
    <row r="141" spans="2:35" s="236" customFormat="1" ht="13.8" hidden="1" x14ac:dyDescent="0.25">
      <c r="C141" s="1510"/>
      <c r="D141" s="1541" t="s">
        <v>2627</v>
      </c>
      <c r="E141" s="1472" t="s">
        <v>2628</v>
      </c>
      <c r="F141" s="1581" t="s">
        <v>2632</v>
      </c>
      <c r="G141" s="1512"/>
      <c r="H141" s="1512"/>
      <c r="I141" s="1512"/>
      <c r="J141" s="1465" t="s">
        <v>2459</v>
      </c>
      <c r="K141" s="1507"/>
      <c r="L141" s="1536"/>
      <c r="M141" s="1536"/>
      <c r="N141" s="1505" t="s">
        <v>2636</v>
      </c>
      <c r="O141" s="1507"/>
      <c r="P141" s="1513"/>
      <c r="Q141" s="1513"/>
      <c r="R141" s="1513"/>
      <c r="S141" s="1404"/>
      <c r="T141" s="1404"/>
      <c r="U141" s="1404"/>
      <c r="V141" s="1405"/>
      <c r="W141" s="1469">
        <f>+AD141*1.5*C141</f>
        <v>0</v>
      </c>
      <c r="X141" s="1470">
        <f>+ROUNDUP(W141,0)</f>
        <v>0</v>
      </c>
      <c r="Y141" s="3780"/>
      <c r="Z141" s="61" t="s">
        <v>345</v>
      </c>
      <c r="AA141" s="3174">
        <v>461</v>
      </c>
      <c r="AB141" s="2470">
        <f>+AA141+12+7</f>
        <v>480</v>
      </c>
      <c r="AC141" s="2580">
        <f>+AB141*0.58</f>
        <v>278.39999999999998</v>
      </c>
      <c r="AD141" s="2581">
        <f>+AB141+AC141</f>
        <v>758.4</v>
      </c>
      <c r="AE141" s="2471"/>
      <c r="AF141" s="2582">
        <f>+X141</f>
        <v>0</v>
      </c>
      <c r="AG141" s="1193">
        <f>+W141-AD141</f>
        <v>-758.4</v>
      </c>
      <c r="AH141" s="1188" t="e">
        <f>+AG141/X141</f>
        <v>#DIV/0!</v>
      </c>
      <c r="AI141" s="240"/>
    </row>
    <row r="142" spans="2:35" s="817" customFormat="1" ht="13.8" hidden="1" x14ac:dyDescent="0.25">
      <c r="C142" s="1540"/>
      <c r="D142" s="1541" t="s">
        <v>2638</v>
      </c>
      <c r="E142" s="1472" t="s">
        <v>2831</v>
      </c>
      <c r="F142" s="1467" t="s">
        <v>2633</v>
      </c>
      <c r="G142" s="1542"/>
      <c r="H142" s="1542"/>
      <c r="I142" s="1542"/>
      <c r="J142" s="1465" t="s">
        <v>2639</v>
      </c>
      <c r="K142" s="1536"/>
      <c r="L142" s="1536"/>
      <c r="M142" s="1536"/>
      <c r="N142" s="1465"/>
      <c r="O142" s="3775"/>
      <c r="P142" s="3775"/>
      <c r="Q142" s="1582"/>
      <c r="R142" s="1582"/>
      <c r="S142" s="1543"/>
      <c r="T142" s="1543"/>
      <c r="U142" s="1543"/>
      <c r="V142" s="1544"/>
      <c r="W142" s="1469">
        <f>+AD142*1.5*C142</f>
        <v>0</v>
      </c>
      <c r="X142" s="1470">
        <f>+ROUNDUP(W142,0)</f>
        <v>0</v>
      </c>
      <c r="Y142" s="3780"/>
      <c r="Z142" s="914" t="s">
        <v>321</v>
      </c>
      <c r="AA142" s="3175">
        <v>222</v>
      </c>
      <c r="AB142" s="2470">
        <f>+AA142+AA142/2</f>
        <v>333</v>
      </c>
      <c r="AC142" s="2580">
        <f>+AB142*0.58</f>
        <v>193.14</v>
      </c>
      <c r="AD142" s="2581">
        <f>+AB142+AC142</f>
        <v>526.14</v>
      </c>
      <c r="AE142" s="2471"/>
      <c r="AF142" s="2582"/>
      <c r="AG142" s="1193">
        <f>+W142-AD142</f>
        <v>-526.14</v>
      </c>
      <c r="AH142" s="1188" t="e">
        <f>+AG142/X142</f>
        <v>#DIV/0!</v>
      </c>
      <c r="AI142" s="915"/>
    </row>
    <row r="143" spans="2:35" s="1034" customFormat="1" ht="14.4" hidden="1" thickBot="1" x14ac:dyDescent="0.3">
      <c r="C143" s="1514"/>
      <c r="D143" s="1515" t="s">
        <v>2637</v>
      </c>
      <c r="E143" s="1516">
        <v>4010</v>
      </c>
      <c r="F143" s="1517" t="s">
        <v>2836</v>
      </c>
      <c r="G143" s="1518"/>
      <c r="H143" s="1518"/>
      <c r="I143" s="1518"/>
      <c r="J143" s="1554" t="s">
        <v>2640</v>
      </c>
      <c r="K143" s="1522"/>
      <c r="L143" s="1548"/>
      <c r="M143" s="1548"/>
      <c r="N143" s="1555" t="s">
        <v>2636</v>
      </c>
      <c r="O143" s="1521" t="s">
        <v>376</v>
      </c>
      <c r="P143" s="1521"/>
      <c r="Q143" s="1521"/>
      <c r="R143" s="1521"/>
      <c r="S143" s="1523"/>
      <c r="T143" s="1523"/>
      <c r="U143" s="1523"/>
      <c r="V143" s="1524"/>
      <c r="W143" s="1469">
        <f>+AD143*1.5*C143</f>
        <v>0</v>
      </c>
      <c r="X143" s="1470">
        <f>+ROUNDUP(W143,0)</f>
        <v>0</v>
      </c>
      <c r="Y143" s="3780"/>
      <c r="Z143" s="1036" t="s">
        <v>321</v>
      </c>
      <c r="AA143" s="3178">
        <v>133</v>
      </c>
      <c r="AB143" s="2470">
        <f>+AA143+(12+125)</f>
        <v>270</v>
      </c>
      <c r="AC143" s="2580">
        <f>+AB143*0.58</f>
        <v>156.6</v>
      </c>
      <c r="AD143" s="2581">
        <f>+AB143+AC143</f>
        <v>426.6</v>
      </c>
      <c r="AE143" s="2584"/>
      <c r="AF143" s="2582"/>
      <c r="AG143" s="1193">
        <f>+W143-AD143</f>
        <v>-426.6</v>
      </c>
      <c r="AH143" s="1188" t="e">
        <f>+AG143/X143</f>
        <v>#DIV/0!</v>
      </c>
      <c r="AI143" s="1038"/>
    </row>
    <row r="144" spans="2:35" s="1122" customFormat="1" ht="17.399999999999999" hidden="1" customHeight="1" thickBot="1" x14ac:dyDescent="0.25">
      <c r="C144" s="1525"/>
      <c r="D144" s="1526" t="s">
        <v>2780</v>
      </c>
      <c r="E144" s="1527"/>
      <c r="F144" s="1583"/>
      <c r="G144" s="1900" t="s">
        <v>3072</v>
      </c>
      <c r="H144" s="1584"/>
      <c r="I144" s="1584"/>
      <c r="J144" s="1530"/>
      <c r="K144" s="1531"/>
      <c r="L144" s="1531"/>
      <c r="M144" s="1531"/>
      <c r="N144" s="1532" t="s">
        <v>2827</v>
      </c>
      <c r="O144" s="3807" t="s">
        <v>2842</v>
      </c>
      <c r="P144" s="3808"/>
      <c r="Q144" s="1533"/>
      <c r="R144" s="1533"/>
      <c r="S144" s="1534"/>
      <c r="T144" s="1534"/>
      <c r="U144" s="1534"/>
      <c r="V144" s="1529"/>
      <c r="W144" s="1529"/>
      <c r="X144" s="1535"/>
      <c r="Y144" s="1131"/>
      <c r="Z144" s="1107"/>
      <c r="AA144" s="2575"/>
      <c r="AB144" s="2575"/>
      <c r="AC144" s="2587"/>
      <c r="AD144" s="2587"/>
      <c r="AE144" s="2578"/>
      <c r="AF144" s="2590"/>
      <c r="AG144" s="1194" t="s">
        <v>19</v>
      </c>
      <c r="AH144" s="1124" t="s">
        <v>39</v>
      </c>
      <c r="AI144" s="1109"/>
    </row>
    <row r="145" spans="2:35" s="817" customFormat="1" ht="14.4" hidden="1" thickBot="1" x14ac:dyDescent="0.3">
      <c r="C145" s="1501"/>
      <c r="D145" s="1541" t="s">
        <v>2626</v>
      </c>
      <c r="E145" s="1472" t="s">
        <v>2833</v>
      </c>
      <c r="F145" s="1585" t="s">
        <v>2631</v>
      </c>
      <c r="G145" s="1580"/>
      <c r="H145" s="1580"/>
      <c r="I145" s="1580"/>
      <c r="J145" s="1538" t="s">
        <v>2459</v>
      </c>
      <c r="K145" s="1465"/>
      <c r="L145" s="1465"/>
      <c r="M145" s="1465"/>
      <c r="N145" s="1473" t="s">
        <v>2636</v>
      </c>
      <c r="O145" s="3748" t="s">
        <v>525</v>
      </c>
      <c r="P145" s="3749"/>
      <c r="Q145" s="1507"/>
      <c r="R145" s="1507"/>
      <c r="S145" s="1508"/>
      <c r="T145" s="1508"/>
      <c r="U145" s="1508"/>
      <c r="V145" s="1509"/>
      <c r="W145" s="1469">
        <f>+AD145*1.5*C145</f>
        <v>0</v>
      </c>
      <c r="X145" s="1539">
        <f>+ROUNDUP(W145,0)</f>
        <v>0</v>
      </c>
      <c r="Y145" s="3750">
        <f>SUM(X145:X148)</f>
        <v>0</v>
      </c>
      <c r="Z145" s="1031" t="s">
        <v>321</v>
      </c>
      <c r="AA145" s="3158">
        <v>309</v>
      </c>
      <c r="AB145" s="2470">
        <f>+AA145+12+12</f>
        <v>333</v>
      </c>
      <c r="AC145" s="2580">
        <f>+AB145*0.58</f>
        <v>193.14</v>
      </c>
      <c r="AD145" s="2581">
        <f>+AB145+AC145</f>
        <v>526.14</v>
      </c>
      <c r="AE145" s="2471"/>
      <c r="AF145" s="2582"/>
      <c r="AG145" s="1193">
        <f>+W145-AD145</f>
        <v>-526.14</v>
      </c>
      <c r="AH145" s="1188" t="e">
        <f>+AG145/X145</f>
        <v>#DIV/0!</v>
      </c>
      <c r="AI145" s="1033"/>
    </row>
    <row r="146" spans="2:35" s="236" customFormat="1" ht="14.4" hidden="1" thickBot="1" x14ac:dyDescent="0.3">
      <c r="C146" s="1510"/>
      <c r="D146" s="1541" t="s">
        <v>2627</v>
      </c>
      <c r="E146" s="1472" t="s">
        <v>2834</v>
      </c>
      <c r="F146" s="1581" t="s">
        <v>2632</v>
      </c>
      <c r="G146" s="1512"/>
      <c r="H146" s="1512"/>
      <c r="I146" s="1512"/>
      <c r="J146" s="1538" t="s">
        <v>2459</v>
      </c>
      <c r="K146" s="1465"/>
      <c r="L146" s="1465"/>
      <c r="M146" s="1465"/>
      <c r="N146" s="1473" t="s">
        <v>2636</v>
      </c>
      <c r="O146" s="3748" t="s">
        <v>2829</v>
      </c>
      <c r="P146" s="3749"/>
      <c r="Q146" s="1507"/>
      <c r="R146" s="1507"/>
      <c r="S146" s="1404"/>
      <c r="T146" s="1404"/>
      <c r="U146" s="1404"/>
      <c r="V146" s="1405"/>
      <c r="W146" s="1469">
        <f>+AD146*1.5*C146</f>
        <v>0</v>
      </c>
      <c r="X146" s="1482">
        <f>+ROUNDUP(W146,0)</f>
        <v>0</v>
      </c>
      <c r="Y146" s="3751"/>
      <c r="Z146" s="61" t="s">
        <v>321</v>
      </c>
      <c r="AA146" s="3174">
        <v>309</v>
      </c>
      <c r="AB146" s="2470">
        <f>+AA146+12+38</f>
        <v>359</v>
      </c>
      <c r="AC146" s="2580">
        <f>+AB146*0.58</f>
        <v>208.22</v>
      </c>
      <c r="AD146" s="2581">
        <f>+AB146+AC146</f>
        <v>567.22</v>
      </c>
      <c r="AE146" s="2471"/>
      <c r="AF146" s="2582"/>
      <c r="AG146" s="1193">
        <f>+W146-AD146</f>
        <v>-567.22</v>
      </c>
      <c r="AH146" s="1188" t="e">
        <f>+AG146/X146</f>
        <v>#DIV/0!</v>
      </c>
      <c r="AI146" s="240"/>
    </row>
    <row r="147" spans="2:35" s="817" customFormat="1" ht="14.4" hidden="1" thickBot="1" x14ac:dyDescent="0.3">
      <c r="C147" s="1540"/>
      <c r="D147" s="1541" t="s">
        <v>2638</v>
      </c>
      <c r="E147" s="1472" t="s">
        <v>2830</v>
      </c>
      <c r="F147" s="1467" t="s">
        <v>2633</v>
      </c>
      <c r="G147" s="1542"/>
      <c r="H147" s="1542"/>
      <c r="I147" s="1542"/>
      <c r="J147" s="1538" t="s">
        <v>2639</v>
      </c>
      <c r="K147" s="1536"/>
      <c r="L147" s="1536"/>
      <c r="M147" s="1536"/>
      <c r="N147" s="1465"/>
      <c r="O147" s="3748"/>
      <c r="P147" s="3749"/>
      <c r="Q147" s="1507"/>
      <c r="R147" s="1507"/>
      <c r="S147" s="1543"/>
      <c r="T147" s="1543"/>
      <c r="U147" s="1543"/>
      <c r="V147" s="1544"/>
      <c r="W147" s="1469">
        <f>+AD147*1.5*C147</f>
        <v>0</v>
      </c>
      <c r="X147" s="1482">
        <f>+ROUNDUP(W147,0)</f>
        <v>0</v>
      </c>
      <c r="Y147" s="3751"/>
      <c r="Z147" s="914" t="s">
        <v>321</v>
      </c>
      <c r="AA147" s="3175">
        <v>222</v>
      </c>
      <c r="AB147" s="2470">
        <f>+AA147+AA147/2</f>
        <v>333</v>
      </c>
      <c r="AC147" s="2580">
        <f>+AB147*0.58</f>
        <v>193.14</v>
      </c>
      <c r="AD147" s="2581">
        <f>+AB147+AC147</f>
        <v>526.14</v>
      </c>
      <c r="AE147" s="2471"/>
      <c r="AF147" s="2582"/>
      <c r="AG147" s="1193">
        <f>+W147-AD147</f>
        <v>-526.14</v>
      </c>
      <c r="AH147" s="1188" t="e">
        <f>+AG147/X147</f>
        <v>#DIV/0!</v>
      </c>
      <c r="AI147" s="915"/>
    </row>
    <row r="148" spans="2:35" s="1034" customFormat="1" ht="14.4" hidden="1" thickBot="1" x14ac:dyDescent="0.3">
      <c r="C148" s="1514"/>
      <c r="D148" s="1515" t="s">
        <v>2637</v>
      </c>
      <c r="E148" s="1516" t="s">
        <v>2828</v>
      </c>
      <c r="F148" s="1517" t="s">
        <v>2836</v>
      </c>
      <c r="G148" s="1518"/>
      <c r="H148" s="1518"/>
      <c r="I148" s="1518"/>
      <c r="J148" s="1547" t="s">
        <v>2640</v>
      </c>
      <c r="K148" s="1548"/>
      <c r="L148" s="1548"/>
      <c r="M148" s="1548"/>
      <c r="N148" s="1555" t="s">
        <v>2636</v>
      </c>
      <c r="O148" s="3748" t="s">
        <v>2835</v>
      </c>
      <c r="P148" s="3749"/>
      <c r="Q148" s="1548"/>
      <c r="R148" s="1548"/>
      <c r="S148" s="1523"/>
      <c r="T148" s="1523"/>
      <c r="U148" s="1523"/>
      <c r="V148" s="1524"/>
      <c r="W148" s="1469">
        <f>+AD148*1.5*C148</f>
        <v>0</v>
      </c>
      <c r="X148" s="1549">
        <f>+ROUNDUP(W148,0)</f>
        <v>0</v>
      </c>
      <c r="Y148" s="3752"/>
      <c r="Z148" s="1036" t="s">
        <v>321</v>
      </c>
      <c r="AA148" s="3178">
        <v>144</v>
      </c>
      <c r="AB148" s="2583">
        <f>+AA148+(12+125)</f>
        <v>281</v>
      </c>
      <c r="AC148" s="2591">
        <f>+AB148*0.58</f>
        <v>162.97999999999999</v>
      </c>
      <c r="AD148" s="2592">
        <f>+AB148+AC148</f>
        <v>443.98</v>
      </c>
      <c r="AE148" s="2593"/>
      <c r="AF148" s="2582"/>
      <c r="AG148" s="1193">
        <f>+W148-AD148</f>
        <v>-443.98</v>
      </c>
      <c r="AH148" s="1188" t="e">
        <f>+AG148/X148</f>
        <v>#DIV/0!</v>
      </c>
      <c r="AI148" s="1038"/>
    </row>
    <row r="149" spans="2:35" s="1110" customFormat="1" ht="17.399999999999999" hidden="1" customHeight="1" thickBot="1" x14ac:dyDescent="0.25">
      <c r="C149" s="1489"/>
      <c r="D149" s="1490" t="s">
        <v>2876</v>
      </c>
      <c r="E149" s="1491" t="s">
        <v>2884</v>
      </c>
      <c r="F149" s="1577"/>
      <c r="G149" s="1900" t="s">
        <v>3072</v>
      </c>
      <c r="H149" s="1578"/>
      <c r="I149" s="1578"/>
      <c r="J149" s="1550"/>
      <c r="K149" s="1551"/>
      <c r="L149" s="1551"/>
      <c r="M149" s="1551"/>
      <c r="N149" s="1497"/>
      <c r="O149" s="1708"/>
      <c r="P149" s="1586"/>
      <c r="Q149" s="1586"/>
      <c r="R149" s="1586"/>
      <c r="S149" s="1499"/>
      <c r="T149" s="1499"/>
      <c r="U149" s="1499"/>
      <c r="V149" s="1493"/>
      <c r="W149" s="1494"/>
      <c r="X149" s="1500"/>
      <c r="Y149" s="1126"/>
      <c r="Z149" s="1111"/>
      <c r="AA149" s="2585"/>
      <c r="AB149" s="2586"/>
      <c r="AC149" s="2587"/>
      <c r="AD149" s="2587"/>
      <c r="AE149" s="2588"/>
      <c r="AF149" s="2589"/>
      <c r="AG149" s="1191" t="s">
        <v>19</v>
      </c>
      <c r="AH149" s="1123" t="s">
        <v>39</v>
      </c>
      <c r="AI149" s="1113"/>
    </row>
    <row r="150" spans="2:35" s="817" customFormat="1" ht="13.8" hidden="1" x14ac:dyDescent="0.25">
      <c r="C150" s="1501"/>
      <c r="D150" s="1552" t="s">
        <v>2626</v>
      </c>
      <c r="E150" s="1502" t="s">
        <v>2879</v>
      </c>
      <c r="F150" s="1579"/>
      <c r="G150" s="1580"/>
      <c r="H150" s="1580"/>
      <c r="I150" s="1580"/>
      <c r="J150" s="1400" t="s">
        <v>2886</v>
      </c>
      <c r="K150" s="1462"/>
      <c r="L150" s="1536"/>
      <c r="M150" s="1536"/>
      <c r="N150" s="1536" t="s">
        <v>2631</v>
      </c>
      <c r="O150" s="1462" t="s">
        <v>2894</v>
      </c>
      <c r="P150" s="1462"/>
      <c r="Q150" s="1507"/>
      <c r="R150" s="1507"/>
      <c r="S150" s="1508"/>
      <c r="T150" s="1508"/>
      <c r="U150" s="1508"/>
      <c r="V150" s="1509"/>
      <c r="W150" s="3809">
        <f>+AD150*1.5*C150</f>
        <v>0</v>
      </c>
      <c r="X150" s="3959">
        <f>+ROUNDUP(W150,0)</f>
        <v>0</v>
      </c>
      <c r="Y150" s="3937">
        <f>SUM(X150:X152)</f>
        <v>0</v>
      </c>
      <c r="Z150" s="74" t="s">
        <v>2897</v>
      </c>
      <c r="AA150" s="3869">
        <v>4319</v>
      </c>
      <c r="AB150" s="2470"/>
      <c r="AC150" s="2580"/>
      <c r="AD150" s="3894">
        <f>+AA150</f>
        <v>4319</v>
      </c>
      <c r="AE150" s="3886">
        <f>+AD150*C150</f>
        <v>0</v>
      </c>
      <c r="AF150" s="3903">
        <f>+W150</f>
        <v>0</v>
      </c>
      <c r="AG150" s="3881">
        <f>+Y150-AE150</f>
        <v>0</v>
      </c>
      <c r="AH150" s="3866" t="e">
        <f>+AG150/AF150</f>
        <v>#DIV/0!</v>
      </c>
      <c r="AI150" s="1211"/>
    </row>
    <row r="151" spans="2:35" s="236" customFormat="1" ht="13.8" hidden="1" x14ac:dyDescent="0.25">
      <c r="C151" s="1510"/>
      <c r="D151" s="1541" t="s">
        <v>2627</v>
      </c>
      <c r="E151" s="1472" t="s">
        <v>2878</v>
      </c>
      <c r="F151" s="1581" t="s">
        <v>2887</v>
      </c>
      <c r="G151" s="1512"/>
      <c r="H151" s="1512"/>
      <c r="I151" s="1512"/>
      <c r="J151" s="1400" t="s">
        <v>2886</v>
      </c>
      <c r="K151" s="1462"/>
      <c r="L151" s="1536"/>
      <c r="M151" s="1536"/>
      <c r="N151" s="1465" t="s">
        <v>2888</v>
      </c>
      <c r="O151" s="1462"/>
      <c r="P151" s="1401"/>
      <c r="Q151" s="1513"/>
      <c r="R151" s="1513"/>
      <c r="S151" s="1404"/>
      <c r="T151" s="1404"/>
      <c r="U151" s="1404"/>
      <c r="V151" s="1405"/>
      <c r="W151" s="3810"/>
      <c r="X151" s="3960"/>
      <c r="Y151" s="3938"/>
      <c r="Z151" s="74" t="s">
        <v>2897</v>
      </c>
      <c r="AA151" s="3870"/>
      <c r="AB151" s="2470"/>
      <c r="AC151" s="2580"/>
      <c r="AD151" s="3895"/>
      <c r="AE151" s="3932"/>
      <c r="AF151" s="3951"/>
      <c r="AG151" s="3882"/>
      <c r="AH151" s="3867"/>
      <c r="AI151" s="1212"/>
    </row>
    <row r="152" spans="2:35" s="1034" customFormat="1" ht="14.4" hidden="1" thickBot="1" x14ac:dyDescent="0.3">
      <c r="C152" s="1514"/>
      <c r="D152" s="1515" t="s">
        <v>2642</v>
      </c>
      <c r="E152" s="1516" t="s">
        <v>2910</v>
      </c>
      <c r="F152" s="1462" t="s">
        <v>2820</v>
      </c>
      <c r="G152" s="1518" t="s">
        <v>2896</v>
      </c>
      <c r="H152" s="1519"/>
      <c r="I152" s="1519"/>
      <c r="J152" s="1400" t="s">
        <v>2886</v>
      </c>
      <c r="K152" s="1473"/>
      <c r="L152" s="1548"/>
      <c r="M152" s="1548"/>
      <c r="N152" s="1587" t="s">
        <v>1491</v>
      </c>
      <c r="O152" s="1463"/>
      <c r="P152" s="1463"/>
      <c r="Q152" s="1588"/>
      <c r="R152" s="1588"/>
      <c r="S152" s="1523"/>
      <c r="T152" s="1523"/>
      <c r="U152" s="1523"/>
      <c r="V152" s="1524"/>
      <c r="W152" s="3811"/>
      <c r="X152" s="3961"/>
      <c r="Y152" s="3939"/>
      <c r="Z152" s="74" t="s">
        <v>2897</v>
      </c>
      <c r="AA152" s="3871"/>
      <c r="AB152" s="2470"/>
      <c r="AC152" s="2580"/>
      <c r="AD152" s="3896"/>
      <c r="AE152" s="3917"/>
      <c r="AF152" s="3904"/>
      <c r="AG152" s="3883"/>
      <c r="AH152" s="3868"/>
      <c r="AI152" s="1213"/>
    </row>
    <row r="153" spans="2:35" s="1122" customFormat="1" ht="17.399999999999999" hidden="1" customHeight="1" thickBot="1" x14ac:dyDescent="0.25">
      <c r="C153" s="1525"/>
      <c r="D153" s="1526" t="s">
        <v>2877</v>
      </c>
      <c r="E153" s="1483"/>
      <c r="F153" s="1583"/>
      <c r="G153" s="1900" t="s">
        <v>3072</v>
      </c>
      <c r="H153" s="1584"/>
      <c r="I153" s="1584"/>
      <c r="J153" s="1530"/>
      <c r="K153" s="1531"/>
      <c r="L153" s="1531"/>
      <c r="M153" s="1531"/>
      <c r="N153" s="1532"/>
      <c r="O153" s="3785"/>
      <c r="P153" s="3786"/>
      <c r="Q153" s="1589"/>
      <c r="R153" s="1589"/>
      <c r="S153" s="1534"/>
      <c r="T153" s="1534"/>
      <c r="U153" s="1534"/>
      <c r="V153" s="1529"/>
      <c r="W153" s="1529"/>
      <c r="X153" s="1535"/>
      <c r="Y153" s="1131"/>
      <c r="Z153" s="1107"/>
      <c r="AA153" s="2575"/>
      <c r="AB153" s="2575"/>
      <c r="AC153" s="2587"/>
      <c r="AD153" s="2587"/>
      <c r="AE153" s="2578"/>
      <c r="AF153" s="2590"/>
      <c r="AG153" s="1194" t="s">
        <v>19</v>
      </c>
      <c r="AH153" s="1124" t="s">
        <v>39</v>
      </c>
      <c r="AI153" s="1109"/>
    </row>
    <row r="154" spans="2:35" s="2916" customFormat="1" ht="13.8" hidden="1" x14ac:dyDescent="0.25">
      <c r="C154" s="2917"/>
      <c r="D154" s="2918" t="s">
        <v>2626</v>
      </c>
      <c r="E154" s="2919" t="s">
        <v>3377</v>
      </c>
      <c r="F154" s="2920"/>
      <c r="G154" s="2921"/>
      <c r="H154" s="2921" t="s">
        <v>3381</v>
      </c>
      <c r="I154" s="2921"/>
      <c r="J154" s="2922" t="s">
        <v>3380</v>
      </c>
      <c r="K154" s="2918"/>
      <c r="L154" s="2923"/>
      <c r="M154" s="2923"/>
      <c r="N154" s="2924"/>
      <c r="O154" s="2918"/>
      <c r="P154" s="2918"/>
      <c r="Q154" s="2925"/>
      <c r="R154" s="2925"/>
      <c r="S154" s="2926"/>
      <c r="T154" s="2926"/>
      <c r="U154" s="2926"/>
      <c r="V154" s="2927"/>
      <c r="W154" s="2928">
        <f>+AD154*1.5*C154</f>
        <v>0</v>
      </c>
      <c r="X154" s="2929">
        <f>+ROUNDUP(W154,0)</f>
        <v>0</v>
      </c>
      <c r="Y154" s="3750">
        <f>SUM(X154:X156)</f>
        <v>0</v>
      </c>
      <c r="Z154" s="2930" t="s">
        <v>321</v>
      </c>
      <c r="AA154" s="3183">
        <v>309</v>
      </c>
      <c r="AB154" s="2931">
        <f>+AA154+12+12</f>
        <v>333</v>
      </c>
      <c r="AC154" s="2932">
        <f>+AB154*0.58</f>
        <v>193.14</v>
      </c>
      <c r="AD154" s="2933">
        <f>+AB154+AC154</f>
        <v>526.14</v>
      </c>
      <c r="AE154" s="2934"/>
      <c r="AF154" s="2935"/>
      <c r="AG154" s="2936">
        <f>+W154-AD154</f>
        <v>-526.14</v>
      </c>
      <c r="AH154" s="2937" t="e">
        <f>+AG154/X154</f>
        <v>#DIV/0!</v>
      </c>
      <c r="AI154" s="2938"/>
    </row>
    <row r="155" spans="2:35" s="236" customFormat="1" ht="13.8" hidden="1" x14ac:dyDescent="0.25">
      <c r="C155" s="1510"/>
      <c r="D155" s="1541" t="s">
        <v>2627</v>
      </c>
      <c r="E155" s="1472" t="s">
        <v>3378</v>
      </c>
      <c r="F155" s="1581"/>
      <c r="G155" s="1512"/>
      <c r="H155" s="1512"/>
      <c r="I155" s="1512"/>
      <c r="J155" s="1400" t="s">
        <v>3380</v>
      </c>
      <c r="K155" s="1462"/>
      <c r="L155" s="1536"/>
      <c r="M155" s="1536"/>
      <c r="N155" s="1505" t="s">
        <v>2888</v>
      </c>
      <c r="O155" s="1462"/>
      <c r="P155" s="1401"/>
      <c r="Q155" s="1513"/>
      <c r="R155" s="1513"/>
      <c r="S155" s="1404"/>
      <c r="T155" s="1404"/>
      <c r="U155" s="1404"/>
      <c r="V155" s="1405"/>
      <c r="W155" s="1469">
        <f>+AD155*1.5*C155</f>
        <v>0</v>
      </c>
      <c r="X155" s="1482">
        <f>+ROUNDUP(W155,0)</f>
        <v>0</v>
      </c>
      <c r="Y155" s="3751"/>
      <c r="Z155" s="61" t="s">
        <v>321</v>
      </c>
      <c r="AA155" s="3174">
        <v>309</v>
      </c>
      <c r="AB155" s="2470">
        <f>+AA155+12+38</f>
        <v>359</v>
      </c>
      <c r="AC155" s="2580">
        <f>+AB155*0.58</f>
        <v>208.22</v>
      </c>
      <c r="AD155" s="2581">
        <f>+AB155+AC155</f>
        <v>567.22</v>
      </c>
      <c r="AE155" s="2471"/>
      <c r="AF155" s="2582"/>
      <c r="AG155" s="1193">
        <f>+W155-AD155</f>
        <v>-567.22</v>
      </c>
      <c r="AH155" s="1188" t="e">
        <f>+AG155/X155</f>
        <v>#DIV/0!</v>
      </c>
      <c r="AI155" s="240"/>
    </row>
    <row r="156" spans="2:35" s="1034" customFormat="1" ht="14.4" hidden="1" thickBot="1" x14ac:dyDescent="0.3">
      <c r="B156" s="1363"/>
      <c r="C156" s="1514"/>
      <c r="D156" s="1515" t="s">
        <v>3375</v>
      </c>
      <c r="E156" s="1516">
        <v>6080</v>
      </c>
      <c r="F156" s="1439" t="s">
        <v>2820</v>
      </c>
      <c r="G156" s="1518"/>
      <c r="H156" s="1519" t="s">
        <v>3379</v>
      </c>
      <c r="I156" s="1519"/>
      <c r="J156" s="1400" t="s">
        <v>3376</v>
      </c>
      <c r="K156" s="1473"/>
      <c r="L156" s="1548"/>
      <c r="M156" s="1548"/>
      <c r="N156" s="1555" t="s">
        <v>292</v>
      </c>
      <c r="O156" s="1463"/>
      <c r="P156" s="1463"/>
      <c r="Q156" s="1588"/>
      <c r="R156" s="1588"/>
      <c r="S156" s="1523"/>
      <c r="T156" s="1523"/>
      <c r="U156" s="1523"/>
      <c r="V156" s="1524"/>
      <c r="W156" s="1469">
        <f>+AD156*1.5*C156</f>
        <v>0</v>
      </c>
      <c r="X156" s="1549">
        <f>+ROUNDUP(W156,0)</f>
        <v>0</v>
      </c>
      <c r="Y156" s="3752"/>
      <c r="Z156" s="1036" t="s">
        <v>321</v>
      </c>
      <c r="AA156" s="3178">
        <v>144</v>
      </c>
      <c r="AB156" s="2583">
        <f>+AA156+(12+125)</f>
        <v>281</v>
      </c>
      <c r="AC156" s="2591">
        <f>+AB156*0.58</f>
        <v>162.97999999999999</v>
      </c>
      <c r="AD156" s="2592">
        <f>+AB156+AC156</f>
        <v>443.98</v>
      </c>
      <c r="AE156" s="2593"/>
      <c r="AF156" s="2582"/>
      <c r="AG156" s="1193">
        <f>+W156-AD156</f>
        <v>-443.98</v>
      </c>
      <c r="AH156" s="1188" t="e">
        <f>+AG156/X156</f>
        <v>#DIV/0!</v>
      </c>
      <c r="AI156" s="1038"/>
    </row>
    <row r="157" spans="2:35" s="1122" customFormat="1" ht="17.399999999999999" hidden="1" customHeight="1" thickBot="1" x14ac:dyDescent="0.25">
      <c r="B157" s="1364"/>
      <c r="C157" s="1474"/>
      <c r="D157" s="1454" t="s">
        <v>2877</v>
      </c>
      <c r="E157" s="1475" t="s">
        <v>2883</v>
      </c>
      <c r="F157" s="1590"/>
      <c r="G157" s="1900" t="s">
        <v>3072</v>
      </c>
      <c r="H157" s="1590"/>
      <c r="I157" s="1590"/>
      <c r="J157" s="1567"/>
      <c r="K157" s="1568"/>
      <c r="L157" s="1568"/>
      <c r="M157" s="1568"/>
      <c r="N157" s="1569"/>
      <c r="O157" s="3785"/>
      <c r="P157" s="3786"/>
      <c r="Q157" s="1589"/>
      <c r="R157" s="1589"/>
      <c r="S157" s="1452"/>
      <c r="T157" s="1452"/>
      <c r="U157" s="1452"/>
      <c r="V157" s="1484"/>
      <c r="W157" s="1478"/>
      <c r="X157" s="1479"/>
      <c r="Y157" s="1127"/>
      <c r="Z157" s="1107"/>
      <c r="AA157" s="2575"/>
      <c r="AB157" s="2576"/>
      <c r="AC157" s="2577"/>
      <c r="AD157" s="2575"/>
      <c r="AE157" s="2578"/>
      <c r="AF157" s="2589"/>
      <c r="AG157" s="1191" t="s">
        <v>19</v>
      </c>
      <c r="AH157" s="1124" t="s">
        <v>39</v>
      </c>
      <c r="AI157" s="1109"/>
    </row>
    <row r="158" spans="2:35" s="817" customFormat="1" ht="13.8" hidden="1" x14ac:dyDescent="0.25">
      <c r="B158" s="1362"/>
      <c r="C158" s="1461"/>
      <c r="D158" s="1541" t="s">
        <v>2626</v>
      </c>
      <c r="E158" s="1472" t="s">
        <v>2893</v>
      </c>
      <c r="F158" s="1538"/>
      <c r="G158" s="1538"/>
      <c r="H158" s="1538"/>
      <c r="I158" s="1538"/>
      <c r="J158" s="1400" t="s">
        <v>2886</v>
      </c>
      <c r="K158" s="1462"/>
      <c r="L158" s="1465"/>
      <c r="M158" s="1465"/>
      <c r="N158" s="1465" t="s">
        <v>2631</v>
      </c>
      <c r="O158" s="1462" t="s">
        <v>2894</v>
      </c>
      <c r="P158" s="1462"/>
      <c r="Q158" s="1507"/>
      <c r="R158" s="1507"/>
      <c r="S158" s="1508"/>
      <c r="T158" s="1508"/>
      <c r="U158" s="1508"/>
      <c r="V158" s="1509"/>
      <c r="W158" s="3809">
        <f>+AD158*1.5*C158</f>
        <v>0</v>
      </c>
      <c r="X158" s="3776">
        <f>+ROUNDUP(W158,0)</f>
        <v>0</v>
      </c>
      <c r="Y158" s="3934">
        <f>SUM(X158:X160)</f>
        <v>0</v>
      </c>
      <c r="Z158" s="74" t="s">
        <v>2897</v>
      </c>
      <c r="AA158" s="3869">
        <v>3866</v>
      </c>
      <c r="AB158" s="2470"/>
      <c r="AC158" s="2580"/>
      <c r="AD158" s="3894">
        <f>+AA158</f>
        <v>3866</v>
      </c>
      <c r="AE158" s="3875"/>
      <c r="AF158" s="3878"/>
      <c r="AG158" s="3881">
        <f>+W158-AD158</f>
        <v>-3866</v>
      </c>
      <c r="AH158" s="3866" t="e">
        <f>+AG158/X158</f>
        <v>#DIV/0!</v>
      </c>
      <c r="AI158" s="1211"/>
    </row>
    <row r="159" spans="2:35" s="236" customFormat="1" ht="13.8" hidden="1" x14ac:dyDescent="0.25">
      <c r="B159" s="1357"/>
      <c r="C159" s="1398"/>
      <c r="D159" s="1541" t="s">
        <v>2627</v>
      </c>
      <c r="E159" s="1472" t="s">
        <v>2892</v>
      </c>
      <c r="F159" s="1591"/>
      <c r="G159" s="1591"/>
      <c r="H159" s="1591"/>
      <c r="I159" s="1591"/>
      <c r="J159" s="1400" t="s">
        <v>2886</v>
      </c>
      <c r="K159" s="1462"/>
      <c r="L159" s="1465"/>
      <c r="M159" s="1465"/>
      <c r="N159" s="1465" t="s">
        <v>2888</v>
      </c>
      <c r="O159" s="1462"/>
      <c r="P159" s="1401"/>
      <c r="Q159" s="1513"/>
      <c r="R159" s="1513"/>
      <c r="S159" s="1404"/>
      <c r="T159" s="1404"/>
      <c r="U159" s="1404"/>
      <c r="V159" s="1405"/>
      <c r="W159" s="3810"/>
      <c r="X159" s="3777"/>
      <c r="Y159" s="3935"/>
      <c r="Z159" s="74" t="s">
        <v>2897</v>
      </c>
      <c r="AA159" s="3870"/>
      <c r="AB159" s="2470"/>
      <c r="AC159" s="2580"/>
      <c r="AD159" s="3895"/>
      <c r="AE159" s="3876"/>
      <c r="AF159" s="3879"/>
      <c r="AG159" s="3882"/>
      <c r="AH159" s="3867"/>
      <c r="AI159" s="1212"/>
    </row>
    <row r="160" spans="2:35" s="1034" customFormat="1" ht="14.4" hidden="1" thickBot="1" x14ac:dyDescent="0.3">
      <c r="B160" s="1363"/>
      <c r="C160" s="1461"/>
      <c r="D160" s="1541" t="s">
        <v>2642</v>
      </c>
      <c r="E160" s="1472" t="s">
        <v>2911</v>
      </c>
      <c r="F160" s="1462" t="s">
        <v>2820</v>
      </c>
      <c r="G160" s="1462" t="s">
        <v>2896</v>
      </c>
      <c r="H160" s="1462"/>
      <c r="I160" s="1462"/>
      <c r="J160" s="1400" t="s">
        <v>2886</v>
      </c>
      <c r="K160" s="1473"/>
      <c r="L160" s="1462"/>
      <c r="M160" s="1462"/>
      <c r="N160" s="1465" t="s">
        <v>1491</v>
      </c>
      <c r="O160" s="1463"/>
      <c r="P160" s="1463"/>
      <c r="Q160" s="1588"/>
      <c r="R160" s="1588"/>
      <c r="S160" s="1523"/>
      <c r="T160" s="1523"/>
      <c r="U160" s="1523"/>
      <c r="V160" s="1524"/>
      <c r="W160" s="3811"/>
      <c r="X160" s="3778"/>
      <c r="Y160" s="3936"/>
      <c r="Z160" s="74" t="s">
        <v>2897</v>
      </c>
      <c r="AA160" s="3871"/>
      <c r="AB160" s="2583"/>
      <c r="AC160" s="2591"/>
      <c r="AD160" s="3896"/>
      <c r="AE160" s="3877"/>
      <c r="AF160" s="3880"/>
      <c r="AG160" s="3883"/>
      <c r="AH160" s="3868"/>
      <c r="AI160" s="1213"/>
    </row>
    <row r="161" spans="2:35" s="1122" customFormat="1" ht="17.399999999999999" hidden="1" customHeight="1" thickBot="1" x14ac:dyDescent="0.25">
      <c r="B161" s="1364"/>
      <c r="C161" s="1474"/>
      <c r="D161" s="1592" t="s">
        <v>2877</v>
      </c>
      <c r="E161" s="1483" t="s">
        <v>2889</v>
      </c>
      <c r="F161" s="1590"/>
      <c r="G161" s="1900" t="s">
        <v>3072</v>
      </c>
      <c r="H161" s="1590"/>
      <c r="I161" s="1590"/>
      <c r="J161" s="1567"/>
      <c r="K161" s="1477"/>
      <c r="L161" s="1568"/>
      <c r="M161" s="1568"/>
      <c r="N161" s="1593"/>
      <c r="O161" s="1477"/>
      <c r="P161" s="1477"/>
      <c r="Q161" s="1477"/>
      <c r="R161" s="1477"/>
      <c r="S161" s="1452"/>
      <c r="T161" s="1452"/>
      <c r="U161" s="1452"/>
      <c r="V161" s="1484"/>
      <c r="W161" s="1478"/>
      <c r="X161" s="1479"/>
      <c r="Y161" s="1127"/>
      <c r="Z161" s="1107"/>
      <c r="AA161" s="2575"/>
      <c r="AB161" s="2576"/>
      <c r="AC161" s="2577"/>
      <c r="AD161" s="2575"/>
      <c r="AE161" s="2578"/>
      <c r="AF161" s="2589"/>
      <c r="AG161" s="1194" t="s">
        <v>19</v>
      </c>
      <c r="AH161" s="1124" t="s">
        <v>39</v>
      </c>
      <c r="AI161" s="1109"/>
    </row>
    <row r="162" spans="2:35" s="1003" customFormat="1" ht="13.8" hidden="1" x14ac:dyDescent="0.2">
      <c r="C162" s="1398"/>
      <c r="D162" s="1428" t="s">
        <v>2626</v>
      </c>
      <c r="E162" s="1399" t="s">
        <v>2880</v>
      </c>
      <c r="F162" s="1399"/>
      <c r="G162" s="1399" t="s">
        <v>2885</v>
      </c>
      <c r="H162" s="1399"/>
      <c r="I162" s="1399"/>
      <c r="J162" s="1400" t="s">
        <v>2886</v>
      </c>
      <c r="K162" s="1429"/>
      <c r="L162" s="1400"/>
      <c r="M162" s="1400"/>
      <c r="N162" s="1594" t="s">
        <v>376</v>
      </c>
      <c r="O162" s="1399"/>
      <c r="P162" s="1462"/>
      <c r="Q162" s="1467"/>
      <c r="R162" s="1467"/>
      <c r="S162" s="1467"/>
      <c r="T162" s="1462"/>
      <c r="U162" s="1462"/>
      <c r="V162" s="1570"/>
      <c r="W162" s="3949">
        <f>AD162*C162*1.5</f>
        <v>0</v>
      </c>
      <c r="X162" s="3952">
        <f>+ROUNDUP(W162,0)</f>
        <v>0</v>
      </c>
      <c r="Y162" s="3779">
        <f>+X162+X163</f>
        <v>0</v>
      </c>
      <c r="Z162" s="74" t="s">
        <v>2897</v>
      </c>
      <c r="AA162" s="3912">
        <v>2551</v>
      </c>
      <c r="AB162" s="2462"/>
      <c r="AC162" s="2463"/>
      <c r="AD162" s="3915">
        <f>+AA162</f>
        <v>2551</v>
      </c>
      <c r="AE162" s="3886">
        <f>+AD162*C162</f>
        <v>0</v>
      </c>
      <c r="AF162" s="3903">
        <f>+W162</f>
        <v>0</v>
      </c>
      <c r="AG162" s="3928">
        <f>+W162-AE162</f>
        <v>0</v>
      </c>
      <c r="AH162" s="3946" t="e">
        <f>+AG162/AF162</f>
        <v>#DIV/0!</v>
      </c>
      <c r="AI162" s="1023"/>
    </row>
    <row r="163" spans="2:35" s="1120" customFormat="1" ht="14.4" hidden="1" thickBot="1" x14ac:dyDescent="0.25">
      <c r="B163" s="1365"/>
      <c r="C163" s="1398"/>
      <c r="D163" s="1428" t="s">
        <v>2423</v>
      </c>
      <c r="E163" s="1399" t="s">
        <v>2909</v>
      </c>
      <c r="F163" s="1462">
        <v>5.75</v>
      </c>
      <c r="G163" s="1462"/>
      <c r="H163" s="1462"/>
      <c r="I163" s="1462"/>
      <c r="J163" s="1400" t="s">
        <v>2886</v>
      </c>
      <c r="K163" s="1429"/>
      <c r="L163" s="1400"/>
      <c r="M163" s="1400"/>
      <c r="N163" s="1399" t="s">
        <v>2749</v>
      </c>
      <c r="O163" s="1399"/>
      <c r="P163" s="1463"/>
      <c r="Q163" s="1488"/>
      <c r="R163" s="1488"/>
      <c r="S163" s="1467"/>
      <c r="T163" s="1462"/>
      <c r="U163" s="1462"/>
      <c r="V163" s="1570"/>
      <c r="W163" s="3950"/>
      <c r="X163" s="3953"/>
      <c r="Y163" s="3747"/>
      <c r="Z163" s="74" t="s">
        <v>2897</v>
      </c>
      <c r="AA163" s="3913"/>
      <c r="AB163" s="2462"/>
      <c r="AC163" s="2463"/>
      <c r="AD163" s="3916"/>
      <c r="AE163" s="3917"/>
      <c r="AF163" s="3904"/>
      <c r="AG163" s="3929"/>
      <c r="AH163" s="3947"/>
      <c r="AI163" s="1121"/>
    </row>
    <row r="164" spans="2:35" s="1110" customFormat="1" ht="17.399999999999999" hidden="1" customHeight="1" thickBot="1" x14ac:dyDescent="0.25">
      <c r="B164" s="1366"/>
      <c r="C164" s="1446"/>
      <c r="D164" s="1447" t="s">
        <v>2882</v>
      </c>
      <c r="E164" s="1483" t="s">
        <v>2883</v>
      </c>
      <c r="F164" s="1595"/>
      <c r="G164" s="1900" t="s">
        <v>3072</v>
      </c>
      <c r="H164" s="1595"/>
      <c r="I164" s="1595"/>
      <c r="J164" s="1571"/>
      <c r="K164" s="1452"/>
      <c r="L164" s="1568"/>
      <c r="M164" s="1568"/>
      <c r="N164" s="1569" t="s">
        <v>2863</v>
      </c>
      <c r="O164" s="1452"/>
      <c r="P164" s="1452"/>
      <c r="Q164" s="1452"/>
      <c r="R164" s="1452"/>
      <c r="S164" s="1451"/>
      <c r="T164" s="1451"/>
      <c r="U164" s="1451"/>
      <c r="V164" s="1572"/>
      <c r="W164" s="1484"/>
      <c r="X164" s="1485"/>
      <c r="Y164" s="1127"/>
      <c r="Z164" s="1111"/>
      <c r="AA164" s="2585"/>
      <c r="AB164" s="2586"/>
      <c r="AC164" s="2587"/>
      <c r="AD164" s="2585"/>
      <c r="AE164" s="2588"/>
      <c r="AF164" s="2589"/>
      <c r="AG164" s="1214"/>
      <c r="AH164" s="1112" t="s">
        <v>19</v>
      </c>
      <c r="AI164" s="1113"/>
    </row>
    <row r="165" spans="2:35" s="1003" customFormat="1" ht="13.8" hidden="1" x14ac:dyDescent="0.2">
      <c r="B165" s="1367"/>
      <c r="C165" s="1398"/>
      <c r="D165" s="1428" t="s">
        <v>2626</v>
      </c>
      <c r="E165" s="1399">
        <v>4080</v>
      </c>
      <c r="F165" s="1399" t="s">
        <v>279</v>
      </c>
      <c r="G165" s="1399" t="s">
        <v>2331</v>
      </c>
      <c r="H165" s="1399"/>
      <c r="I165" s="1399"/>
      <c r="J165" s="1400" t="s">
        <v>2862</v>
      </c>
      <c r="K165" s="1429" t="s">
        <v>2864</v>
      </c>
      <c r="L165" s="1400"/>
      <c r="M165" s="1400"/>
      <c r="N165" s="1399" t="s">
        <v>2631</v>
      </c>
      <c r="O165" s="1399"/>
      <c r="P165" s="1462"/>
      <c r="Q165" s="1462"/>
      <c r="R165" s="1462"/>
      <c r="S165" s="1462"/>
      <c r="T165" s="1462"/>
      <c r="U165" s="1462"/>
      <c r="V165" s="1468"/>
      <c r="W165" s="1481">
        <f>AD165*C165*1.6</f>
        <v>0</v>
      </c>
      <c r="X165" s="1482">
        <f>+ROUNDUP(W165,0)</f>
        <v>0</v>
      </c>
      <c r="Y165" s="3911">
        <f>+X165+X166</f>
        <v>0</v>
      </c>
      <c r="Z165" s="74" t="s">
        <v>321</v>
      </c>
      <c r="AA165" s="3180">
        <v>424</v>
      </c>
      <c r="AB165" s="2462">
        <f>+AA165+12+6+18+44</f>
        <v>504</v>
      </c>
      <c r="AC165" s="2463">
        <f>+AB165*0.58</f>
        <v>292.32</v>
      </c>
      <c r="AD165" s="2464">
        <f>+(AB165+AC165)*C162</f>
        <v>0</v>
      </c>
      <c r="AE165" s="2526">
        <f>+AD165*C165</f>
        <v>0</v>
      </c>
      <c r="AF165" s="2466">
        <f>+W165</f>
        <v>0</v>
      </c>
      <c r="AG165" s="1189">
        <f>+AF165-AE165</f>
        <v>0</v>
      </c>
      <c r="AH165" s="1072" t="e">
        <f>+AG165/AF165</f>
        <v>#DIV/0!</v>
      </c>
      <c r="AI165" s="1023"/>
    </row>
    <row r="166" spans="2:35" s="1120" customFormat="1" ht="14.4" hidden="1" thickBot="1" x14ac:dyDescent="0.25">
      <c r="B166" s="1365"/>
      <c r="C166" s="1398"/>
      <c r="D166" s="1428" t="s">
        <v>2423</v>
      </c>
      <c r="E166" s="1389">
        <v>4080</v>
      </c>
      <c r="F166" s="1462" t="s">
        <v>2820</v>
      </c>
      <c r="G166" s="1462" t="s">
        <v>429</v>
      </c>
      <c r="H166" s="1462"/>
      <c r="I166" s="1462"/>
      <c r="J166" s="1400" t="s">
        <v>2571</v>
      </c>
      <c r="K166" s="1429"/>
      <c r="L166" s="1400"/>
      <c r="M166" s="1400"/>
      <c r="N166" s="1399" t="s">
        <v>328</v>
      </c>
      <c r="O166" s="1399" t="s">
        <v>2749</v>
      </c>
      <c r="P166" s="1463"/>
      <c r="Q166" s="1463"/>
      <c r="R166" s="1463"/>
      <c r="S166" s="1462"/>
      <c r="T166" s="1462"/>
      <c r="U166" s="1462"/>
      <c r="V166" s="1468"/>
      <c r="W166" s="1481">
        <f>AD166*C166*1.6</f>
        <v>0</v>
      </c>
      <c r="X166" s="1482">
        <f>+ROUNDUP(W166,0)</f>
        <v>0</v>
      </c>
      <c r="Y166" s="3858"/>
      <c r="Z166" s="193" t="s">
        <v>321</v>
      </c>
      <c r="AA166" s="3181">
        <v>112</v>
      </c>
      <c r="AB166" s="2513">
        <f>+AA166+12+26+7</f>
        <v>157</v>
      </c>
      <c r="AC166" s="2463">
        <f>+AB166*0.58</f>
        <v>91.059999999999988</v>
      </c>
      <c r="AD166" s="2501">
        <f>+(AC166+AB166)</f>
        <v>248.06</v>
      </c>
      <c r="AE166" s="2526">
        <f>+AD166*C166</f>
        <v>0</v>
      </c>
      <c r="AF166" s="2466">
        <f>+W166</f>
        <v>0</v>
      </c>
      <c r="AG166" s="1189">
        <f>+AF166-AE166</f>
        <v>0</v>
      </c>
      <c r="AH166" s="1072" t="e">
        <f>+AG166/AF166</f>
        <v>#DIV/0!</v>
      </c>
      <c r="AI166" s="1121"/>
    </row>
    <row r="167" spans="2:35" s="1110" customFormat="1" ht="17.399999999999999" hidden="1" customHeight="1" thickBot="1" x14ac:dyDescent="0.25">
      <c r="B167" s="1366"/>
      <c r="C167" s="1573"/>
      <c r="D167" s="1487" t="s">
        <v>2780</v>
      </c>
      <c r="E167" s="1574"/>
      <c r="F167" s="1575"/>
      <c r="G167" s="1900" t="s">
        <v>3072</v>
      </c>
      <c r="H167" s="1575"/>
      <c r="I167" s="1575"/>
      <c r="J167" s="1495"/>
      <c r="K167" s="1576"/>
      <c r="L167" s="1496"/>
      <c r="M167" s="1496"/>
      <c r="N167" s="1569" t="s">
        <v>2822</v>
      </c>
      <c r="O167" s="1576"/>
      <c r="P167" s="1576"/>
      <c r="Q167" s="1576"/>
      <c r="R167" s="1576"/>
      <c r="S167" s="1451"/>
      <c r="T167" s="1451"/>
      <c r="U167" s="1451"/>
      <c r="V167" s="1572"/>
      <c r="W167" s="1572"/>
      <c r="X167" s="1500"/>
      <c r="Y167" s="1127"/>
      <c r="Z167" s="1111"/>
      <c r="AA167" s="2585"/>
      <c r="AB167" s="2586"/>
      <c r="AC167" s="2587"/>
      <c r="AD167" s="2585"/>
      <c r="AE167" s="2588"/>
      <c r="AF167" s="2589"/>
      <c r="AG167" s="1191" t="s">
        <v>19</v>
      </c>
      <c r="AH167" s="1123" t="s">
        <v>39</v>
      </c>
      <c r="AI167" s="1113"/>
    </row>
    <row r="168" spans="2:35" s="1003" customFormat="1" ht="13.8" hidden="1" x14ac:dyDescent="0.2">
      <c r="B168" s="1367"/>
      <c r="C168" s="1398"/>
      <c r="D168" s="1428" t="s">
        <v>2626</v>
      </c>
      <c r="E168" s="1399" t="s">
        <v>2881</v>
      </c>
      <c r="F168" s="1399" t="s">
        <v>279</v>
      </c>
      <c r="G168" s="1399" t="s">
        <v>2779</v>
      </c>
      <c r="H168" s="1399"/>
      <c r="I168" s="1399"/>
      <c r="J168" s="1400" t="s">
        <v>2805</v>
      </c>
      <c r="K168" s="1400"/>
      <c r="L168" s="1400"/>
      <c r="M168" s="1400"/>
      <c r="N168" s="1399" t="s">
        <v>376</v>
      </c>
      <c r="O168" s="1399"/>
      <c r="P168" s="1462"/>
      <c r="Q168" s="1467"/>
      <c r="R168" s="1467"/>
      <c r="S168" s="1467"/>
      <c r="T168" s="1462"/>
      <c r="U168" s="1462"/>
      <c r="V168" s="1468"/>
      <c r="W168" s="1406">
        <f>AD168*C168*1.6</f>
        <v>0</v>
      </c>
      <c r="X168" s="1471">
        <f>+ROUNDUP(W168,0)</f>
        <v>0</v>
      </c>
      <c r="Y168" s="3779">
        <f>+X168+X169</f>
        <v>0</v>
      </c>
      <c r="Z168" s="74" t="s">
        <v>321</v>
      </c>
      <c r="AA168" s="3180">
        <v>278</v>
      </c>
      <c r="AB168" s="2462">
        <f>+AA168+22+6+12</f>
        <v>318</v>
      </c>
      <c r="AC168" s="2463">
        <f>+AB168*0.58</f>
        <v>184.44</v>
      </c>
      <c r="AD168" s="2464">
        <f>+AB168+AC168</f>
        <v>502.44</v>
      </c>
      <c r="AE168" s="2526">
        <f>+AD168</f>
        <v>502.44</v>
      </c>
      <c r="AF168" s="2466">
        <f>+W168</f>
        <v>0</v>
      </c>
      <c r="AG168" s="1189">
        <f>+AF168-AE168</f>
        <v>-502.44</v>
      </c>
      <c r="AH168" s="1072" t="e">
        <f>+AG168/AF168</f>
        <v>#DIV/0!</v>
      </c>
      <c r="AI168" s="1023"/>
    </row>
    <row r="169" spans="2:35" s="1120" customFormat="1" ht="14.4" hidden="1" thickBot="1" x14ac:dyDescent="0.25">
      <c r="B169" s="1365"/>
      <c r="C169" s="1398"/>
      <c r="D169" s="1428" t="s">
        <v>2423</v>
      </c>
      <c r="E169" s="1399">
        <v>3070</v>
      </c>
      <c r="F169" s="1462" t="s">
        <v>2820</v>
      </c>
      <c r="G169" s="1462" t="s">
        <v>2821</v>
      </c>
      <c r="H169" s="1462"/>
      <c r="I169" s="1462"/>
      <c r="J169" s="1400" t="s">
        <v>2805</v>
      </c>
      <c r="K169" s="1429"/>
      <c r="L169" s="1400"/>
      <c r="M169" s="1400"/>
      <c r="N169" s="1399" t="s">
        <v>328</v>
      </c>
      <c r="O169" s="1399" t="s">
        <v>2510</v>
      </c>
      <c r="P169" s="1463"/>
      <c r="Q169" s="1488"/>
      <c r="R169" s="1488"/>
      <c r="S169" s="1467"/>
      <c r="T169" s="1462"/>
      <c r="U169" s="1462"/>
      <c r="V169" s="1468"/>
      <c r="W169" s="1406">
        <f>AD169*C169*1.6</f>
        <v>0</v>
      </c>
      <c r="X169" s="1471">
        <f>+ROUNDUP(W169,0)</f>
        <v>0</v>
      </c>
      <c r="Y169" s="3747"/>
      <c r="Z169" s="193" t="s">
        <v>321</v>
      </c>
      <c r="AA169" s="3181">
        <v>96</v>
      </c>
      <c r="AB169" s="2513">
        <f>+AA169+26+12</f>
        <v>134</v>
      </c>
      <c r="AC169" s="2463">
        <f>+AB169*0.58</f>
        <v>77.72</v>
      </c>
      <c r="AD169" s="2464">
        <f>+AB169+AC169</f>
        <v>211.72</v>
      </c>
      <c r="AE169" s="2526">
        <f>+AD169*C169</f>
        <v>0</v>
      </c>
      <c r="AF169" s="2466">
        <f>+W169</f>
        <v>0</v>
      </c>
      <c r="AG169" s="1189">
        <f>+AF169-AE169</f>
        <v>0</v>
      </c>
      <c r="AH169" s="1072" t="e">
        <f>+AG169/AF169</f>
        <v>#DIV/0!</v>
      </c>
      <c r="AI169" s="1121"/>
    </row>
    <row r="170" spans="2:35" s="1110" customFormat="1" ht="17.399999999999999" hidden="1" customHeight="1" thickBot="1" x14ac:dyDescent="0.25">
      <c r="B170" s="1366"/>
      <c r="C170" s="1489"/>
      <c r="D170" s="1490" t="s">
        <v>2780</v>
      </c>
      <c r="E170" s="1491"/>
      <c r="F170" s="1577"/>
      <c r="G170" s="1900" t="s">
        <v>3072</v>
      </c>
      <c r="H170" s="1578"/>
      <c r="I170" s="1578"/>
      <c r="J170" s="1550"/>
      <c r="K170" s="1551"/>
      <c r="L170" s="1551"/>
      <c r="M170" s="1551"/>
      <c r="N170" s="1497" t="s">
        <v>2826</v>
      </c>
      <c r="O170" s="1709" t="s">
        <v>2842</v>
      </c>
      <c r="P170" s="1498"/>
      <c r="Q170" s="1498"/>
      <c r="R170" s="1498"/>
      <c r="S170" s="1499"/>
      <c r="T170" s="1499"/>
      <c r="U170" s="1499"/>
      <c r="V170" s="1493"/>
      <c r="W170" s="1494"/>
      <c r="X170" s="1500"/>
      <c r="Y170" s="1126"/>
      <c r="Z170" s="1111"/>
      <c r="AA170" s="2585"/>
      <c r="AB170" s="2586"/>
      <c r="AC170" s="2587"/>
      <c r="AD170" s="2587"/>
      <c r="AE170" s="2588"/>
      <c r="AF170" s="2589"/>
      <c r="AG170" s="1191" t="s">
        <v>19</v>
      </c>
      <c r="AH170" s="1123" t="s">
        <v>39</v>
      </c>
      <c r="AI170" s="1113"/>
    </row>
    <row r="171" spans="2:35" s="817" customFormat="1" ht="13.8" hidden="1" x14ac:dyDescent="0.25">
      <c r="B171" s="1362"/>
      <c r="C171" s="1501"/>
      <c r="D171" s="1552" t="s">
        <v>2626</v>
      </c>
      <c r="E171" s="1502" t="s">
        <v>2832</v>
      </c>
      <c r="F171" s="1579" t="s">
        <v>2798</v>
      </c>
      <c r="G171" s="1580"/>
      <c r="H171" s="1580"/>
      <c r="I171" s="1580"/>
      <c r="J171" s="1553" t="s">
        <v>2459</v>
      </c>
      <c r="K171" s="1506"/>
      <c r="L171" s="1536"/>
      <c r="M171" s="1536"/>
      <c r="N171" s="1505" t="s">
        <v>2636</v>
      </c>
      <c r="O171" s="1506" t="s">
        <v>2837</v>
      </c>
      <c r="P171" s="1506"/>
      <c r="Q171" s="1507"/>
      <c r="R171" s="1507"/>
      <c r="S171" s="1508"/>
      <c r="T171" s="1508"/>
      <c r="U171" s="1508"/>
      <c r="V171" s="1509"/>
      <c r="W171" s="1469">
        <f>+AD171*1.5*C171</f>
        <v>0</v>
      </c>
      <c r="X171" s="1470">
        <f>+ROUNDUP(W171,0)</f>
        <v>0</v>
      </c>
      <c r="Y171" s="3780">
        <f>SUM(X171:X174)</f>
        <v>0</v>
      </c>
      <c r="Z171" s="1031" t="s">
        <v>321</v>
      </c>
      <c r="AA171" s="3158">
        <v>381</v>
      </c>
      <c r="AB171" s="2470">
        <f>+AA171+12+7</f>
        <v>400</v>
      </c>
      <c r="AC171" s="2580">
        <f>+AB171*0.58</f>
        <v>231.99999999999997</v>
      </c>
      <c r="AD171" s="2581">
        <f>+AB171+AC171</f>
        <v>632</v>
      </c>
      <c r="AE171" s="2471"/>
      <c r="AF171" s="2582"/>
      <c r="AG171" s="1193">
        <f>+W171-AD171</f>
        <v>-632</v>
      </c>
      <c r="AH171" s="1188" t="e">
        <f>+AG171/X171</f>
        <v>#DIV/0!</v>
      </c>
      <c r="AI171" s="1033"/>
    </row>
    <row r="172" spans="2:35" s="236" customFormat="1" ht="13.8" hidden="1" x14ac:dyDescent="0.25">
      <c r="B172" s="1357"/>
      <c r="C172" s="1510"/>
      <c r="D172" s="1541" t="s">
        <v>2627</v>
      </c>
      <c r="E172" s="1472" t="s">
        <v>2628</v>
      </c>
      <c r="F172" s="1581" t="s">
        <v>2632</v>
      </c>
      <c r="G172" s="1512"/>
      <c r="H172" s="1512"/>
      <c r="I172" s="1512"/>
      <c r="J172" s="1465" t="s">
        <v>2459</v>
      </c>
      <c r="K172" s="1507"/>
      <c r="L172" s="1536"/>
      <c r="M172" s="1536"/>
      <c r="N172" s="1505" t="s">
        <v>2636</v>
      </c>
      <c r="O172" s="1507"/>
      <c r="P172" s="1513"/>
      <c r="Q172" s="1513"/>
      <c r="R172" s="1513"/>
      <c r="S172" s="1404"/>
      <c r="T172" s="1404"/>
      <c r="U172" s="1404"/>
      <c r="V172" s="1405"/>
      <c r="W172" s="1469">
        <f>+AD172*1.5*C172</f>
        <v>0</v>
      </c>
      <c r="X172" s="1470">
        <f>+ROUNDUP(W172,0)</f>
        <v>0</v>
      </c>
      <c r="Y172" s="3780"/>
      <c r="Z172" s="61" t="s">
        <v>345</v>
      </c>
      <c r="AA172" s="3174">
        <v>461</v>
      </c>
      <c r="AB172" s="2470">
        <f>+AA172+12+7</f>
        <v>480</v>
      </c>
      <c r="AC172" s="2580">
        <f>+AB172*0.58</f>
        <v>278.39999999999998</v>
      </c>
      <c r="AD172" s="2581">
        <f>+AB172+AC172</f>
        <v>758.4</v>
      </c>
      <c r="AE172" s="2471"/>
      <c r="AF172" s="2582">
        <f>+X172</f>
        <v>0</v>
      </c>
      <c r="AG172" s="1193">
        <f>+W172-AD172</f>
        <v>-758.4</v>
      </c>
      <c r="AH172" s="1188" t="e">
        <f>+AG172/X172</f>
        <v>#DIV/0!</v>
      </c>
      <c r="AI172" s="240"/>
    </row>
    <row r="173" spans="2:35" s="817" customFormat="1" ht="13.8" hidden="1" x14ac:dyDescent="0.25">
      <c r="B173" s="1362"/>
      <c r="C173" s="1540"/>
      <c r="D173" s="1541" t="s">
        <v>2638</v>
      </c>
      <c r="E173" s="1472" t="s">
        <v>2831</v>
      </c>
      <c r="F173" s="1467" t="s">
        <v>2633</v>
      </c>
      <c r="G173" s="1542"/>
      <c r="H173" s="1542"/>
      <c r="I173" s="1542"/>
      <c r="J173" s="1465" t="s">
        <v>2639</v>
      </c>
      <c r="K173" s="1536"/>
      <c r="L173" s="1536"/>
      <c r="M173" s="1536"/>
      <c r="N173" s="1465"/>
      <c r="O173" s="3775"/>
      <c r="P173" s="3775"/>
      <c r="Q173" s="1582"/>
      <c r="R173" s="1582"/>
      <c r="S173" s="1543"/>
      <c r="T173" s="1543"/>
      <c r="U173" s="1543"/>
      <c r="V173" s="1544"/>
      <c r="W173" s="1469">
        <f>+AD173*1.5*C173</f>
        <v>0</v>
      </c>
      <c r="X173" s="1470">
        <f>+ROUNDUP(W173,0)</f>
        <v>0</v>
      </c>
      <c r="Y173" s="3780"/>
      <c r="Z173" s="914" t="s">
        <v>321</v>
      </c>
      <c r="AA173" s="3175">
        <v>222</v>
      </c>
      <c r="AB173" s="2470">
        <f>+AA173+AA173/2</f>
        <v>333</v>
      </c>
      <c r="AC173" s="2580">
        <f>+AB173*0.58</f>
        <v>193.14</v>
      </c>
      <c r="AD173" s="2581">
        <f>+AB173+AC173</f>
        <v>526.14</v>
      </c>
      <c r="AE173" s="2471"/>
      <c r="AF173" s="2582"/>
      <c r="AG173" s="1193">
        <f>+W173-AD173</f>
        <v>-526.14</v>
      </c>
      <c r="AH173" s="1188" t="e">
        <f>+AG173/X173</f>
        <v>#DIV/0!</v>
      </c>
      <c r="AI173" s="915"/>
    </row>
    <row r="174" spans="2:35" s="1034" customFormat="1" ht="14.4" hidden="1" thickBot="1" x14ac:dyDescent="0.3">
      <c r="B174" s="1363"/>
      <c r="C174" s="1514"/>
      <c r="D174" s="1515" t="s">
        <v>2637</v>
      </c>
      <c r="E174" s="1516">
        <v>4010</v>
      </c>
      <c r="F174" s="1517" t="s">
        <v>2836</v>
      </c>
      <c r="G174" s="1518"/>
      <c r="H174" s="1518"/>
      <c r="I174" s="1518"/>
      <c r="J174" s="1554" t="s">
        <v>2640</v>
      </c>
      <c r="K174" s="1522"/>
      <c r="L174" s="1548"/>
      <c r="M174" s="1548"/>
      <c r="N174" s="1555" t="s">
        <v>2636</v>
      </c>
      <c r="O174" s="1521" t="s">
        <v>376</v>
      </c>
      <c r="P174" s="1521"/>
      <c r="Q174" s="1521"/>
      <c r="R174" s="1521"/>
      <c r="S174" s="1523"/>
      <c r="T174" s="1523"/>
      <c r="U174" s="1523"/>
      <c r="V174" s="1524"/>
      <c r="W174" s="1469">
        <f>+AD174*1.5*C174</f>
        <v>0</v>
      </c>
      <c r="X174" s="1470">
        <f>+ROUNDUP(W174,0)</f>
        <v>0</v>
      </c>
      <c r="Y174" s="3780"/>
      <c r="Z174" s="1036" t="s">
        <v>321</v>
      </c>
      <c r="AA174" s="3178">
        <v>133</v>
      </c>
      <c r="AB174" s="2470">
        <f>+AA174+(12+125)</f>
        <v>270</v>
      </c>
      <c r="AC174" s="2580">
        <f>+AB174*0.58</f>
        <v>156.6</v>
      </c>
      <c r="AD174" s="2581">
        <f>+AB174+AC174</f>
        <v>426.6</v>
      </c>
      <c r="AE174" s="2584"/>
      <c r="AF174" s="2582"/>
      <c r="AG174" s="1193">
        <f>+W174-AD174</f>
        <v>-426.6</v>
      </c>
      <c r="AH174" s="1188" t="e">
        <f>+AG174/X174</f>
        <v>#DIV/0!</v>
      </c>
      <c r="AI174" s="1038"/>
    </row>
    <row r="175" spans="2:35" s="1122" customFormat="1" ht="17.399999999999999" hidden="1" customHeight="1" thickBot="1" x14ac:dyDescent="0.25">
      <c r="B175" s="1364"/>
      <c r="C175" s="1525"/>
      <c r="D175" s="1526" t="s">
        <v>2780</v>
      </c>
      <c r="E175" s="1527"/>
      <c r="F175" s="1583"/>
      <c r="G175" s="1900" t="s">
        <v>3072</v>
      </c>
      <c r="H175" s="1584"/>
      <c r="I175" s="1584"/>
      <c r="J175" s="1530"/>
      <c r="K175" s="1531"/>
      <c r="L175" s="1531"/>
      <c r="M175" s="1531"/>
      <c r="N175" s="1532" t="s">
        <v>2827</v>
      </c>
      <c r="O175" s="3807" t="s">
        <v>2842</v>
      </c>
      <c r="P175" s="3808"/>
      <c r="Q175" s="1533"/>
      <c r="R175" s="1533"/>
      <c r="S175" s="1534"/>
      <c r="T175" s="1534"/>
      <c r="U175" s="1534"/>
      <c r="V175" s="1529"/>
      <c r="W175" s="1529"/>
      <c r="X175" s="1535"/>
      <c r="Y175" s="1131"/>
      <c r="Z175" s="1107"/>
      <c r="AA175" s="2575"/>
      <c r="AB175" s="2575"/>
      <c r="AC175" s="2587"/>
      <c r="AD175" s="2587"/>
      <c r="AE175" s="2578"/>
      <c r="AF175" s="2590"/>
      <c r="AG175" s="1194" t="s">
        <v>19</v>
      </c>
      <c r="AH175" s="1124" t="s">
        <v>39</v>
      </c>
      <c r="AI175" s="1109"/>
    </row>
    <row r="176" spans="2:35" s="817" customFormat="1" ht="14.4" hidden="1" thickBot="1" x14ac:dyDescent="0.3">
      <c r="B176" s="1362"/>
      <c r="C176" s="1501"/>
      <c r="D176" s="1541" t="s">
        <v>2626</v>
      </c>
      <c r="E176" s="1472" t="s">
        <v>2833</v>
      </c>
      <c r="F176" s="1585" t="s">
        <v>2631</v>
      </c>
      <c r="G176" s="1580"/>
      <c r="H176" s="1580"/>
      <c r="I176" s="1580"/>
      <c r="J176" s="1538" t="s">
        <v>2459</v>
      </c>
      <c r="K176" s="1465"/>
      <c r="L176" s="1465"/>
      <c r="M176" s="1465"/>
      <c r="N176" s="1473" t="s">
        <v>2636</v>
      </c>
      <c r="O176" s="3748" t="s">
        <v>525</v>
      </c>
      <c r="P176" s="3749"/>
      <c r="Q176" s="1507"/>
      <c r="R176" s="1507"/>
      <c r="S176" s="1508"/>
      <c r="T176" s="1508"/>
      <c r="U176" s="1508"/>
      <c r="V176" s="1509"/>
      <c r="W176" s="1469">
        <f>+AD176*1.5*C176</f>
        <v>0</v>
      </c>
      <c r="X176" s="1539">
        <f>+ROUNDUP(W176,0)</f>
        <v>0</v>
      </c>
      <c r="Y176" s="3750">
        <f>SUM(X176:X179)</f>
        <v>0</v>
      </c>
      <c r="Z176" s="1031" t="s">
        <v>321</v>
      </c>
      <c r="AA176" s="3158">
        <v>309</v>
      </c>
      <c r="AB176" s="2470">
        <f>+AA176+12+12</f>
        <v>333</v>
      </c>
      <c r="AC176" s="2580">
        <f>+AB176*0.58</f>
        <v>193.14</v>
      </c>
      <c r="AD176" s="2581">
        <f>+AB176+AC176</f>
        <v>526.14</v>
      </c>
      <c r="AE176" s="2471"/>
      <c r="AF176" s="2582"/>
      <c r="AG176" s="1193">
        <f>+W176-AD176</f>
        <v>-526.14</v>
      </c>
      <c r="AH176" s="1188" t="e">
        <f>+AG176/X176</f>
        <v>#DIV/0!</v>
      </c>
      <c r="AI176" s="1033"/>
    </row>
    <row r="177" spans="2:35" s="236" customFormat="1" ht="14.4" hidden="1" thickBot="1" x14ac:dyDescent="0.3">
      <c r="B177" s="1357"/>
      <c r="C177" s="1510"/>
      <c r="D177" s="1541" t="s">
        <v>2627</v>
      </c>
      <c r="E177" s="1472" t="s">
        <v>2834</v>
      </c>
      <c r="F177" s="1581" t="s">
        <v>2632</v>
      </c>
      <c r="G177" s="1512"/>
      <c r="H177" s="1512"/>
      <c r="I177" s="1512"/>
      <c r="J177" s="1538" t="s">
        <v>2459</v>
      </c>
      <c r="K177" s="1465"/>
      <c r="L177" s="1465"/>
      <c r="M177" s="1465"/>
      <c r="N177" s="1473" t="s">
        <v>2636</v>
      </c>
      <c r="O177" s="3748" t="s">
        <v>2829</v>
      </c>
      <c r="P177" s="3749"/>
      <c r="Q177" s="1507"/>
      <c r="R177" s="1507"/>
      <c r="S177" s="1404"/>
      <c r="T177" s="1404"/>
      <c r="U177" s="1404"/>
      <c r="V177" s="1405"/>
      <c r="W177" s="1469">
        <f>+AD177*1.5*C177</f>
        <v>0</v>
      </c>
      <c r="X177" s="1482">
        <f>+ROUNDUP(W177,0)</f>
        <v>0</v>
      </c>
      <c r="Y177" s="3751"/>
      <c r="Z177" s="61" t="s">
        <v>321</v>
      </c>
      <c r="AA177" s="3174">
        <v>309</v>
      </c>
      <c r="AB177" s="2470">
        <f>+AA177+12+38</f>
        <v>359</v>
      </c>
      <c r="AC177" s="2580">
        <f>+AB177*0.58</f>
        <v>208.22</v>
      </c>
      <c r="AD177" s="2581">
        <f>+AB177+AC177</f>
        <v>567.22</v>
      </c>
      <c r="AE177" s="2471"/>
      <c r="AF177" s="2582"/>
      <c r="AG177" s="1193">
        <f>+W177-AD177</f>
        <v>-567.22</v>
      </c>
      <c r="AH177" s="1188" t="e">
        <f>+AG177/X177</f>
        <v>#DIV/0!</v>
      </c>
      <c r="AI177" s="240"/>
    </row>
    <row r="178" spans="2:35" s="817" customFormat="1" ht="14.4" hidden="1" thickBot="1" x14ac:dyDescent="0.3">
      <c r="B178" s="1362"/>
      <c r="C178" s="1540"/>
      <c r="D178" s="1541" t="s">
        <v>2638</v>
      </c>
      <c r="E178" s="1472" t="s">
        <v>2830</v>
      </c>
      <c r="F178" s="1467" t="s">
        <v>2633</v>
      </c>
      <c r="G178" s="1542"/>
      <c r="H178" s="1542"/>
      <c r="I178" s="1542"/>
      <c r="J178" s="1538" t="s">
        <v>2639</v>
      </c>
      <c r="K178" s="1536"/>
      <c r="L178" s="1536"/>
      <c r="M178" s="1536"/>
      <c r="N178" s="1465"/>
      <c r="O178" s="3748"/>
      <c r="P178" s="3749"/>
      <c r="Q178" s="1507"/>
      <c r="R178" s="1507"/>
      <c r="S178" s="1543"/>
      <c r="T178" s="1543"/>
      <c r="U178" s="1543"/>
      <c r="V178" s="1544"/>
      <c r="W178" s="1469">
        <f>+AD178*1.5*C178</f>
        <v>0</v>
      </c>
      <c r="X178" s="1482">
        <f>+ROUNDUP(W178,0)</f>
        <v>0</v>
      </c>
      <c r="Y178" s="3751"/>
      <c r="Z178" s="914" t="s">
        <v>321</v>
      </c>
      <c r="AA178" s="3175">
        <v>222</v>
      </c>
      <c r="AB178" s="2470">
        <f>+AA178+AA178/2</f>
        <v>333</v>
      </c>
      <c r="AC178" s="2580">
        <f>+AB178*0.58</f>
        <v>193.14</v>
      </c>
      <c r="AD178" s="2581">
        <f>+AB178+AC178</f>
        <v>526.14</v>
      </c>
      <c r="AE178" s="2471"/>
      <c r="AF178" s="2582"/>
      <c r="AG178" s="1193">
        <f>+W178-AD178</f>
        <v>-526.14</v>
      </c>
      <c r="AH178" s="1188" t="e">
        <f>+AG178/X178</f>
        <v>#DIV/0!</v>
      </c>
      <c r="AI178" s="915"/>
    </row>
    <row r="179" spans="2:35" s="1034" customFormat="1" ht="14.4" hidden="1" thickBot="1" x14ac:dyDescent="0.3">
      <c r="B179" s="1363"/>
      <c r="C179" s="1514"/>
      <c r="D179" s="1515" t="s">
        <v>2637</v>
      </c>
      <c r="E179" s="1516" t="s">
        <v>2828</v>
      </c>
      <c r="F179" s="1517" t="s">
        <v>2836</v>
      </c>
      <c r="G179" s="1518"/>
      <c r="H179" s="1518"/>
      <c r="I179" s="1518"/>
      <c r="J179" s="1547" t="s">
        <v>2640</v>
      </c>
      <c r="K179" s="1548"/>
      <c r="L179" s="1548"/>
      <c r="M179" s="1548"/>
      <c r="N179" s="1555" t="s">
        <v>2636</v>
      </c>
      <c r="O179" s="3748" t="s">
        <v>2835</v>
      </c>
      <c r="P179" s="3749"/>
      <c r="Q179" s="1548"/>
      <c r="R179" s="1548"/>
      <c r="S179" s="1523"/>
      <c r="T179" s="1523"/>
      <c r="U179" s="1523"/>
      <c r="V179" s="1524"/>
      <c r="W179" s="1469">
        <f>+AD179*1.5*C179</f>
        <v>0</v>
      </c>
      <c r="X179" s="1549">
        <f>+ROUNDUP(W179,0)</f>
        <v>0</v>
      </c>
      <c r="Y179" s="3752"/>
      <c r="Z179" s="1036" t="s">
        <v>321</v>
      </c>
      <c r="AA179" s="3178">
        <v>144</v>
      </c>
      <c r="AB179" s="2583">
        <f>+AA179+(12+125)</f>
        <v>281</v>
      </c>
      <c r="AC179" s="2591">
        <f>+AB179*0.58</f>
        <v>162.97999999999999</v>
      </c>
      <c r="AD179" s="2592">
        <f>+AB179+AC179</f>
        <v>443.98</v>
      </c>
      <c r="AE179" s="2593"/>
      <c r="AF179" s="2582"/>
      <c r="AG179" s="1193">
        <f>+W179-AD179</f>
        <v>-443.98</v>
      </c>
      <c r="AH179" s="1188" t="e">
        <f>+AG179/X179</f>
        <v>#DIV/0!</v>
      </c>
      <c r="AI179" s="1038"/>
    </row>
    <row r="180" spans="2:35" s="1110" customFormat="1" ht="17.399999999999999" hidden="1" customHeight="1" thickBot="1" x14ac:dyDescent="0.25">
      <c r="B180" s="1366"/>
      <c r="C180" s="1489"/>
      <c r="D180" s="1596" t="s">
        <v>2876</v>
      </c>
      <c r="E180" s="1483" t="s">
        <v>2889</v>
      </c>
      <c r="F180" s="1577"/>
      <c r="G180" s="1900" t="s">
        <v>3072</v>
      </c>
      <c r="H180" s="1578"/>
      <c r="I180" s="1578"/>
      <c r="J180" s="1550"/>
      <c r="K180" s="1551"/>
      <c r="L180" s="1551"/>
      <c r="M180" s="1551"/>
      <c r="N180" s="1497"/>
      <c r="O180" s="1708"/>
      <c r="P180" s="1586"/>
      <c r="Q180" s="1586"/>
      <c r="R180" s="1586"/>
      <c r="S180" s="1499"/>
      <c r="T180" s="1499"/>
      <c r="U180" s="1499"/>
      <c r="V180" s="1493"/>
      <c r="W180" s="1494"/>
      <c r="X180" s="1500"/>
      <c r="Y180" s="1126"/>
      <c r="Z180" s="1111"/>
      <c r="AA180" s="2585"/>
      <c r="AB180" s="2586"/>
      <c r="AC180" s="2587"/>
      <c r="AD180" s="2587"/>
      <c r="AE180" s="2588"/>
      <c r="AF180" s="2589"/>
      <c r="AG180" s="1191" t="s">
        <v>19</v>
      </c>
      <c r="AH180" s="1123" t="s">
        <v>39</v>
      </c>
      <c r="AI180" s="1113"/>
    </row>
    <row r="181" spans="2:35" s="817" customFormat="1" ht="13.8" hidden="1" x14ac:dyDescent="0.25">
      <c r="B181" s="1362"/>
      <c r="C181" s="1597"/>
      <c r="D181" s="1552" t="s">
        <v>2626</v>
      </c>
      <c r="E181" s="1502" t="s">
        <v>2879</v>
      </c>
      <c r="F181" s="1579"/>
      <c r="G181" s="1580"/>
      <c r="H181" s="1580"/>
      <c r="I181" s="1580"/>
      <c r="J181" s="1400" t="s">
        <v>2886</v>
      </c>
      <c r="K181" s="1462"/>
      <c r="L181" s="1536"/>
      <c r="M181" s="1536"/>
      <c r="N181" s="1505" t="s">
        <v>2631</v>
      </c>
      <c r="O181" s="1462" t="s">
        <v>2894</v>
      </c>
      <c r="P181" s="1462"/>
      <c r="Q181" s="1507"/>
      <c r="R181" s="1507"/>
      <c r="S181" s="1508"/>
      <c r="T181" s="1508"/>
      <c r="U181" s="1508"/>
      <c r="V181" s="1509"/>
      <c r="W181" s="3809">
        <f>+AD181*1.5*C181</f>
        <v>0</v>
      </c>
      <c r="X181" s="3776">
        <f>+ROUNDUP(W181,0)</f>
        <v>0</v>
      </c>
      <c r="Y181" s="3937">
        <f>SUM(X181:X183)</f>
        <v>0</v>
      </c>
      <c r="Z181" s="74" t="s">
        <v>2897</v>
      </c>
      <c r="AA181" s="3869">
        <v>4318.7</v>
      </c>
      <c r="AB181" s="2470"/>
      <c r="AC181" s="2580"/>
      <c r="AD181" s="3894">
        <f>+AA181</f>
        <v>4318.7</v>
      </c>
      <c r="AE181" s="3875"/>
      <c r="AF181" s="3897">
        <f>+X182</f>
        <v>0</v>
      </c>
      <c r="AG181" s="3900">
        <f>+W181-AD181</f>
        <v>-4318.7</v>
      </c>
      <c r="AH181" s="3866" t="e">
        <f>+AG181/X181</f>
        <v>#DIV/0!</v>
      </c>
      <c r="AI181" s="1211"/>
    </row>
    <row r="182" spans="2:35" s="236" customFormat="1" ht="13.8" hidden="1" x14ac:dyDescent="0.25">
      <c r="B182" s="1357"/>
      <c r="C182" s="1598"/>
      <c r="D182" s="1541" t="s">
        <v>2627</v>
      </c>
      <c r="E182" s="1472" t="s">
        <v>2878</v>
      </c>
      <c r="F182" s="1581"/>
      <c r="G182" s="1512"/>
      <c r="H182" s="1512"/>
      <c r="I182" s="1512"/>
      <c r="J182" s="1400" t="s">
        <v>2886</v>
      </c>
      <c r="K182" s="1462"/>
      <c r="L182" s="1536"/>
      <c r="M182" s="1536"/>
      <c r="N182" s="1473" t="s">
        <v>2888</v>
      </c>
      <c r="O182" s="1462"/>
      <c r="P182" s="1401"/>
      <c r="Q182" s="1513"/>
      <c r="R182" s="1513"/>
      <c r="S182" s="1404"/>
      <c r="T182" s="1404"/>
      <c r="U182" s="1404"/>
      <c r="V182" s="1405"/>
      <c r="W182" s="3810"/>
      <c r="X182" s="3777"/>
      <c r="Y182" s="3938"/>
      <c r="Z182" s="74" t="s">
        <v>2897</v>
      </c>
      <c r="AA182" s="3870"/>
      <c r="AB182" s="2470"/>
      <c r="AC182" s="2580"/>
      <c r="AD182" s="3895"/>
      <c r="AE182" s="3876"/>
      <c r="AF182" s="3898"/>
      <c r="AG182" s="3901"/>
      <c r="AH182" s="3867"/>
      <c r="AI182" s="1212"/>
    </row>
    <row r="183" spans="2:35" s="1034" customFormat="1" ht="14.4" hidden="1" thickBot="1" x14ac:dyDescent="0.3">
      <c r="B183" s="1363"/>
      <c r="C183" s="1599"/>
      <c r="D183" s="1515" t="s">
        <v>2642</v>
      </c>
      <c r="E183" s="1516">
        <v>8072</v>
      </c>
      <c r="F183" s="1462">
        <v>5.75</v>
      </c>
      <c r="G183" s="1518" t="s">
        <v>2896</v>
      </c>
      <c r="H183" s="1519"/>
      <c r="I183" s="1519"/>
      <c r="J183" s="1400" t="s">
        <v>2886</v>
      </c>
      <c r="K183" s="1473"/>
      <c r="L183" s="1548"/>
      <c r="M183" s="1548"/>
      <c r="N183" s="1555" t="s">
        <v>1491</v>
      </c>
      <c r="O183" s="1463"/>
      <c r="P183" s="1463"/>
      <c r="Q183" s="1588"/>
      <c r="R183" s="1588"/>
      <c r="S183" s="1523"/>
      <c r="T183" s="1523"/>
      <c r="U183" s="1523"/>
      <c r="V183" s="1524"/>
      <c r="W183" s="3811"/>
      <c r="X183" s="3778"/>
      <c r="Y183" s="3939"/>
      <c r="Z183" s="74" t="s">
        <v>2897</v>
      </c>
      <c r="AA183" s="3871"/>
      <c r="AB183" s="2470"/>
      <c r="AC183" s="2580"/>
      <c r="AD183" s="3896"/>
      <c r="AE183" s="3877"/>
      <c r="AF183" s="3899"/>
      <c r="AG183" s="3902"/>
      <c r="AH183" s="3868"/>
      <c r="AI183" s="1213"/>
    </row>
    <row r="184" spans="2:35" s="1122" customFormat="1" ht="17.399999999999999" hidden="1" customHeight="1" thickBot="1" x14ac:dyDescent="0.25">
      <c r="B184" s="1364"/>
      <c r="C184" s="1525"/>
      <c r="D184" s="1600" t="s">
        <v>2877</v>
      </c>
      <c r="E184" s="1483" t="s">
        <v>2889</v>
      </c>
      <c r="F184" s="1583"/>
      <c r="G184" s="1900" t="s">
        <v>3072</v>
      </c>
      <c r="H184" s="1584"/>
      <c r="I184" s="1584"/>
      <c r="J184" s="1530"/>
      <c r="K184" s="1531"/>
      <c r="L184" s="1531"/>
      <c r="M184" s="1531"/>
      <c r="N184" s="1532"/>
      <c r="O184" s="3785"/>
      <c r="P184" s="3786"/>
      <c r="Q184" s="1589"/>
      <c r="R184" s="1589"/>
      <c r="S184" s="1534"/>
      <c r="T184" s="1534"/>
      <c r="U184" s="1534"/>
      <c r="V184" s="1529"/>
      <c r="W184" s="1478"/>
      <c r="X184" s="1479"/>
      <c r="Y184" s="1131"/>
      <c r="Z184" s="1107"/>
      <c r="AA184" s="2575"/>
      <c r="AB184" s="2575"/>
      <c r="AC184" s="2587"/>
      <c r="AD184" s="2587"/>
      <c r="AE184" s="2578"/>
      <c r="AF184" s="2590"/>
      <c r="AG184" s="1194" t="s">
        <v>19</v>
      </c>
      <c r="AH184" s="1124" t="s">
        <v>39</v>
      </c>
      <c r="AI184" s="1109"/>
    </row>
    <row r="185" spans="2:35" s="817" customFormat="1" ht="13.8" hidden="1" x14ac:dyDescent="0.25">
      <c r="B185" s="1362"/>
      <c r="C185" s="1501"/>
      <c r="D185" s="1541" t="s">
        <v>2626</v>
      </c>
      <c r="E185" s="1472" t="s">
        <v>3394</v>
      </c>
      <c r="F185" s="1585"/>
      <c r="G185" s="1580"/>
      <c r="H185" s="3957" t="s">
        <v>3400</v>
      </c>
      <c r="I185" s="1580"/>
      <c r="J185" s="1400" t="s">
        <v>2886</v>
      </c>
      <c r="K185" s="1462"/>
      <c r="L185" s="1536"/>
      <c r="M185" s="1536"/>
      <c r="N185" s="1505" t="s">
        <v>2631</v>
      </c>
      <c r="O185" s="1462" t="s">
        <v>2894</v>
      </c>
      <c r="P185" s="1462"/>
      <c r="Q185" s="1507"/>
      <c r="R185" s="1507"/>
      <c r="S185" s="1508"/>
      <c r="T185" s="1508"/>
      <c r="U185" s="1508"/>
      <c r="V185" s="1509"/>
      <c r="W185" s="3809">
        <f>+AD185*1.5*C185</f>
        <v>0</v>
      </c>
      <c r="X185" s="3423">
        <f>+ROUNDUP(W185,0)</f>
        <v>0</v>
      </c>
      <c r="Y185" s="3750">
        <f>SUM(W185:X187)</f>
        <v>0</v>
      </c>
      <c r="Z185" s="74" t="s">
        <v>2897</v>
      </c>
      <c r="AA185" s="3869">
        <v>4413</v>
      </c>
      <c r="AB185" s="2470"/>
      <c r="AC185" s="2580"/>
      <c r="AD185" s="3894">
        <f>+AA185</f>
        <v>4413</v>
      </c>
      <c r="AE185" s="3886">
        <f>+AD185*C185</f>
        <v>0</v>
      </c>
      <c r="AF185" s="3884">
        <f>+W185</f>
        <v>0</v>
      </c>
      <c r="AG185" s="3891">
        <f>+W185-AE185</f>
        <v>0</v>
      </c>
      <c r="AH185" s="3888" t="e">
        <f>+AG185/X185</f>
        <v>#DIV/0!</v>
      </c>
      <c r="AI185" s="1033"/>
    </row>
    <row r="186" spans="2:35" s="236" customFormat="1" ht="14.4" hidden="1" thickBot="1" x14ac:dyDescent="0.3">
      <c r="B186" s="1357"/>
      <c r="C186" s="1510"/>
      <c r="D186" s="1541" t="s">
        <v>2627</v>
      </c>
      <c r="E186" s="1472" t="s">
        <v>3395</v>
      </c>
      <c r="F186" s="1581"/>
      <c r="G186" s="1512"/>
      <c r="H186" s="3958"/>
      <c r="I186" s="1512"/>
      <c r="J186" s="1400" t="s">
        <v>2886</v>
      </c>
      <c r="K186" s="1462"/>
      <c r="L186" s="1536"/>
      <c r="M186" s="1536"/>
      <c r="N186" s="1505" t="s">
        <v>2888</v>
      </c>
      <c r="O186" s="1462"/>
      <c r="P186" s="1401"/>
      <c r="Q186" s="1513"/>
      <c r="R186" s="1513"/>
      <c r="S186" s="1404"/>
      <c r="T186" s="1404"/>
      <c r="U186" s="1404"/>
      <c r="V186" s="1405"/>
      <c r="W186" s="3810"/>
      <c r="X186" s="3424"/>
      <c r="Y186" s="3751"/>
      <c r="Z186" s="74" t="s">
        <v>2897</v>
      </c>
      <c r="AA186" s="3870"/>
      <c r="AB186" s="2470"/>
      <c r="AC186" s="2580"/>
      <c r="AD186" s="3940"/>
      <c r="AE186" s="3887"/>
      <c r="AF186" s="3885"/>
      <c r="AG186" s="3893"/>
      <c r="AH186" s="3889"/>
      <c r="AI186" s="240"/>
    </row>
    <row r="187" spans="2:35" s="1034" customFormat="1" ht="14.4" hidden="1" thickBot="1" x14ac:dyDescent="0.3">
      <c r="B187" s="1363"/>
      <c r="C187" s="1514"/>
      <c r="D187" s="1515" t="s">
        <v>3393</v>
      </c>
      <c r="E187" s="1516" t="s">
        <v>3396</v>
      </c>
      <c r="F187" s="1439" t="s">
        <v>3293</v>
      </c>
      <c r="G187" s="1518"/>
      <c r="H187" s="1519" t="s">
        <v>3397</v>
      </c>
      <c r="I187" s="1519"/>
      <c r="J187" s="1400" t="s">
        <v>3398</v>
      </c>
      <c r="K187" s="1473" t="s">
        <v>2959</v>
      </c>
      <c r="L187" s="1548"/>
      <c r="M187" s="1548"/>
      <c r="N187" s="1555" t="s">
        <v>1491</v>
      </c>
      <c r="O187" s="1463"/>
      <c r="P187" s="1463"/>
      <c r="Q187" s="1588"/>
      <c r="R187" s="1588"/>
      <c r="S187" s="1523"/>
      <c r="T187" s="1523"/>
      <c r="U187" s="1523"/>
      <c r="V187" s="1524"/>
      <c r="W187" s="3809">
        <f>+AD187*1.9*C187</f>
        <v>0</v>
      </c>
      <c r="X187" s="3423">
        <f>+ROUNDUP(W187,0)</f>
        <v>0</v>
      </c>
      <c r="Y187" s="3752"/>
      <c r="Z187" s="74" t="s">
        <v>3401</v>
      </c>
      <c r="AA187" s="3871"/>
      <c r="AB187" s="2583">
        <v>300</v>
      </c>
      <c r="AC187" s="2591"/>
      <c r="AD187" s="2602">
        <f>+AB187</f>
        <v>300</v>
      </c>
      <c r="AE187" s="2945"/>
      <c r="AF187" s="2944"/>
      <c r="AG187" s="1193">
        <f>+W187-AD187</f>
        <v>-300</v>
      </c>
      <c r="AH187" s="2946" t="e">
        <f>+AG187/X187</f>
        <v>#DIV/0!</v>
      </c>
      <c r="AI187" s="1038"/>
    </row>
    <row r="188" spans="2:35" s="1122" customFormat="1" ht="14.4" hidden="1" thickBot="1" x14ac:dyDescent="0.25">
      <c r="B188" s="1364"/>
      <c r="C188" s="1601"/>
      <c r="D188" s="1592" t="s">
        <v>2877</v>
      </c>
      <c r="E188" s="1483" t="s">
        <v>2889</v>
      </c>
      <c r="F188" s="1590"/>
      <c r="G188" s="1900" t="s">
        <v>3072</v>
      </c>
      <c r="H188" s="1590"/>
      <c r="I188" s="1590"/>
      <c r="J188" s="1567"/>
      <c r="K188" s="1568"/>
      <c r="L188" s="1568"/>
      <c r="M188" s="1568"/>
      <c r="N188" s="1569"/>
      <c r="O188" s="3785"/>
      <c r="P188" s="3786"/>
      <c r="Q188" s="1589"/>
      <c r="R188" s="1589"/>
      <c r="S188" s="1452"/>
      <c r="T188" s="1452"/>
      <c r="U188" s="1452"/>
      <c r="V188" s="1484"/>
      <c r="W188" s="3810"/>
      <c r="X188" s="1567"/>
      <c r="Y188" s="1127"/>
      <c r="Z188" s="1107"/>
      <c r="AA188" s="2575"/>
      <c r="AB188" s="2576"/>
      <c r="AC188" s="2577"/>
      <c r="AD188" s="2575"/>
      <c r="AE188" s="2578"/>
      <c r="AF188" s="2589"/>
      <c r="AG188" s="1191" t="s">
        <v>19</v>
      </c>
      <c r="AH188" s="1124" t="s">
        <v>39</v>
      </c>
      <c r="AI188" s="1109"/>
    </row>
    <row r="189" spans="2:35" s="817" customFormat="1" ht="13.8" hidden="1" x14ac:dyDescent="0.25">
      <c r="B189" s="1362"/>
      <c r="C189" s="1501"/>
      <c r="D189" s="1541" t="s">
        <v>2626</v>
      </c>
      <c r="E189" s="1472" t="s">
        <v>2890</v>
      </c>
      <c r="F189" s="1585" t="s">
        <v>2673</v>
      </c>
      <c r="G189" s="1580"/>
      <c r="H189" s="1580"/>
      <c r="I189" s="1580"/>
      <c r="J189" s="1400" t="s">
        <v>2886</v>
      </c>
      <c r="K189" s="1462"/>
      <c r="L189" s="1536"/>
      <c r="M189" s="1536"/>
      <c r="N189" s="1505" t="s">
        <v>2631</v>
      </c>
      <c r="O189" s="1462" t="s">
        <v>2894</v>
      </c>
      <c r="P189" s="1462"/>
      <c r="Q189" s="1507"/>
      <c r="R189" s="1507"/>
      <c r="S189" s="1508"/>
      <c r="T189" s="1508"/>
      <c r="U189" s="1508"/>
      <c r="V189" s="1509"/>
      <c r="W189" s="3809">
        <f>+AD189*1.5*C189</f>
        <v>0</v>
      </c>
      <c r="X189" s="3776">
        <f>+ROUNDUP(W189,0)</f>
        <v>0</v>
      </c>
      <c r="Y189" s="3934">
        <f>SUM(X189:X191)</f>
        <v>0</v>
      </c>
      <c r="Z189" s="74" t="s">
        <v>2897</v>
      </c>
      <c r="AA189" s="3869">
        <v>4104</v>
      </c>
      <c r="AB189" s="2470"/>
      <c r="AC189" s="2580"/>
      <c r="AD189" s="3894">
        <f>+AA189</f>
        <v>4104</v>
      </c>
      <c r="AE189" s="3886">
        <f>+AD189*C189</f>
        <v>0</v>
      </c>
      <c r="AF189" s="3884">
        <f>+W189</f>
        <v>0</v>
      </c>
      <c r="AG189" s="3891">
        <f>+W189-AE189</f>
        <v>0</v>
      </c>
      <c r="AH189" s="3888" t="e">
        <f>+AG189/X189</f>
        <v>#DIV/0!</v>
      </c>
      <c r="AI189" s="1033"/>
    </row>
    <row r="190" spans="2:35" s="236" customFormat="1" ht="13.8" hidden="1" x14ac:dyDescent="0.25">
      <c r="B190" s="1357"/>
      <c r="C190" s="1510"/>
      <c r="D190" s="1541" t="s">
        <v>2627</v>
      </c>
      <c r="E190" s="1472" t="s">
        <v>2891</v>
      </c>
      <c r="F190" s="1581"/>
      <c r="G190" s="1512"/>
      <c r="H190" s="1512"/>
      <c r="I190" s="1512"/>
      <c r="J190" s="1400" t="s">
        <v>2886</v>
      </c>
      <c r="K190" s="1462"/>
      <c r="L190" s="1536"/>
      <c r="M190" s="1536"/>
      <c r="N190" s="1505" t="s">
        <v>2888</v>
      </c>
      <c r="O190" s="1462"/>
      <c r="P190" s="1401"/>
      <c r="Q190" s="1513"/>
      <c r="R190" s="1513"/>
      <c r="S190" s="1404"/>
      <c r="T190" s="1404"/>
      <c r="U190" s="1404"/>
      <c r="V190" s="1405"/>
      <c r="W190" s="3810"/>
      <c r="X190" s="3777"/>
      <c r="Y190" s="3935"/>
      <c r="Z190" s="74" t="s">
        <v>2897</v>
      </c>
      <c r="AA190" s="3870"/>
      <c r="AB190" s="2470"/>
      <c r="AC190" s="2580"/>
      <c r="AD190" s="3895"/>
      <c r="AE190" s="3932"/>
      <c r="AF190" s="3948"/>
      <c r="AG190" s="3892"/>
      <c r="AH190" s="3889"/>
      <c r="AI190" s="240"/>
    </row>
    <row r="191" spans="2:35" s="1034" customFormat="1" ht="14.4" hidden="1" thickBot="1" x14ac:dyDescent="0.3">
      <c r="B191" s="1363"/>
      <c r="C191" s="1514"/>
      <c r="D191" s="1515" t="s">
        <v>2642</v>
      </c>
      <c r="E191" s="1516" t="s">
        <v>2912</v>
      </c>
      <c r="F191" s="1462">
        <v>5.75</v>
      </c>
      <c r="G191" s="1518"/>
      <c r="H191" s="1519"/>
      <c r="I191" s="1519"/>
      <c r="J191" s="1400" t="s">
        <v>2886</v>
      </c>
      <c r="K191" s="1473"/>
      <c r="L191" s="1548"/>
      <c r="M191" s="1548"/>
      <c r="N191" s="1555" t="s">
        <v>1491</v>
      </c>
      <c r="O191" s="1463"/>
      <c r="P191" s="1463"/>
      <c r="Q191" s="1588"/>
      <c r="R191" s="1588"/>
      <c r="S191" s="1523"/>
      <c r="T191" s="1523"/>
      <c r="U191" s="1523"/>
      <c r="V191" s="1524"/>
      <c r="W191" s="3811"/>
      <c r="X191" s="3778"/>
      <c r="Y191" s="3936"/>
      <c r="Z191" s="74" t="s">
        <v>2897</v>
      </c>
      <c r="AA191" s="3871"/>
      <c r="AB191" s="2583"/>
      <c r="AC191" s="2591"/>
      <c r="AD191" s="3896"/>
      <c r="AE191" s="3917"/>
      <c r="AF191" s="3885"/>
      <c r="AG191" s="3893"/>
      <c r="AH191" s="3890"/>
      <c r="AI191" s="1038"/>
    </row>
    <row r="192" spans="2:35" s="1205" customFormat="1" ht="17.399999999999999" hidden="1" customHeight="1" thickBot="1" x14ac:dyDescent="0.25">
      <c r="B192" s="1368"/>
      <c r="C192" s="1602"/>
      <c r="D192" s="1603"/>
      <c r="E192" s="1483"/>
      <c r="F192" s="1604"/>
      <c r="G192" s="1900" t="s">
        <v>3072</v>
      </c>
      <c r="H192" s="1604"/>
      <c r="I192" s="1604"/>
      <c r="J192" s="1605"/>
      <c r="K192" s="1606"/>
      <c r="L192" s="1607"/>
      <c r="M192" s="1607"/>
      <c r="N192" s="1608"/>
      <c r="O192" s="3842"/>
      <c r="P192" s="3843"/>
      <c r="Q192" s="1609"/>
      <c r="R192" s="1609"/>
      <c r="S192" s="1610"/>
      <c r="T192" s="1610"/>
      <c r="U192" s="1610"/>
      <c r="V192" s="1611"/>
      <c r="W192" s="1612"/>
      <c r="X192" s="1613"/>
      <c r="Y192" s="1206"/>
      <c r="Z192" s="1207"/>
      <c r="AA192" s="2595"/>
      <c r="AB192" s="2596"/>
      <c r="AC192" s="2597"/>
      <c r="AD192" s="2595"/>
      <c r="AE192" s="2598"/>
      <c r="AF192" s="2599"/>
      <c r="AG192" s="1208"/>
      <c r="AH192" s="1209" t="s">
        <v>19</v>
      </c>
      <c r="AI192" s="1210"/>
    </row>
    <row r="193" spans="2:35" s="1003" customFormat="1" ht="14.4" hidden="1" thickBot="1" x14ac:dyDescent="0.25">
      <c r="B193" s="1367"/>
      <c r="C193" s="1398"/>
      <c r="D193" s="1428" t="s">
        <v>2626</v>
      </c>
      <c r="E193" s="1399" t="s">
        <v>2853</v>
      </c>
      <c r="F193" s="1399" t="s">
        <v>279</v>
      </c>
      <c r="G193" s="1399" t="s">
        <v>2331</v>
      </c>
      <c r="H193" s="1399"/>
      <c r="I193" s="1399"/>
      <c r="J193" s="1400" t="s">
        <v>2862</v>
      </c>
      <c r="K193" s="1429" t="s">
        <v>2864</v>
      </c>
      <c r="L193" s="1400"/>
      <c r="M193" s="1400"/>
      <c r="N193" s="1399" t="s">
        <v>2631</v>
      </c>
      <c r="O193" s="1399"/>
      <c r="P193" s="1462"/>
      <c r="Q193" s="1462"/>
      <c r="R193" s="1462"/>
      <c r="S193" s="1462"/>
      <c r="T193" s="1462"/>
      <c r="U193" s="1462"/>
      <c r="V193" s="1468"/>
      <c r="W193" s="1481">
        <f>AD193*C193*1.6</f>
        <v>0</v>
      </c>
      <c r="X193" s="1482"/>
      <c r="Y193" s="3911"/>
      <c r="Z193" s="74" t="s">
        <v>321</v>
      </c>
      <c r="AA193" s="3180">
        <v>424</v>
      </c>
      <c r="AB193" s="2462">
        <f>+AA193+12+6+18+44</f>
        <v>504</v>
      </c>
      <c r="AC193" s="2463">
        <f>+AB193*0.58</f>
        <v>292.32</v>
      </c>
      <c r="AD193" s="2501">
        <f>+(AC193+AB193)</f>
        <v>796.31999999999994</v>
      </c>
      <c r="AE193" s="2526">
        <f>+AD193*C193</f>
        <v>0</v>
      </c>
      <c r="AF193" s="2466">
        <f>+W193</f>
        <v>0</v>
      </c>
      <c r="AG193" s="1189">
        <f>+AF193-AE193</f>
        <v>0</v>
      </c>
      <c r="AH193" s="1072" t="e">
        <f>+AG193/AF193</f>
        <v>#DIV/0!</v>
      </c>
      <c r="AI193" s="1023"/>
    </row>
    <row r="194" spans="2:35" s="1120" customFormat="1" ht="14.4" hidden="1" thickBot="1" x14ac:dyDescent="0.25">
      <c r="B194" s="1365"/>
      <c r="C194" s="1398"/>
      <c r="D194" s="1428" t="s">
        <v>2423</v>
      </c>
      <c r="E194" s="1389">
        <v>4080</v>
      </c>
      <c r="F194" s="1462" t="s">
        <v>2820</v>
      </c>
      <c r="G194" s="1462" t="s">
        <v>429</v>
      </c>
      <c r="H194" s="1462"/>
      <c r="I194" s="1462"/>
      <c r="J194" s="1400" t="s">
        <v>2571</v>
      </c>
      <c r="K194" s="1429"/>
      <c r="L194" s="1400"/>
      <c r="M194" s="1400"/>
      <c r="N194" s="1399" t="s">
        <v>328</v>
      </c>
      <c r="O194" s="1399" t="s">
        <v>2749</v>
      </c>
      <c r="P194" s="1463"/>
      <c r="Q194" s="1463"/>
      <c r="R194" s="1463"/>
      <c r="S194" s="1462"/>
      <c r="T194" s="1462"/>
      <c r="U194" s="1462"/>
      <c r="V194" s="1468"/>
      <c r="W194" s="1481">
        <f>AD194*C194*1.6</f>
        <v>0</v>
      </c>
      <c r="X194" s="1482">
        <f>+ROUNDUP(W194,0)</f>
        <v>0</v>
      </c>
      <c r="Y194" s="3858"/>
      <c r="Z194" s="193" t="s">
        <v>321</v>
      </c>
      <c r="AA194" s="3181">
        <v>112</v>
      </c>
      <c r="AB194" s="2513">
        <f>+AA194+12+26+7</f>
        <v>157</v>
      </c>
      <c r="AC194" s="2463">
        <f>+AB194*0.58</f>
        <v>91.059999999999988</v>
      </c>
      <c r="AD194" s="2501">
        <f>+(AC194+AB194)</f>
        <v>248.06</v>
      </c>
      <c r="AE194" s="2526">
        <f>+AD194*C194</f>
        <v>0</v>
      </c>
      <c r="AF194" s="2466">
        <f>+W194</f>
        <v>0</v>
      </c>
      <c r="AG194" s="1189">
        <f>+AF194-AE194</f>
        <v>0</v>
      </c>
      <c r="AH194" s="1072" t="e">
        <f>+AG194/AF194</f>
        <v>#DIV/0!</v>
      </c>
      <c r="AI194" s="1121"/>
    </row>
    <row r="195" spans="2:35" s="1110" customFormat="1" ht="17.399999999999999" hidden="1" customHeight="1" thickBot="1" x14ac:dyDescent="0.25">
      <c r="B195" s="1366"/>
      <c r="C195" s="1573"/>
      <c r="D195" s="1487" t="s">
        <v>2780</v>
      </c>
      <c r="E195" s="1574"/>
      <c r="F195" s="1575"/>
      <c r="G195" s="1900" t="s">
        <v>3072</v>
      </c>
      <c r="H195" s="1575"/>
      <c r="I195" s="1575"/>
      <c r="J195" s="1495"/>
      <c r="K195" s="1576"/>
      <c r="L195" s="1496"/>
      <c r="M195" s="1496"/>
      <c r="N195" s="1569"/>
      <c r="O195" s="1576"/>
      <c r="P195" s="1576"/>
      <c r="Q195" s="1576"/>
      <c r="R195" s="1576"/>
      <c r="S195" s="1451"/>
      <c r="T195" s="1451"/>
      <c r="U195" s="1451"/>
      <c r="V195" s="1572"/>
      <c r="W195" s="1572"/>
      <c r="X195" s="1500"/>
      <c r="Y195" s="1127"/>
      <c r="Z195" s="1111"/>
      <c r="AA195" s="2585"/>
      <c r="AB195" s="2586"/>
      <c r="AC195" s="2587"/>
      <c r="AD195" s="2585"/>
      <c r="AE195" s="2588"/>
      <c r="AF195" s="2589"/>
      <c r="AG195" s="1191" t="s">
        <v>19</v>
      </c>
      <c r="AH195" s="1123" t="s">
        <v>39</v>
      </c>
      <c r="AI195" s="1113"/>
    </row>
    <row r="196" spans="2:35" s="1003" customFormat="1" ht="13.8" hidden="1" x14ac:dyDescent="0.2">
      <c r="B196" s="1367"/>
      <c r="C196" s="1398"/>
      <c r="D196" s="1428" t="s">
        <v>2955</v>
      </c>
      <c r="E196" s="1480">
        <v>3070</v>
      </c>
      <c r="F196" s="1399" t="s">
        <v>279</v>
      </c>
      <c r="G196" s="1399"/>
      <c r="H196" s="1399"/>
      <c r="I196" s="1399"/>
      <c r="J196" s="1400" t="s">
        <v>2954</v>
      </c>
      <c r="K196" s="1400"/>
      <c r="L196" s="1390"/>
      <c r="M196" s="1390"/>
      <c r="N196" s="1388" t="s">
        <v>328</v>
      </c>
      <c r="O196" s="1399" t="s">
        <v>2937</v>
      </c>
      <c r="P196" s="1462"/>
      <c r="Q196" s="1467"/>
      <c r="R196" s="1467"/>
      <c r="S196" s="1467"/>
      <c r="T196" s="1462"/>
      <c r="U196" s="1462"/>
      <c r="V196" s="1468"/>
      <c r="W196" s="1406">
        <f>AD196*C196*1.6</f>
        <v>0</v>
      </c>
      <c r="X196" s="1471">
        <f>+ROUNDUP(W196,0)</f>
        <v>0</v>
      </c>
      <c r="Y196" s="3779">
        <f>+X196+X197</f>
        <v>0</v>
      </c>
      <c r="Z196" s="74" t="s">
        <v>321</v>
      </c>
      <c r="AA196" s="3180">
        <v>278</v>
      </c>
      <c r="AB196" s="2462">
        <f>+AA196+22+6+12</f>
        <v>318</v>
      </c>
      <c r="AC196" s="2463">
        <f>+AB196*0.58</f>
        <v>184.44</v>
      </c>
      <c r="AD196" s="2464">
        <f>+AB196+AC196</f>
        <v>502.44</v>
      </c>
      <c r="AE196" s="2526">
        <f>+AD196</f>
        <v>502.44</v>
      </c>
      <c r="AF196" s="2466">
        <f>+W196</f>
        <v>0</v>
      </c>
      <c r="AG196" s="1189">
        <f>+AF196-AE196</f>
        <v>-502.44</v>
      </c>
      <c r="AH196" s="1072" t="e">
        <f>+AG196/AF196</f>
        <v>#DIV/0!</v>
      </c>
      <c r="AI196" s="1023"/>
    </row>
    <row r="197" spans="2:35" s="1120" customFormat="1" ht="14.4" hidden="1" thickBot="1" x14ac:dyDescent="0.25">
      <c r="B197" s="1365"/>
      <c r="C197" s="1398"/>
      <c r="D197" s="1428" t="s">
        <v>2957</v>
      </c>
      <c r="E197" s="1480">
        <v>3070</v>
      </c>
      <c r="F197" s="1439" t="s">
        <v>2820</v>
      </c>
      <c r="G197" s="1462" t="s">
        <v>349</v>
      </c>
      <c r="H197" s="1462"/>
      <c r="I197" s="1462"/>
      <c r="J197" s="1400" t="s">
        <v>2805</v>
      </c>
      <c r="K197" s="1429"/>
      <c r="L197" s="1400"/>
      <c r="M197" s="1400"/>
      <c r="N197" s="1399" t="s">
        <v>328</v>
      </c>
      <c r="O197" s="1399" t="s">
        <v>2510</v>
      </c>
      <c r="P197" s="1463"/>
      <c r="Q197" s="1488"/>
      <c r="R197" s="1488"/>
      <c r="S197" s="1467"/>
      <c r="T197" s="1462"/>
      <c r="U197" s="1462"/>
      <c r="V197" s="1468"/>
      <c r="W197" s="1406">
        <f>AD197*C197*1.6</f>
        <v>0</v>
      </c>
      <c r="X197" s="1471">
        <f>+ROUNDUP(W197,0)</f>
        <v>0</v>
      </c>
      <c r="Y197" s="3747"/>
      <c r="Z197" s="193" t="s">
        <v>321</v>
      </c>
      <c r="AA197" s="3181">
        <v>96</v>
      </c>
      <c r="AB197" s="2513">
        <f>+AA197+26+12</f>
        <v>134</v>
      </c>
      <c r="AC197" s="2463">
        <f>+AB197*0.58</f>
        <v>77.72</v>
      </c>
      <c r="AD197" s="2464">
        <f>+AB197+AC197</f>
        <v>211.72</v>
      </c>
      <c r="AE197" s="2526">
        <f>+AD197*C197</f>
        <v>0</v>
      </c>
      <c r="AF197" s="2466">
        <f>+W197</f>
        <v>0</v>
      </c>
      <c r="AG197" s="1189">
        <f>+AF197-AE197</f>
        <v>0</v>
      </c>
      <c r="AH197" s="1072" t="e">
        <f>+AG197/AF197</f>
        <v>#DIV/0!</v>
      </c>
      <c r="AI197" s="1121"/>
    </row>
    <row r="198" spans="2:35" s="1110" customFormat="1" ht="17.399999999999999" hidden="1" customHeight="1" thickBot="1" x14ac:dyDescent="0.25">
      <c r="B198" s="1366"/>
      <c r="C198" s="1489"/>
      <c r="D198" s="1490" t="s">
        <v>2780</v>
      </c>
      <c r="E198" s="1491"/>
      <c r="F198" s="1577"/>
      <c r="G198" s="1900" t="s">
        <v>3072</v>
      </c>
      <c r="H198" s="1578"/>
      <c r="I198" s="1578"/>
      <c r="J198" s="1550"/>
      <c r="K198" s="1551"/>
      <c r="L198" s="1551"/>
      <c r="M198" s="1551"/>
      <c r="N198" s="1497" t="s">
        <v>2826</v>
      </c>
      <c r="O198" s="1709" t="s">
        <v>2842</v>
      </c>
      <c r="P198" s="1498"/>
      <c r="Q198" s="1498"/>
      <c r="R198" s="1498"/>
      <c r="S198" s="1499"/>
      <c r="T198" s="1499"/>
      <c r="U198" s="1499"/>
      <c r="V198" s="1493"/>
      <c r="W198" s="1494"/>
      <c r="X198" s="1500"/>
      <c r="Y198" s="1126"/>
      <c r="Z198" s="1111"/>
      <c r="AA198" s="2585"/>
      <c r="AB198" s="2586"/>
      <c r="AC198" s="2587"/>
      <c r="AD198" s="2587"/>
      <c r="AE198" s="2588"/>
      <c r="AF198" s="2589"/>
      <c r="AG198" s="1191" t="s">
        <v>19</v>
      </c>
      <c r="AH198" s="1123" t="s">
        <v>39</v>
      </c>
      <c r="AI198" s="1113"/>
    </row>
    <row r="199" spans="2:35" s="817" customFormat="1" ht="13.8" hidden="1" x14ac:dyDescent="0.25">
      <c r="B199" s="1362"/>
      <c r="C199" s="1501"/>
      <c r="D199" s="1552" t="s">
        <v>2626</v>
      </c>
      <c r="E199" s="1502" t="s">
        <v>2832</v>
      </c>
      <c r="F199" s="1579" t="s">
        <v>2798</v>
      </c>
      <c r="G199" s="1580"/>
      <c r="H199" s="1580"/>
      <c r="I199" s="1580"/>
      <c r="J199" s="1553" t="s">
        <v>2459</v>
      </c>
      <c r="K199" s="1506"/>
      <c r="L199" s="1536"/>
      <c r="M199" s="1536"/>
      <c r="N199" s="1505" t="s">
        <v>2636</v>
      </c>
      <c r="O199" s="1506" t="s">
        <v>2837</v>
      </c>
      <c r="P199" s="1506"/>
      <c r="Q199" s="1507"/>
      <c r="R199" s="1507"/>
      <c r="S199" s="1508"/>
      <c r="T199" s="1508"/>
      <c r="U199" s="1508"/>
      <c r="V199" s="1509"/>
      <c r="W199" s="1469">
        <f>+AD199*1.5*C199</f>
        <v>0</v>
      </c>
      <c r="X199" s="1470">
        <f>+ROUNDUP(W199,0)</f>
        <v>0</v>
      </c>
      <c r="Y199" s="3780">
        <f>SUM(X199:X202)</f>
        <v>0</v>
      </c>
      <c r="Z199" s="1031" t="s">
        <v>321</v>
      </c>
      <c r="AA199" s="3158">
        <v>381</v>
      </c>
      <c r="AB199" s="2470">
        <f>+AA199+12+7</f>
        <v>400</v>
      </c>
      <c r="AC199" s="2580">
        <f>+AB199*0.58</f>
        <v>231.99999999999997</v>
      </c>
      <c r="AD199" s="2581">
        <f>+AB199+AC199</f>
        <v>632</v>
      </c>
      <c r="AE199" s="2471"/>
      <c r="AF199" s="2582"/>
      <c r="AG199" s="1193">
        <f>+W199-AD199</f>
        <v>-632</v>
      </c>
      <c r="AH199" s="1188" t="e">
        <f>+AG199/X199</f>
        <v>#DIV/0!</v>
      </c>
      <c r="AI199" s="1033"/>
    </row>
    <row r="200" spans="2:35" s="236" customFormat="1" ht="13.8" hidden="1" x14ac:dyDescent="0.25">
      <c r="B200" s="1357"/>
      <c r="C200" s="1510"/>
      <c r="D200" s="1541" t="s">
        <v>2627</v>
      </c>
      <c r="E200" s="1472" t="s">
        <v>2628</v>
      </c>
      <c r="F200" s="1581" t="s">
        <v>2632</v>
      </c>
      <c r="G200" s="1512"/>
      <c r="H200" s="1512"/>
      <c r="I200" s="1512"/>
      <c r="J200" s="1465" t="s">
        <v>2459</v>
      </c>
      <c r="K200" s="1507"/>
      <c r="L200" s="1536"/>
      <c r="M200" s="1536"/>
      <c r="N200" s="1505" t="s">
        <v>2636</v>
      </c>
      <c r="O200" s="1507"/>
      <c r="P200" s="1513"/>
      <c r="Q200" s="1513"/>
      <c r="R200" s="1513"/>
      <c r="S200" s="1404"/>
      <c r="T200" s="1404"/>
      <c r="U200" s="1404"/>
      <c r="V200" s="1405"/>
      <c r="W200" s="1469">
        <f>+AD200*1.5*C200</f>
        <v>0</v>
      </c>
      <c r="X200" s="1470">
        <f>+ROUNDUP(W200,0)</f>
        <v>0</v>
      </c>
      <c r="Y200" s="3780"/>
      <c r="Z200" s="61" t="s">
        <v>345</v>
      </c>
      <c r="AA200" s="3174">
        <v>461</v>
      </c>
      <c r="AB200" s="2470">
        <f>+AA200+12+7</f>
        <v>480</v>
      </c>
      <c r="AC200" s="2580">
        <f>+AB200*0.58</f>
        <v>278.39999999999998</v>
      </c>
      <c r="AD200" s="2581">
        <f>+AB200+AC200</f>
        <v>758.4</v>
      </c>
      <c r="AE200" s="2471"/>
      <c r="AF200" s="2582">
        <f>+X200</f>
        <v>0</v>
      </c>
      <c r="AG200" s="1193">
        <f>+W200-AD200</f>
        <v>-758.4</v>
      </c>
      <c r="AH200" s="1188" t="e">
        <f>+AG200/X200</f>
        <v>#DIV/0!</v>
      </c>
      <c r="AI200" s="240"/>
    </row>
    <row r="201" spans="2:35" s="817" customFormat="1" ht="13.8" hidden="1" x14ac:dyDescent="0.25">
      <c r="B201" s="1362"/>
      <c r="C201" s="1540"/>
      <c r="D201" s="1541" t="s">
        <v>2638</v>
      </c>
      <c r="E201" s="1472" t="s">
        <v>2831</v>
      </c>
      <c r="F201" s="1467" t="s">
        <v>2633</v>
      </c>
      <c r="G201" s="1542"/>
      <c r="H201" s="1542"/>
      <c r="I201" s="1542"/>
      <c r="J201" s="1465" t="s">
        <v>2639</v>
      </c>
      <c r="K201" s="1536"/>
      <c r="L201" s="1536"/>
      <c r="M201" s="1536"/>
      <c r="N201" s="1465"/>
      <c r="O201" s="3775"/>
      <c r="P201" s="3775"/>
      <c r="Q201" s="1582"/>
      <c r="R201" s="1582"/>
      <c r="S201" s="1543"/>
      <c r="T201" s="1543"/>
      <c r="U201" s="1543"/>
      <c r="V201" s="1544"/>
      <c r="W201" s="1469">
        <f>+AD201*1.5*C201</f>
        <v>0</v>
      </c>
      <c r="X201" s="1470">
        <f>+ROUNDUP(W201,0)</f>
        <v>0</v>
      </c>
      <c r="Y201" s="3780"/>
      <c r="Z201" s="914" t="s">
        <v>321</v>
      </c>
      <c r="AA201" s="3175">
        <v>222</v>
      </c>
      <c r="AB201" s="2470">
        <f>+AA201+AA201/2</f>
        <v>333</v>
      </c>
      <c r="AC201" s="2580">
        <f>+AB201*0.58</f>
        <v>193.14</v>
      </c>
      <c r="AD201" s="2581">
        <f>+AB201+AC201</f>
        <v>526.14</v>
      </c>
      <c r="AE201" s="2471"/>
      <c r="AF201" s="2582"/>
      <c r="AG201" s="1193">
        <f>+W201-AD201</f>
        <v>-526.14</v>
      </c>
      <c r="AH201" s="1188" t="e">
        <f>+AG201/X201</f>
        <v>#DIV/0!</v>
      </c>
      <c r="AI201" s="915"/>
    </row>
    <row r="202" spans="2:35" s="1034" customFormat="1" ht="14.4" hidden="1" thickBot="1" x14ac:dyDescent="0.3">
      <c r="B202" s="1363"/>
      <c r="C202" s="1514"/>
      <c r="D202" s="1515" t="s">
        <v>2637</v>
      </c>
      <c r="E202" s="1516">
        <v>4010</v>
      </c>
      <c r="F202" s="1517" t="s">
        <v>2836</v>
      </c>
      <c r="G202" s="1518"/>
      <c r="H202" s="1518"/>
      <c r="I202" s="1518"/>
      <c r="J202" s="1554" t="s">
        <v>2640</v>
      </c>
      <c r="K202" s="1522"/>
      <c r="L202" s="1548"/>
      <c r="M202" s="1548"/>
      <c r="N202" s="1555" t="s">
        <v>2636</v>
      </c>
      <c r="O202" s="1521" t="s">
        <v>376</v>
      </c>
      <c r="P202" s="1521"/>
      <c r="Q202" s="1521"/>
      <c r="R202" s="1521"/>
      <c r="S202" s="1523"/>
      <c r="T202" s="1523"/>
      <c r="U202" s="1523"/>
      <c r="V202" s="1524"/>
      <c r="W202" s="1469">
        <f>+AD202*1.5*C202</f>
        <v>0</v>
      </c>
      <c r="X202" s="1470">
        <f>+ROUNDUP(W202,0)</f>
        <v>0</v>
      </c>
      <c r="Y202" s="3780"/>
      <c r="Z202" s="1036" t="s">
        <v>321</v>
      </c>
      <c r="AA202" s="3178">
        <v>133</v>
      </c>
      <c r="AB202" s="2470">
        <f>+AA202+(12+125)</f>
        <v>270</v>
      </c>
      <c r="AC202" s="2580">
        <f>+AB202*0.58</f>
        <v>156.6</v>
      </c>
      <c r="AD202" s="2581">
        <f>+AB202+AC202</f>
        <v>426.6</v>
      </c>
      <c r="AE202" s="2584"/>
      <c r="AF202" s="2582"/>
      <c r="AG202" s="1193">
        <f>+W202-AD202</f>
        <v>-426.6</v>
      </c>
      <c r="AH202" s="1188" t="e">
        <f>+AG202/X202</f>
        <v>#DIV/0!</v>
      </c>
      <c r="AI202" s="1038"/>
    </row>
    <row r="203" spans="2:35" s="1122" customFormat="1" ht="17.399999999999999" hidden="1" customHeight="1" thickBot="1" x14ac:dyDescent="0.25">
      <c r="B203" s="1364"/>
      <c r="C203" s="1525"/>
      <c r="D203" s="1526" t="s">
        <v>2780</v>
      </c>
      <c r="E203" s="1527"/>
      <c r="F203" s="1583"/>
      <c r="G203" s="1900" t="s">
        <v>3072</v>
      </c>
      <c r="H203" s="1584"/>
      <c r="I203" s="1584"/>
      <c r="J203" s="1530"/>
      <c r="K203" s="1531"/>
      <c r="L203" s="1531"/>
      <c r="M203" s="1531"/>
      <c r="N203" s="1532" t="s">
        <v>2827</v>
      </c>
      <c r="O203" s="3807" t="s">
        <v>2842</v>
      </c>
      <c r="P203" s="3808"/>
      <c r="Q203" s="1533"/>
      <c r="R203" s="1533"/>
      <c r="S203" s="1534"/>
      <c r="T203" s="1534"/>
      <c r="U203" s="1534"/>
      <c r="V203" s="1529"/>
      <c r="W203" s="1529"/>
      <c r="X203" s="1535"/>
      <c r="Y203" s="1131"/>
      <c r="Z203" s="1107"/>
      <c r="AA203" s="2575"/>
      <c r="AB203" s="2575"/>
      <c r="AC203" s="2587"/>
      <c r="AD203" s="2587"/>
      <c r="AE203" s="2578"/>
      <c r="AF203" s="2590"/>
      <c r="AG203" s="1194" t="s">
        <v>19</v>
      </c>
      <c r="AH203" s="1124" t="s">
        <v>39</v>
      </c>
      <c r="AI203" s="1109"/>
    </row>
    <row r="204" spans="2:35" s="817" customFormat="1" ht="14.4" hidden="1" thickBot="1" x14ac:dyDescent="0.3">
      <c r="B204" s="1362"/>
      <c r="C204" s="1501"/>
      <c r="D204" s="1541" t="s">
        <v>2626</v>
      </c>
      <c r="E204" s="1472" t="s">
        <v>2833</v>
      </c>
      <c r="F204" s="1585" t="s">
        <v>2631</v>
      </c>
      <c r="G204" s="1580"/>
      <c r="H204" s="1580"/>
      <c r="I204" s="1580"/>
      <c r="J204" s="1538" t="s">
        <v>2459</v>
      </c>
      <c r="K204" s="1465"/>
      <c r="L204" s="1465"/>
      <c r="M204" s="1465"/>
      <c r="N204" s="1473" t="s">
        <v>2636</v>
      </c>
      <c r="O204" s="3748" t="s">
        <v>525</v>
      </c>
      <c r="P204" s="3749"/>
      <c r="Q204" s="1507"/>
      <c r="R204" s="1507"/>
      <c r="S204" s="1508"/>
      <c r="T204" s="1508"/>
      <c r="U204" s="1508"/>
      <c r="V204" s="1509"/>
      <c r="W204" s="1469">
        <f>+AD204*1.5*C204</f>
        <v>0</v>
      </c>
      <c r="X204" s="1539">
        <f>+ROUNDUP(W204,0)</f>
        <v>0</v>
      </c>
      <c r="Y204" s="3750">
        <f>SUM(X204:X207)</f>
        <v>0</v>
      </c>
      <c r="Z204" s="1031" t="s">
        <v>321</v>
      </c>
      <c r="AA204" s="3158">
        <v>309</v>
      </c>
      <c r="AB204" s="2470">
        <f>+AA204+12+12</f>
        <v>333</v>
      </c>
      <c r="AC204" s="2580">
        <f>+AB204*0.58</f>
        <v>193.14</v>
      </c>
      <c r="AD204" s="2581">
        <f>+AB204+AC204</f>
        <v>526.14</v>
      </c>
      <c r="AE204" s="2471"/>
      <c r="AF204" s="2582"/>
      <c r="AG204" s="1193">
        <f>+W204-AD204</f>
        <v>-526.14</v>
      </c>
      <c r="AH204" s="1188" t="e">
        <f>+AG204/X204</f>
        <v>#DIV/0!</v>
      </c>
      <c r="AI204" s="1033"/>
    </row>
    <row r="205" spans="2:35" s="236" customFormat="1" ht="14.4" hidden="1" thickBot="1" x14ac:dyDescent="0.3">
      <c r="B205" s="1357"/>
      <c r="C205" s="1510"/>
      <c r="D205" s="1541" t="s">
        <v>2627</v>
      </c>
      <c r="E205" s="1472" t="s">
        <v>2834</v>
      </c>
      <c r="F205" s="1581" t="s">
        <v>2632</v>
      </c>
      <c r="G205" s="1512"/>
      <c r="H205" s="1512"/>
      <c r="I205" s="1512"/>
      <c r="J205" s="1538" t="s">
        <v>2459</v>
      </c>
      <c r="K205" s="1465"/>
      <c r="L205" s="1465"/>
      <c r="M205" s="1465"/>
      <c r="N205" s="1473" t="s">
        <v>2636</v>
      </c>
      <c r="O205" s="3748" t="s">
        <v>2829</v>
      </c>
      <c r="P205" s="3749"/>
      <c r="Q205" s="1507"/>
      <c r="R205" s="1507"/>
      <c r="S205" s="1404"/>
      <c r="T205" s="1404"/>
      <c r="U205" s="1404"/>
      <c r="V205" s="1405"/>
      <c r="W205" s="1469">
        <f>+AD205*1.5*C205</f>
        <v>0</v>
      </c>
      <c r="X205" s="1482">
        <f>+ROUNDUP(W205,0)</f>
        <v>0</v>
      </c>
      <c r="Y205" s="3751"/>
      <c r="Z205" s="61" t="s">
        <v>321</v>
      </c>
      <c r="AA205" s="3174">
        <v>309</v>
      </c>
      <c r="AB205" s="2470">
        <f>+AA205+12+38</f>
        <v>359</v>
      </c>
      <c r="AC205" s="2580">
        <f>+AB205*0.58</f>
        <v>208.22</v>
      </c>
      <c r="AD205" s="2581">
        <f>+AB205+AC205</f>
        <v>567.22</v>
      </c>
      <c r="AE205" s="2471"/>
      <c r="AF205" s="2582"/>
      <c r="AG205" s="1193">
        <f>+W205-AD205</f>
        <v>-567.22</v>
      </c>
      <c r="AH205" s="1188" t="e">
        <f>+AG205/X205</f>
        <v>#DIV/0!</v>
      </c>
      <c r="AI205" s="240"/>
    </row>
    <row r="206" spans="2:35" s="817" customFormat="1" ht="14.4" hidden="1" thickBot="1" x14ac:dyDescent="0.3">
      <c r="B206" s="1362"/>
      <c r="C206" s="1540"/>
      <c r="D206" s="1541" t="s">
        <v>2638</v>
      </c>
      <c r="E206" s="1472" t="s">
        <v>2830</v>
      </c>
      <c r="F206" s="1467" t="s">
        <v>2633</v>
      </c>
      <c r="G206" s="1542"/>
      <c r="H206" s="1542"/>
      <c r="I206" s="1542"/>
      <c r="J206" s="1538" t="s">
        <v>2639</v>
      </c>
      <c r="K206" s="1536"/>
      <c r="L206" s="1536"/>
      <c r="M206" s="1536"/>
      <c r="N206" s="1465"/>
      <c r="O206" s="3748"/>
      <c r="P206" s="3749"/>
      <c r="Q206" s="1507"/>
      <c r="R206" s="1507"/>
      <c r="S206" s="1543"/>
      <c r="T206" s="1543"/>
      <c r="U206" s="1543"/>
      <c r="V206" s="1544"/>
      <c r="W206" s="1469">
        <f>+AD206*1.5*C206</f>
        <v>0</v>
      </c>
      <c r="X206" s="1482">
        <f>+ROUNDUP(W206,0)</f>
        <v>0</v>
      </c>
      <c r="Y206" s="3751"/>
      <c r="Z206" s="914" t="s">
        <v>321</v>
      </c>
      <c r="AA206" s="3175">
        <v>222</v>
      </c>
      <c r="AB206" s="2470">
        <f>+AA206+AA206/2</f>
        <v>333</v>
      </c>
      <c r="AC206" s="2580">
        <f>+AB206*0.58</f>
        <v>193.14</v>
      </c>
      <c r="AD206" s="2581">
        <f>+AB206+AC206</f>
        <v>526.14</v>
      </c>
      <c r="AE206" s="2471"/>
      <c r="AF206" s="2582"/>
      <c r="AG206" s="1193">
        <f>+W206-AD206</f>
        <v>-526.14</v>
      </c>
      <c r="AH206" s="1188" t="e">
        <f>+AG206/X206</f>
        <v>#DIV/0!</v>
      </c>
      <c r="AI206" s="915"/>
    </row>
    <row r="207" spans="2:35" s="1034" customFormat="1" ht="14.4" hidden="1" thickBot="1" x14ac:dyDescent="0.3">
      <c r="B207" s="1363"/>
      <c r="C207" s="1514"/>
      <c r="D207" s="1515" t="s">
        <v>2637</v>
      </c>
      <c r="E207" s="1516" t="s">
        <v>2828</v>
      </c>
      <c r="F207" s="1517" t="s">
        <v>2836</v>
      </c>
      <c r="G207" s="1518"/>
      <c r="H207" s="1518"/>
      <c r="I207" s="1518"/>
      <c r="J207" s="1547" t="s">
        <v>2640</v>
      </c>
      <c r="K207" s="1548"/>
      <c r="L207" s="1548"/>
      <c r="M207" s="1548"/>
      <c r="N207" s="1555" t="s">
        <v>2636</v>
      </c>
      <c r="O207" s="3748" t="s">
        <v>2835</v>
      </c>
      <c r="P207" s="3749"/>
      <c r="Q207" s="1548"/>
      <c r="R207" s="1548"/>
      <c r="S207" s="1523"/>
      <c r="T207" s="1523"/>
      <c r="U207" s="1523"/>
      <c r="V207" s="1524"/>
      <c r="W207" s="1469">
        <f>+AD207*1.5*C207</f>
        <v>0</v>
      </c>
      <c r="X207" s="1549">
        <f>+ROUNDUP(W207,0)</f>
        <v>0</v>
      </c>
      <c r="Y207" s="3752"/>
      <c r="Z207" s="1036" t="s">
        <v>321</v>
      </c>
      <c r="AA207" s="3178">
        <v>144</v>
      </c>
      <c r="AB207" s="2583">
        <f>+AA207+(12+125)</f>
        <v>281</v>
      </c>
      <c r="AC207" s="2591">
        <f>+AB207*0.58</f>
        <v>162.97999999999999</v>
      </c>
      <c r="AD207" s="2592">
        <f>+AB207+AC207</f>
        <v>443.98</v>
      </c>
      <c r="AE207" s="2593"/>
      <c r="AF207" s="2582"/>
      <c r="AG207" s="1193">
        <f>+W207-AD207</f>
        <v>-443.98</v>
      </c>
      <c r="AH207" s="1188" t="e">
        <f>+AG207/X207</f>
        <v>#DIV/0!</v>
      </c>
      <c r="AI207" s="1038"/>
    </row>
    <row r="208" spans="2:35" s="1110" customFormat="1" ht="17.399999999999999" hidden="1" customHeight="1" thickBot="1" x14ac:dyDescent="0.25">
      <c r="B208" s="1366"/>
      <c r="C208" s="1489"/>
      <c r="D208" s="1526" t="s">
        <v>2780</v>
      </c>
      <c r="E208" s="1491"/>
      <c r="F208" s="1577" t="s">
        <v>2958</v>
      </c>
      <c r="G208" s="1900" t="s">
        <v>3072</v>
      </c>
      <c r="H208" s="1578"/>
      <c r="I208" s="1578"/>
      <c r="J208" s="1614" t="s">
        <v>2979</v>
      </c>
      <c r="K208" s="1551"/>
      <c r="L208" s="1551"/>
      <c r="M208" s="1551"/>
      <c r="N208" s="1497"/>
      <c r="O208" s="1709"/>
      <c r="P208" s="1498"/>
      <c r="Q208" s="1586"/>
      <c r="R208" s="1586"/>
      <c r="S208" s="1576"/>
      <c r="T208" s="1576"/>
      <c r="U208" s="1576"/>
      <c r="V208" s="1494"/>
      <c r="W208" s="1494"/>
      <c r="X208" s="1615"/>
      <c r="Y208" s="1126"/>
      <c r="Z208" s="1111"/>
      <c r="AA208" s="2585"/>
      <c r="AB208" s="2586"/>
      <c r="AC208" s="2587"/>
      <c r="AD208" s="2587"/>
      <c r="AE208" s="2588"/>
      <c r="AF208" s="2489"/>
      <c r="AG208" s="1191" t="s">
        <v>19</v>
      </c>
      <c r="AH208" s="1123" t="s">
        <v>39</v>
      </c>
      <c r="AI208" s="1113"/>
    </row>
    <row r="209" spans="1:35" s="817" customFormat="1" ht="13.8" hidden="1" x14ac:dyDescent="0.25">
      <c r="B209" s="1362"/>
      <c r="C209" s="1501"/>
      <c r="D209" s="1552" t="s">
        <v>2955</v>
      </c>
      <c r="E209" s="1502">
        <v>4070</v>
      </c>
      <c r="F209" s="1579" t="s">
        <v>279</v>
      </c>
      <c r="G209" s="1580" t="s">
        <v>2331</v>
      </c>
      <c r="H209" s="1580"/>
      <c r="I209" s="1580"/>
      <c r="J209" s="1390" t="s">
        <v>2936</v>
      </c>
      <c r="K209" s="1450" t="s">
        <v>2963</v>
      </c>
      <c r="L209" s="1616"/>
      <c r="M209" s="1616"/>
      <c r="N209" s="1388" t="s">
        <v>328</v>
      </c>
      <c r="O209" s="1388" t="s">
        <v>2964</v>
      </c>
      <c r="P209" s="1506"/>
      <c r="Q209" s="1506"/>
      <c r="R209" s="1506"/>
      <c r="S209" s="1462"/>
      <c r="T209" s="1462"/>
      <c r="U209" s="1462"/>
      <c r="V209" s="1468"/>
      <c r="W209" s="1469">
        <f>+AD209*1.55*C209</f>
        <v>0</v>
      </c>
      <c r="X209" s="1617">
        <f>+ROUNDUP(W209,0)</f>
        <v>0</v>
      </c>
      <c r="Y209" s="3914">
        <f>+X209+X210+X211</f>
        <v>0</v>
      </c>
      <c r="Z209" s="1031"/>
      <c r="AA209" s="3158">
        <v>250</v>
      </c>
      <c r="AB209" s="2470"/>
      <c r="AC209" s="2580"/>
      <c r="AD209" s="2581">
        <v>508</v>
      </c>
      <c r="AE209" s="2471"/>
      <c r="AF209" s="2600"/>
      <c r="AG209" s="1193">
        <f>+W209-AD209</f>
        <v>-508</v>
      </c>
      <c r="AH209" s="1188" t="e">
        <f>+AG209/X209</f>
        <v>#DIV/0!</v>
      </c>
      <c r="AI209" s="1033"/>
    </row>
    <row r="210" spans="1:35" s="236" customFormat="1" ht="13.8" hidden="1" x14ac:dyDescent="0.25">
      <c r="B210" s="1357"/>
      <c r="C210" s="1510"/>
      <c r="D210" s="1541" t="s">
        <v>2956</v>
      </c>
      <c r="E210" s="1472">
        <v>4070</v>
      </c>
      <c r="F210" s="1581" t="s">
        <v>279</v>
      </c>
      <c r="G210" s="1512" t="s">
        <v>2331</v>
      </c>
      <c r="H210" s="1512"/>
      <c r="I210" s="1512"/>
      <c r="J210" s="1400" t="s">
        <v>2936</v>
      </c>
      <c r="K210" s="1399"/>
      <c r="L210" s="1536"/>
      <c r="M210" s="1536"/>
      <c r="N210" s="1399" t="s">
        <v>328</v>
      </c>
      <c r="O210" s="1399" t="s">
        <v>2965</v>
      </c>
      <c r="P210" s="1401"/>
      <c r="Q210" s="1401"/>
      <c r="R210" s="1401"/>
      <c r="S210" s="1399"/>
      <c r="T210" s="1399"/>
      <c r="U210" s="1399"/>
      <c r="V210" s="1438"/>
      <c r="W210" s="1469">
        <f>+AD210*1.55*C210</f>
        <v>0</v>
      </c>
      <c r="X210" s="1617">
        <f>+ROUNDUP(W210,0)</f>
        <v>0</v>
      </c>
      <c r="Y210" s="3914"/>
      <c r="Z210" s="61"/>
      <c r="AA210" s="3174">
        <v>250</v>
      </c>
      <c r="AB210" s="2470"/>
      <c r="AC210" s="2580"/>
      <c r="AD210" s="2581">
        <v>532</v>
      </c>
      <c r="AE210" s="2471"/>
      <c r="AF210" s="2582">
        <f>+X210</f>
        <v>0</v>
      </c>
      <c r="AG210" s="1193">
        <f>+W210-AD210</f>
        <v>-532</v>
      </c>
      <c r="AH210" s="1188" t="e">
        <f>+AG210/X210</f>
        <v>#DIV/0!</v>
      </c>
      <c r="AI210" s="240"/>
    </row>
    <row r="211" spans="1:35" s="1034" customFormat="1" ht="14.4" hidden="1" thickBot="1" x14ac:dyDescent="0.3">
      <c r="B211" s="1363"/>
      <c r="C211" s="1514"/>
      <c r="D211" s="1515" t="s">
        <v>2478</v>
      </c>
      <c r="E211" s="1516">
        <v>8070</v>
      </c>
      <c r="F211" s="1545" t="s">
        <v>2820</v>
      </c>
      <c r="G211" s="1518" t="s">
        <v>349</v>
      </c>
      <c r="H211" s="1518"/>
      <c r="I211" s="1518"/>
      <c r="J211" s="1554" t="s">
        <v>2953</v>
      </c>
      <c r="K211" s="1401" t="s">
        <v>2962</v>
      </c>
      <c r="L211" s="1507"/>
      <c r="M211" s="1507"/>
      <c r="N211" s="1399" t="s">
        <v>328</v>
      </c>
      <c r="O211" s="1400" t="s">
        <v>2965</v>
      </c>
      <c r="P211" s="1463"/>
      <c r="Q211" s="1463"/>
      <c r="R211" s="1463"/>
      <c r="S211" s="1462"/>
      <c r="T211" s="1462"/>
      <c r="U211" s="1462"/>
      <c r="V211" s="1468"/>
      <c r="W211" s="1469">
        <f>+AD211*1.55*C211</f>
        <v>0</v>
      </c>
      <c r="X211" s="1617">
        <f>+ROUNDUP(W211,0)</f>
        <v>0</v>
      </c>
      <c r="Y211" s="3914"/>
      <c r="Z211" s="1036"/>
      <c r="AA211" s="3178">
        <v>185</v>
      </c>
      <c r="AB211" s="2470">
        <v>0</v>
      </c>
      <c r="AC211" s="2580">
        <f>+AB211*0.58</f>
        <v>0</v>
      </c>
      <c r="AD211" s="2581">
        <v>185</v>
      </c>
      <c r="AE211" s="2584"/>
      <c r="AF211" s="2582"/>
      <c r="AG211" s="1193">
        <f>+W211-AD211</f>
        <v>-185</v>
      </c>
      <c r="AH211" s="1188" t="e">
        <f>+AG211/X211</f>
        <v>#DIV/0!</v>
      </c>
      <c r="AI211" s="1038"/>
    </row>
    <row r="212" spans="1:35" s="1122" customFormat="1" ht="17.399999999999999" hidden="1" customHeight="1" thickBot="1" x14ac:dyDescent="0.25">
      <c r="B212" s="1364"/>
      <c r="C212" s="1525"/>
      <c r="D212" s="1490" t="s">
        <v>2780</v>
      </c>
      <c r="E212" s="1527"/>
      <c r="F212" s="1528"/>
      <c r="G212" s="1900" t="s">
        <v>3072</v>
      </c>
      <c r="H212" s="1529"/>
      <c r="I212" s="1529"/>
      <c r="J212" s="1530"/>
      <c r="K212" s="1531"/>
      <c r="L212" s="1531"/>
      <c r="M212" s="1531"/>
      <c r="N212" s="1532" t="s">
        <v>2919</v>
      </c>
      <c r="O212" s="3926" t="s">
        <v>2920</v>
      </c>
      <c r="P212" s="3927"/>
      <c r="Q212" s="1533"/>
      <c r="R212" s="1533"/>
      <c r="S212" s="1534"/>
      <c r="T212" s="1534"/>
      <c r="U212" s="1534"/>
      <c r="V212" s="1529"/>
      <c r="W212" s="1529"/>
      <c r="X212" s="1535"/>
      <c r="Y212" s="1127"/>
      <c r="Z212" s="1107"/>
      <c r="AA212" s="2575"/>
      <c r="AB212" s="2575"/>
      <c r="AC212" s="2587"/>
      <c r="AD212" s="2587"/>
      <c r="AE212" s="2578"/>
      <c r="AF212" s="2601"/>
      <c r="AG212" s="1194" t="s">
        <v>19</v>
      </c>
      <c r="AH212" s="1124" t="s">
        <v>39</v>
      </c>
      <c r="AI212" s="1109"/>
    </row>
    <row r="213" spans="1:35" s="817" customFormat="1" ht="13.8" hidden="1" x14ac:dyDescent="0.25">
      <c r="B213" s="1362"/>
      <c r="C213" s="1618"/>
      <c r="D213" s="1552" t="s">
        <v>2626</v>
      </c>
      <c r="E213" s="1502" t="s">
        <v>2935</v>
      </c>
      <c r="F213" s="1390" t="s">
        <v>279</v>
      </c>
      <c r="G213" s="1619"/>
      <c r="H213" s="1619"/>
      <c r="I213" s="1619"/>
      <c r="J213" s="1390" t="s">
        <v>2862</v>
      </c>
      <c r="K213" s="1553"/>
      <c r="L213" s="1553"/>
      <c r="M213" s="1553"/>
      <c r="N213" s="1553" t="s">
        <v>2636</v>
      </c>
      <c r="O213" s="3925" t="s">
        <v>2932</v>
      </c>
      <c r="P213" s="3925"/>
      <c r="Q213" s="1506"/>
      <c r="R213" s="1506"/>
      <c r="S213" s="1506"/>
      <c r="T213" s="1506"/>
      <c r="U213" s="1506"/>
      <c r="V213" s="1620"/>
      <c r="W213" s="1621">
        <f>AD213*C213*1.8</f>
        <v>0</v>
      </c>
      <c r="X213" s="1622">
        <f>+ROUNDUP(W213,0)</f>
        <v>0</v>
      </c>
      <c r="Y213" s="3780">
        <f>SUM(X213:X215)</f>
        <v>0</v>
      </c>
      <c r="Z213" s="1031" t="s">
        <v>321</v>
      </c>
      <c r="AA213" s="3158">
        <v>278</v>
      </c>
      <c r="AB213" s="2470">
        <f>12+25</f>
        <v>37</v>
      </c>
      <c r="AC213" s="2580">
        <f>+AB213+AA213*0.58</f>
        <v>198.23999999999998</v>
      </c>
      <c r="AD213" s="2581">
        <f>+AA213+AB213+AC213</f>
        <v>513.24</v>
      </c>
      <c r="AE213" s="2471"/>
      <c r="AF213" s="2600"/>
      <c r="AG213" s="1193">
        <f>+W213-AD213</f>
        <v>-513.24</v>
      </c>
      <c r="AH213" s="1188" t="e">
        <f>+AG213/X213</f>
        <v>#DIV/0!</v>
      </c>
      <c r="AI213" s="1033"/>
    </row>
    <row r="214" spans="1:35" s="236" customFormat="1" ht="13.8" hidden="1" x14ac:dyDescent="0.25">
      <c r="B214" s="1357"/>
      <c r="C214" s="1398"/>
      <c r="D214" s="1541" t="s">
        <v>373</v>
      </c>
      <c r="E214" s="1472">
        <v>4020</v>
      </c>
      <c r="F214" s="1400" t="s">
        <v>279</v>
      </c>
      <c r="G214" s="1591"/>
      <c r="H214" s="1591"/>
      <c r="I214" s="1591"/>
      <c r="J214" s="1400" t="s">
        <v>2862</v>
      </c>
      <c r="K214" s="1465"/>
      <c r="L214" s="1465"/>
      <c r="M214" s="1465"/>
      <c r="N214" s="1465" t="s">
        <v>2636</v>
      </c>
      <c r="O214" s="3813" t="s">
        <v>2933</v>
      </c>
      <c r="P214" s="3813"/>
      <c r="Q214" s="1462"/>
      <c r="R214" s="1462"/>
      <c r="S214" s="1399"/>
      <c r="T214" s="1399"/>
      <c r="U214" s="1399"/>
      <c r="V214" s="1438"/>
      <c r="W214" s="1623">
        <f>+AD214*1.8*C214</f>
        <v>0</v>
      </c>
      <c r="X214" s="1471">
        <f>+ROUNDUP(W214,0)</f>
        <v>0</v>
      </c>
      <c r="Y214" s="3780"/>
      <c r="Z214" s="61" t="s">
        <v>321</v>
      </c>
      <c r="AA214" s="3174">
        <v>278</v>
      </c>
      <c r="AB214" s="2470">
        <f>32+12</f>
        <v>44</v>
      </c>
      <c r="AC214" s="2580">
        <f>+AB214+AA214*0.58</f>
        <v>205.23999999999998</v>
      </c>
      <c r="AD214" s="2581">
        <f>+AA214+AB214+AC214</f>
        <v>527.24</v>
      </c>
      <c r="AE214" s="2471"/>
      <c r="AF214" s="2582"/>
      <c r="AG214" s="1193">
        <f>+W214-AD214</f>
        <v>-527.24</v>
      </c>
      <c r="AH214" s="1188" t="e">
        <f>+AG214/X214</f>
        <v>#DIV/0!</v>
      </c>
      <c r="AI214" s="240"/>
    </row>
    <row r="215" spans="1:35" s="1034" customFormat="1" ht="14.4" hidden="1" thickBot="1" x14ac:dyDescent="0.3">
      <c r="B215" s="1363"/>
      <c r="C215" s="1624"/>
      <c r="D215" s="1515" t="s">
        <v>2642</v>
      </c>
      <c r="E215" s="1516">
        <v>4010</v>
      </c>
      <c r="F215" s="1625" t="s">
        <v>2820</v>
      </c>
      <c r="G215" s="1625" t="s">
        <v>349</v>
      </c>
      <c r="H215" s="1625"/>
      <c r="I215" s="1625"/>
      <c r="J215" s="1626" t="s">
        <v>2862</v>
      </c>
      <c r="K215" s="1554"/>
      <c r="L215" s="1554"/>
      <c r="M215" s="1554"/>
      <c r="N215" s="1587" t="s">
        <v>2636</v>
      </c>
      <c r="O215" s="3920" t="s">
        <v>2934</v>
      </c>
      <c r="P215" s="3920"/>
      <c r="Q215" s="1554"/>
      <c r="R215" s="1554"/>
      <c r="S215" s="1554"/>
      <c r="T215" s="1554"/>
      <c r="U215" s="1554"/>
      <c r="V215" s="1627"/>
      <c r="W215" s="1628">
        <f>+AD215*1.8*C215</f>
        <v>0</v>
      </c>
      <c r="X215" s="1629">
        <f>+ROUNDUP(W215,0)</f>
        <v>0</v>
      </c>
      <c r="Y215" s="3780"/>
      <c r="Z215" s="1036" t="s">
        <v>321</v>
      </c>
      <c r="AA215" s="3178">
        <v>112</v>
      </c>
      <c r="AB215" s="2583">
        <v>75</v>
      </c>
      <c r="AC215" s="2591">
        <f>+AB215+AA215*0.58</f>
        <v>139.95999999999998</v>
      </c>
      <c r="AD215" s="2602">
        <f>+AA215+AB215+AC215</f>
        <v>326.95999999999998</v>
      </c>
      <c r="AE215" s="2593"/>
      <c r="AF215" s="2603"/>
      <c r="AG215" s="1218">
        <f>+W215-AD215</f>
        <v>-326.95999999999998</v>
      </c>
      <c r="AH215" s="1216" t="e">
        <f>+AG215/X215</f>
        <v>#DIV/0!</v>
      </c>
      <c r="AI215" s="1038"/>
    </row>
    <row r="216" spans="1:35" s="1132" customFormat="1" ht="17.399999999999999" hidden="1" customHeight="1" thickBot="1" x14ac:dyDescent="0.3">
      <c r="B216" s="1369"/>
      <c r="C216" s="1630"/>
      <c r="D216" s="1631" t="s">
        <v>2485</v>
      </c>
      <c r="E216" s="1632" t="s">
        <v>316</v>
      </c>
      <c r="F216" s="1632" t="s">
        <v>2629</v>
      </c>
      <c r="G216" s="1900" t="s">
        <v>3072</v>
      </c>
      <c r="H216" s="1633"/>
      <c r="I216" s="1633"/>
      <c r="J216" s="1632"/>
      <c r="K216" s="1632"/>
      <c r="L216" s="1632"/>
      <c r="M216" s="1632"/>
      <c r="N216" s="1632"/>
      <c r="O216" s="1632"/>
      <c r="P216" s="1632"/>
      <c r="Q216" s="1632"/>
      <c r="R216" s="1632"/>
      <c r="S216" s="1632"/>
      <c r="T216" s="1632"/>
      <c r="U216" s="1634"/>
      <c r="V216" s="1633"/>
      <c r="W216" s="1633"/>
      <c r="X216" s="1635"/>
      <c r="Y216" s="1133"/>
      <c r="Z216" s="1134"/>
      <c r="AA216" s="2506"/>
      <c r="AB216" s="2604"/>
      <c r="AC216" s="2605" t="s">
        <v>18</v>
      </c>
      <c r="AD216" s="2506" t="s">
        <v>37</v>
      </c>
      <c r="AE216" s="2606"/>
      <c r="AF216" s="2606"/>
      <c r="AG216" s="1147">
        <f t="shared" ref="AG216:AG244" si="51">+AF216</f>
        <v>0</v>
      </c>
      <c r="AH216" s="1135" t="s">
        <v>19</v>
      </c>
      <c r="AI216" s="1136" t="s">
        <v>39</v>
      </c>
    </row>
    <row r="217" spans="1:35" s="817" customFormat="1" ht="17.399999999999999" hidden="1" customHeight="1" x14ac:dyDescent="0.25">
      <c r="B217" s="1362"/>
      <c r="C217" s="1618"/>
      <c r="D217" s="1636" t="s">
        <v>2626</v>
      </c>
      <c r="E217" s="1637" t="s">
        <v>2625</v>
      </c>
      <c r="F217" s="1638" t="s">
        <v>2634</v>
      </c>
      <c r="G217" s="1507"/>
      <c r="H217" s="1507"/>
      <c r="I217" s="1507"/>
      <c r="J217" s="1585" t="s">
        <v>2459</v>
      </c>
      <c r="K217" s="1508"/>
      <c r="L217" s="1585"/>
      <c r="M217" s="1585"/>
      <c r="N217" s="1508" t="s">
        <v>2636</v>
      </c>
      <c r="O217" s="1508" t="s">
        <v>376</v>
      </c>
      <c r="P217" s="1508"/>
      <c r="Q217" s="1508"/>
      <c r="R217" s="1508"/>
      <c r="S217" s="1508"/>
      <c r="T217" s="1508"/>
      <c r="U217" s="1508"/>
      <c r="V217" s="1509"/>
      <c r="W217" s="1639">
        <f>+AG217*1.6</f>
        <v>0</v>
      </c>
      <c r="X217" s="1640">
        <f>+ROUNDUP(W217,0)</f>
        <v>0</v>
      </c>
      <c r="Y217" s="1030">
        <f>+X217+X218</f>
        <v>0</v>
      </c>
      <c r="Z217" s="1031" t="s">
        <v>321</v>
      </c>
      <c r="AA217" s="3158">
        <f>420+12+6+22</f>
        <v>460</v>
      </c>
      <c r="AB217" s="2470">
        <f>+AA217</f>
        <v>460</v>
      </c>
      <c r="AC217" s="2580">
        <f>313+12+43</f>
        <v>368</v>
      </c>
      <c r="AD217" s="2581">
        <v>520</v>
      </c>
      <c r="AE217" s="2607">
        <f>+AD217*C217</f>
        <v>0</v>
      </c>
      <c r="AF217" s="2608"/>
      <c r="AG217" s="1146">
        <f t="shared" si="51"/>
        <v>0</v>
      </c>
      <c r="AH217" s="1032">
        <f>+X217-AG217</f>
        <v>0</v>
      </c>
      <c r="AI217" s="1033" t="e">
        <f>+AH217/X217</f>
        <v>#DIV/0!</v>
      </c>
    </row>
    <row r="218" spans="1:35" s="1034" customFormat="1" ht="17.399999999999999" hidden="1" customHeight="1" thickBot="1" x14ac:dyDescent="0.3">
      <c r="B218" s="1363"/>
      <c r="C218" s="1624"/>
      <c r="D218" s="1641" t="s">
        <v>2423</v>
      </c>
      <c r="E218" s="1642" t="s">
        <v>2486</v>
      </c>
      <c r="F218" s="1523" t="s">
        <v>2635</v>
      </c>
      <c r="G218" s="1523"/>
      <c r="H218" s="1523"/>
      <c r="I218" s="1523"/>
      <c r="J218" s="1523" t="s">
        <v>2641</v>
      </c>
      <c r="K218" s="1644"/>
      <c r="L218" s="1548"/>
      <c r="M218" s="1548"/>
      <c r="N218" s="1643" t="s">
        <v>2636</v>
      </c>
      <c r="O218" s="1523" t="s">
        <v>2630</v>
      </c>
      <c r="P218" s="1522"/>
      <c r="Q218" s="1522"/>
      <c r="R218" s="1522"/>
      <c r="S218" s="1523"/>
      <c r="T218" s="1523"/>
      <c r="U218" s="1523"/>
      <c r="V218" s="1524"/>
      <c r="W218" s="1645">
        <f>340*C218</f>
        <v>0</v>
      </c>
      <c r="X218" s="1646">
        <f>+ROUNDUP(W218,0)</f>
        <v>0</v>
      </c>
      <c r="Y218" s="1035"/>
      <c r="Z218" s="1036" t="s">
        <v>321</v>
      </c>
      <c r="AA218" s="3178">
        <f>112+23+12+26+7</f>
        <v>180</v>
      </c>
      <c r="AB218" s="2583">
        <f>+AA218*2</f>
        <v>360</v>
      </c>
      <c r="AC218" s="2609"/>
      <c r="AD218" s="2602">
        <v>210</v>
      </c>
      <c r="AE218" s="2610">
        <f>+AD218*C218</f>
        <v>0</v>
      </c>
      <c r="AF218" s="2611"/>
      <c r="AG218" s="1145">
        <f t="shared" si="51"/>
        <v>0</v>
      </c>
      <c r="AH218" s="1037">
        <f>+W218-AG218</f>
        <v>0</v>
      </c>
      <c r="AI218" s="1038" t="e">
        <f>+AH218/W218</f>
        <v>#DIV/0!</v>
      </c>
    </row>
    <row r="219" spans="1:35" s="1122" customFormat="1" ht="17.399999999999999" hidden="1" customHeight="1" thickBot="1" x14ac:dyDescent="0.25">
      <c r="A219" s="1122" t="s">
        <v>3632</v>
      </c>
      <c r="B219" s="1364"/>
      <c r="C219" s="1474"/>
      <c r="D219" s="3452" t="s">
        <v>3291</v>
      </c>
      <c r="E219" s="1475"/>
      <c r="F219" s="1590" t="s">
        <v>3636</v>
      </c>
      <c r="G219" s="1900" t="s">
        <v>3072</v>
      </c>
      <c r="H219" s="1590"/>
      <c r="I219" s="1590"/>
      <c r="J219" s="1567"/>
      <c r="K219" s="1568"/>
      <c r="L219" s="1568"/>
      <c r="M219" s="1568"/>
      <c r="N219" s="1569"/>
      <c r="O219" s="3785"/>
      <c r="P219" s="3786"/>
      <c r="Q219" s="1589"/>
      <c r="R219" s="1589"/>
      <c r="S219" s="1452"/>
      <c r="T219" s="1452"/>
      <c r="U219" s="1452"/>
      <c r="V219" s="1484"/>
      <c r="W219" s="1478"/>
      <c r="X219" s="1479"/>
      <c r="Y219" s="1127"/>
      <c r="Z219" s="1107"/>
      <c r="AA219" s="2575"/>
      <c r="AB219" s="2576"/>
      <c r="AC219" s="2577"/>
      <c r="AD219" s="2575"/>
      <c r="AE219" s="2578"/>
      <c r="AF219" s="2589"/>
      <c r="AG219" s="1191" t="s">
        <v>19</v>
      </c>
      <c r="AH219" s="1124" t="s">
        <v>39</v>
      </c>
      <c r="AI219" s="1109"/>
    </row>
    <row r="220" spans="1:35" s="817" customFormat="1" ht="13.8" hidden="1" x14ac:dyDescent="0.25">
      <c r="B220" s="1362"/>
      <c r="C220" s="3115"/>
      <c r="D220" s="3453" t="s">
        <v>2626</v>
      </c>
      <c r="E220" s="2400" t="s">
        <v>3633</v>
      </c>
      <c r="F220" s="3454" t="s">
        <v>3637</v>
      </c>
      <c r="G220" s="3454"/>
      <c r="H220" s="3455" t="s">
        <v>3292</v>
      </c>
      <c r="I220" s="3454" t="s">
        <v>3636</v>
      </c>
      <c r="J220" s="1911"/>
      <c r="K220" s="1705"/>
      <c r="L220" s="3456"/>
      <c r="M220" s="3456"/>
      <c r="N220" s="3456" t="s">
        <v>2631</v>
      </c>
      <c r="O220" s="1705" t="s">
        <v>2894</v>
      </c>
      <c r="P220" s="1705"/>
      <c r="Q220" s="3457"/>
      <c r="R220" s="3457"/>
      <c r="S220" s="3458"/>
      <c r="T220" s="3458"/>
      <c r="U220" s="3458"/>
      <c r="V220" s="3459"/>
      <c r="W220" s="3787">
        <f>+AD220*1.5*C220</f>
        <v>0</v>
      </c>
      <c r="X220" s="3750">
        <f>+ROUNDUP(W220,0)</f>
        <v>0</v>
      </c>
      <c r="Y220" s="3750">
        <f>SUM(X220:X222)</f>
        <v>0</v>
      </c>
      <c r="Z220" s="74" t="s">
        <v>3294</v>
      </c>
      <c r="AA220" s="3869">
        <f>9000*1.06</f>
        <v>9540</v>
      </c>
      <c r="AB220" s="2470"/>
      <c r="AC220" s="2580"/>
      <c r="AD220" s="3872">
        <v>5759</v>
      </c>
      <c r="AE220" s="3875"/>
      <c r="AF220" s="3878"/>
      <c r="AG220" s="3881">
        <f>+W220-AD220</f>
        <v>-5759</v>
      </c>
      <c r="AH220" s="3866" t="e">
        <f>+AG220/X220</f>
        <v>#DIV/0!</v>
      </c>
      <c r="AI220" s="1211"/>
    </row>
    <row r="221" spans="1:35" s="236" customFormat="1" ht="13.8" hidden="1" x14ac:dyDescent="0.25">
      <c r="B221" s="1357"/>
      <c r="C221" s="2181"/>
      <c r="D221" s="3453" t="s">
        <v>2627</v>
      </c>
      <c r="E221" s="2400" t="s">
        <v>3634</v>
      </c>
      <c r="F221" s="3455"/>
      <c r="G221" s="3455"/>
      <c r="H221" s="3455" t="s">
        <v>3292</v>
      </c>
      <c r="I221" s="3455"/>
      <c r="J221" s="1911"/>
      <c r="K221" s="1705"/>
      <c r="L221" s="3456"/>
      <c r="M221" s="3456"/>
      <c r="N221" s="3456" t="s">
        <v>2888</v>
      </c>
      <c r="O221" s="1705"/>
      <c r="P221" s="1700"/>
      <c r="Q221" s="2089"/>
      <c r="R221" s="2089"/>
      <c r="S221" s="3460"/>
      <c r="T221" s="3460"/>
      <c r="U221" s="3460"/>
      <c r="V221" s="3461"/>
      <c r="W221" s="3788"/>
      <c r="X221" s="3751"/>
      <c r="Y221" s="3751"/>
      <c r="Z221" s="74" t="s">
        <v>3294</v>
      </c>
      <c r="AA221" s="3870"/>
      <c r="AB221" s="2470"/>
      <c r="AC221" s="2580"/>
      <c r="AD221" s="3873"/>
      <c r="AE221" s="3876"/>
      <c r="AF221" s="3879"/>
      <c r="AG221" s="3882"/>
      <c r="AH221" s="3867"/>
      <c r="AI221" s="1212"/>
    </row>
    <row r="222" spans="1:35" s="1034" customFormat="1" ht="14.4" hidden="1" thickBot="1" x14ac:dyDescent="0.3">
      <c r="B222" s="1363"/>
      <c r="C222" s="3115"/>
      <c r="D222" s="3453" t="s">
        <v>2642</v>
      </c>
      <c r="E222" s="2400">
        <v>6070</v>
      </c>
      <c r="F222" s="1705" t="s">
        <v>3635</v>
      </c>
      <c r="G222" s="1705" t="s">
        <v>2896</v>
      </c>
      <c r="H222" s="1705"/>
      <c r="I222" s="1705"/>
      <c r="J222" s="1911"/>
      <c r="K222" s="3456"/>
      <c r="L222" s="1705"/>
      <c r="M222" s="1705"/>
      <c r="N222" s="3456" t="s">
        <v>1491</v>
      </c>
      <c r="O222" s="1704"/>
      <c r="P222" s="1704"/>
      <c r="Q222" s="2391"/>
      <c r="R222" s="2391"/>
      <c r="S222" s="3462"/>
      <c r="T222" s="3462"/>
      <c r="U222" s="3462"/>
      <c r="V222" s="3463"/>
      <c r="W222" s="3789"/>
      <c r="X222" s="3752"/>
      <c r="Y222" s="3752"/>
      <c r="Z222" s="74" t="s">
        <v>3294</v>
      </c>
      <c r="AA222" s="3871"/>
      <c r="AB222" s="2583"/>
      <c r="AC222" s="2591"/>
      <c r="AD222" s="3874"/>
      <c r="AE222" s="3877"/>
      <c r="AF222" s="3880"/>
      <c r="AG222" s="3883"/>
      <c r="AH222" s="3868"/>
      <c r="AI222" s="1213"/>
    </row>
    <row r="223" spans="1:35" s="1122" customFormat="1" ht="17.399999999999999" hidden="1" customHeight="1" thickBot="1" x14ac:dyDescent="0.25">
      <c r="A223" s="1122" t="s">
        <v>3632</v>
      </c>
      <c r="B223" s="1364"/>
      <c r="C223" s="1474"/>
      <c r="D223" s="3452" t="s">
        <v>3291</v>
      </c>
      <c r="E223" s="1483"/>
      <c r="F223" s="1590" t="s">
        <v>3636</v>
      </c>
      <c r="G223" s="1900" t="s">
        <v>3072</v>
      </c>
      <c r="H223" s="1590"/>
      <c r="I223" s="1590"/>
      <c r="J223" s="1567"/>
      <c r="K223" s="1477"/>
      <c r="L223" s="1568"/>
      <c r="M223" s="1568"/>
      <c r="N223" s="1593"/>
      <c r="O223" s="1477"/>
      <c r="P223" s="1477"/>
      <c r="Q223" s="1477"/>
      <c r="R223" s="1477"/>
      <c r="S223" s="1452"/>
      <c r="T223" s="1452"/>
      <c r="U223" s="1452"/>
      <c r="V223" s="1484"/>
      <c r="W223" s="1478"/>
      <c r="X223" s="1479"/>
      <c r="Y223" s="1127"/>
      <c r="Z223" s="1107"/>
      <c r="AA223" s="2575"/>
      <c r="AB223" s="2576"/>
      <c r="AC223" s="2577"/>
      <c r="AD223" s="2575"/>
      <c r="AE223" s="2578"/>
      <c r="AF223" s="2589"/>
      <c r="AG223" s="1194" t="s">
        <v>19</v>
      </c>
      <c r="AH223" s="1124" t="s">
        <v>39</v>
      </c>
      <c r="AI223" s="1109"/>
    </row>
    <row r="224" spans="1:35" s="1003" customFormat="1" ht="13.8" hidden="1" x14ac:dyDescent="0.25">
      <c r="C224" s="2181"/>
      <c r="D224" s="2064" t="s">
        <v>2626</v>
      </c>
      <c r="E224" s="2400" t="s">
        <v>3633</v>
      </c>
      <c r="F224" s="1699" t="s">
        <v>376</v>
      </c>
      <c r="G224" s="1699" t="s">
        <v>2885</v>
      </c>
      <c r="H224" s="3455" t="s">
        <v>3292</v>
      </c>
      <c r="I224" s="3454" t="s">
        <v>3636</v>
      </c>
      <c r="J224" s="1911"/>
      <c r="K224" s="1911"/>
      <c r="L224" s="1911"/>
      <c r="M224" s="1911"/>
      <c r="N224" s="1699" t="s">
        <v>376</v>
      </c>
      <c r="O224" s="1699"/>
      <c r="P224" s="1705"/>
      <c r="Q224" s="2390"/>
      <c r="R224" s="2390"/>
      <c r="S224" s="2390"/>
      <c r="T224" s="1705"/>
      <c r="U224" s="1705"/>
      <c r="V224" s="3464"/>
      <c r="W224" s="3790">
        <f>+AD224*1.5*C224</f>
        <v>0</v>
      </c>
      <c r="X224" s="3792">
        <f>+ROUNDUP(W224,0)</f>
        <v>0</v>
      </c>
      <c r="Y224" s="3779">
        <f>+X224+X225</f>
        <v>0</v>
      </c>
      <c r="Z224" s="74" t="s">
        <v>3294</v>
      </c>
      <c r="AA224" s="3912">
        <f>4500*1.06</f>
        <v>4770</v>
      </c>
      <c r="AB224" s="2462"/>
      <c r="AC224" s="2463"/>
      <c r="AD224" s="3915">
        <v>3194</v>
      </c>
      <c r="AE224" s="3886">
        <f>+AD224*C224</f>
        <v>0</v>
      </c>
      <c r="AF224" s="3903"/>
      <c r="AG224" s="3881">
        <f>+W224-AD224</f>
        <v>-3194</v>
      </c>
      <c r="AH224" s="3866" t="e">
        <f>+AG224/X224</f>
        <v>#DIV/0!</v>
      </c>
      <c r="AI224" s="1023"/>
    </row>
    <row r="225" spans="2:35" s="1120" customFormat="1" ht="14.4" hidden="1" thickBot="1" x14ac:dyDescent="0.25">
      <c r="B225" s="1365"/>
      <c r="C225" s="2181"/>
      <c r="D225" s="2064" t="s">
        <v>2423</v>
      </c>
      <c r="E225" s="2065">
        <v>3070</v>
      </c>
      <c r="F225" s="1705" t="s">
        <v>3635</v>
      </c>
      <c r="G225" s="1705"/>
      <c r="H225" s="1705"/>
      <c r="I225" s="1705"/>
      <c r="J225" s="1911"/>
      <c r="K225" s="1911"/>
      <c r="L225" s="1911"/>
      <c r="M225" s="1911"/>
      <c r="N225" s="1699" t="s">
        <v>2749</v>
      </c>
      <c r="O225" s="1699"/>
      <c r="P225" s="1704"/>
      <c r="Q225" s="2389"/>
      <c r="R225" s="2389"/>
      <c r="S225" s="2390"/>
      <c r="T225" s="1705"/>
      <c r="U225" s="1705"/>
      <c r="V225" s="3464"/>
      <c r="W225" s="3791"/>
      <c r="X225" s="3793"/>
      <c r="Y225" s="3747"/>
      <c r="Z225" s="74" t="s">
        <v>3294</v>
      </c>
      <c r="AA225" s="3913"/>
      <c r="AB225" s="2462"/>
      <c r="AC225" s="2463"/>
      <c r="AD225" s="3916"/>
      <c r="AE225" s="3917"/>
      <c r="AF225" s="3904"/>
      <c r="AG225" s="3882"/>
      <c r="AH225" s="3867"/>
      <c r="AI225" s="1121"/>
    </row>
    <row r="226" spans="2:35" ht="17.399999999999999" hidden="1" customHeight="1" thickBot="1" x14ac:dyDescent="0.25">
      <c r="C226" s="1647"/>
      <c r="D226" s="1647"/>
      <c r="E226" s="1647"/>
      <c r="F226" s="1647"/>
      <c r="G226" s="1647"/>
      <c r="H226" s="1647"/>
      <c r="I226" s="1647"/>
      <c r="J226" s="1647"/>
      <c r="K226" s="1647"/>
      <c r="L226" s="1647"/>
      <c r="M226" s="1647"/>
      <c r="N226" s="1647"/>
      <c r="O226" s="1647"/>
      <c r="P226" s="1647"/>
      <c r="Q226" s="1647"/>
      <c r="R226" s="1647"/>
      <c r="S226" s="1647"/>
      <c r="T226" s="1647"/>
      <c r="U226" s="1647"/>
      <c r="V226" s="1647"/>
      <c r="W226" s="1647"/>
      <c r="X226" s="1648"/>
      <c r="Y226" s="258"/>
      <c r="Z226"/>
      <c r="AG226" s="3883"/>
      <c r="AH226" s="3868"/>
    </row>
    <row r="227" spans="2:35" ht="17.399999999999999" hidden="1" customHeight="1" x14ac:dyDescent="0.2">
      <c r="C227" s="1647"/>
      <c r="D227" s="1647"/>
      <c r="E227" s="1647"/>
      <c r="F227" s="1647"/>
      <c r="G227" s="1647"/>
      <c r="H227" s="1647"/>
      <c r="I227" s="1647"/>
      <c r="J227" s="1647"/>
      <c r="K227" s="1647"/>
      <c r="L227" s="1647"/>
      <c r="M227" s="1647"/>
      <c r="N227" s="1647"/>
      <c r="O227" s="1647"/>
      <c r="P227" s="1647"/>
      <c r="Q227" s="1647"/>
      <c r="R227" s="1647"/>
      <c r="S227" s="1647"/>
      <c r="T227" s="1647"/>
      <c r="U227" s="1647"/>
      <c r="V227" s="1647"/>
      <c r="W227" s="1647"/>
      <c r="X227" s="1648"/>
      <c r="Y227" s="1116"/>
      <c r="Z227"/>
      <c r="AG227" s="1144">
        <f t="shared" si="51"/>
        <v>0</v>
      </c>
    </row>
    <row r="228" spans="2:35" ht="15" hidden="1" customHeight="1" x14ac:dyDescent="0.2">
      <c r="C228" s="1647"/>
      <c r="D228" s="1647"/>
      <c r="E228" s="1647"/>
      <c r="F228" s="1647"/>
      <c r="G228" s="1647"/>
      <c r="H228" s="1647"/>
      <c r="I228" s="1647"/>
      <c r="J228" s="1647"/>
      <c r="K228" s="1647"/>
      <c r="L228" s="1647"/>
      <c r="M228" s="1647"/>
      <c r="N228" s="1647"/>
      <c r="O228" s="1647"/>
      <c r="P228" s="1647"/>
      <c r="Q228" s="1647"/>
      <c r="R228" s="1647"/>
      <c r="S228" s="1647"/>
      <c r="T228" s="1647"/>
      <c r="U228" s="1647"/>
      <c r="V228" s="1647"/>
      <c r="W228" s="1647"/>
      <c r="X228" s="1648"/>
      <c r="Y228" s="258"/>
      <c r="Z228"/>
      <c r="AG228" s="1144">
        <f t="shared" si="51"/>
        <v>0</v>
      </c>
    </row>
    <row r="229" spans="2:35" ht="17.399999999999999" hidden="1" customHeight="1" x14ac:dyDescent="0.2">
      <c r="C229" s="1647"/>
      <c r="D229" s="1647"/>
      <c r="E229" s="1647"/>
      <c r="F229" s="1647"/>
      <c r="G229" s="1647"/>
      <c r="H229" s="1647"/>
      <c r="I229" s="1647"/>
      <c r="J229" s="1647"/>
      <c r="K229" s="1647"/>
      <c r="L229" s="1647"/>
      <c r="M229" s="1647"/>
      <c r="N229" s="1647"/>
      <c r="O229" s="1647"/>
      <c r="P229" s="1647"/>
      <c r="Q229" s="1647"/>
      <c r="R229" s="1647"/>
      <c r="S229" s="1647"/>
      <c r="T229" s="1647"/>
      <c r="U229" s="1647"/>
      <c r="V229" s="1647"/>
      <c r="W229" s="1647"/>
      <c r="X229" s="1648"/>
      <c r="Y229" s="258"/>
      <c r="Z229"/>
      <c r="AG229" s="1144">
        <f t="shared" si="51"/>
        <v>0</v>
      </c>
    </row>
    <row r="230" spans="2:35" ht="17.399999999999999" hidden="1" customHeight="1" x14ac:dyDescent="0.2">
      <c r="C230" s="1647"/>
      <c r="D230" s="1647"/>
      <c r="E230" s="1647"/>
      <c r="F230" s="1647"/>
      <c r="G230" s="1647"/>
      <c r="H230" s="1647"/>
      <c r="I230" s="1647"/>
      <c r="J230" s="1647"/>
      <c r="K230" s="1647"/>
      <c r="L230" s="1647"/>
      <c r="M230" s="1647"/>
      <c r="N230" s="1647"/>
      <c r="O230" s="1647"/>
      <c r="P230" s="1647"/>
      <c r="Q230" s="1647"/>
      <c r="R230" s="1647"/>
      <c r="S230" s="1647"/>
      <c r="T230" s="1647"/>
      <c r="U230" s="1647"/>
      <c r="V230" s="1647"/>
      <c r="W230" s="1647"/>
      <c r="X230" s="1648"/>
      <c r="Y230" s="258"/>
      <c r="Z230"/>
      <c r="AG230" s="1144">
        <f t="shared" si="51"/>
        <v>0</v>
      </c>
    </row>
    <row r="231" spans="2:35" ht="17.399999999999999" hidden="1" customHeight="1" x14ac:dyDescent="0.2">
      <c r="C231" s="1647"/>
      <c r="D231" s="1647"/>
      <c r="E231" s="1647"/>
      <c r="F231" s="1647"/>
      <c r="G231" s="1647"/>
      <c r="H231" s="1647"/>
      <c r="I231" s="1647"/>
      <c r="J231" s="1647"/>
      <c r="K231" s="1647"/>
      <c r="L231" s="1647"/>
      <c r="M231" s="1647"/>
      <c r="N231" s="1647"/>
      <c r="O231" s="1647"/>
      <c r="P231" s="1647"/>
      <c r="Q231" s="1647"/>
      <c r="R231" s="1647"/>
      <c r="S231" s="1647"/>
      <c r="T231" s="1647"/>
      <c r="U231" s="1647"/>
      <c r="V231" s="1647"/>
      <c r="W231" s="1647"/>
      <c r="X231" s="1648"/>
      <c r="Y231" s="258"/>
      <c r="Z231"/>
      <c r="AG231" s="1144">
        <f t="shared" si="51"/>
        <v>0</v>
      </c>
    </row>
    <row r="232" spans="2:35" ht="17.399999999999999" hidden="1" customHeight="1" x14ac:dyDescent="0.2">
      <c r="C232" s="1647"/>
      <c r="D232" s="1647"/>
      <c r="E232" s="1647"/>
      <c r="F232" s="1647"/>
      <c r="G232" s="1647"/>
      <c r="H232" s="1647"/>
      <c r="I232" s="1647"/>
      <c r="J232" s="1647"/>
      <c r="K232" s="1647"/>
      <c r="L232" s="1647"/>
      <c r="M232" s="1647"/>
      <c r="N232" s="1647"/>
      <c r="O232" s="1647"/>
      <c r="P232" s="1647"/>
      <c r="Q232" s="1647"/>
      <c r="R232" s="1647"/>
      <c r="S232" s="1647"/>
      <c r="T232" s="1647"/>
      <c r="U232" s="1647"/>
      <c r="V232" s="1647"/>
      <c r="W232" s="1647"/>
      <c r="X232" s="1648"/>
      <c r="Y232" s="258"/>
      <c r="Z232"/>
      <c r="AG232" s="1144">
        <f t="shared" si="51"/>
        <v>0</v>
      </c>
    </row>
    <row r="233" spans="2:35" ht="17.399999999999999" hidden="1" customHeight="1" x14ac:dyDescent="0.2">
      <c r="C233" s="1647"/>
      <c r="D233" s="1647"/>
      <c r="E233" s="1647"/>
      <c r="F233" s="1647"/>
      <c r="G233" s="1647"/>
      <c r="H233" s="1647"/>
      <c r="I233" s="1647"/>
      <c r="J233" s="1647"/>
      <c r="K233" s="1647"/>
      <c r="L233" s="1647"/>
      <c r="M233" s="1647"/>
      <c r="N233" s="1647"/>
      <c r="O233" s="1647"/>
      <c r="P233" s="1647"/>
      <c r="Q233" s="1647"/>
      <c r="R233" s="1647"/>
      <c r="S233" s="1647"/>
      <c r="T233" s="1647"/>
      <c r="U233" s="1647"/>
      <c r="V233" s="1647"/>
      <c r="W233" s="1647"/>
      <c r="X233" s="1648"/>
      <c r="Y233" s="258"/>
      <c r="Z233"/>
      <c r="AG233" s="1144">
        <f t="shared" si="51"/>
        <v>0</v>
      </c>
    </row>
    <row r="234" spans="2:35" ht="17.399999999999999" hidden="1" customHeight="1" x14ac:dyDescent="0.2">
      <c r="C234" s="1647"/>
      <c r="D234" s="1647"/>
      <c r="E234" s="1647"/>
      <c r="F234" s="1647"/>
      <c r="G234" s="1647"/>
      <c r="H234" s="1647"/>
      <c r="I234" s="1647"/>
      <c r="J234" s="1647"/>
      <c r="K234" s="1647"/>
      <c r="L234" s="1647"/>
      <c r="M234" s="1647"/>
      <c r="N234" s="1647"/>
      <c r="O234" s="1647"/>
      <c r="P234" s="1647"/>
      <c r="Q234" s="1647"/>
      <c r="R234" s="1647"/>
      <c r="S234" s="1647"/>
      <c r="T234" s="1647"/>
      <c r="U234" s="1647"/>
      <c r="V234" s="1647"/>
      <c r="W234" s="1647"/>
      <c r="X234" s="1648"/>
      <c r="Y234" s="258"/>
      <c r="Z234"/>
      <c r="AG234" s="1144">
        <f t="shared" si="51"/>
        <v>0</v>
      </c>
    </row>
    <row r="235" spans="2:35" ht="17.399999999999999" hidden="1" customHeight="1" x14ac:dyDescent="0.2">
      <c r="C235" s="1647"/>
      <c r="D235" s="1647"/>
      <c r="E235" s="1647"/>
      <c r="F235" s="1647"/>
      <c r="G235" s="1647"/>
      <c r="H235" s="1647"/>
      <c r="I235" s="1647"/>
      <c r="J235" s="1647"/>
      <c r="K235" s="1647"/>
      <c r="L235" s="1647"/>
      <c r="M235" s="1647"/>
      <c r="N235" s="1647"/>
      <c r="O235" s="1647"/>
      <c r="P235" s="1647"/>
      <c r="Q235" s="1647"/>
      <c r="R235" s="1647"/>
      <c r="S235" s="1647"/>
      <c r="T235" s="1647"/>
      <c r="U235" s="1647"/>
      <c r="V235" s="1647"/>
      <c r="W235" s="1647"/>
      <c r="X235" s="1648"/>
      <c r="Y235" s="258"/>
      <c r="Z235"/>
      <c r="AG235" s="1144">
        <f t="shared" si="51"/>
        <v>0</v>
      </c>
    </row>
    <row r="236" spans="2:35" ht="17.399999999999999" hidden="1" customHeight="1" x14ac:dyDescent="0.2">
      <c r="C236" s="1647"/>
      <c r="D236" s="1647"/>
      <c r="E236" s="1647"/>
      <c r="F236" s="1647"/>
      <c r="G236" s="1647"/>
      <c r="H236" s="1647"/>
      <c r="I236" s="1647"/>
      <c r="J236" s="1647"/>
      <c r="K236" s="1647"/>
      <c r="L236" s="1647"/>
      <c r="M236" s="1647"/>
      <c r="N236" s="1647"/>
      <c r="O236" s="1647"/>
      <c r="P236" s="1647"/>
      <c r="Q236" s="1647"/>
      <c r="R236" s="1647"/>
      <c r="S236" s="1647"/>
      <c r="T236" s="1647"/>
      <c r="U236" s="1647"/>
      <c r="V236" s="1647"/>
      <c r="W236" s="1647"/>
      <c r="X236" s="1648"/>
      <c r="Y236" s="258"/>
      <c r="Z236"/>
      <c r="AG236" s="1144">
        <f t="shared" si="51"/>
        <v>0</v>
      </c>
    </row>
    <row r="237" spans="2:35" ht="17.399999999999999" hidden="1" customHeight="1" x14ac:dyDescent="0.2">
      <c r="C237" s="1647"/>
      <c r="D237" s="1647"/>
      <c r="E237" s="1647"/>
      <c r="F237" s="1647"/>
      <c r="G237" s="1647"/>
      <c r="H237" s="1647"/>
      <c r="I237" s="1647"/>
      <c r="J237" s="1647"/>
      <c r="K237" s="1647"/>
      <c r="L237" s="1647"/>
      <c r="M237" s="1647"/>
      <c r="N237" s="1647"/>
      <c r="O237" s="1647"/>
      <c r="P237" s="1647"/>
      <c r="Q237" s="1647"/>
      <c r="R237" s="1647"/>
      <c r="S237" s="1647"/>
      <c r="T237" s="1647"/>
      <c r="U237" s="1647"/>
      <c r="V237" s="1647"/>
      <c r="W237" s="1647"/>
      <c r="X237" s="1648"/>
      <c r="Y237" s="258"/>
      <c r="Z237"/>
      <c r="AG237" s="1144">
        <f t="shared" si="51"/>
        <v>0</v>
      </c>
    </row>
    <row r="238" spans="2:35" ht="17.399999999999999" hidden="1" customHeight="1" x14ac:dyDescent="0.2">
      <c r="C238" s="1647"/>
      <c r="D238" s="1647"/>
      <c r="E238" s="1647"/>
      <c r="F238" s="1647"/>
      <c r="G238" s="1647"/>
      <c r="H238" s="1647"/>
      <c r="I238" s="1647"/>
      <c r="J238" s="1647"/>
      <c r="K238" s="1647"/>
      <c r="L238" s="1647"/>
      <c r="M238" s="1647"/>
      <c r="N238" s="1647"/>
      <c r="O238" s="1647"/>
      <c r="P238" s="1647"/>
      <c r="Q238" s="1647"/>
      <c r="R238" s="1647"/>
      <c r="S238" s="1647"/>
      <c r="T238" s="1647"/>
      <c r="U238" s="1647"/>
      <c r="V238" s="1647"/>
      <c r="W238" s="1647"/>
      <c r="X238" s="1648"/>
      <c r="Y238" s="258"/>
      <c r="Z238"/>
      <c r="AG238" s="1144">
        <f t="shared" si="51"/>
        <v>0</v>
      </c>
    </row>
    <row r="239" spans="2:35" ht="17.399999999999999" hidden="1" customHeight="1" x14ac:dyDescent="0.2">
      <c r="C239" s="1647"/>
      <c r="D239" s="1647"/>
      <c r="E239" s="1647"/>
      <c r="F239" s="1647"/>
      <c r="G239" s="1647"/>
      <c r="H239" s="1647"/>
      <c r="I239" s="1647"/>
      <c r="J239" s="1647"/>
      <c r="K239" s="1647"/>
      <c r="L239" s="1647"/>
      <c r="M239" s="1647"/>
      <c r="N239" s="1647"/>
      <c r="O239" s="1647"/>
      <c r="P239" s="1647"/>
      <c r="Q239" s="1647"/>
      <c r="R239" s="1647"/>
      <c r="S239" s="1647"/>
      <c r="T239" s="1647"/>
      <c r="U239" s="1647"/>
      <c r="V239" s="1647"/>
      <c r="W239" s="1647"/>
      <c r="X239" s="1648"/>
      <c r="Y239" s="258"/>
      <c r="Z239"/>
      <c r="AG239" s="1144">
        <f t="shared" si="51"/>
        <v>0</v>
      </c>
    </row>
    <row r="240" spans="2:35" ht="17.399999999999999" hidden="1" customHeight="1" x14ac:dyDescent="0.2">
      <c r="C240" s="1647"/>
      <c r="D240" s="1647"/>
      <c r="E240" s="1647"/>
      <c r="F240" s="1647"/>
      <c r="G240" s="1647"/>
      <c r="H240" s="1647"/>
      <c r="I240" s="1647"/>
      <c r="J240" s="1647"/>
      <c r="K240" s="1647"/>
      <c r="L240" s="1647"/>
      <c r="M240" s="1647"/>
      <c r="N240" s="1647"/>
      <c r="O240" s="1647"/>
      <c r="P240" s="1647"/>
      <c r="Q240" s="1647"/>
      <c r="R240" s="1647"/>
      <c r="S240" s="1647"/>
      <c r="T240" s="1647"/>
      <c r="U240" s="1647"/>
      <c r="V240" s="1647"/>
      <c r="W240" s="1647"/>
      <c r="X240" s="1648"/>
      <c r="Y240" s="258"/>
      <c r="Z240"/>
      <c r="AG240" s="1144">
        <f t="shared" si="51"/>
        <v>0</v>
      </c>
    </row>
    <row r="241" spans="1:36" ht="17.399999999999999" hidden="1" customHeight="1" x14ac:dyDescent="0.2">
      <c r="C241" s="1647"/>
      <c r="D241" s="1647"/>
      <c r="E241" s="1647"/>
      <c r="F241" s="1647"/>
      <c r="G241" s="1647"/>
      <c r="H241" s="1647"/>
      <c r="I241" s="1647"/>
      <c r="J241" s="1647"/>
      <c r="K241" s="1647"/>
      <c r="L241" s="1647"/>
      <c r="M241" s="1647"/>
      <c r="N241" s="1647"/>
      <c r="O241" s="1647"/>
      <c r="P241" s="1647"/>
      <c r="Q241" s="1647"/>
      <c r="R241" s="1647"/>
      <c r="S241" s="1647"/>
      <c r="T241" s="1647"/>
      <c r="U241" s="1647"/>
      <c r="V241" s="1647"/>
      <c r="W241" s="1647"/>
      <c r="X241" s="1648"/>
      <c r="Y241" s="258"/>
      <c r="Z241"/>
      <c r="AG241" s="1144">
        <f t="shared" si="51"/>
        <v>0</v>
      </c>
    </row>
    <row r="242" spans="1:36" s="38" customFormat="1" ht="17.399999999999999" hidden="1" customHeight="1" x14ac:dyDescent="0.2">
      <c r="C242" s="1649"/>
      <c r="D242" s="1649"/>
      <c r="E242" s="1649"/>
      <c r="F242" s="1649"/>
      <c r="G242" s="1649"/>
      <c r="H242" s="1649"/>
      <c r="I242" s="1649"/>
      <c r="J242" s="1649"/>
      <c r="K242" s="1649"/>
      <c r="L242" s="1649"/>
      <c r="M242" s="1649"/>
      <c r="N242" s="1649"/>
      <c r="O242" s="1649"/>
      <c r="P242" s="1649"/>
      <c r="Q242" s="1649"/>
      <c r="R242" s="1649"/>
      <c r="S242" s="1649"/>
      <c r="T242" s="1649"/>
      <c r="U242" s="1649"/>
      <c r="V242" s="1649"/>
      <c r="W242" s="1650"/>
      <c r="X242" s="1651"/>
      <c r="Y242" s="256"/>
      <c r="Z242" s="40"/>
      <c r="AA242" s="3185"/>
      <c r="AB242" s="2615"/>
      <c r="AC242" s="2614"/>
      <c r="AD242" s="2614"/>
      <c r="AE242" s="2614">
        <f>SUMIF(Z15:Z734,"=MESKER",W15:W734)</f>
        <v>0</v>
      </c>
      <c r="AF242" s="2614"/>
      <c r="AG242" s="1144">
        <f t="shared" si="51"/>
        <v>0</v>
      </c>
      <c r="AH242" s="40"/>
    </row>
    <row r="243" spans="1:36" s="38" customFormat="1" ht="17.399999999999999" hidden="1" customHeight="1" x14ac:dyDescent="0.2">
      <c r="A243" s="35"/>
      <c r="B243" s="405"/>
      <c r="C243" s="1649"/>
      <c r="D243" s="1649"/>
      <c r="E243" s="1649"/>
      <c r="F243" s="1652"/>
      <c r="G243" s="1652"/>
      <c r="H243" s="1652"/>
      <c r="I243" s="1652"/>
      <c r="J243" s="1652"/>
      <c r="K243" s="1649"/>
      <c r="L243" s="1652"/>
      <c r="M243" s="1652"/>
      <c r="N243" s="1653"/>
      <c r="O243" s="1653"/>
      <c r="P243" s="1649"/>
      <c r="Q243" s="1649"/>
      <c r="R243" s="1649"/>
      <c r="S243" s="1649"/>
      <c r="T243" s="1649"/>
      <c r="U243" s="1649"/>
      <c r="V243" s="1649"/>
      <c r="W243" s="1650"/>
      <c r="X243" s="1651"/>
      <c r="Y243" s="257"/>
      <c r="Z243" s="40"/>
      <c r="AA243" s="3185"/>
      <c r="AB243" s="2615"/>
      <c r="AC243" s="2614"/>
      <c r="AD243" s="2614"/>
      <c r="AE243" s="2614">
        <f>SUMIF(Z15:Z734,"=DESIGN",W15:W734)</f>
        <v>343.57124999999996</v>
      </c>
      <c r="AF243" s="2614"/>
      <c r="AG243" s="1144">
        <f t="shared" si="51"/>
        <v>0</v>
      </c>
      <c r="AH243" s="40"/>
    </row>
    <row r="244" spans="1:36" s="35" customFormat="1" ht="17.399999999999999" hidden="1" customHeight="1" x14ac:dyDescent="0.2">
      <c r="B244" s="405"/>
      <c r="C244" s="1649"/>
      <c r="D244" s="1649"/>
      <c r="E244" s="1649"/>
      <c r="F244" s="1649"/>
      <c r="G244" s="1649"/>
      <c r="H244" s="1649"/>
      <c r="I244" s="1649"/>
      <c r="J244" s="1649"/>
      <c r="K244" s="1649"/>
      <c r="L244" s="1649"/>
      <c r="M244" s="1649"/>
      <c r="N244" s="1649"/>
      <c r="O244" s="1649"/>
      <c r="P244" s="1649"/>
      <c r="Q244" s="1649"/>
      <c r="R244" s="1649"/>
      <c r="S244" s="1649"/>
      <c r="T244" s="1649"/>
      <c r="U244" s="1649"/>
      <c r="V244" s="1649"/>
      <c r="W244" s="1650"/>
      <c r="X244" s="1651"/>
      <c r="Y244" s="256"/>
      <c r="Z244" s="40"/>
      <c r="AA244" s="3185"/>
      <c r="AB244" s="2615"/>
      <c r="AC244" s="2614"/>
      <c r="AD244" s="2614"/>
      <c r="AE244" s="2614">
        <f>SUMIF(Z15:Z734,"=NGP",W15:W734)</f>
        <v>708.45720000000006</v>
      </c>
      <c r="AF244" s="2614"/>
      <c r="AG244" s="1684">
        <f t="shared" si="51"/>
        <v>0</v>
      </c>
      <c r="AH244" s="40"/>
    </row>
    <row r="245" spans="1:36" s="3389" customFormat="1" ht="16.95" customHeight="1" thickBot="1" x14ac:dyDescent="0.25">
      <c r="B245" s="3390"/>
      <c r="C245" s="3391"/>
      <c r="D245" s="3392" t="s">
        <v>3321</v>
      </c>
      <c r="E245" s="1497"/>
      <c r="F245" s="3393"/>
      <c r="G245" s="1661"/>
      <c r="H245" s="3394"/>
      <c r="I245" s="2335"/>
      <c r="J245" s="1497"/>
      <c r="K245" s="1497"/>
      <c r="L245" s="2290"/>
      <c r="M245" s="2290"/>
      <c r="N245" s="2290"/>
      <c r="O245" s="2290"/>
      <c r="P245" s="2290"/>
      <c r="Q245" s="2290"/>
      <c r="R245" s="2290"/>
      <c r="S245" s="2290"/>
      <c r="T245" s="2290"/>
      <c r="U245" s="2290"/>
      <c r="V245" s="2290"/>
      <c r="W245" s="2290"/>
      <c r="X245" s="1497"/>
      <c r="Y245" s="1497"/>
      <c r="Z245" s="3395" t="s">
        <v>344</v>
      </c>
      <c r="AA245" s="3396" t="s">
        <v>50</v>
      </c>
      <c r="AB245" s="3397" t="s">
        <v>36</v>
      </c>
      <c r="AC245" s="3397" t="s">
        <v>361</v>
      </c>
      <c r="AD245" s="3397" t="s">
        <v>37</v>
      </c>
      <c r="AE245" s="3398"/>
      <c r="AF245" s="3399"/>
      <c r="AG245" s="1692" t="s">
        <v>19</v>
      </c>
      <c r="AH245" s="1693" t="s">
        <v>39</v>
      </c>
      <c r="AI245" s="3400"/>
      <c r="AJ245" s="3400"/>
    </row>
    <row r="246" spans="1:36" s="3376" customFormat="1" ht="17.100000000000001" customHeight="1" thickBot="1" x14ac:dyDescent="0.25">
      <c r="B246" s="3377"/>
      <c r="C246" s="3378" t="s">
        <v>1267</v>
      </c>
      <c r="D246" s="3379" t="s">
        <v>2475</v>
      </c>
      <c r="E246" s="3451" t="s">
        <v>548</v>
      </c>
      <c r="F246" s="3380"/>
      <c r="G246" s="2327" t="s">
        <v>3072</v>
      </c>
      <c r="H246" s="3381"/>
      <c r="I246" s="2956" t="s">
        <v>3066</v>
      </c>
      <c r="J246" s="3380"/>
      <c r="K246" s="3380"/>
      <c r="L246" s="2328" t="s">
        <v>3071</v>
      </c>
      <c r="M246" s="1997"/>
      <c r="N246" s="1728"/>
      <c r="O246" s="1729"/>
      <c r="P246" s="1728"/>
      <c r="Q246" s="1728"/>
      <c r="R246" s="1728"/>
      <c r="S246" s="1728"/>
      <c r="T246" s="1728"/>
      <c r="U246" s="1728"/>
      <c r="V246" s="1728"/>
      <c r="W246" s="2326" t="s">
        <v>3067</v>
      </c>
      <c r="X246" s="3510" t="s">
        <v>3068</v>
      </c>
      <c r="Y246" s="3382"/>
      <c r="Z246" s="3383"/>
      <c r="AA246" s="3384"/>
      <c r="AB246" s="3385"/>
      <c r="AC246" s="3386"/>
      <c r="AD246" s="3386"/>
      <c r="AE246" s="3386"/>
      <c r="AF246" s="3386"/>
      <c r="AG246" s="3387"/>
      <c r="AH246" s="3388"/>
    </row>
    <row r="247" spans="1:36" s="48" customFormat="1" ht="17.399999999999999" hidden="1" customHeight="1" thickBot="1" x14ac:dyDescent="0.25">
      <c r="B247" s="779" t="s">
        <v>1491</v>
      </c>
      <c r="C247" s="2032"/>
      <c r="D247" s="2033" t="s">
        <v>3116</v>
      </c>
      <c r="E247" s="2034" t="s">
        <v>3070</v>
      </c>
      <c r="F247" s="2034"/>
      <c r="G247" s="2035" t="str">
        <f>+S247</f>
        <v>847-00649</v>
      </c>
      <c r="H247" s="2035"/>
      <c r="I247" s="2036" t="str">
        <f>+T247</f>
        <v>HWBB5NRP-4.5*4.5_630</v>
      </c>
      <c r="J247" s="2034"/>
      <c r="K247" s="2034"/>
      <c r="L247" s="1971">
        <v>17568789859</v>
      </c>
      <c r="M247" s="1971"/>
      <c r="N247" s="1755"/>
      <c r="O247" s="1754"/>
      <c r="P247" s="1745"/>
      <c r="Q247" s="1745"/>
      <c r="R247" s="1745"/>
      <c r="S247" s="1753" t="s">
        <v>3064</v>
      </c>
      <c r="T247" s="1753" t="s">
        <v>3065</v>
      </c>
      <c r="U247" s="1753"/>
      <c r="V247" s="1756"/>
      <c r="W247" s="3644">
        <f>+AE247*2*C247</f>
        <v>0</v>
      </c>
      <c r="X247" s="3645">
        <f t="shared" ref="X247:X265" si="52">+ROUNDUP(W247,0)*C247</f>
        <v>0</v>
      </c>
      <c r="Y247" s="1892"/>
      <c r="Z247" s="1973" t="s">
        <v>23</v>
      </c>
      <c r="AA247" s="3186">
        <v>155.99999999999997</v>
      </c>
      <c r="AB247" s="76">
        <v>0.26</v>
      </c>
      <c r="AC247" s="2617">
        <v>50</v>
      </c>
      <c r="AD247" s="2617">
        <v>14</v>
      </c>
      <c r="AE247" s="2617">
        <f t="shared" ref="AE247:AE256" si="53">+AD247</f>
        <v>14</v>
      </c>
      <c r="AF247" s="2618">
        <f>+AE247*C247</f>
        <v>0</v>
      </c>
      <c r="AG247" s="1154">
        <f>+W247-AF247</f>
        <v>0</v>
      </c>
      <c r="AH247" s="76" t="e">
        <f>+AG247/W247</f>
        <v>#DIV/0!</v>
      </c>
      <c r="AI247" s="76"/>
      <c r="AJ247" s="199"/>
    </row>
    <row r="248" spans="1:36" s="206" customFormat="1" ht="13.2" thickBot="1" x14ac:dyDescent="0.25">
      <c r="A248" s="206" t="s">
        <v>456</v>
      </c>
      <c r="B248" s="1352" t="s">
        <v>3138</v>
      </c>
      <c r="C248" s="2083">
        <v>9</v>
      </c>
      <c r="D248" s="2834" t="s">
        <v>3265</v>
      </c>
      <c r="E248" s="2834" t="s">
        <v>79</v>
      </c>
      <c r="F248" s="2835" t="s">
        <v>65</v>
      </c>
      <c r="G248" s="2297" t="s">
        <v>3064</v>
      </c>
      <c r="H248" s="2834" t="s">
        <v>3203</v>
      </c>
      <c r="I248" s="3634" t="s">
        <v>3065</v>
      </c>
      <c r="J248" s="3123"/>
      <c r="K248" s="2838">
        <v>630</v>
      </c>
      <c r="L248" s="2839">
        <v>17568789859</v>
      </c>
      <c r="M248" s="1801"/>
      <c r="N248" s="1801" t="s">
        <v>63</v>
      </c>
      <c r="O248" s="1801"/>
      <c r="P248" s="1779"/>
      <c r="Q248" s="1779"/>
      <c r="R248" s="1779"/>
      <c r="S248" s="1779"/>
      <c r="T248" s="1805" t="s">
        <v>3065</v>
      </c>
      <c r="U248" s="1779"/>
      <c r="V248" s="3628"/>
      <c r="W248" s="3696">
        <f>+AD248*2.33</f>
        <v>32.620000000000005</v>
      </c>
      <c r="X248" s="2840">
        <f t="shared" si="52"/>
        <v>297</v>
      </c>
      <c r="Y248" s="3753">
        <f>SUBTOTAL(9,X246:X714)</f>
        <v>3188</v>
      </c>
      <c r="Z248" s="1975" t="s">
        <v>23</v>
      </c>
      <c r="AA248" s="3187"/>
      <c r="AB248" s="863">
        <v>0.26</v>
      </c>
      <c r="AC248" s="2619">
        <v>50</v>
      </c>
      <c r="AD248" s="2619">
        <v>14</v>
      </c>
      <c r="AE248" s="2619">
        <f>+AD248</f>
        <v>14</v>
      </c>
      <c r="AF248" s="2621">
        <f t="shared" ref="AF248:AF256" si="54">+W248-AE248</f>
        <v>18.620000000000005</v>
      </c>
      <c r="AG248" s="1150"/>
      <c r="AH248" s="245"/>
      <c r="AI248" s="204">
        <f>+AH248/X248</f>
        <v>0</v>
      </c>
      <c r="AJ248" s="209"/>
    </row>
    <row r="249" spans="1:36" s="206" customFormat="1" ht="15" thickBot="1" x14ac:dyDescent="0.25">
      <c r="A249" s="206" t="s">
        <v>456</v>
      </c>
      <c r="B249" s="1352" t="s">
        <v>3138</v>
      </c>
      <c r="C249" s="1927"/>
      <c r="D249" s="3670" t="s">
        <v>3351</v>
      </c>
      <c r="E249" s="3671" t="s">
        <v>79</v>
      </c>
      <c r="F249" s="3672" t="s">
        <v>65</v>
      </c>
      <c r="G249" s="2297" t="s">
        <v>3064</v>
      </c>
      <c r="H249" s="3672" t="s">
        <v>3203</v>
      </c>
      <c r="I249" s="2836" t="s">
        <v>3352</v>
      </c>
      <c r="J249" s="3448"/>
      <c r="K249" s="3673">
        <v>630</v>
      </c>
      <c r="L249" s="2839">
        <v>17568789859</v>
      </c>
      <c r="M249" s="1801"/>
      <c r="N249" s="1801" t="s">
        <v>63</v>
      </c>
      <c r="O249" s="1801"/>
      <c r="P249" s="1779"/>
      <c r="Q249" s="1779"/>
      <c r="R249" s="1779"/>
      <c r="S249" s="1779"/>
      <c r="T249" s="1805" t="s">
        <v>3065</v>
      </c>
      <c r="U249" s="1779"/>
      <c r="V249" s="2015"/>
      <c r="W249" s="3674">
        <f>+AE249*2*C249</f>
        <v>0</v>
      </c>
      <c r="X249" s="3675">
        <f t="shared" si="52"/>
        <v>0</v>
      </c>
      <c r="Y249" s="3754"/>
      <c r="Z249" s="1975" t="s">
        <v>23</v>
      </c>
      <c r="AA249" s="2808"/>
      <c r="AB249" s="2438">
        <v>0.26</v>
      </c>
      <c r="AC249" s="2809">
        <v>534</v>
      </c>
      <c r="AD249" s="2810">
        <f>+AB249*AC249</f>
        <v>138.84</v>
      </c>
      <c r="AE249" s="2619">
        <f>+AD249</f>
        <v>138.84</v>
      </c>
      <c r="AF249" s="2622"/>
      <c r="AG249" s="1150"/>
      <c r="AH249" s="245"/>
      <c r="AI249" s="204" t="e">
        <f>+AH249/X249</f>
        <v>#DIV/0!</v>
      </c>
      <c r="AJ249" s="209"/>
    </row>
    <row r="250" spans="1:36" s="206" customFormat="1" ht="12.6" customHeight="1" thickBot="1" x14ac:dyDescent="0.25">
      <c r="A250" s="206" t="s">
        <v>456</v>
      </c>
      <c r="B250" s="1352"/>
      <c r="C250" s="3425"/>
      <c r="D250" s="2307" t="s">
        <v>3366</v>
      </c>
      <c r="E250" s="3426" t="s">
        <v>79</v>
      </c>
      <c r="F250" s="3427" t="s">
        <v>65</v>
      </c>
      <c r="G250" s="1991"/>
      <c r="H250" s="2308" t="s">
        <v>3203</v>
      </c>
      <c r="I250" s="3427"/>
      <c r="J250" s="3427">
        <v>316</v>
      </c>
      <c r="K250" s="3059">
        <v>630</v>
      </c>
      <c r="L250" s="1738"/>
      <c r="M250" s="1738"/>
      <c r="N250" s="1738" t="s">
        <v>63</v>
      </c>
      <c r="O250" s="1738">
        <f>+X250/15</f>
        <v>0</v>
      </c>
      <c r="P250" s="1737"/>
      <c r="Q250" s="1737"/>
      <c r="R250" s="1737"/>
      <c r="S250" s="1737"/>
      <c r="T250" s="1737"/>
      <c r="U250" s="1737"/>
      <c r="V250" s="1741"/>
      <c r="W250" s="2292">
        <f>+AD250*4</f>
        <v>50.96</v>
      </c>
      <c r="X250" s="2905">
        <f t="shared" si="52"/>
        <v>0</v>
      </c>
      <c r="Y250" s="3755"/>
      <c r="Z250" s="208" t="s">
        <v>23</v>
      </c>
      <c r="AA250" s="3187">
        <v>49</v>
      </c>
      <c r="AB250" s="863">
        <v>0.26</v>
      </c>
      <c r="AC250" s="2619">
        <f>+AA250*AB250</f>
        <v>12.74</v>
      </c>
      <c r="AD250" s="2619">
        <f>+AC250</f>
        <v>12.74</v>
      </c>
      <c r="AE250" s="2619">
        <f>+AD250</f>
        <v>12.74</v>
      </c>
      <c r="AF250" s="2621">
        <f t="shared" si="54"/>
        <v>38.22</v>
      </c>
      <c r="AG250" s="1150"/>
      <c r="AH250" s="245"/>
      <c r="AI250" s="204" t="e">
        <f>+AH250/X250</f>
        <v>#DIV/0!</v>
      </c>
      <c r="AJ250" s="209"/>
    </row>
    <row r="251" spans="1:36" s="206" customFormat="1" ht="12.6" customHeight="1" x14ac:dyDescent="0.2">
      <c r="A251" s="206" t="s">
        <v>456</v>
      </c>
      <c r="B251" s="1352"/>
      <c r="C251" s="1744"/>
      <c r="D251" s="1737" t="s">
        <v>22</v>
      </c>
      <c r="E251" s="1737" t="s">
        <v>79</v>
      </c>
      <c r="F251" s="1738" t="s">
        <v>65</v>
      </c>
      <c r="G251" s="1738"/>
      <c r="H251" s="1738"/>
      <c r="I251" s="1738"/>
      <c r="J251" s="1738"/>
      <c r="K251" s="1757">
        <v>630</v>
      </c>
      <c r="L251" s="1738"/>
      <c r="M251" s="1738"/>
      <c r="N251" s="1738" t="s">
        <v>63</v>
      </c>
      <c r="O251" s="1738">
        <f>+X251/15</f>
        <v>0</v>
      </c>
      <c r="P251" s="1737"/>
      <c r="Q251" s="1737"/>
      <c r="R251" s="1737"/>
      <c r="S251" s="1737"/>
      <c r="T251" s="1737"/>
      <c r="U251" s="1737"/>
      <c r="V251" s="1741"/>
      <c r="W251" s="1758">
        <f>+AE251*2.35*C251</f>
        <v>0</v>
      </c>
      <c r="X251" s="1893">
        <f t="shared" si="52"/>
        <v>0</v>
      </c>
      <c r="Y251" s="3756"/>
      <c r="Z251" s="208" t="s">
        <v>23</v>
      </c>
      <c r="AA251" s="3187">
        <v>155.99999999999997</v>
      </c>
      <c r="AB251" s="863">
        <v>0.26</v>
      </c>
      <c r="AC251" s="2619">
        <v>50</v>
      </c>
      <c r="AD251" s="2619">
        <v>14</v>
      </c>
      <c r="AE251" s="2619">
        <f>+AD251</f>
        <v>14</v>
      </c>
      <c r="AF251" s="2621">
        <f t="shared" si="54"/>
        <v>-14</v>
      </c>
      <c r="AG251" s="1150"/>
      <c r="AH251" s="245"/>
      <c r="AI251" s="204" t="e">
        <f>+AH251/X251</f>
        <v>#DIV/0!</v>
      </c>
      <c r="AJ251" s="209"/>
    </row>
    <row r="252" spans="1:36" s="207" customFormat="1" ht="12.6" customHeight="1" x14ac:dyDescent="0.2">
      <c r="A252" s="206" t="s">
        <v>456</v>
      </c>
      <c r="C252" s="1744"/>
      <c r="D252" s="1759" t="s">
        <v>22</v>
      </c>
      <c r="E252" s="1759" t="s">
        <v>3014</v>
      </c>
      <c r="F252" s="1759" t="s">
        <v>65</v>
      </c>
      <c r="G252" s="1759"/>
      <c r="H252" s="1759"/>
      <c r="I252" s="1759"/>
      <c r="J252" s="1760" t="s">
        <v>63</v>
      </c>
      <c r="K252" s="1757">
        <v>630</v>
      </c>
      <c r="L252" s="1759"/>
      <c r="M252" s="1759"/>
      <c r="N252" s="1759" t="s">
        <v>63</v>
      </c>
      <c r="O252" s="1757">
        <f>+X252/8</f>
        <v>0</v>
      </c>
      <c r="P252" s="1757"/>
      <c r="Q252" s="1757"/>
      <c r="R252" s="1757"/>
      <c r="S252" s="1757"/>
      <c r="T252" s="1737"/>
      <c r="U252" s="1737"/>
      <c r="V252" s="1761"/>
      <c r="W252" s="1758">
        <f>+AE252*2.35*C252</f>
        <v>0</v>
      </c>
      <c r="X252" s="1893">
        <f t="shared" si="52"/>
        <v>0</v>
      </c>
      <c r="Y252" s="3756"/>
      <c r="Z252" s="74" t="s">
        <v>23</v>
      </c>
      <c r="AA252" s="3199" t="s">
        <v>3015</v>
      </c>
      <c r="AB252" s="68">
        <v>0.23</v>
      </c>
      <c r="AC252" s="2617">
        <v>68</v>
      </c>
      <c r="AD252" s="2617">
        <f>+AC252*AB252</f>
        <v>15.64</v>
      </c>
      <c r="AE252" s="2617">
        <f t="shared" si="53"/>
        <v>15.64</v>
      </c>
      <c r="AF252" s="2624">
        <f t="shared" si="54"/>
        <v>-15.64</v>
      </c>
      <c r="AG252" s="1148"/>
      <c r="AH252" s="872"/>
      <c r="AI252" s="874" t="e">
        <f t="shared" ref="AI252:AI257" si="55">+AH252/X252</f>
        <v>#DIV/0!</v>
      </c>
      <c r="AJ252" s="49"/>
    </row>
    <row r="253" spans="1:36" s="206" customFormat="1" ht="12.6" customHeight="1" x14ac:dyDescent="0.2">
      <c r="A253" s="206" t="s">
        <v>456</v>
      </c>
      <c r="B253" s="1370"/>
      <c r="C253" s="1744"/>
      <c r="D253" s="1737" t="s">
        <v>22</v>
      </c>
      <c r="E253" s="1737" t="s">
        <v>79</v>
      </c>
      <c r="F253" s="1738" t="s">
        <v>65</v>
      </c>
      <c r="G253" s="1738"/>
      <c r="H253" s="1738"/>
      <c r="I253" s="1738"/>
      <c r="J253" s="1738"/>
      <c r="K253" s="1757">
        <v>630</v>
      </c>
      <c r="L253" s="1738"/>
      <c r="M253" s="1738"/>
      <c r="N253" s="1738" t="s">
        <v>63</v>
      </c>
      <c r="O253" s="1738">
        <f>+X253/15</f>
        <v>0</v>
      </c>
      <c r="P253" s="1737"/>
      <c r="Q253" s="1737"/>
      <c r="R253" s="1737"/>
      <c r="S253" s="1737"/>
      <c r="T253" s="1737"/>
      <c r="U253" s="1737"/>
      <c r="V253" s="1741"/>
      <c r="W253" s="1758">
        <f>+AE253*2.5*C253</f>
        <v>0</v>
      </c>
      <c r="X253" s="1893">
        <f t="shared" si="52"/>
        <v>0</v>
      </c>
      <c r="Y253" s="3756"/>
      <c r="Z253" s="208" t="s">
        <v>23</v>
      </c>
      <c r="AA253" s="3187">
        <v>155.99999999999997</v>
      </c>
      <c r="AB253" s="863">
        <v>0.26</v>
      </c>
      <c r="AC253" s="2619">
        <v>50</v>
      </c>
      <c r="AD253" s="2619">
        <v>14</v>
      </c>
      <c r="AE253" s="2619">
        <f t="shared" si="53"/>
        <v>14</v>
      </c>
      <c r="AF253" s="2621">
        <f t="shared" si="54"/>
        <v>-14</v>
      </c>
      <c r="AG253" s="1150"/>
      <c r="AH253" s="245"/>
      <c r="AI253" s="204" t="e">
        <f t="shared" si="55"/>
        <v>#DIV/0!</v>
      </c>
      <c r="AJ253" s="209"/>
    </row>
    <row r="254" spans="1:36" s="48" customFormat="1" ht="12.6" customHeight="1" x14ac:dyDescent="0.2">
      <c r="A254" s="206" t="s">
        <v>456</v>
      </c>
      <c r="B254" s="1370"/>
      <c r="C254" s="1954"/>
      <c r="D254" s="1779" t="s">
        <v>3388</v>
      </c>
      <c r="E254" s="1779" t="s">
        <v>79</v>
      </c>
      <c r="F254" s="1801" t="s">
        <v>65</v>
      </c>
      <c r="G254" s="1738"/>
      <c r="H254" s="1801"/>
      <c r="I254" s="1738"/>
      <c r="J254" s="1801"/>
      <c r="K254" s="1914">
        <v>630</v>
      </c>
      <c r="L254" s="1738"/>
      <c r="M254" s="1738"/>
      <c r="N254" s="1738" t="s">
        <v>63</v>
      </c>
      <c r="O254" s="1738"/>
      <c r="P254" s="1737"/>
      <c r="Q254" s="1737"/>
      <c r="R254" s="1737"/>
      <c r="S254" s="1737"/>
      <c r="T254" s="1737" t="s">
        <v>3390</v>
      </c>
      <c r="U254" s="1737"/>
      <c r="V254" s="1741"/>
      <c r="W254" s="1758">
        <f>+AE254*1.5</f>
        <v>85.050000000000011</v>
      </c>
      <c r="X254" s="1893">
        <f t="shared" si="52"/>
        <v>0</v>
      </c>
      <c r="Y254" s="3756"/>
      <c r="Z254" s="48" t="s">
        <v>397</v>
      </c>
      <c r="AA254" s="3272" t="s">
        <v>3389</v>
      </c>
      <c r="AB254" s="76">
        <v>1</v>
      </c>
      <c r="AC254" s="2617">
        <v>56.7</v>
      </c>
      <c r="AD254" s="2617">
        <v>56.7</v>
      </c>
      <c r="AE254" s="2617">
        <f t="shared" si="53"/>
        <v>56.7</v>
      </c>
      <c r="AF254" s="2624">
        <f t="shared" si="54"/>
        <v>28.350000000000009</v>
      </c>
      <c r="AG254" s="1148"/>
      <c r="AH254" s="75"/>
      <c r="AI254" s="43" t="e">
        <f t="shared" si="55"/>
        <v>#DIV/0!</v>
      </c>
      <c r="AJ254" s="199"/>
    </row>
    <row r="255" spans="1:36" s="48" customFormat="1" ht="12.6" customHeight="1" x14ac:dyDescent="0.2">
      <c r="A255" s="206" t="s">
        <v>456</v>
      </c>
      <c r="B255" s="1370"/>
      <c r="C255" s="1744"/>
      <c r="D255" s="1737" t="s">
        <v>22</v>
      </c>
      <c r="E255" s="1737" t="s">
        <v>79</v>
      </c>
      <c r="F255" s="1738" t="s">
        <v>65</v>
      </c>
      <c r="G255" s="1738"/>
      <c r="H255" s="1738"/>
      <c r="I255" s="1738"/>
      <c r="J255" s="1738"/>
      <c r="K255" s="1757">
        <v>630</v>
      </c>
      <c r="L255" s="1738"/>
      <c r="M255" s="1738"/>
      <c r="N255" s="1738" t="s">
        <v>63</v>
      </c>
      <c r="O255" s="1738"/>
      <c r="P255" s="1737"/>
      <c r="Q255" s="1737"/>
      <c r="R255" s="1737"/>
      <c r="S255" s="1737"/>
      <c r="T255" s="1737"/>
      <c r="U255" s="1737"/>
      <c r="V255" s="1741"/>
      <c r="W255" s="1758">
        <f>+AE255*2.35*C255</f>
        <v>0</v>
      </c>
      <c r="X255" s="1893">
        <f t="shared" si="52"/>
        <v>0</v>
      </c>
      <c r="Y255" s="3756"/>
      <c r="Z255" s="74" t="s">
        <v>23</v>
      </c>
      <c r="AA255" s="3186">
        <v>155.99999999999997</v>
      </c>
      <c r="AB255" s="76">
        <v>0.26</v>
      </c>
      <c r="AC255" s="2617">
        <v>50</v>
      </c>
      <c r="AD255" s="2617">
        <v>14</v>
      </c>
      <c r="AE255" s="2617">
        <f t="shared" si="53"/>
        <v>14</v>
      </c>
      <c r="AF255" s="2624">
        <f t="shared" si="54"/>
        <v>-14</v>
      </c>
      <c r="AG255" s="1148"/>
      <c r="AH255" s="75"/>
      <c r="AI255" s="43" t="e">
        <f t="shared" si="55"/>
        <v>#DIV/0!</v>
      </c>
      <c r="AJ255" s="199"/>
    </row>
    <row r="256" spans="1:36" s="48" customFormat="1" ht="12.6" customHeight="1" x14ac:dyDescent="0.2">
      <c r="A256" s="206" t="s">
        <v>456</v>
      </c>
      <c r="B256" s="1370"/>
      <c r="C256" s="1744"/>
      <c r="D256" s="1737" t="s">
        <v>3003</v>
      </c>
      <c r="E256" s="1737" t="s">
        <v>79</v>
      </c>
      <c r="F256" s="1738" t="s">
        <v>65</v>
      </c>
      <c r="G256" s="1738"/>
      <c r="H256" s="1738"/>
      <c r="I256" s="1738"/>
      <c r="J256" s="1738"/>
      <c r="K256" s="1757">
        <v>626</v>
      </c>
      <c r="L256" s="1738"/>
      <c r="M256" s="1738"/>
      <c r="N256" s="1738" t="s">
        <v>1473</v>
      </c>
      <c r="O256" s="1738"/>
      <c r="P256" s="1737"/>
      <c r="Q256" s="1737"/>
      <c r="R256" s="1737"/>
      <c r="S256" s="1737"/>
      <c r="T256" s="1737"/>
      <c r="U256" s="1737"/>
      <c r="V256" s="1741"/>
      <c r="W256" s="1758">
        <f>+AE256*2.35*C256</f>
        <v>0</v>
      </c>
      <c r="X256" s="1893">
        <f t="shared" si="52"/>
        <v>0</v>
      </c>
      <c r="Y256" s="3756"/>
      <c r="Z256" s="74" t="s">
        <v>23</v>
      </c>
      <c r="AA256" s="3189">
        <v>155.99999999999997</v>
      </c>
      <c r="AB256" s="76">
        <v>0.26</v>
      </c>
      <c r="AC256" s="2617">
        <v>50</v>
      </c>
      <c r="AD256" s="2617">
        <v>14</v>
      </c>
      <c r="AE256" s="2617">
        <f t="shared" si="53"/>
        <v>14</v>
      </c>
      <c r="AF256" s="2624">
        <f t="shared" si="54"/>
        <v>-14</v>
      </c>
      <c r="AG256" s="1148"/>
      <c r="AH256" s="75"/>
      <c r="AI256" s="43" t="e">
        <f t="shared" si="55"/>
        <v>#DIV/0!</v>
      </c>
      <c r="AJ256" s="199"/>
    </row>
    <row r="257" spans="1:37" s="48" customFormat="1" ht="12.6" customHeight="1" x14ac:dyDescent="0.2">
      <c r="A257" s="206" t="s">
        <v>456</v>
      </c>
      <c r="B257" s="1370"/>
      <c r="C257" s="1744"/>
      <c r="D257" s="1737" t="s">
        <v>22</v>
      </c>
      <c r="E257" s="1737" t="s">
        <v>79</v>
      </c>
      <c r="F257" s="1737" t="s">
        <v>2469</v>
      </c>
      <c r="G257" s="1737"/>
      <c r="H257" s="1737"/>
      <c r="I257" s="1737"/>
      <c r="J257" s="1738"/>
      <c r="K257" s="1757">
        <v>630</v>
      </c>
      <c r="L257" s="1738"/>
      <c r="M257" s="1738"/>
      <c r="N257" s="1738" t="s">
        <v>80</v>
      </c>
      <c r="O257" s="1738"/>
      <c r="P257" s="1737"/>
      <c r="Q257" s="1737"/>
      <c r="R257" s="1737"/>
      <c r="S257" s="1737"/>
      <c r="T257" s="1737"/>
      <c r="U257" s="1737"/>
      <c r="V257" s="1741"/>
      <c r="W257" s="1742">
        <f>25*C257</f>
        <v>0</v>
      </c>
      <c r="X257" s="1893">
        <f t="shared" si="52"/>
        <v>0</v>
      </c>
      <c r="Y257" s="3756"/>
      <c r="Z257" s="61"/>
      <c r="AA257" s="3190"/>
      <c r="AB257" s="68">
        <v>15</v>
      </c>
      <c r="AC257" s="2625">
        <v>15</v>
      </c>
      <c r="AD257" s="2616"/>
      <c r="AE257" s="2624"/>
      <c r="AF257" s="2624"/>
      <c r="AG257" s="1148"/>
      <c r="AH257" s="199"/>
      <c r="AI257" s="43" t="e">
        <f t="shared" si="55"/>
        <v>#DIV/0!</v>
      </c>
      <c r="AJ257" s="49"/>
    </row>
    <row r="258" spans="1:37" s="160" customFormat="1" ht="20.399999999999999" customHeight="1" x14ac:dyDescent="0.2">
      <c r="A258" s="160" t="s">
        <v>3688</v>
      </c>
      <c r="B258" s="3128"/>
      <c r="C258" s="3129"/>
      <c r="D258" s="1746" t="s">
        <v>2772</v>
      </c>
      <c r="E258" s="1746" t="s">
        <v>2773</v>
      </c>
      <c r="F258" s="1745" t="s">
        <v>2774</v>
      </c>
      <c r="G258" s="1730"/>
      <c r="H258" s="1746"/>
      <c r="I258" s="1739" t="s">
        <v>2777</v>
      </c>
      <c r="J258" s="1746"/>
      <c r="K258" s="3130"/>
      <c r="L258" s="1732"/>
      <c r="M258" s="1732"/>
      <c r="N258" s="1731"/>
      <c r="O258" s="1730"/>
      <c r="P258" s="1731"/>
      <c r="Q258" s="1731"/>
      <c r="R258" s="1731"/>
      <c r="S258" s="1731"/>
      <c r="T258" s="1731"/>
      <c r="U258" s="1731"/>
      <c r="V258" s="1731"/>
      <c r="W258" s="1733">
        <f>+AE258*1.4*C258</f>
        <v>0</v>
      </c>
      <c r="X258" s="1893">
        <f>+ROUNDUP(W258,0)</f>
        <v>0</v>
      </c>
      <c r="Y258" s="3756"/>
      <c r="Z258" s="3128" t="s">
        <v>2775</v>
      </c>
      <c r="AA258" s="3131" t="s">
        <v>2776</v>
      </c>
      <c r="AB258" s="3132">
        <v>1</v>
      </c>
      <c r="AC258" s="3132">
        <v>368</v>
      </c>
      <c r="AD258" s="3132">
        <f>+AC258*AB258</f>
        <v>368</v>
      </c>
      <c r="AE258" s="3132">
        <f>+AD258</f>
        <v>368</v>
      </c>
      <c r="AF258" s="3132"/>
      <c r="AG258" s="3133"/>
    </row>
    <row r="259" spans="1:37" s="48" customFormat="1" ht="12.6" customHeight="1" x14ac:dyDescent="0.2">
      <c r="A259" s="160" t="s">
        <v>3688</v>
      </c>
      <c r="B259" s="1370"/>
      <c r="C259" s="1955"/>
      <c r="D259" s="2237" t="s">
        <v>368</v>
      </c>
      <c r="E259" s="1779" t="s">
        <v>79</v>
      </c>
      <c r="F259" s="2845" t="s">
        <v>65</v>
      </c>
      <c r="G259" s="1738"/>
      <c r="H259" s="1801"/>
      <c r="I259" s="1801"/>
      <c r="J259" s="1801"/>
      <c r="K259" s="1786">
        <v>630</v>
      </c>
      <c r="L259" s="1801" t="s">
        <v>63</v>
      </c>
      <c r="M259" s="1801"/>
      <c r="N259" s="1801"/>
      <c r="O259" s="1801"/>
      <c r="P259" s="1779"/>
      <c r="Q259" s="1779"/>
      <c r="R259" s="1779"/>
      <c r="S259" s="1779"/>
      <c r="T259" s="1779"/>
      <c r="U259" s="1779"/>
      <c r="V259" s="2015"/>
      <c r="W259" s="2018">
        <f>+AE259*1.6*C259</f>
        <v>0</v>
      </c>
      <c r="X259" s="2019">
        <f>+ROUNDUP(W259,0)</f>
        <v>0</v>
      </c>
      <c r="Y259" s="3756"/>
      <c r="Z259" s="61" t="s">
        <v>23</v>
      </c>
      <c r="AA259" s="3190">
        <v>155.99999999999997</v>
      </c>
      <c r="AB259" s="2623">
        <v>0.26</v>
      </c>
      <c r="AC259" s="2617">
        <v>534</v>
      </c>
      <c r="AD259" s="2617">
        <f>+AB259*AC259</f>
        <v>138.84</v>
      </c>
      <c r="AE259" s="2617">
        <f t="shared" ref="AE259" si="56">+AD259</f>
        <v>138.84</v>
      </c>
      <c r="AF259" s="2624">
        <f>+AE259*C259</f>
        <v>0</v>
      </c>
      <c r="AG259" s="1148">
        <f>+W259-AF259</f>
        <v>0</v>
      </c>
      <c r="AH259" s="1351" t="e">
        <f>+AG259/W259</f>
        <v>#DIV/0!</v>
      </c>
      <c r="AI259" s="874"/>
      <c r="AJ259" s="49"/>
    </row>
    <row r="260" spans="1:37" s="48" customFormat="1" ht="12.6" customHeight="1" x14ac:dyDescent="0.2">
      <c r="A260" s="160" t="s">
        <v>3688</v>
      </c>
      <c r="B260" s="1357"/>
      <c r="C260" s="1744"/>
      <c r="D260" s="1745" t="s">
        <v>368</v>
      </c>
      <c r="E260" s="1745" t="s">
        <v>370</v>
      </c>
      <c r="F260" s="1746"/>
      <c r="G260" s="1746"/>
      <c r="H260" s="1746"/>
      <c r="I260" s="1746"/>
      <c r="J260" s="1746"/>
      <c r="K260" s="1739">
        <v>630</v>
      </c>
      <c r="L260" s="1746"/>
      <c r="M260" s="1746"/>
      <c r="N260" s="1746"/>
      <c r="O260" s="1746"/>
      <c r="P260" s="1746"/>
      <c r="Q260" s="1746"/>
      <c r="R260" s="1746"/>
      <c r="S260" s="1747"/>
      <c r="T260" s="1747"/>
      <c r="U260" s="1747"/>
      <c r="V260" s="1747"/>
      <c r="W260" s="1748">
        <f>+AD260*1.8*C260</f>
        <v>0</v>
      </c>
      <c r="X260" s="1894">
        <f>ROUNDUP(W260,0)</f>
        <v>0</v>
      </c>
      <c r="Y260" s="3756"/>
      <c r="Z260" s="855"/>
      <c r="AA260" s="3260"/>
      <c r="AB260" s="2725"/>
      <c r="AC260" s="2726"/>
      <c r="AD260" s="2727">
        <v>85</v>
      </c>
      <c r="AE260" s="2727">
        <f>+AD260*C260</f>
        <v>0</v>
      </c>
      <c r="AF260" s="2727"/>
      <c r="AG260" s="1149"/>
      <c r="AH260" s="902"/>
      <c r="AI260" s="923">
        <f>+W260-AE260</f>
        <v>0</v>
      </c>
      <c r="AJ260" s="924" t="e">
        <f>+AI260/W260</f>
        <v>#DIV/0!</v>
      </c>
    </row>
    <row r="261" spans="1:37" s="160" customFormat="1" ht="20.399999999999999" customHeight="1" x14ac:dyDescent="0.2">
      <c r="A261" s="160" t="s">
        <v>3688</v>
      </c>
      <c r="B261" s="3128"/>
      <c r="C261" s="3129"/>
      <c r="D261" s="1746" t="s">
        <v>2772</v>
      </c>
      <c r="E261" s="1746" t="s">
        <v>2773</v>
      </c>
      <c r="F261" s="1745" t="s">
        <v>2774</v>
      </c>
      <c r="G261" s="1730"/>
      <c r="H261" s="1746"/>
      <c r="I261" s="1739" t="s">
        <v>2777</v>
      </c>
      <c r="J261" s="1746"/>
      <c r="K261" s="3130"/>
      <c r="L261" s="1732"/>
      <c r="M261" s="1732"/>
      <c r="N261" s="1731"/>
      <c r="O261" s="1730"/>
      <c r="P261" s="1731"/>
      <c r="Q261" s="1731"/>
      <c r="R261" s="1731"/>
      <c r="S261" s="1731"/>
      <c r="T261" s="1731"/>
      <c r="U261" s="1731"/>
      <c r="V261" s="1731"/>
      <c r="W261" s="1733">
        <f>+AE261*1.4*C261</f>
        <v>0</v>
      </c>
      <c r="X261" s="1893">
        <f>+ROUNDUP(W261,0)</f>
        <v>0</v>
      </c>
      <c r="Y261" s="3756"/>
      <c r="Z261" s="3128" t="s">
        <v>2775</v>
      </c>
      <c r="AA261" s="3131" t="s">
        <v>2776</v>
      </c>
      <c r="AB261" s="3132">
        <v>1</v>
      </c>
      <c r="AC261" s="3132">
        <v>368</v>
      </c>
      <c r="AD261" s="3132">
        <f>+AC261*AB261</f>
        <v>368</v>
      </c>
      <c r="AE261" s="3132">
        <f>+AD261</f>
        <v>368</v>
      </c>
      <c r="AF261" s="3132"/>
      <c r="AG261" s="3133"/>
    </row>
    <row r="262" spans="1:37" s="244" customFormat="1" ht="12.6" customHeight="1" x14ac:dyDescent="0.2">
      <c r="A262" s="206" t="s">
        <v>3687</v>
      </c>
      <c r="B262" s="1370"/>
      <c r="C262" s="1744"/>
      <c r="D262" s="2037" t="s">
        <v>3428</v>
      </c>
      <c r="E262" s="2037" t="s">
        <v>3429</v>
      </c>
      <c r="F262" s="2040" t="s">
        <v>3430</v>
      </c>
      <c r="G262" s="1738"/>
      <c r="H262" s="2040"/>
      <c r="I262" s="1738"/>
      <c r="J262" s="2040"/>
      <c r="K262" s="2037" t="s">
        <v>3445</v>
      </c>
      <c r="L262" s="1738"/>
      <c r="M262" s="1738"/>
      <c r="N262" s="2040"/>
      <c r="O262" s="2040"/>
      <c r="P262" s="1737"/>
      <c r="Q262" s="1737"/>
      <c r="R262" s="1737"/>
      <c r="S262" s="1737"/>
      <c r="T262" s="1737"/>
      <c r="U262" s="1737"/>
      <c r="V262" s="1741"/>
      <c r="W262" s="1742">
        <f>AD262*1.6*C262</f>
        <v>0</v>
      </c>
      <c r="X262" s="2382">
        <f t="shared" si="52"/>
        <v>0</v>
      </c>
      <c r="Y262" s="3756"/>
      <c r="Z262" s="197" t="s">
        <v>3427</v>
      </c>
      <c r="AA262" s="3191">
        <v>185</v>
      </c>
      <c r="AB262" s="2626">
        <f>1*0.5*0.75</f>
        <v>0.375</v>
      </c>
      <c r="AC262" s="2627">
        <f>+AA262*AB262</f>
        <v>69.375</v>
      </c>
      <c r="AD262" s="2616">
        <f>+AC262</f>
        <v>69.375</v>
      </c>
      <c r="AE262" s="2624">
        <f>+W262-AD262</f>
        <v>-69.375</v>
      </c>
      <c r="AF262" s="2624"/>
      <c r="AG262" s="1148"/>
      <c r="AH262" s="2958">
        <f>+W262-AE262</f>
        <v>69.375</v>
      </c>
      <c r="AI262" s="192" t="e">
        <f>+AH262/W262</f>
        <v>#DIV/0!</v>
      </c>
      <c r="AJ262" s="49"/>
    </row>
    <row r="263" spans="1:37" s="244" customFormat="1" ht="12.6" customHeight="1" x14ac:dyDescent="0.2">
      <c r="A263" s="206" t="s">
        <v>3687</v>
      </c>
      <c r="B263" s="1371"/>
      <c r="C263" s="3011"/>
      <c r="D263" s="1956" t="s">
        <v>3432</v>
      </c>
      <c r="E263" s="1956" t="s">
        <v>3429</v>
      </c>
      <c r="F263" s="2202"/>
      <c r="G263" s="3018"/>
      <c r="H263" s="2202"/>
      <c r="I263" s="3018"/>
      <c r="J263" s="2202"/>
      <c r="K263" s="1956" t="s">
        <v>3445</v>
      </c>
      <c r="L263" s="3019"/>
      <c r="M263" s="2962"/>
      <c r="N263" s="2202"/>
      <c r="O263" s="2202"/>
      <c r="P263" s="2970"/>
      <c r="Q263" s="1737"/>
      <c r="R263" s="1737"/>
      <c r="S263" s="1737"/>
      <c r="T263" s="1737"/>
      <c r="U263" s="1737"/>
      <c r="V263" s="1741"/>
      <c r="W263" s="1742">
        <f>AD263*1.6*C263</f>
        <v>0</v>
      </c>
      <c r="X263" s="2385">
        <f t="shared" si="52"/>
        <v>0</v>
      </c>
      <c r="Y263" s="3756"/>
      <c r="Z263" s="2981" t="s">
        <v>3431</v>
      </c>
      <c r="AA263" s="3192">
        <v>225</v>
      </c>
      <c r="AB263" s="2982">
        <v>0.4</v>
      </c>
      <c r="AC263" s="2983">
        <f>+AA263*AB263</f>
        <v>90</v>
      </c>
      <c r="AD263" s="2984">
        <f>+AC263</f>
        <v>90</v>
      </c>
      <c r="AE263" s="2649"/>
      <c r="AF263" s="2649"/>
      <c r="AG263" s="1349"/>
      <c r="AH263" s="2985"/>
      <c r="AI263" s="2985"/>
      <c r="AJ263" s="2985"/>
    </row>
    <row r="264" spans="1:37" s="244" customFormat="1" ht="12.6" customHeight="1" x14ac:dyDescent="0.2">
      <c r="A264" s="206" t="s">
        <v>456</v>
      </c>
      <c r="B264" s="1370"/>
      <c r="C264" s="1744"/>
      <c r="D264" s="2048" t="s">
        <v>81</v>
      </c>
      <c r="E264" s="2048"/>
      <c r="F264" s="1991"/>
      <c r="G264" s="1738"/>
      <c r="H264" s="1991"/>
      <c r="I264" s="1738"/>
      <c r="J264" s="1991"/>
      <c r="K264" s="2048"/>
      <c r="L264" s="1738"/>
      <c r="M264" s="1738"/>
      <c r="N264" s="1991"/>
      <c r="O264" s="1991"/>
      <c r="P264" s="1737"/>
      <c r="Q264" s="1737"/>
      <c r="R264" s="1737"/>
      <c r="S264" s="1737"/>
      <c r="T264" s="1737"/>
      <c r="U264" s="1737"/>
      <c r="V264" s="1741"/>
      <c r="W264" s="1742">
        <f>225*C264</f>
        <v>0</v>
      </c>
      <c r="X264" s="2372">
        <f t="shared" si="52"/>
        <v>0</v>
      </c>
      <c r="Y264" s="3756"/>
      <c r="Z264" s="197"/>
      <c r="AA264" s="3191"/>
      <c r="AB264" s="2626"/>
      <c r="AC264" s="2627"/>
      <c r="AD264" s="2616"/>
      <c r="AE264" s="2624">
        <f>+W264-AD264</f>
        <v>0</v>
      </c>
      <c r="AF264" s="2624"/>
      <c r="AG264" s="1148"/>
      <c r="AH264" s="49"/>
      <c r="AI264" s="49"/>
      <c r="AJ264" s="49"/>
    </row>
    <row r="265" spans="1:37" s="244" customFormat="1" ht="12.6" customHeight="1" x14ac:dyDescent="0.2">
      <c r="A265" s="206" t="s">
        <v>456</v>
      </c>
      <c r="B265" s="1370"/>
      <c r="C265" s="1744"/>
      <c r="D265" s="1737" t="s">
        <v>81</v>
      </c>
      <c r="E265" s="1737"/>
      <c r="F265" s="1738"/>
      <c r="G265" s="1738"/>
      <c r="H265" s="1738"/>
      <c r="I265" s="1738"/>
      <c r="J265" s="1738"/>
      <c r="K265" s="1737"/>
      <c r="L265" s="1738"/>
      <c r="M265" s="1738"/>
      <c r="N265" s="1738"/>
      <c r="O265" s="1738"/>
      <c r="P265" s="1737"/>
      <c r="Q265" s="1737"/>
      <c r="R265" s="1737"/>
      <c r="S265" s="1737"/>
      <c r="T265" s="1737"/>
      <c r="U265" s="1737"/>
      <c r="V265" s="1741"/>
      <c r="W265" s="1742">
        <f>225*C265</f>
        <v>0</v>
      </c>
      <c r="X265" s="1893">
        <f t="shared" si="52"/>
        <v>0</v>
      </c>
      <c r="Y265" s="3756"/>
      <c r="Z265" s="197"/>
      <c r="AA265" s="3191"/>
      <c r="AB265" s="2626"/>
      <c r="AC265" s="2627"/>
      <c r="AD265" s="2616"/>
      <c r="AE265" s="2624">
        <f>+W265-AD265</f>
        <v>0</v>
      </c>
      <c r="AF265" s="2624"/>
      <c r="AG265" s="1148"/>
      <c r="AH265" s="49"/>
      <c r="AI265" s="49"/>
      <c r="AJ265" s="49"/>
    </row>
    <row r="266" spans="1:37" s="244" customFormat="1" ht="12.6" customHeight="1" x14ac:dyDescent="0.2">
      <c r="A266" s="206" t="s">
        <v>456</v>
      </c>
      <c r="B266" s="1370"/>
      <c r="C266" s="1744"/>
      <c r="D266" s="2037" t="s">
        <v>81</v>
      </c>
      <c r="E266" s="2037"/>
      <c r="F266" s="2040"/>
      <c r="G266" s="1738"/>
      <c r="H266" s="2040"/>
      <c r="I266" s="1738"/>
      <c r="J266" s="2040"/>
      <c r="K266" s="2037"/>
      <c r="L266" s="1738"/>
      <c r="M266" s="1738"/>
      <c r="N266" s="2040"/>
      <c r="O266" s="2040"/>
      <c r="P266" s="1737"/>
      <c r="Q266" s="1737"/>
      <c r="R266" s="1737"/>
      <c r="S266" s="1737"/>
      <c r="T266" s="1737"/>
      <c r="U266" s="1737"/>
      <c r="V266" s="1741"/>
      <c r="W266" s="1742">
        <f>225*C266</f>
        <v>0</v>
      </c>
      <c r="X266" s="3031">
        <f t="shared" ref="X266:X270" si="57">+ROUNDUP(W266,0)</f>
        <v>0</v>
      </c>
      <c r="Y266" s="3756"/>
      <c r="Z266" s="197"/>
      <c r="AA266" s="3191"/>
      <c r="AB266" s="2626"/>
      <c r="AC266" s="2627"/>
      <c r="AD266" s="2616"/>
      <c r="AE266" s="2624">
        <f>+W266-AD266</f>
        <v>0</v>
      </c>
      <c r="AF266" s="2624"/>
      <c r="AG266" s="1148"/>
      <c r="AH266" s="49"/>
      <c r="AI266" s="49"/>
      <c r="AJ266" s="49"/>
    </row>
    <row r="267" spans="1:37" s="1348" customFormat="1" ht="12.6" x14ac:dyDescent="0.2">
      <c r="A267" s="1348" t="s">
        <v>3655</v>
      </c>
      <c r="B267" s="2986"/>
      <c r="C267" s="3011"/>
      <c r="D267" s="1956" t="s">
        <v>3177</v>
      </c>
      <c r="E267" s="1956" t="s">
        <v>3180</v>
      </c>
      <c r="F267" s="1956"/>
      <c r="G267" s="3020"/>
      <c r="H267" s="1956"/>
      <c r="I267" s="3314"/>
      <c r="J267" s="2987" t="s">
        <v>2728</v>
      </c>
      <c r="K267" s="1926">
        <v>689</v>
      </c>
      <c r="L267" s="2217"/>
      <c r="M267" s="3012"/>
      <c r="N267" s="1956" t="s">
        <v>2729</v>
      </c>
      <c r="O267" s="3066"/>
      <c r="P267" s="3021"/>
      <c r="Q267" s="1754"/>
      <c r="R267" s="1754"/>
      <c r="S267" s="1754"/>
      <c r="T267" s="1753"/>
      <c r="U267" s="1753"/>
      <c r="V267" s="1756"/>
      <c r="W267" s="2270">
        <f>+AD267*C267*1.5</f>
        <v>0</v>
      </c>
      <c r="X267" s="2385">
        <f t="shared" si="57"/>
        <v>0</v>
      </c>
      <c r="Y267" s="3757"/>
      <c r="Z267" s="2988" t="s">
        <v>390</v>
      </c>
      <c r="AA267" s="3193" t="s">
        <v>391</v>
      </c>
      <c r="AB267" s="2990">
        <f>0.5*0.6</f>
        <v>0.3</v>
      </c>
      <c r="AC267" s="2989">
        <v>485</v>
      </c>
      <c r="AD267" s="2991">
        <f>+AC267*AB267</f>
        <v>145.5</v>
      </c>
      <c r="AE267" s="2649">
        <f>+AD267*C267</f>
        <v>0</v>
      </c>
      <c r="AF267" s="2991"/>
      <c r="AG267" s="2992"/>
      <c r="AH267" s="2993">
        <f>+W267-AE267</f>
        <v>0</v>
      </c>
      <c r="AI267" s="2994" t="e">
        <f>+AH267/X267</f>
        <v>#DIV/0!</v>
      </c>
      <c r="AJ267" s="2995"/>
      <c r="AK267" s="1348">
        <v>2025</v>
      </c>
    </row>
    <row r="268" spans="1:37" s="206" customFormat="1" ht="13.2" customHeight="1" thickBot="1" x14ac:dyDescent="0.25">
      <c r="A268" s="1348" t="s">
        <v>3655</v>
      </c>
      <c r="B268" s="1370"/>
      <c r="C268" s="1954"/>
      <c r="D268" s="3087" t="s">
        <v>3177</v>
      </c>
      <c r="E268" s="3089" t="s">
        <v>3179</v>
      </c>
      <c r="F268" s="3125"/>
      <c r="G268" s="1764"/>
      <c r="H268" s="3087"/>
      <c r="I268" s="1956"/>
      <c r="J268" s="3126" t="s">
        <v>2728</v>
      </c>
      <c r="K268" s="3327">
        <v>689</v>
      </c>
      <c r="L268" s="1807"/>
      <c r="M268" s="1807"/>
      <c r="N268" s="2814" t="s">
        <v>2730</v>
      </c>
      <c r="O268" s="3044"/>
      <c r="P268" s="1763"/>
      <c r="Q268" s="1763"/>
      <c r="R268" s="1763"/>
      <c r="S268" s="1737"/>
      <c r="T268" s="1737"/>
      <c r="U268" s="1737"/>
      <c r="V268" s="1741"/>
      <c r="W268" s="1733">
        <f>+AD268*C268*1.49</f>
        <v>0</v>
      </c>
      <c r="X268" s="3048">
        <f t="shared" si="57"/>
        <v>0</v>
      </c>
      <c r="Y268" s="3754"/>
      <c r="Z268" s="202" t="s">
        <v>390</v>
      </c>
      <c r="AA268" s="3194" t="s">
        <v>391</v>
      </c>
      <c r="AB268" s="2623">
        <v>0.2</v>
      </c>
      <c r="AC268" s="2619">
        <v>671</v>
      </c>
      <c r="AD268" s="2629">
        <f>+AC268*AB268</f>
        <v>134.20000000000002</v>
      </c>
      <c r="AE268" s="2624">
        <v>134.19999999999999</v>
      </c>
      <c r="AF268" s="2618">
        <f>+AE268*C268</f>
        <v>0</v>
      </c>
      <c r="AG268" s="1154">
        <f>+W268-AF268</f>
        <v>0</v>
      </c>
      <c r="AH268" s="76" t="e">
        <f>+AG268/W268</f>
        <v>#DIV/0!</v>
      </c>
      <c r="AI268" s="76"/>
      <c r="AJ268" s="877"/>
      <c r="AK268" s="206">
        <v>2025</v>
      </c>
    </row>
    <row r="269" spans="1:37" s="206" customFormat="1" ht="13.2" customHeight="1" thickBot="1" x14ac:dyDescent="0.25">
      <c r="A269" s="1348" t="s">
        <v>3655</v>
      </c>
      <c r="B269" s="1370"/>
      <c r="C269" s="2311"/>
      <c r="D269" s="3428" t="s">
        <v>3177</v>
      </c>
      <c r="E269" s="3429" t="s">
        <v>3178</v>
      </c>
      <c r="F269" s="2310"/>
      <c r="G269" s="2298"/>
      <c r="H269" s="2310"/>
      <c r="I269" s="2310"/>
      <c r="J269" s="2310" t="s">
        <v>2731</v>
      </c>
      <c r="K269" s="2312">
        <v>689</v>
      </c>
      <c r="L269" s="2940"/>
      <c r="M269" s="1807"/>
      <c r="N269" s="1807" t="s">
        <v>2729</v>
      </c>
      <c r="O269" s="1807"/>
      <c r="P269" s="1753"/>
      <c r="Q269" s="1753"/>
      <c r="R269" s="1753"/>
      <c r="S269" s="1737"/>
      <c r="T269" s="1737"/>
      <c r="U269" s="1737"/>
      <c r="V269" s="1741"/>
      <c r="W269" s="2292">
        <f>+AD269*C269*1.7</f>
        <v>0</v>
      </c>
      <c r="X269" s="2840">
        <f t="shared" si="57"/>
        <v>0</v>
      </c>
      <c r="Y269" s="3755"/>
      <c r="Z269" s="197" t="s">
        <v>390</v>
      </c>
      <c r="AA269" s="3194" t="s">
        <v>2721</v>
      </c>
      <c r="AB269" s="2623">
        <f>0.5*0.4</f>
        <v>0.2</v>
      </c>
      <c r="AC269" s="2619">
        <v>748</v>
      </c>
      <c r="AD269" s="2629">
        <f>+AC269*AB269</f>
        <v>149.6</v>
      </c>
      <c r="AE269" s="2624">
        <f>+AD269*C269</f>
        <v>0</v>
      </c>
      <c r="AF269" s="2619"/>
      <c r="AG269" s="1152"/>
      <c r="AH269" s="42">
        <f>+W269-AE269</f>
        <v>0</v>
      </c>
      <c r="AI269" s="43" t="e">
        <f>+AH269/X269</f>
        <v>#DIV/0!</v>
      </c>
      <c r="AJ269" s="877"/>
      <c r="AK269" s="206">
        <v>2025</v>
      </c>
    </row>
    <row r="270" spans="1:37" s="206" customFormat="1" ht="13.2" customHeight="1" x14ac:dyDescent="0.2">
      <c r="A270" s="1348" t="s">
        <v>3655</v>
      </c>
      <c r="B270" s="1370"/>
      <c r="C270" s="2119"/>
      <c r="D270" s="3087" t="s">
        <v>3177</v>
      </c>
      <c r="E270" s="3089" t="s">
        <v>3181</v>
      </c>
      <c r="F270" s="2055"/>
      <c r="G270" s="1752"/>
      <c r="H270" s="2055"/>
      <c r="I270" s="1970"/>
      <c r="J270" s="2055" t="s">
        <v>2731</v>
      </c>
      <c r="K270" s="2057">
        <v>689</v>
      </c>
      <c r="L270" s="1752"/>
      <c r="M270" s="1752"/>
      <c r="N270" s="1752" t="s">
        <v>2730</v>
      </c>
      <c r="O270" s="1752"/>
      <c r="P270" s="1753"/>
      <c r="Q270" s="1753"/>
      <c r="R270" s="1753"/>
      <c r="S270" s="1753"/>
      <c r="T270" s="1753"/>
      <c r="U270" s="1753"/>
      <c r="V270" s="1756"/>
      <c r="W270" s="1733">
        <f>+AD270*1.6*C270</f>
        <v>0</v>
      </c>
      <c r="X270" s="2372">
        <f t="shared" si="57"/>
        <v>0</v>
      </c>
      <c r="Y270" s="3756"/>
      <c r="Z270" s="889"/>
      <c r="AA270" s="3195"/>
      <c r="AB270" s="2620"/>
      <c r="AC270" s="2619"/>
      <c r="AD270" s="2619">
        <v>150</v>
      </c>
      <c r="AE270" s="2624">
        <f>+AD270*C270</f>
        <v>0</v>
      </c>
      <c r="AF270" s="2619"/>
      <c r="AG270" s="1152"/>
      <c r="AH270" s="42">
        <f>+W270-AE270</f>
        <v>0</v>
      </c>
      <c r="AI270" s="43" t="e">
        <f>+AH270/X270</f>
        <v>#DIV/0!</v>
      </c>
      <c r="AJ270" s="204"/>
    </row>
    <row r="271" spans="1:37" s="218" customFormat="1" ht="13.2" customHeight="1" thickBot="1" x14ac:dyDescent="0.25">
      <c r="A271" s="1348" t="s">
        <v>3655</v>
      </c>
      <c r="B271" s="1370"/>
      <c r="C271" s="1960"/>
      <c r="D271" s="3646" t="s">
        <v>3182</v>
      </c>
      <c r="E271" s="3646" t="s">
        <v>3212</v>
      </c>
      <c r="F271" s="3647"/>
      <c r="G271" s="1755"/>
      <c r="H271" s="3647"/>
      <c r="I271" s="1755"/>
      <c r="J271" s="3647" t="s">
        <v>69</v>
      </c>
      <c r="K271" s="3648">
        <v>689</v>
      </c>
      <c r="L271" s="1755"/>
      <c r="M271" s="1755"/>
      <c r="N271" s="1755"/>
      <c r="O271" s="1755"/>
      <c r="P271" s="1753"/>
      <c r="Q271" s="1753"/>
      <c r="R271" s="1753"/>
      <c r="S271" s="1753"/>
      <c r="T271" s="1753"/>
      <c r="U271" s="1753"/>
      <c r="V271" s="1756"/>
      <c r="W271" s="3649">
        <f>+AD271*1.6*C271</f>
        <v>0</v>
      </c>
      <c r="X271" s="2382">
        <f>ROUNDUP(W271,0)</f>
        <v>0</v>
      </c>
      <c r="Y271" s="3756"/>
      <c r="Z271" s="249" t="s">
        <v>23</v>
      </c>
      <c r="AA271" s="3196" t="s">
        <v>2462</v>
      </c>
      <c r="AB271" s="2633">
        <v>0.25</v>
      </c>
      <c r="AC271" s="2628">
        <v>146.6</v>
      </c>
      <c r="AD271" s="2629">
        <f t="shared" ref="AD271:AD273" si="58">+AC271*AB271</f>
        <v>36.65</v>
      </c>
      <c r="AE271" s="2629">
        <f>+AC271*AB271</f>
        <v>36.65</v>
      </c>
      <c r="AF271" s="2629"/>
      <c r="AG271" s="1151"/>
      <c r="AH271" s="215">
        <f>+X271-AE271</f>
        <v>-36.65</v>
      </c>
      <c r="AI271" s="216" t="e">
        <f>AE271/W271</f>
        <v>#DIV/0!</v>
      </c>
      <c r="AJ271" s="216"/>
    </row>
    <row r="272" spans="1:37" s="48" customFormat="1" ht="13.2" customHeight="1" thickBot="1" x14ac:dyDescent="0.25">
      <c r="A272" s="1348" t="s">
        <v>3655</v>
      </c>
      <c r="C272" s="2134">
        <v>3</v>
      </c>
      <c r="D272" s="2842" t="s">
        <v>3148</v>
      </c>
      <c r="E272" s="3123" t="s">
        <v>3212</v>
      </c>
      <c r="F272" s="2842"/>
      <c r="G272" s="3635"/>
      <c r="H272" s="3697">
        <v>316</v>
      </c>
      <c r="I272" s="3636">
        <v>7800738</v>
      </c>
      <c r="J272" s="3698"/>
      <c r="K272" s="3699">
        <v>689</v>
      </c>
      <c r="L272" s="2216"/>
      <c r="M272" s="1878"/>
      <c r="N272" s="1834" t="s">
        <v>71</v>
      </c>
      <c r="O272" s="1852"/>
      <c r="P272" s="1746"/>
      <c r="Q272" s="1746"/>
      <c r="R272" s="1746"/>
      <c r="S272" s="1738"/>
      <c r="T272" s="1737"/>
      <c r="U272" s="1737"/>
      <c r="V272" s="3629"/>
      <c r="W272" s="3700">
        <f>+AD272*1.9*C272</f>
        <v>259.99124999999998</v>
      </c>
      <c r="X272" s="3705">
        <f t="shared" ref="X272:X277" si="59">+ROUNDUP(W272,0)</f>
        <v>260</v>
      </c>
      <c r="Y272" s="3758"/>
      <c r="Z272" s="74" t="s">
        <v>23</v>
      </c>
      <c r="AA272" s="3189" t="s">
        <v>3167</v>
      </c>
      <c r="AB272" s="2616">
        <v>0.25</v>
      </c>
      <c r="AC272" s="2617">
        <v>182.45</v>
      </c>
      <c r="AD272" s="2617">
        <f t="shared" si="58"/>
        <v>45.612499999999997</v>
      </c>
      <c r="AE272" s="2624">
        <f>+AD272*C272</f>
        <v>136.83749999999998</v>
      </c>
      <c r="AF272" s="2617"/>
      <c r="AG272" s="1141"/>
      <c r="AH272" s="42">
        <f>+W272-AE272</f>
        <v>123.15375</v>
      </c>
      <c r="AI272" s="43">
        <f>+AH272/X272</f>
        <v>0.47366826923076921</v>
      </c>
      <c r="AJ272" s="43"/>
    </row>
    <row r="273" spans="1:36" s="48" customFormat="1" ht="13.2" customHeight="1" thickBot="1" x14ac:dyDescent="0.25">
      <c r="A273" s="1348" t="s">
        <v>3655</v>
      </c>
      <c r="C273" s="2223"/>
      <c r="D273" s="3088" t="s">
        <v>3166</v>
      </c>
      <c r="E273" s="3088" t="s">
        <v>3213</v>
      </c>
      <c r="F273" s="2054"/>
      <c r="G273" s="1878"/>
      <c r="H273" s="2054"/>
      <c r="I273" s="2163" t="s">
        <v>3168</v>
      </c>
      <c r="J273" s="3676" t="s">
        <v>3215</v>
      </c>
      <c r="K273" s="3091">
        <v>689</v>
      </c>
      <c r="L273" s="1807"/>
      <c r="M273" s="1807"/>
      <c r="N273" s="1834"/>
      <c r="O273" s="1852"/>
      <c r="P273" s="1745"/>
      <c r="Q273" s="1745"/>
      <c r="R273" s="1745"/>
      <c r="S273" s="1737"/>
      <c r="T273" s="1737"/>
      <c r="U273" s="1737"/>
      <c r="V273" s="1741"/>
      <c r="W273" s="3677">
        <f>+AD273*1.8*C273</f>
        <v>0</v>
      </c>
      <c r="X273" s="3062">
        <f t="shared" si="59"/>
        <v>0</v>
      </c>
      <c r="Y273" s="3759"/>
      <c r="Z273" s="74" t="s">
        <v>23</v>
      </c>
      <c r="AA273" s="3190" t="s">
        <v>3168</v>
      </c>
      <c r="AB273" s="2623">
        <v>0.25</v>
      </c>
      <c r="AC273" s="2617">
        <v>115.05</v>
      </c>
      <c r="AD273" s="2634">
        <f t="shared" si="58"/>
        <v>28.762499999999999</v>
      </c>
      <c r="AE273" s="2624">
        <f>+AD273*C273</f>
        <v>0</v>
      </c>
      <c r="AF273" s="2617"/>
      <c r="AG273" s="1141"/>
      <c r="AH273" s="42">
        <f>+W273-AE273</f>
        <v>0</v>
      </c>
      <c r="AI273" s="43" t="e">
        <f>+AH273/X273</f>
        <v>#DIV/0!</v>
      </c>
      <c r="AJ273" s="874"/>
    </row>
    <row r="274" spans="1:36" s="48" customFormat="1" ht="13.2" customHeight="1" x14ac:dyDescent="0.2">
      <c r="A274" s="1348" t="s">
        <v>3655</v>
      </c>
      <c r="C274" s="1861"/>
      <c r="D274" s="1834" t="s">
        <v>3166</v>
      </c>
      <c r="E274" s="1834" t="s">
        <v>3214</v>
      </c>
      <c r="F274" s="1878"/>
      <c r="G274" s="1746"/>
      <c r="H274" s="1878"/>
      <c r="I274" s="2235">
        <v>78000721</v>
      </c>
      <c r="J274" s="1841"/>
      <c r="K274" s="1786">
        <v>689</v>
      </c>
      <c r="L274" s="1807"/>
      <c r="M274" s="1755"/>
      <c r="N274" s="1745"/>
      <c r="O274" s="1768"/>
      <c r="P274" s="1745"/>
      <c r="Q274" s="1745"/>
      <c r="R274" s="1745"/>
      <c r="S274" s="1737"/>
      <c r="T274" s="1737"/>
      <c r="U274" s="1737"/>
      <c r="V274" s="1741"/>
      <c r="W274" s="1751">
        <f>+AD274*1.6*C274</f>
        <v>0</v>
      </c>
      <c r="X274" s="1894">
        <f t="shared" si="59"/>
        <v>0</v>
      </c>
      <c r="Y274" s="3756"/>
      <c r="Z274" s="74" t="s">
        <v>23</v>
      </c>
      <c r="AA274" s="3190" t="s">
        <v>3169</v>
      </c>
      <c r="AB274" s="2623">
        <v>0.25</v>
      </c>
      <c r="AC274" s="2617">
        <v>135.44999999999999</v>
      </c>
      <c r="AD274" s="2634">
        <f t="shared" ref="AD274" si="60">+AC274*AB274</f>
        <v>33.862499999999997</v>
      </c>
      <c r="AE274" s="2624">
        <f>+AD274*C274</f>
        <v>0</v>
      </c>
      <c r="AF274" s="2617"/>
      <c r="AG274" s="1141"/>
      <c r="AH274" s="42">
        <f>+W274-AE274</f>
        <v>0</v>
      </c>
      <c r="AI274" s="43" t="e">
        <f>+AH274/X274</f>
        <v>#DIV/0!</v>
      </c>
      <c r="AJ274" s="874"/>
    </row>
    <row r="275" spans="1:36" s="48" customFormat="1" ht="13.2" customHeight="1" x14ac:dyDescent="0.2">
      <c r="A275" s="1348" t="s">
        <v>3655</v>
      </c>
      <c r="C275" s="1744"/>
      <c r="D275" s="1737" t="s">
        <v>3148</v>
      </c>
      <c r="E275" s="1737" t="s">
        <v>48</v>
      </c>
      <c r="F275" s="1738"/>
      <c r="G275" s="1738"/>
      <c r="H275" s="1738"/>
      <c r="I275" s="1738"/>
      <c r="J275" s="1738" t="s">
        <v>3165</v>
      </c>
      <c r="K275" s="1772">
        <v>689</v>
      </c>
      <c r="L275" s="1738"/>
      <c r="M275" s="1738"/>
      <c r="N275" s="1738"/>
      <c r="O275" s="1769" t="s">
        <v>71</v>
      </c>
      <c r="P275" s="1738"/>
      <c r="Q275" s="1738"/>
      <c r="R275" s="1738"/>
      <c r="S275" s="1737"/>
      <c r="T275" s="1737"/>
      <c r="U275" s="1737"/>
      <c r="V275" s="1741"/>
      <c r="W275" s="1773">
        <f>+AD275*C275*C275*1.5</f>
        <v>0</v>
      </c>
      <c r="X275" s="1895">
        <f t="shared" si="59"/>
        <v>0</v>
      </c>
      <c r="Y275" s="3756"/>
      <c r="Z275" s="61" t="s">
        <v>23</v>
      </c>
      <c r="AA275" s="3190" t="s">
        <v>3176</v>
      </c>
      <c r="AB275" s="2623">
        <v>0.22</v>
      </c>
      <c r="AC275" s="2625">
        <v>272.55</v>
      </c>
      <c r="AD275" s="2634">
        <f>+AC275*AB275</f>
        <v>59.961000000000006</v>
      </c>
      <c r="AE275" s="2617">
        <f>+AC275*AB275</f>
        <v>59.961000000000006</v>
      </c>
      <c r="AF275" s="2617"/>
      <c r="AG275" s="1141"/>
      <c r="AH275" s="42">
        <f>+X275-AE275</f>
        <v>-59.961000000000006</v>
      </c>
      <c r="AI275" s="43" t="e">
        <f>AE275/W275</f>
        <v>#DIV/0!</v>
      </c>
      <c r="AJ275" s="874"/>
    </row>
    <row r="276" spans="1:36" s="48" customFormat="1" ht="13.2" customHeight="1" x14ac:dyDescent="0.2">
      <c r="A276" s="1348" t="s">
        <v>3655</v>
      </c>
      <c r="C276" s="1767"/>
      <c r="D276" s="1745" t="s">
        <v>3166</v>
      </c>
      <c r="E276" s="1745" t="s">
        <v>3171</v>
      </c>
      <c r="F276" s="1746"/>
      <c r="G276" s="1746"/>
      <c r="H276" s="1746"/>
      <c r="I276" s="1746"/>
      <c r="J276" s="1755" t="s">
        <v>3173</v>
      </c>
      <c r="K276" s="1739">
        <v>689</v>
      </c>
      <c r="L276" s="1755"/>
      <c r="M276" s="1755"/>
      <c r="N276" s="1745"/>
      <c r="O276" s="1768"/>
      <c r="P276" s="1745"/>
      <c r="Q276" s="1745"/>
      <c r="R276" s="1745"/>
      <c r="S276" s="1737"/>
      <c r="T276" s="1737"/>
      <c r="U276" s="1737"/>
      <c r="V276" s="1741"/>
      <c r="W276" s="1751">
        <f>+AD276*1.6*C276</f>
        <v>0</v>
      </c>
      <c r="X276" s="1894">
        <f t="shared" si="59"/>
        <v>0</v>
      </c>
      <c r="Y276" s="3756"/>
      <c r="Z276" s="74" t="s">
        <v>23</v>
      </c>
      <c r="AA276" s="3190" t="s">
        <v>3174</v>
      </c>
      <c r="AB276" s="2623">
        <v>0.22</v>
      </c>
      <c r="AC276" s="2617">
        <v>115.05</v>
      </c>
      <c r="AD276" s="2634">
        <f t="shared" ref="AD276:AD278" si="61">+AC276*AB276</f>
        <v>25.311</v>
      </c>
      <c r="AE276" s="2624">
        <f>+AD276*C276</f>
        <v>0</v>
      </c>
      <c r="AF276" s="2617"/>
      <c r="AG276" s="1141"/>
      <c r="AH276" s="42">
        <f>+W276-AE276</f>
        <v>0</v>
      </c>
      <c r="AI276" s="43" t="e">
        <f>+AH276/X276</f>
        <v>#DIV/0!</v>
      </c>
      <c r="AJ276" s="874"/>
    </row>
    <row r="277" spans="1:36" s="48" customFormat="1" ht="13.2" customHeight="1" thickBot="1" x14ac:dyDescent="0.25">
      <c r="A277" s="1348" t="s">
        <v>3655</v>
      </c>
      <c r="C277" s="1767"/>
      <c r="D277" s="1745" t="s">
        <v>3166</v>
      </c>
      <c r="E277" s="1745" t="s">
        <v>3170</v>
      </c>
      <c r="F277" s="1746"/>
      <c r="G277" s="1746"/>
      <c r="H277" s="1746"/>
      <c r="I277" s="1746"/>
      <c r="J277" s="1755" t="s">
        <v>3172</v>
      </c>
      <c r="K277" s="1739">
        <v>689</v>
      </c>
      <c r="L277" s="1755"/>
      <c r="M277" s="1755"/>
      <c r="N277" s="1745"/>
      <c r="O277" s="1768"/>
      <c r="P277" s="1745"/>
      <c r="Q277" s="1745"/>
      <c r="R277" s="1745"/>
      <c r="S277" s="1737"/>
      <c r="T277" s="1737"/>
      <c r="U277" s="1737"/>
      <c r="V277" s="1741"/>
      <c r="W277" s="1751">
        <f>+AD277*1.6*C277</f>
        <v>0</v>
      </c>
      <c r="X277" s="1894">
        <f t="shared" si="59"/>
        <v>0</v>
      </c>
      <c r="Y277" s="3756"/>
      <c r="Z277" s="74" t="s">
        <v>23</v>
      </c>
      <c r="AA277" s="3190" t="s">
        <v>3175</v>
      </c>
      <c r="AB277" s="2623">
        <v>0.22</v>
      </c>
      <c r="AC277" s="2617">
        <v>135.44999999999999</v>
      </c>
      <c r="AD277" s="2634">
        <f t="shared" si="61"/>
        <v>29.798999999999996</v>
      </c>
      <c r="AE277" s="2624">
        <f>+AD277*C277</f>
        <v>0</v>
      </c>
      <c r="AF277" s="2617"/>
      <c r="AG277" s="1141"/>
      <c r="AH277" s="42">
        <f>+W277-AE277</f>
        <v>0</v>
      </c>
      <c r="AI277" s="43" t="e">
        <f>+AH277/X277</f>
        <v>#DIV/0!</v>
      </c>
      <c r="AJ277" s="874"/>
    </row>
    <row r="278" spans="1:36" s="48" customFormat="1" ht="13.2" customHeight="1" thickBot="1" x14ac:dyDescent="0.25">
      <c r="A278" s="1348" t="s">
        <v>3655</v>
      </c>
      <c r="B278" s="2111"/>
      <c r="C278" s="1954"/>
      <c r="D278" s="1847" t="s">
        <v>3189</v>
      </c>
      <c r="E278" s="2912" t="s">
        <v>3372</v>
      </c>
      <c r="F278" s="1846"/>
      <c r="G278" s="1914">
        <v>9014</v>
      </c>
      <c r="H278" s="1846"/>
      <c r="I278" s="2260">
        <v>9014</v>
      </c>
      <c r="J278" s="2913" t="s">
        <v>340</v>
      </c>
      <c r="K278" s="1914">
        <v>630</v>
      </c>
      <c r="L278" s="2028"/>
      <c r="M278" s="2255"/>
      <c r="N278" s="2254"/>
      <c r="O278" s="2255"/>
      <c r="P278" s="1847"/>
      <c r="Q278" s="1847"/>
      <c r="R278" s="1847"/>
      <c r="S278" s="1847"/>
      <c r="T278" s="1779"/>
      <c r="U278" s="1779"/>
      <c r="V278" s="2015"/>
      <c r="W278" s="2016">
        <f>+AE278*1.6*C278</f>
        <v>0</v>
      </c>
      <c r="X278" s="2017">
        <f t="shared" ref="X278" si="62">ROUNDUP(W278,0)</f>
        <v>0</v>
      </c>
      <c r="Y278" s="3758"/>
      <c r="Z278" s="1974" t="s">
        <v>3190</v>
      </c>
      <c r="AA278" s="3191" t="s">
        <v>3191</v>
      </c>
      <c r="AB278" s="2635">
        <f>1*0.5*0.7</f>
        <v>0.35</v>
      </c>
      <c r="AC278" s="2627">
        <v>283</v>
      </c>
      <c r="AD278" s="2627">
        <f t="shared" si="61"/>
        <v>99.05</v>
      </c>
      <c r="AE278" s="2617">
        <f>+AC278*AB278</f>
        <v>99.05</v>
      </c>
      <c r="AF278" s="2627"/>
      <c r="AG278" s="1143"/>
      <c r="AH278" s="42">
        <f>+W278-AE278</f>
        <v>-99.05</v>
      </c>
      <c r="AI278" s="43" t="e">
        <f>+AH278/X278</f>
        <v>#DIV/0!</v>
      </c>
      <c r="AJ278" s="886"/>
    </row>
    <row r="279" spans="1:36" s="207" customFormat="1" ht="13.2" customHeight="1" x14ac:dyDescent="0.2">
      <c r="A279" s="1348" t="s">
        <v>3655</v>
      </c>
      <c r="B279" s="1370"/>
      <c r="C279" s="1998"/>
      <c r="D279" s="1051" t="s">
        <v>3103</v>
      </c>
      <c r="E279" s="1999" t="s">
        <v>3109</v>
      </c>
      <c r="F279" s="1999"/>
      <c r="G279" s="2000" t="s">
        <v>3136</v>
      </c>
      <c r="H279" s="3921" t="s">
        <v>3108</v>
      </c>
      <c r="I279" s="3922"/>
      <c r="J279" s="3922"/>
      <c r="K279" s="2001" t="s">
        <v>3110</v>
      </c>
      <c r="L279" s="2002"/>
      <c r="M279" s="2003"/>
      <c r="N279" s="2004">
        <v>689</v>
      </c>
      <c r="O279" s="887"/>
      <c r="P279" s="887"/>
      <c r="Q279" s="887"/>
      <c r="R279" s="890"/>
      <c r="S279" s="890"/>
      <c r="T279" s="890"/>
      <c r="U279" s="2005"/>
      <c r="V279" s="2006"/>
      <c r="W279" s="1386">
        <f>+ROUNDUP(V279,0)*C279</f>
        <v>0</v>
      </c>
      <c r="X279" s="1895">
        <f>+ROUNDUP(W279,0)*C279</f>
        <v>0</v>
      </c>
      <c r="Y279" s="3756"/>
      <c r="Z279" s="247" t="s">
        <v>406</v>
      </c>
      <c r="AA279" s="3197">
        <v>1</v>
      </c>
      <c r="AB279" s="2637">
        <v>368.16</v>
      </c>
      <c r="AC279" s="2637">
        <f t="shared" ref="AC279" si="63">+AB279*AA279</f>
        <v>368.16</v>
      </c>
      <c r="AD279" s="2624">
        <f>+AC279*C279</f>
        <v>0</v>
      </c>
      <c r="AE279" s="2629"/>
      <c r="AF279" s="2629"/>
      <c r="AG279" s="42">
        <f>+W279-AD279</f>
        <v>0</v>
      </c>
      <c r="AH279" s="43" t="e">
        <f>+AG279/W279</f>
        <v>#DIV/0!</v>
      </c>
      <c r="AI279" s="882"/>
    </row>
    <row r="280" spans="1:36" s="206" customFormat="1" ht="13.2" customHeight="1" x14ac:dyDescent="0.2">
      <c r="A280" s="1348" t="s">
        <v>3655</v>
      </c>
      <c r="B280" s="1370"/>
      <c r="C280" s="1744"/>
      <c r="D280" s="1737" t="s">
        <v>3103</v>
      </c>
      <c r="E280" s="1737" t="s">
        <v>48</v>
      </c>
      <c r="F280" s="1738"/>
      <c r="G280" s="1738"/>
      <c r="H280" s="1738"/>
      <c r="I280" s="1738"/>
      <c r="J280" s="1738" t="s">
        <v>70</v>
      </c>
      <c r="K280" s="1772">
        <v>689</v>
      </c>
      <c r="L280" s="1738"/>
      <c r="M280" s="1738"/>
      <c r="N280" s="1738"/>
      <c r="O280" s="1769" t="s">
        <v>71</v>
      </c>
      <c r="P280" s="1737"/>
      <c r="Q280" s="1737"/>
      <c r="R280" s="1737"/>
      <c r="S280" s="1737"/>
      <c r="T280" s="1737"/>
      <c r="U280" s="1737"/>
      <c r="V280" s="1741"/>
      <c r="W280" s="1733">
        <f>+AD280*1.6*C280</f>
        <v>0</v>
      </c>
      <c r="X280" s="1895">
        <f>+ROUNDUP(W280,0)</f>
        <v>0</v>
      </c>
      <c r="Y280" s="3756"/>
      <c r="Z280" s="208" t="s">
        <v>23</v>
      </c>
      <c r="AA280" s="3187" t="s">
        <v>68</v>
      </c>
      <c r="AB280" s="2620">
        <v>0.26</v>
      </c>
      <c r="AC280" s="2619">
        <v>272.55</v>
      </c>
      <c r="AD280" s="2638">
        <f t="shared" ref="AD280:AD284" si="64">+AC280*AB280</f>
        <v>70.863</v>
      </c>
      <c r="AE280" s="2617">
        <f>+AC280*AB280</f>
        <v>70.863</v>
      </c>
      <c r="AF280" s="2619"/>
      <c r="AG280" s="1152"/>
      <c r="AH280" s="42">
        <f>+X280-AE280</f>
        <v>-70.863</v>
      </c>
      <c r="AI280" s="43" t="e">
        <f>AE280/W280</f>
        <v>#DIV/0!</v>
      </c>
      <c r="AJ280" s="204"/>
    </row>
    <row r="281" spans="1:36" s="48" customFormat="1" ht="13.2" customHeight="1" x14ac:dyDescent="0.2">
      <c r="A281" s="1348" t="s">
        <v>3655</v>
      </c>
      <c r="B281" s="1370"/>
      <c r="C281" s="1744"/>
      <c r="D281" s="1737" t="s">
        <v>3103</v>
      </c>
      <c r="E281" s="1737" t="s">
        <v>393</v>
      </c>
      <c r="F281" s="1738"/>
      <c r="G281" s="1738"/>
      <c r="H281" s="1738"/>
      <c r="I281" s="1738" t="s">
        <v>2940</v>
      </c>
      <c r="K281" s="1772">
        <v>689</v>
      </c>
      <c r="L281" s="1738"/>
      <c r="M281" s="1738"/>
      <c r="N281" s="1738"/>
      <c r="O281" s="1769" t="s">
        <v>71</v>
      </c>
      <c r="P281" s="1737"/>
      <c r="Q281" s="1737"/>
      <c r="R281" s="1737"/>
      <c r="S281" s="1737"/>
      <c r="T281" s="1737"/>
      <c r="U281" s="1737"/>
      <c r="V281" s="1741"/>
      <c r="W281" s="1758">
        <f>+AE281*1.4*C281</f>
        <v>0</v>
      </c>
      <c r="X281" s="1895">
        <f t="shared" ref="X281:X285" si="65">ROUNDUP(W281,0)</f>
        <v>0</v>
      </c>
      <c r="Y281" s="3756"/>
      <c r="Z281" s="197" t="s">
        <v>394</v>
      </c>
      <c r="AA281" s="3191" t="s">
        <v>395</v>
      </c>
      <c r="AB281" s="2635">
        <v>1</v>
      </c>
      <c r="AC281" s="2627">
        <v>368.16</v>
      </c>
      <c r="AD281" s="2627">
        <f t="shared" si="64"/>
        <v>368.16</v>
      </c>
      <c r="AE281" s="2617">
        <f>+AD281</f>
        <v>368.16</v>
      </c>
      <c r="AF281" s="2627"/>
      <c r="AG281" s="1143"/>
      <c r="AH281" s="42"/>
      <c r="AI281" s="43"/>
      <c r="AJ281" s="886"/>
    </row>
    <row r="282" spans="1:36" s="48" customFormat="1" ht="13.2" customHeight="1" x14ac:dyDescent="0.2">
      <c r="A282" s="1348" t="s">
        <v>3655</v>
      </c>
      <c r="B282" s="1370"/>
      <c r="C282" s="1744"/>
      <c r="D282" s="1737" t="s">
        <v>3103</v>
      </c>
      <c r="E282" s="1753" t="s">
        <v>2938</v>
      </c>
      <c r="F282" s="1755"/>
      <c r="G282" s="1755"/>
      <c r="H282" s="1755"/>
      <c r="I282" s="1755" t="s">
        <v>2939</v>
      </c>
      <c r="K282" s="1754">
        <v>689</v>
      </c>
      <c r="L282" s="1755"/>
      <c r="M282" s="1755"/>
      <c r="N282" s="1755"/>
      <c r="O282" s="1746" t="s">
        <v>71</v>
      </c>
      <c r="P282" s="1737"/>
      <c r="Q282" s="1737"/>
      <c r="R282" s="1737"/>
      <c r="S282" s="1737"/>
      <c r="T282" s="1737"/>
      <c r="U282" s="1737"/>
      <c r="V282" s="1741"/>
      <c r="W282" s="1733">
        <f>+AE282*1.4*C282</f>
        <v>0</v>
      </c>
      <c r="X282" s="1893">
        <f t="shared" si="65"/>
        <v>0</v>
      </c>
      <c r="Y282" s="3756"/>
      <c r="Z282" s="197" t="s">
        <v>394</v>
      </c>
      <c r="AA282" s="3191" t="s">
        <v>2946</v>
      </c>
      <c r="AB282" s="2635">
        <v>1</v>
      </c>
      <c r="AC282" s="2627">
        <v>417</v>
      </c>
      <c r="AD282" s="2627">
        <f>+AC282*AB282</f>
        <v>417</v>
      </c>
      <c r="AE282" s="2617">
        <f>+AD282</f>
        <v>417</v>
      </c>
      <c r="AF282" s="2627"/>
      <c r="AG282" s="1143"/>
      <c r="AH282" s="42"/>
      <c r="AI282" s="43"/>
      <c r="AJ282" s="886"/>
    </row>
    <row r="283" spans="1:36" s="48" customFormat="1" ht="25.8" customHeight="1" x14ac:dyDescent="0.2">
      <c r="A283" s="1348" t="s">
        <v>3655</v>
      </c>
      <c r="B283" s="1370"/>
      <c r="C283" s="1954"/>
      <c r="D283" s="1779" t="s">
        <v>3103</v>
      </c>
      <c r="E283" s="1847" t="s">
        <v>2727</v>
      </c>
      <c r="F283" s="1846"/>
      <c r="G283" s="1752"/>
      <c r="H283" s="1846" t="s">
        <v>3391</v>
      </c>
      <c r="I283" s="1752" t="s">
        <v>2748</v>
      </c>
      <c r="J283" s="2204"/>
      <c r="K283" s="1914">
        <v>689</v>
      </c>
      <c r="L283" s="1752"/>
      <c r="M283" s="1752"/>
      <c r="N283" s="1752"/>
      <c r="O283" s="1752" t="s">
        <v>71</v>
      </c>
      <c r="P283" s="1737"/>
      <c r="Q283" s="1737"/>
      <c r="R283" s="1737"/>
      <c r="S283" s="1737"/>
      <c r="T283" s="1737"/>
      <c r="U283" s="1737"/>
      <c r="V283" s="1741"/>
      <c r="W283" s="1758">
        <f>+AE283*1.4*C283</f>
        <v>0</v>
      </c>
      <c r="X283" s="1893">
        <f t="shared" si="65"/>
        <v>0</v>
      </c>
      <c r="Y283" s="3756"/>
      <c r="Z283" s="197" t="s">
        <v>394</v>
      </c>
      <c r="AA283" s="3191" t="s">
        <v>2726</v>
      </c>
      <c r="AB283" s="2635">
        <v>1</v>
      </c>
      <c r="AC283" s="2627">
        <v>503.88</v>
      </c>
      <c r="AD283" s="2627">
        <f t="shared" si="64"/>
        <v>503.88</v>
      </c>
      <c r="AE283" s="2617">
        <f>+AD283</f>
        <v>503.88</v>
      </c>
      <c r="AF283" s="2627"/>
      <c r="AG283" s="1143"/>
      <c r="AH283" s="42"/>
      <c r="AI283" s="43"/>
      <c r="AJ283" s="886"/>
    </row>
    <row r="284" spans="1:36" s="48" customFormat="1" ht="13.2" customHeight="1" x14ac:dyDescent="0.2">
      <c r="A284" s="1348" t="s">
        <v>3655</v>
      </c>
      <c r="B284" s="1370"/>
      <c r="C284" s="1744"/>
      <c r="D284" s="1737" t="s">
        <v>3103</v>
      </c>
      <c r="E284" s="1775" t="s">
        <v>393</v>
      </c>
      <c r="F284" s="1776"/>
      <c r="G284" s="1776"/>
      <c r="H284" s="1776"/>
      <c r="I284" s="1776" t="s">
        <v>2551</v>
      </c>
      <c r="K284" s="1777">
        <v>689</v>
      </c>
      <c r="L284" s="1776"/>
      <c r="M284" s="1776"/>
      <c r="N284" s="1776"/>
      <c r="O284" s="1769" t="s">
        <v>1296</v>
      </c>
      <c r="P284" s="1737"/>
      <c r="Q284" s="1737"/>
      <c r="R284" s="1737"/>
      <c r="S284" s="1737"/>
      <c r="T284" s="1737"/>
      <c r="U284" s="1737"/>
      <c r="V284" s="1741"/>
      <c r="W284" s="1758">
        <f>+AD284*1.4*C284</f>
        <v>0</v>
      </c>
      <c r="X284" s="1895">
        <f t="shared" si="65"/>
        <v>0</v>
      </c>
      <c r="Y284" s="3756"/>
      <c r="Z284" s="197" t="s">
        <v>394</v>
      </c>
      <c r="AA284" s="3191" t="s">
        <v>2552</v>
      </c>
      <c r="AB284" s="2635">
        <v>1</v>
      </c>
      <c r="AC284" s="2627">
        <v>379.08</v>
      </c>
      <c r="AD284" s="2627">
        <f t="shared" si="64"/>
        <v>379.08</v>
      </c>
      <c r="AE284" s="2617">
        <f>+AD284</f>
        <v>379.08</v>
      </c>
      <c r="AF284" s="2627"/>
      <c r="AG284" s="1143">
        <f>+AE284*C284</f>
        <v>0</v>
      </c>
      <c r="AH284" s="42">
        <f>+W284-AG284</f>
        <v>0</v>
      </c>
      <c r="AI284" s="43" t="e">
        <f>+AH284/W284</f>
        <v>#DIV/0!</v>
      </c>
      <c r="AJ284" s="886"/>
    </row>
    <row r="285" spans="1:36" s="998" customFormat="1" ht="25.8" customHeight="1" x14ac:dyDescent="0.2">
      <c r="A285" s="1348" t="s">
        <v>3655</v>
      </c>
      <c r="B285" s="1370"/>
      <c r="C285" s="1960"/>
      <c r="D285" s="2037" t="s">
        <v>24</v>
      </c>
      <c r="E285" s="2038" t="s">
        <v>2582</v>
      </c>
      <c r="F285" s="2039"/>
      <c r="G285" s="2039"/>
      <c r="H285" s="2039"/>
      <c r="I285" s="2039"/>
      <c r="J285" s="2039"/>
      <c r="K285" s="2039"/>
      <c r="L285" s="1778"/>
      <c r="M285" s="1778"/>
      <c r="N285" s="1778" t="s">
        <v>2584</v>
      </c>
      <c r="O285" s="1778"/>
      <c r="P285" s="1737"/>
      <c r="Q285" s="1737"/>
      <c r="R285" s="1737"/>
      <c r="S285" s="1737"/>
      <c r="T285" s="1737"/>
      <c r="U285" s="1737"/>
      <c r="V285" s="1741"/>
      <c r="W285" s="1758">
        <f>+AD285*1.4*C285</f>
        <v>0</v>
      </c>
      <c r="X285" s="1895">
        <f t="shared" si="65"/>
        <v>0</v>
      </c>
      <c r="Y285" s="3756"/>
      <c r="Z285" s="1008" t="s">
        <v>2497</v>
      </c>
      <c r="AA285" s="3198" t="s">
        <v>2583</v>
      </c>
      <c r="AB285" s="2639">
        <v>1</v>
      </c>
      <c r="AC285" s="2640">
        <v>416.16</v>
      </c>
      <c r="AD285" s="2640">
        <f>+AC285*AB285</f>
        <v>416.16</v>
      </c>
      <c r="AE285" s="2641">
        <f>+AD285</f>
        <v>416.16</v>
      </c>
      <c r="AF285" s="2640"/>
      <c r="AG285" s="1153">
        <f>+AE285*C285</f>
        <v>0</v>
      </c>
      <c r="AH285" s="1000">
        <f>+W285-AG285</f>
        <v>0</v>
      </c>
      <c r="AI285" s="1009" t="e">
        <f>+AH285/W285</f>
        <v>#DIV/0!</v>
      </c>
      <c r="AJ285" s="1010"/>
    </row>
    <row r="286" spans="1:36" s="48" customFormat="1" ht="23.4" customHeight="1" x14ac:dyDescent="0.2">
      <c r="A286" s="1348" t="s">
        <v>3655</v>
      </c>
      <c r="B286" s="1370"/>
      <c r="C286" s="1969"/>
      <c r="D286" s="2048" t="s">
        <v>24</v>
      </c>
      <c r="E286" s="2048" t="s">
        <v>417</v>
      </c>
      <c r="F286" s="1991"/>
      <c r="G286" s="1991"/>
      <c r="H286" s="1991"/>
      <c r="I286" s="1991"/>
      <c r="J286" s="1991" t="s">
        <v>419</v>
      </c>
      <c r="K286" s="2050">
        <v>630</v>
      </c>
      <c r="L286" s="1738"/>
      <c r="M286" s="1738"/>
      <c r="N286" s="1737" t="s">
        <v>420</v>
      </c>
      <c r="O286" s="1738"/>
      <c r="P286" s="1737"/>
      <c r="Q286" s="1737"/>
      <c r="R286" s="1737"/>
      <c r="S286" s="1737"/>
      <c r="T286" s="1737"/>
      <c r="U286" s="1737"/>
      <c r="V286" s="1741"/>
      <c r="W286" s="1758">
        <f>+AD286*1.5*C286</f>
        <v>0</v>
      </c>
      <c r="X286" s="1895">
        <f>+ROUNDUP(W286,0)</f>
        <v>0</v>
      </c>
      <c r="Y286" s="3756"/>
      <c r="Z286" s="52" t="s">
        <v>386</v>
      </c>
      <c r="AA286" s="3199" t="s">
        <v>421</v>
      </c>
      <c r="AB286" s="2623">
        <v>0.55000000000000004</v>
      </c>
      <c r="AC286" s="2625">
        <v>86</v>
      </c>
      <c r="AD286" s="2634">
        <f>+AC286*AB286</f>
        <v>47.300000000000004</v>
      </c>
      <c r="AE286" s="2624"/>
      <c r="AF286" s="2624">
        <f>+X286-AD286</f>
        <v>-47.300000000000004</v>
      </c>
      <c r="AG286" s="1148" t="e">
        <f>+AF286/X286</f>
        <v>#DIV/0!</v>
      </c>
      <c r="AH286" s="42"/>
      <c r="AI286" s="43"/>
      <c r="AJ286" s="199"/>
    </row>
    <row r="287" spans="1:36" s="48" customFormat="1" ht="25.8" customHeight="1" x14ac:dyDescent="0.2">
      <c r="A287" s="1348" t="s">
        <v>3655</v>
      </c>
      <c r="B287" s="1370"/>
      <c r="C287" s="1744"/>
      <c r="D287" s="1759" t="s">
        <v>24</v>
      </c>
      <c r="E287" s="1759" t="s">
        <v>415</v>
      </c>
      <c r="F287" s="1752"/>
      <c r="G287" s="1752"/>
      <c r="H287" s="1752"/>
      <c r="I287" s="1752"/>
      <c r="J287" s="1752" t="s">
        <v>416</v>
      </c>
      <c r="K287" s="1757">
        <v>630</v>
      </c>
      <c r="L287" s="1752"/>
      <c r="M287" s="1752"/>
      <c r="N287" s="1752"/>
      <c r="O287" s="1752"/>
      <c r="P287" s="1759"/>
      <c r="Q287" s="1759"/>
      <c r="R287" s="1759"/>
      <c r="S287" s="1759"/>
      <c r="T287" s="1737"/>
      <c r="U287" s="1737"/>
      <c r="V287" s="1741"/>
      <c r="W287" s="1733">
        <f>+C287*70</f>
        <v>0</v>
      </c>
      <c r="X287" s="1893">
        <f>+ROUNDUP(W287,0)</f>
        <v>0</v>
      </c>
      <c r="Y287" s="3756"/>
      <c r="Z287" s="1079" t="s">
        <v>357</v>
      </c>
      <c r="AA287" s="3200" t="s">
        <v>2768</v>
      </c>
      <c r="AB287" s="2623"/>
      <c r="AC287" s="2617"/>
      <c r="AD287" s="2634"/>
      <c r="AE287" s="2624"/>
      <c r="AF287" s="2624"/>
      <c r="AG287" s="1148"/>
      <c r="AH287" s="44"/>
      <c r="AI287" s="43"/>
      <c r="AJ287" s="49"/>
    </row>
    <row r="288" spans="1:36" s="244" customFormat="1" ht="13.2" customHeight="1" thickBot="1" x14ac:dyDescent="0.25">
      <c r="A288" s="244" t="s">
        <v>3656</v>
      </c>
      <c r="B288" s="1370"/>
      <c r="C288" s="1954"/>
      <c r="D288" s="1805" t="s">
        <v>82</v>
      </c>
      <c r="E288" s="1805" t="s">
        <v>83</v>
      </c>
      <c r="F288" s="1807"/>
      <c r="G288" s="1755"/>
      <c r="H288" s="1805" t="s">
        <v>2847</v>
      </c>
      <c r="I288" s="1807" t="s">
        <v>3263</v>
      </c>
      <c r="J288" s="1912"/>
      <c r="K288" s="1754">
        <v>626</v>
      </c>
      <c r="L288" s="1753"/>
      <c r="M288" s="1753"/>
      <c r="N288" s="1755"/>
      <c r="O288" s="1807"/>
      <c r="P288" s="1779"/>
      <c r="Q288" s="1779"/>
      <c r="R288" s="1779"/>
      <c r="S288" s="1779"/>
      <c r="T288" s="1737"/>
      <c r="U288" s="1737"/>
      <c r="V288" s="1741"/>
      <c r="W288" s="1758">
        <f>+AD288*C288*1.4</f>
        <v>0</v>
      </c>
      <c r="X288" s="1893">
        <f>+ROUNDUP(W288,0)</f>
        <v>0</v>
      </c>
      <c r="Y288" s="3756"/>
      <c r="Z288" s="197" t="s">
        <v>2848</v>
      </c>
      <c r="AA288" s="3191" t="s">
        <v>2849</v>
      </c>
      <c r="AB288" s="2626"/>
      <c r="AC288" s="2627"/>
      <c r="AD288" s="2617">
        <v>211.5</v>
      </c>
      <c r="AE288" s="2624">
        <f>+AD288</f>
        <v>211.5</v>
      </c>
      <c r="AF288" s="2624"/>
      <c r="AG288" s="1148"/>
      <c r="AH288" s="49"/>
      <c r="AI288" s="50"/>
      <c r="AJ288" s="49"/>
    </row>
    <row r="289" spans="1:36" s="244" customFormat="1" ht="13.2" customHeight="1" thickBot="1" x14ac:dyDescent="0.25">
      <c r="A289" s="244" t="s">
        <v>3656</v>
      </c>
      <c r="B289" s="1370"/>
      <c r="C289" s="1744"/>
      <c r="D289" s="1737" t="s">
        <v>82</v>
      </c>
      <c r="E289" s="1737" t="s">
        <v>83</v>
      </c>
      <c r="F289" s="1738"/>
      <c r="G289" s="1738"/>
      <c r="H289" s="1737" t="s">
        <v>66</v>
      </c>
      <c r="I289" s="1738"/>
      <c r="K289" s="1737"/>
      <c r="L289" s="1737"/>
      <c r="M289" s="1737"/>
      <c r="N289" s="1738"/>
      <c r="O289" s="1738"/>
      <c r="P289" s="1737"/>
      <c r="Q289" s="1737"/>
      <c r="R289" s="1737"/>
      <c r="S289" s="1737"/>
      <c r="T289" s="1737"/>
      <c r="U289" s="1737"/>
      <c r="V289" s="1741"/>
      <c r="W289" s="1758">
        <v>0</v>
      </c>
      <c r="X289" s="1895">
        <f>+ROUNDUP(W289,0)</f>
        <v>0</v>
      </c>
      <c r="Y289" s="3758"/>
      <c r="AA289" s="3201"/>
      <c r="AB289" s="2642"/>
      <c r="AC289" s="2642"/>
      <c r="AD289" s="2617">
        <v>211.5</v>
      </c>
      <c r="AE289" s="2624"/>
      <c r="AF289" s="2624"/>
      <c r="AG289" s="1148"/>
      <c r="AH289" s="49"/>
      <c r="AI289" s="50"/>
      <c r="AJ289" s="49"/>
    </row>
    <row r="290" spans="1:36" s="244" customFormat="1" ht="13.2" customHeight="1" thickBot="1" x14ac:dyDescent="0.25">
      <c r="A290" s="244" t="s">
        <v>3656</v>
      </c>
      <c r="B290" s="2111" t="s">
        <v>1822</v>
      </c>
      <c r="C290" s="1960"/>
      <c r="D290" s="2037" t="s">
        <v>3599</v>
      </c>
      <c r="E290" s="2037" t="s">
        <v>83</v>
      </c>
      <c r="F290" s="2040" t="s">
        <v>23</v>
      </c>
      <c r="G290" s="2040"/>
      <c r="H290" s="2037" t="s">
        <v>66</v>
      </c>
      <c r="I290" s="2040"/>
      <c r="J290" s="244" t="s">
        <v>3443</v>
      </c>
      <c r="K290" s="2971">
        <v>626</v>
      </c>
      <c r="L290" s="1737"/>
      <c r="M290" s="1737"/>
      <c r="N290" s="2037"/>
      <c r="O290" s="2040"/>
      <c r="P290" s="1737"/>
      <c r="Q290" s="1737"/>
      <c r="R290" s="1737"/>
      <c r="S290" s="1737"/>
      <c r="T290" s="1737"/>
      <c r="U290" s="1737"/>
      <c r="V290" s="1741"/>
      <c r="W290" s="2018">
        <f>+AD290*C290*2.1</f>
        <v>0</v>
      </c>
      <c r="X290" s="3032">
        <f t="shared" ref="X290:X291" si="66">+ROUNDUP(W290,0)</f>
        <v>0</v>
      </c>
      <c r="Y290" s="3756"/>
      <c r="Z290" s="244" t="s">
        <v>23</v>
      </c>
      <c r="AA290" s="3201" t="s">
        <v>3442</v>
      </c>
      <c r="AB290" s="2642">
        <v>0.25</v>
      </c>
      <c r="AC290" s="2642">
        <v>138.25</v>
      </c>
      <c r="AD290" s="2642">
        <f>+AB290*AC290</f>
        <v>34.5625</v>
      </c>
      <c r="AE290" s="2642">
        <f>+AD290</f>
        <v>34.5625</v>
      </c>
      <c r="AF290" s="2642"/>
      <c r="AJ290" s="199"/>
    </row>
    <row r="291" spans="1:36" s="244" customFormat="1" ht="13.2" customHeight="1" thickBot="1" x14ac:dyDescent="0.25">
      <c r="A291" s="244" t="s">
        <v>3656</v>
      </c>
      <c r="B291" s="1371" t="s">
        <v>1822</v>
      </c>
      <c r="C291" s="3430"/>
      <c r="D291" s="3431" t="s">
        <v>82</v>
      </c>
      <c r="E291" s="3431" t="s">
        <v>83</v>
      </c>
      <c r="F291" s="3432" t="s">
        <v>3336</v>
      </c>
      <c r="G291" s="3022"/>
      <c r="H291" s="3431" t="s">
        <v>66</v>
      </c>
      <c r="I291" s="3433"/>
      <c r="J291" s="3434" t="s">
        <v>3444</v>
      </c>
      <c r="K291" s="3435">
        <v>626</v>
      </c>
      <c r="L291" s="2970"/>
      <c r="M291" s="2975"/>
      <c r="N291" s="1956"/>
      <c r="O291" s="2202"/>
      <c r="P291" s="2970"/>
      <c r="Q291" s="1737"/>
      <c r="R291" s="1737"/>
      <c r="S291" s="1737"/>
      <c r="T291" s="1737"/>
      <c r="U291" s="1737"/>
      <c r="V291" s="1741"/>
      <c r="W291" s="3013">
        <f>+AD291*C291*1.25</f>
        <v>0</v>
      </c>
      <c r="X291" s="2385">
        <f t="shared" si="66"/>
        <v>0</v>
      </c>
      <c r="Y291" s="3755"/>
      <c r="Z291" s="244" t="s">
        <v>3336</v>
      </c>
      <c r="AA291" s="3201" t="s">
        <v>3441</v>
      </c>
      <c r="AB291" s="2642">
        <v>1</v>
      </c>
      <c r="AC291" s="2642">
        <v>144.88</v>
      </c>
      <c r="AD291" s="2642">
        <f>+AC291*AB291</f>
        <v>144.88</v>
      </c>
      <c r="AE291" s="2642">
        <f>+AD291</f>
        <v>144.88</v>
      </c>
      <c r="AF291" s="2642"/>
      <c r="AJ291" s="1350"/>
    </row>
    <row r="292" spans="1:36" s="244" customFormat="1" ht="13.2" customHeight="1" x14ac:dyDescent="0.2">
      <c r="A292" s="244" t="s">
        <v>3656</v>
      </c>
      <c r="B292" s="2111"/>
      <c r="C292" s="1954"/>
      <c r="D292" s="2904" t="s">
        <v>3197</v>
      </c>
      <c r="E292" s="2904" t="s">
        <v>3164</v>
      </c>
      <c r="F292" s="2814"/>
      <c r="G292" s="1801"/>
      <c r="H292" s="3045" t="s">
        <v>66</v>
      </c>
      <c r="I292" s="1801"/>
      <c r="J292" s="3046"/>
      <c r="K292" s="3047">
        <v>626</v>
      </c>
      <c r="L292" s="2029"/>
      <c r="M292" s="1779"/>
      <c r="N292" s="2814" t="s">
        <v>46</v>
      </c>
      <c r="O292" s="2814"/>
      <c r="P292" s="1779"/>
      <c r="Q292" s="1779"/>
      <c r="R292" s="1779"/>
      <c r="S292" s="1779"/>
      <c r="T292" s="1779"/>
      <c r="U292" s="1779"/>
      <c r="V292" s="2015"/>
      <c r="W292" s="2018">
        <f>+AD292*C292*2.1</f>
        <v>0</v>
      </c>
      <c r="X292" s="3048">
        <f>ROUNDUP(W292,0)</f>
        <v>0</v>
      </c>
      <c r="Y292" s="3756"/>
      <c r="Z292" s="197" t="s">
        <v>23</v>
      </c>
      <c r="AA292" s="3202" t="s">
        <v>2609</v>
      </c>
      <c r="AB292" s="2635">
        <v>0.26</v>
      </c>
      <c r="AC292" s="2627">
        <v>138.25</v>
      </c>
      <c r="AD292" s="2634">
        <f>+AC292*AB292</f>
        <v>35.945</v>
      </c>
      <c r="AE292" s="2617"/>
      <c r="AF292" s="2617"/>
      <c r="AG292" s="1141"/>
      <c r="AH292" s="42">
        <f>+W292-AD292</f>
        <v>-35.945</v>
      </c>
      <c r="AI292" s="43" t="e">
        <f>+AH292/X292</f>
        <v>#DIV/0!</v>
      </c>
      <c r="AJ292" s="43"/>
    </row>
    <row r="293" spans="1:36" s="244" customFormat="1" ht="13.2" customHeight="1" x14ac:dyDescent="0.2">
      <c r="A293" s="244" t="s">
        <v>3656</v>
      </c>
      <c r="B293" s="1370"/>
      <c r="C293" s="2119"/>
      <c r="D293" s="2053" t="s">
        <v>82</v>
      </c>
      <c r="E293" s="2053" t="s">
        <v>3164</v>
      </c>
      <c r="F293" s="2055"/>
      <c r="G293" s="1970"/>
      <c r="H293" s="2057" t="s">
        <v>66</v>
      </c>
      <c r="I293" s="1970"/>
      <c r="J293" s="1912"/>
      <c r="K293" s="2057" t="s">
        <v>64</v>
      </c>
      <c r="L293" s="1759"/>
      <c r="M293" s="1759"/>
      <c r="N293" s="1752" t="s">
        <v>2766</v>
      </c>
      <c r="O293" s="1752"/>
      <c r="P293" s="1759"/>
      <c r="Q293" s="1759"/>
      <c r="R293" s="1759"/>
      <c r="S293" s="1759"/>
      <c r="T293" s="1737"/>
      <c r="U293" s="1737"/>
      <c r="V293" s="1741"/>
      <c r="W293" s="1733">
        <f>+AD293*C293*2.1</f>
        <v>0</v>
      </c>
      <c r="X293" s="1893">
        <f>ROUNDUP(W293,0)</f>
        <v>0</v>
      </c>
      <c r="Y293" s="3760"/>
      <c r="Z293" s="197" t="s">
        <v>390</v>
      </c>
      <c r="AA293" s="3202" t="s">
        <v>2767</v>
      </c>
      <c r="AB293" s="2635">
        <v>0.5</v>
      </c>
      <c r="AC293" s="2627">
        <v>133</v>
      </c>
      <c r="AD293" s="2634">
        <f>+AB293*AC293</f>
        <v>66.5</v>
      </c>
      <c r="AE293" s="2617"/>
      <c r="AF293" s="2617"/>
      <c r="AG293" s="1141"/>
      <c r="AH293" s="42">
        <f>+W293-AD293</f>
        <v>-66.5</v>
      </c>
      <c r="AI293" s="43" t="e">
        <f>+AH293/X293</f>
        <v>#DIV/0!</v>
      </c>
      <c r="AJ293" s="43"/>
    </row>
    <row r="294" spans="1:36" s="244" customFormat="1" ht="13.2" customHeight="1" x14ac:dyDescent="0.2">
      <c r="A294" s="244" t="s">
        <v>3656</v>
      </c>
      <c r="B294" s="1370"/>
      <c r="C294" s="1744"/>
      <c r="D294" s="2904" t="s">
        <v>3197</v>
      </c>
      <c r="E294" s="1737" t="s">
        <v>3164</v>
      </c>
      <c r="F294" s="1738"/>
      <c r="G294" s="1738"/>
      <c r="H294" s="1737" t="s">
        <v>66</v>
      </c>
      <c r="I294" s="1738"/>
      <c r="K294" s="1777">
        <v>626</v>
      </c>
      <c r="L294" s="1737"/>
      <c r="M294" s="1737"/>
      <c r="N294" s="1738" t="s">
        <v>46</v>
      </c>
      <c r="O294" s="1738"/>
      <c r="P294" s="1737"/>
      <c r="Q294" s="1737"/>
      <c r="R294" s="1737"/>
      <c r="S294" s="1737"/>
      <c r="T294" s="1737"/>
      <c r="U294" s="1737"/>
      <c r="V294" s="1741"/>
      <c r="W294" s="1758">
        <f>+AD294*C294*1.9</f>
        <v>0</v>
      </c>
      <c r="X294" s="1895">
        <f>ROUNDUP(W294,0)</f>
        <v>0</v>
      </c>
      <c r="Y294" s="3756"/>
      <c r="Z294" s="197" t="s">
        <v>23</v>
      </c>
      <c r="AA294" s="3202" t="s">
        <v>2609</v>
      </c>
      <c r="AB294" s="2635">
        <v>0.26</v>
      </c>
      <c r="AC294" s="2627">
        <v>138.25</v>
      </c>
      <c r="AD294" s="2634">
        <f>+AC294*AB294</f>
        <v>35.945</v>
      </c>
      <c r="AE294" s="2617"/>
      <c r="AF294" s="2617"/>
      <c r="AG294" s="1141"/>
      <c r="AH294" s="42">
        <f>+W294-AD294</f>
        <v>-35.945</v>
      </c>
      <c r="AI294" s="43" t="e">
        <f>+AH294/X294</f>
        <v>#DIV/0!</v>
      </c>
      <c r="AJ294" s="43"/>
    </row>
    <row r="295" spans="1:36" s="244" customFormat="1" ht="13.2" customHeight="1" x14ac:dyDescent="0.2">
      <c r="A295" s="244" t="s">
        <v>3656</v>
      </c>
      <c r="B295" s="1370"/>
      <c r="C295" s="1960"/>
      <c r="D295" s="1961" t="s">
        <v>82</v>
      </c>
      <c r="E295" s="1961" t="s">
        <v>3164</v>
      </c>
      <c r="F295" s="1963"/>
      <c r="G295" s="1963"/>
      <c r="H295" s="1961" t="s">
        <v>66</v>
      </c>
      <c r="I295" s="1963"/>
      <c r="J295" s="2040"/>
      <c r="K295" s="2041" t="s">
        <v>64</v>
      </c>
      <c r="L295" s="1759"/>
      <c r="M295" s="1759"/>
      <c r="N295" s="1752" t="s">
        <v>2766</v>
      </c>
      <c r="O295" s="1752"/>
      <c r="P295" s="1759"/>
      <c r="Q295" s="1759"/>
      <c r="R295" s="1759"/>
      <c r="S295" s="1759"/>
      <c r="T295" s="1737"/>
      <c r="U295" s="1737"/>
      <c r="V295" s="1741"/>
      <c r="W295" s="1733">
        <f>+AD295*C295*2.1</f>
        <v>0</v>
      </c>
      <c r="X295" s="1893">
        <f>ROUNDUP(W295,0)</f>
        <v>0</v>
      </c>
      <c r="Y295" s="3756"/>
      <c r="Z295" s="197" t="s">
        <v>390</v>
      </c>
      <c r="AA295" s="3202" t="s">
        <v>2767</v>
      </c>
      <c r="AB295" s="2635">
        <v>0.5</v>
      </c>
      <c r="AC295" s="2627">
        <v>133</v>
      </c>
      <c r="AD295" s="2634">
        <f>+AB295*AC295</f>
        <v>66.5</v>
      </c>
      <c r="AE295" s="2617"/>
      <c r="AF295" s="2617"/>
      <c r="AG295" s="1141"/>
      <c r="AH295" s="42">
        <f>+W295-AD295</f>
        <v>-66.5</v>
      </c>
      <c r="AI295" s="43" t="e">
        <f>+AH295/X295</f>
        <v>#DIV/0!</v>
      </c>
      <c r="AJ295" s="43"/>
    </row>
    <row r="296" spans="1:36" s="244" customFormat="1" ht="13.2" customHeight="1" x14ac:dyDescent="0.2">
      <c r="A296" s="244" t="s">
        <v>3657</v>
      </c>
      <c r="B296" s="2111"/>
      <c r="C296" s="1954"/>
      <c r="D296" s="1847" t="s">
        <v>3223</v>
      </c>
      <c r="E296" s="1846" t="s">
        <v>3226</v>
      </c>
      <c r="F296" s="1846"/>
      <c r="G296" s="1846"/>
      <c r="H296" s="1847" t="s">
        <v>3244</v>
      </c>
      <c r="I296" s="2255" t="s">
        <v>3243</v>
      </c>
      <c r="J296" s="1801">
        <v>1875</v>
      </c>
      <c r="K296" s="1804">
        <v>630</v>
      </c>
      <c r="L296" s="2030"/>
      <c r="M296" s="1847"/>
      <c r="N296" s="1752" t="s">
        <v>2766</v>
      </c>
      <c r="O296" s="1846"/>
      <c r="P296" s="1847"/>
      <c r="Q296" s="1847"/>
      <c r="R296" s="1847"/>
      <c r="S296" s="1847"/>
      <c r="T296" s="1779"/>
      <c r="U296" s="1779"/>
      <c r="V296" s="2015"/>
      <c r="W296" s="2016">
        <f>+AD296*1.67*C296</f>
        <v>0</v>
      </c>
      <c r="X296" s="2017">
        <f>ROUNDUP(W296,0)</f>
        <v>0</v>
      </c>
      <c r="Y296" s="3761"/>
      <c r="Z296" s="197" t="s">
        <v>3224</v>
      </c>
      <c r="AA296" s="3202" t="s">
        <v>3225</v>
      </c>
      <c r="AB296" s="2635">
        <v>1</v>
      </c>
      <c r="AC296" s="2627">
        <v>23.9</v>
      </c>
      <c r="AD296" s="2634">
        <f>+AC296*AB296</f>
        <v>23.9</v>
      </c>
      <c r="AE296" s="2624"/>
      <c r="AF296" s="2624"/>
      <c r="AG296" s="1148"/>
      <c r="AH296" s="199"/>
      <c r="AI296" s="200"/>
      <c r="AJ296" s="43"/>
    </row>
    <row r="297" spans="1:36" s="48" customFormat="1" ht="13.2" customHeight="1" x14ac:dyDescent="0.2">
      <c r="A297" s="48" t="s">
        <v>3658</v>
      </c>
      <c r="B297" s="1370"/>
      <c r="C297" s="2119"/>
      <c r="D297" s="2904" t="s">
        <v>34</v>
      </c>
      <c r="E297" s="2904" t="s">
        <v>352</v>
      </c>
      <c r="F297" s="2814" t="s">
        <v>3371</v>
      </c>
      <c r="G297" s="1991"/>
      <c r="H297" s="2814" t="s">
        <v>2463</v>
      </c>
      <c r="I297" s="1991"/>
      <c r="J297" s="2814"/>
      <c r="K297" s="2914" t="s">
        <v>2801</v>
      </c>
      <c r="L297" s="1801"/>
      <c r="M297" s="1738"/>
      <c r="N297" s="1737" t="s">
        <v>2799</v>
      </c>
      <c r="O297" s="1752"/>
      <c r="P297" s="1737"/>
      <c r="Q297" s="1737"/>
      <c r="R297" s="1737"/>
      <c r="S297" s="1737"/>
      <c r="T297" s="1737"/>
      <c r="U297" s="1737"/>
      <c r="V297" s="1741"/>
      <c r="W297" s="1742">
        <f>425*C297</f>
        <v>0</v>
      </c>
      <c r="X297" s="2271">
        <f t="shared" ref="X297:X302" si="67">+ROUNDUP(W297,0)</f>
        <v>0</v>
      </c>
      <c r="Y297" s="3756"/>
      <c r="Z297" s="61" t="s">
        <v>2377</v>
      </c>
      <c r="AA297" s="3190">
        <f t="shared" ref="AA297:AA302" si="68">3156+45</f>
        <v>3201</v>
      </c>
      <c r="AB297" s="2625">
        <f t="shared" ref="AB297:AB302" si="69">+AA297*0.5*0.3</f>
        <v>480.15</v>
      </c>
      <c r="AC297" s="2625">
        <f t="shared" ref="AC297:AC302" si="70">W297-AB297</f>
        <v>-480.15</v>
      </c>
      <c r="AD297" s="2616" t="e">
        <f t="shared" ref="AD297:AD302" si="71">AC297/W297</f>
        <v>#DIV/0!</v>
      </c>
      <c r="AE297" s="2624"/>
      <c r="AF297" s="2624"/>
      <c r="AG297" s="1148"/>
      <c r="AH297" s="199"/>
      <c r="AI297" s="200"/>
      <c r="AJ297" s="49"/>
    </row>
    <row r="298" spans="1:36" s="48" customFormat="1" ht="13.2" customHeight="1" x14ac:dyDescent="0.2">
      <c r="A298" s="48" t="s">
        <v>3658</v>
      </c>
      <c r="B298" s="1370"/>
      <c r="C298" s="1969"/>
      <c r="D298" s="2052" t="s">
        <v>34</v>
      </c>
      <c r="E298" s="2048" t="s">
        <v>352</v>
      </c>
      <c r="F298" s="1991"/>
      <c r="G298" s="1991"/>
      <c r="H298" s="1991" t="s">
        <v>2463</v>
      </c>
      <c r="I298" s="1991"/>
      <c r="J298" s="1991"/>
      <c r="K298" s="2050" t="s">
        <v>2801</v>
      </c>
      <c r="L298" s="1738"/>
      <c r="M298" s="1738"/>
      <c r="N298" s="1737" t="s">
        <v>3275</v>
      </c>
      <c r="O298" s="1752"/>
      <c r="P298" s="1737"/>
      <c r="Q298" s="1737"/>
      <c r="R298" s="1737"/>
      <c r="S298" s="1737"/>
      <c r="T298" s="1737"/>
      <c r="U298" s="1737"/>
      <c r="V298" s="1741"/>
      <c r="W298" s="1742">
        <f>225*C298</f>
        <v>0</v>
      </c>
      <c r="X298" s="2271">
        <f t="shared" si="67"/>
        <v>0</v>
      </c>
      <c r="Y298" s="3756"/>
      <c r="Z298" s="61" t="s">
        <v>2377</v>
      </c>
      <c r="AA298" s="3190">
        <f t="shared" si="68"/>
        <v>3201</v>
      </c>
      <c r="AB298" s="2625">
        <f t="shared" si="69"/>
        <v>480.15</v>
      </c>
      <c r="AC298" s="2625">
        <f t="shared" si="70"/>
        <v>-480.15</v>
      </c>
      <c r="AD298" s="2616" t="e">
        <f t="shared" si="71"/>
        <v>#DIV/0!</v>
      </c>
      <c r="AE298" s="2624"/>
      <c r="AF298" s="2624"/>
      <c r="AG298" s="1148"/>
      <c r="AH298" s="199"/>
      <c r="AI298" s="200"/>
      <c r="AJ298" s="49"/>
    </row>
    <row r="299" spans="1:36" s="48" customFormat="1" ht="13.2" customHeight="1" x14ac:dyDescent="0.2">
      <c r="A299" s="48" t="s">
        <v>3658</v>
      </c>
      <c r="B299" s="1370"/>
      <c r="C299" s="1744"/>
      <c r="D299" s="1740" t="s">
        <v>34</v>
      </c>
      <c r="E299" s="1737" t="s">
        <v>352</v>
      </c>
      <c r="F299" s="1738"/>
      <c r="G299" s="1738"/>
      <c r="H299" s="1738" t="s">
        <v>2467</v>
      </c>
      <c r="I299" s="1738"/>
      <c r="J299" s="1738"/>
      <c r="K299" s="1772" t="s">
        <v>2801</v>
      </c>
      <c r="L299" s="1738"/>
      <c r="M299" s="1738"/>
      <c r="N299" s="1737" t="s">
        <v>2800</v>
      </c>
      <c r="O299" s="1752"/>
      <c r="P299" s="1737"/>
      <c r="Q299" s="1737"/>
      <c r="R299" s="1737"/>
      <c r="S299" s="1737"/>
      <c r="T299" s="1737"/>
      <c r="U299" s="1737"/>
      <c r="V299" s="1741"/>
      <c r="W299" s="1758">
        <f>225*C299</f>
        <v>0</v>
      </c>
      <c r="X299" s="1895">
        <f t="shared" si="67"/>
        <v>0</v>
      </c>
      <c r="Y299" s="3756"/>
      <c r="Z299" s="61" t="s">
        <v>2377</v>
      </c>
      <c r="AA299" s="3190">
        <f t="shared" si="68"/>
        <v>3201</v>
      </c>
      <c r="AB299" s="2625">
        <f t="shared" si="69"/>
        <v>480.15</v>
      </c>
      <c r="AC299" s="2617">
        <f t="shared" si="70"/>
        <v>-480.15</v>
      </c>
      <c r="AD299" s="2616" t="e">
        <f t="shared" si="71"/>
        <v>#DIV/0!</v>
      </c>
      <c r="AE299" s="2624"/>
      <c r="AF299" s="2624"/>
      <c r="AG299" s="1148"/>
      <c r="AH299" s="49"/>
      <c r="AI299" s="50"/>
      <c r="AJ299" s="49"/>
    </row>
    <row r="300" spans="1:36" s="206" customFormat="1" ht="13.2" customHeight="1" x14ac:dyDescent="0.2">
      <c r="A300" s="48" t="s">
        <v>3658</v>
      </c>
      <c r="B300" s="1370"/>
      <c r="C300" s="1744"/>
      <c r="D300" s="1740" t="s">
        <v>34</v>
      </c>
      <c r="E300" s="1737" t="s">
        <v>352</v>
      </c>
      <c r="F300" s="1738"/>
      <c r="G300" s="1738"/>
      <c r="H300" s="1738" t="s">
        <v>2468</v>
      </c>
      <c r="I300" s="1738"/>
      <c r="J300" s="1738"/>
      <c r="K300" s="1772" t="s">
        <v>2801</v>
      </c>
      <c r="L300" s="1738"/>
      <c r="M300" s="1738"/>
      <c r="N300" s="1737" t="s">
        <v>2799</v>
      </c>
      <c r="O300" s="1752"/>
      <c r="P300" s="1737"/>
      <c r="Q300" s="1737"/>
      <c r="R300" s="1737"/>
      <c r="S300" s="1737"/>
      <c r="T300" s="1737"/>
      <c r="U300" s="1737"/>
      <c r="V300" s="1741"/>
      <c r="W300" s="1742">
        <f>225*C300</f>
        <v>0</v>
      </c>
      <c r="X300" s="2271">
        <f t="shared" si="67"/>
        <v>0</v>
      </c>
      <c r="Y300" s="3756"/>
      <c r="Z300" s="202" t="s">
        <v>2377</v>
      </c>
      <c r="AA300" s="3194">
        <f t="shared" si="68"/>
        <v>3201</v>
      </c>
      <c r="AB300" s="2631">
        <f t="shared" si="69"/>
        <v>480.15</v>
      </c>
      <c r="AC300" s="2619">
        <f t="shared" si="70"/>
        <v>-480.15</v>
      </c>
      <c r="AD300" s="2620" t="e">
        <f t="shared" si="71"/>
        <v>#DIV/0!</v>
      </c>
      <c r="AE300" s="2621"/>
      <c r="AF300" s="2621"/>
      <c r="AG300" s="1150"/>
      <c r="AH300" s="205"/>
      <c r="AI300" s="907"/>
      <c r="AJ300" s="205"/>
    </row>
    <row r="301" spans="1:36" s="48" customFormat="1" ht="13.2" customHeight="1" x14ac:dyDescent="0.2">
      <c r="A301" s="48" t="s">
        <v>3658</v>
      </c>
      <c r="B301" s="1370"/>
      <c r="C301" s="1744"/>
      <c r="D301" s="1740" t="s">
        <v>34</v>
      </c>
      <c r="E301" s="1737" t="s">
        <v>352</v>
      </c>
      <c r="F301" s="1738"/>
      <c r="G301" s="1738"/>
      <c r="H301" s="1738" t="s">
        <v>2468</v>
      </c>
      <c r="I301" s="1738"/>
      <c r="J301" s="1738"/>
      <c r="K301" s="1772" t="s">
        <v>2801</v>
      </c>
      <c r="L301" s="1738"/>
      <c r="M301" s="1738"/>
      <c r="N301" s="1737" t="s">
        <v>2800</v>
      </c>
      <c r="O301" s="1738"/>
      <c r="P301" s="1737"/>
      <c r="Q301" s="1737"/>
      <c r="R301" s="1737"/>
      <c r="S301" s="1737"/>
      <c r="T301" s="1737"/>
      <c r="U301" s="1737"/>
      <c r="V301" s="1741"/>
      <c r="W301" s="1758">
        <f>225*C301</f>
        <v>0</v>
      </c>
      <c r="X301" s="1895">
        <f t="shared" si="67"/>
        <v>0</v>
      </c>
      <c r="Y301" s="3756"/>
      <c r="Z301" s="74" t="s">
        <v>2377</v>
      </c>
      <c r="AA301" s="3189">
        <f t="shared" si="68"/>
        <v>3201</v>
      </c>
      <c r="AB301" s="2617">
        <f t="shared" si="69"/>
        <v>480.15</v>
      </c>
      <c r="AC301" s="2617">
        <f t="shared" si="70"/>
        <v>-480.15</v>
      </c>
      <c r="AD301" s="2616" t="e">
        <f t="shared" si="71"/>
        <v>#DIV/0!</v>
      </c>
      <c r="AE301" s="2624"/>
      <c r="AF301" s="2624"/>
      <c r="AG301" s="1148"/>
      <c r="AH301" s="199"/>
      <c r="AI301" s="200"/>
      <c r="AJ301" s="199"/>
    </row>
    <row r="302" spans="1:36" s="48" customFormat="1" ht="13.2" customHeight="1" x14ac:dyDescent="0.2">
      <c r="A302" s="48" t="s">
        <v>3658</v>
      </c>
      <c r="B302" s="1370"/>
      <c r="C302" s="1744"/>
      <c r="D302" s="1740" t="s">
        <v>34</v>
      </c>
      <c r="E302" s="1737" t="s">
        <v>352</v>
      </c>
      <c r="F302" s="1738"/>
      <c r="G302" s="1738"/>
      <c r="H302" s="1738" t="s">
        <v>2463</v>
      </c>
      <c r="I302" s="1738"/>
      <c r="J302" s="1738"/>
      <c r="K302" s="1772"/>
      <c r="L302" s="1738"/>
      <c r="M302" s="1738"/>
      <c r="N302" s="1738" t="s">
        <v>2803</v>
      </c>
      <c r="O302" s="1738"/>
      <c r="P302" s="1737"/>
      <c r="Q302" s="1737"/>
      <c r="R302" s="1737"/>
      <c r="S302" s="1737"/>
      <c r="T302" s="1737"/>
      <c r="U302" s="1737"/>
      <c r="V302" s="1741"/>
      <c r="W302" s="1758">
        <f>225*C302</f>
        <v>0</v>
      </c>
      <c r="X302" s="1895">
        <f t="shared" si="67"/>
        <v>0</v>
      </c>
      <c r="Y302" s="3756"/>
      <c r="Z302" s="74" t="s">
        <v>33</v>
      </c>
      <c r="AA302" s="3190">
        <f t="shared" si="68"/>
        <v>3201</v>
      </c>
      <c r="AB302" s="2625">
        <f t="shared" si="69"/>
        <v>480.15</v>
      </c>
      <c r="AC302" s="2617">
        <f t="shared" si="70"/>
        <v>-480.15</v>
      </c>
      <c r="AD302" s="2616" t="e">
        <f t="shared" si="71"/>
        <v>#DIV/0!</v>
      </c>
      <c r="AE302" s="2624"/>
      <c r="AF302" s="2624"/>
      <c r="AG302" s="1148"/>
      <c r="AH302" s="49"/>
      <c r="AI302" s="50"/>
      <c r="AJ302" s="49"/>
    </row>
    <row r="303" spans="1:36" s="48" customFormat="1" ht="13.2" customHeight="1" x14ac:dyDescent="0.2">
      <c r="A303" s="48" t="s">
        <v>3658</v>
      </c>
      <c r="B303" s="1370"/>
      <c r="C303" s="1744"/>
      <c r="D303" s="1779" t="s">
        <v>3147</v>
      </c>
      <c r="E303" s="1737" t="s">
        <v>352</v>
      </c>
      <c r="F303" s="1738"/>
      <c r="G303" s="1738"/>
      <c r="H303" s="1738"/>
      <c r="I303" s="1738"/>
      <c r="J303" s="1738"/>
      <c r="K303" s="1772" t="s">
        <v>2801</v>
      </c>
      <c r="L303" s="1738"/>
      <c r="M303" s="1738"/>
      <c r="N303" s="1738"/>
      <c r="O303" s="1738"/>
      <c r="P303" s="1779"/>
      <c r="Q303" s="1779"/>
      <c r="R303" s="1779"/>
      <c r="S303" s="1737"/>
      <c r="T303" s="1737"/>
      <c r="U303" s="1737"/>
      <c r="V303" s="1741"/>
      <c r="W303" s="1733">
        <f>AD303*1.5*C303</f>
        <v>0</v>
      </c>
      <c r="X303" s="1895">
        <f t="shared" ref="X303:X316" si="72">+ROUNDUP(W303,0)</f>
        <v>0</v>
      </c>
      <c r="Y303" s="3756"/>
      <c r="Z303" s="856" t="s">
        <v>3005</v>
      </c>
      <c r="AA303" s="3144" t="s">
        <v>3007</v>
      </c>
      <c r="AB303" s="2643">
        <v>291.7</v>
      </c>
      <c r="AC303" s="2643">
        <v>0.21</v>
      </c>
      <c r="AD303" s="2644">
        <f>+AC303*AB303</f>
        <v>61.256999999999998</v>
      </c>
      <c r="AE303" s="2644"/>
      <c r="AF303" s="2644"/>
      <c r="AG303" s="1155"/>
      <c r="AH303" s="870"/>
      <c r="AI303" s="875"/>
      <c r="AJ303" s="874"/>
    </row>
    <row r="304" spans="1:36" s="48" customFormat="1" ht="13.2" customHeight="1" x14ac:dyDescent="0.2">
      <c r="A304" s="48" t="s">
        <v>3658</v>
      </c>
      <c r="B304" s="1370"/>
      <c r="C304" s="1954"/>
      <c r="D304" s="1779" t="s">
        <v>3147</v>
      </c>
      <c r="E304" s="1779" t="s">
        <v>352</v>
      </c>
      <c r="F304" s="1801"/>
      <c r="G304" s="1738"/>
      <c r="H304" s="1801" t="s">
        <v>3275</v>
      </c>
      <c r="I304" s="1801"/>
      <c r="J304" s="1801"/>
      <c r="K304" s="1809" t="s">
        <v>2801</v>
      </c>
      <c r="L304" s="1801"/>
      <c r="M304" s="1738"/>
      <c r="N304" s="1738" t="s">
        <v>2466</v>
      </c>
      <c r="O304" s="1738"/>
      <c r="P304" s="1779"/>
      <c r="Q304" s="1779"/>
      <c r="R304" s="1779"/>
      <c r="S304" s="1737"/>
      <c r="T304" s="1737"/>
      <c r="U304" s="1737"/>
      <c r="V304" s="1741"/>
      <c r="W304" s="1733">
        <f>AD304*2.5*C304</f>
        <v>0</v>
      </c>
      <c r="X304" s="1895">
        <f t="shared" si="72"/>
        <v>0</v>
      </c>
      <c r="Y304" s="3756"/>
      <c r="Z304" s="856" t="s">
        <v>3006</v>
      </c>
      <c r="AA304" s="3144" t="s">
        <v>3008</v>
      </c>
      <c r="AB304" s="2643">
        <v>169.4</v>
      </c>
      <c r="AC304" s="2643">
        <v>0.21</v>
      </c>
      <c r="AD304" s="2644">
        <f>+AC304*AB304</f>
        <v>35.573999999999998</v>
      </c>
      <c r="AE304" s="2644"/>
      <c r="AF304" s="2644"/>
      <c r="AG304" s="1155"/>
      <c r="AH304" s="870"/>
      <c r="AI304" s="875"/>
      <c r="AJ304" s="874"/>
    </row>
    <row r="305" spans="1:36" s="48" customFormat="1" ht="13.2" customHeight="1" x14ac:dyDescent="0.2">
      <c r="A305" s="48" t="s">
        <v>3658</v>
      </c>
      <c r="B305" s="1370"/>
      <c r="C305" s="1954"/>
      <c r="D305" s="1779" t="s">
        <v>3147</v>
      </c>
      <c r="E305" s="1779" t="s">
        <v>352</v>
      </c>
      <c r="F305" s="1801"/>
      <c r="G305" s="1738"/>
      <c r="H305" s="1801" t="s">
        <v>2803</v>
      </c>
      <c r="I305" s="1801"/>
      <c r="J305" s="1801"/>
      <c r="K305" s="1809" t="s">
        <v>2801</v>
      </c>
      <c r="L305" s="1801"/>
      <c r="M305" s="1738"/>
      <c r="N305" s="1738" t="s">
        <v>2466</v>
      </c>
      <c r="O305" s="1738"/>
      <c r="P305" s="1779"/>
      <c r="Q305" s="1779"/>
      <c r="R305" s="1779"/>
      <c r="S305" s="1737"/>
      <c r="T305" s="1737"/>
      <c r="U305" s="1737"/>
      <c r="V305" s="1741"/>
      <c r="W305" s="1733">
        <f>AD305*2.5*C305</f>
        <v>0</v>
      </c>
      <c r="X305" s="1895">
        <f t="shared" ref="X305" si="73">+ROUNDUP(W305,0)</f>
        <v>0</v>
      </c>
      <c r="Y305" s="3756"/>
      <c r="Z305" s="856" t="s">
        <v>3006</v>
      </c>
      <c r="AA305" s="3144" t="s">
        <v>3008</v>
      </c>
      <c r="AB305" s="2643">
        <v>169.4</v>
      </c>
      <c r="AC305" s="2643">
        <v>0.21</v>
      </c>
      <c r="AD305" s="2644">
        <f>+AC305*AB305</f>
        <v>35.573999999999998</v>
      </c>
      <c r="AE305" s="2644"/>
      <c r="AF305" s="2644"/>
      <c r="AG305" s="1155"/>
      <c r="AH305" s="870"/>
      <c r="AI305" s="875"/>
      <c r="AJ305" s="874"/>
    </row>
    <row r="306" spans="1:36" s="48" customFormat="1" ht="13.2" customHeight="1" x14ac:dyDescent="0.2">
      <c r="A306" s="48" t="s">
        <v>3658</v>
      </c>
      <c r="B306" s="1019"/>
      <c r="C306" s="1766"/>
      <c r="D306" s="1753" t="s">
        <v>3583</v>
      </c>
      <c r="E306" s="1737" t="s">
        <v>352</v>
      </c>
      <c r="F306" s="1738"/>
      <c r="G306" s="1738" t="s">
        <v>2460</v>
      </c>
      <c r="H306" s="1738" t="s">
        <v>3078</v>
      </c>
      <c r="I306" s="1738"/>
      <c r="J306" s="1738"/>
      <c r="K306" s="1738" t="s">
        <v>3079</v>
      </c>
      <c r="M306" s="1738"/>
      <c r="N306" s="1738" t="s">
        <v>3080</v>
      </c>
      <c r="O306" s="1772" t="s">
        <v>2801</v>
      </c>
      <c r="P306" s="1779"/>
      <c r="Q306" s="1779"/>
      <c r="R306" s="1737"/>
      <c r="S306" s="1737"/>
      <c r="T306" s="1737"/>
      <c r="U306" s="1741"/>
      <c r="V306" s="1773">
        <f>+AA306*1.3*C306</f>
        <v>0</v>
      </c>
      <c r="W306" s="1743">
        <f>+ROUNDUP(V306,0)</f>
        <v>0</v>
      </c>
      <c r="X306" s="1895"/>
      <c r="Y306" s="3756"/>
      <c r="Z306" s="1082" t="s">
        <v>350</v>
      </c>
      <c r="AA306" s="3203">
        <v>240</v>
      </c>
      <c r="AB306" s="2645"/>
      <c r="AC306" s="2645"/>
      <c r="AD306" s="2644"/>
      <c r="AE306" s="2644"/>
      <c r="AF306" s="2644"/>
      <c r="AG306" s="871"/>
      <c r="AH306" s="878"/>
      <c r="AI306" s="43"/>
    </row>
    <row r="307" spans="1:36" s="48" customFormat="1" ht="13.8" customHeight="1" x14ac:dyDescent="0.2">
      <c r="A307" s="48" t="s">
        <v>3658</v>
      </c>
      <c r="B307" s="1019"/>
      <c r="C307" s="1735"/>
      <c r="D307" s="1737" t="s">
        <v>3584</v>
      </c>
      <c r="E307" s="1737" t="s">
        <v>352</v>
      </c>
      <c r="F307" s="1738"/>
      <c r="G307" s="1738" t="s">
        <v>2460</v>
      </c>
      <c r="H307" s="1738" t="s">
        <v>3078</v>
      </c>
      <c r="I307" s="1738"/>
      <c r="J307" s="1738"/>
      <c r="K307" s="1738" t="s">
        <v>3081</v>
      </c>
      <c r="M307" s="1738"/>
      <c r="N307" s="1738" t="s">
        <v>3082</v>
      </c>
      <c r="O307" s="1772" t="s">
        <v>2801</v>
      </c>
      <c r="P307" s="1779"/>
      <c r="Q307" s="1779"/>
      <c r="R307" s="1737"/>
      <c r="S307" s="1737"/>
      <c r="T307" s="1737"/>
      <c r="U307" s="1741"/>
      <c r="V307" s="1773">
        <f>+AA307*1.3*C307</f>
        <v>0</v>
      </c>
      <c r="W307" s="1743">
        <f>+ROUNDUP(V307,0)</f>
        <v>0</v>
      </c>
      <c r="X307" s="1895"/>
      <c r="Y307" s="3756"/>
      <c r="Z307" s="1082" t="s">
        <v>350</v>
      </c>
      <c r="AA307" s="3203">
        <v>340</v>
      </c>
      <c r="AB307" s="2645"/>
      <c r="AC307" s="2645"/>
      <c r="AD307" s="2644"/>
      <c r="AE307" s="2644"/>
      <c r="AF307" s="2644"/>
      <c r="AG307" s="871"/>
      <c r="AH307" s="878"/>
      <c r="AI307" s="43"/>
    </row>
    <row r="308" spans="1:36" s="1348" customFormat="1" ht="13.8" customHeight="1" x14ac:dyDescent="0.2">
      <c r="A308" s="1348" t="s">
        <v>3659</v>
      </c>
      <c r="B308" s="1371"/>
      <c r="C308" s="1744"/>
      <c r="D308" s="1763" t="s">
        <v>2383</v>
      </c>
      <c r="E308" s="1763" t="s">
        <v>2384</v>
      </c>
      <c r="F308" s="1764"/>
      <c r="G308" s="1764"/>
      <c r="H308" s="1763" t="s">
        <v>2463</v>
      </c>
      <c r="I308" s="1764" t="s">
        <v>3217</v>
      </c>
      <c r="J308" s="1738"/>
      <c r="K308" s="1809" t="s">
        <v>64</v>
      </c>
      <c r="L308" s="1780"/>
      <c r="M308" s="1780"/>
      <c r="N308" s="1764" t="s">
        <v>3216</v>
      </c>
      <c r="O308" s="1764" t="s">
        <v>64</v>
      </c>
      <c r="P308" s="1764"/>
      <c r="Q308" s="1738"/>
      <c r="R308" s="1738"/>
      <c r="S308" s="1781"/>
      <c r="T308" s="1781"/>
      <c r="U308" s="1781"/>
      <c r="V308" s="1782"/>
      <c r="W308" s="1751">
        <f>AD308*1.34*C308</f>
        <v>0</v>
      </c>
      <c r="X308" s="1981">
        <f t="shared" si="72"/>
        <v>0</v>
      </c>
      <c r="Y308" s="3756"/>
      <c r="Z308" s="1979" t="s">
        <v>2377</v>
      </c>
      <c r="AA308" s="2646" t="s">
        <v>3220</v>
      </c>
      <c r="AB308" s="2647" t="s">
        <v>3221</v>
      </c>
      <c r="AC308" s="2648">
        <v>1451</v>
      </c>
      <c r="AD308" s="2648">
        <f>+AC308*0.5*0.45</f>
        <v>326.47500000000002</v>
      </c>
      <c r="AE308" s="2648">
        <f>+AD308*C308</f>
        <v>0</v>
      </c>
      <c r="AF308" s="2649"/>
      <c r="AG308" s="1349"/>
      <c r="AH308" s="1985">
        <f>+X308-AE308</f>
        <v>0</v>
      </c>
      <c r="AI308" s="1986" t="e">
        <f>+AH308/X308</f>
        <v>#DIV/0!</v>
      </c>
      <c r="AJ308" s="1350"/>
    </row>
    <row r="309" spans="1:36" s="48" customFormat="1" ht="13.2" customHeight="1" x14ac:dyDescent="0.2">
      <c r="A309" s="1348" t="s">
        <v>3659</v>
      </c>
      <c r="B309" s="1372"/>
      <c r="C309" s="1954"/>
      <c r="D309" s="1779" t="s">
        <v>2383</v>
      </c>
      <c r="E309" s="1779" t="s">
        <v>2384</v>
      </c>
      <c r="F309" s="1801"/>
      <c r="G309" s="1738"/>
      <c r="H309" s="1801"/>
      <c r="I309" s="1738"/>
      <c r="J309" s="1915" t="s">
        <v>3399</v>
      </c>
      <c r="K309" s="1809" t="s">
        <v>64</v>
      </c>
      <c r="L309" s="1801"/>
      <c r="M309" s="1801"/>
      <c r="N309" s="1801" t="s">
        <v>3023</v>
      </c>
      <c r="O309" s="1801"/>
      <c r="P309" s="1781"/>
      <c r="Q309" s="1781"/>
      <c r="R309" s="1781"/>
      <c r="S309" s="1781"/>
      <c r="T309" s="1781"/>
      <c r="U309" s="1781"/>
      <c r="V309" s="1782"/>
      <c r="W309" s="2203">
        <f>+C309*AC309*3</f>
        <v>0</v>
      </c>
      <c r="X309" s="2019">
        <f t="shared" si="72"/>
        <v>0</v>
      </c>
      <c r="Y309" s="3756"/>
      <c r="Z309" s="74" t="s">
        <v>2377</v>
      </c>
      <c r="AA309" s="3189" t="s">
        <v>2385</v>
      </c>
      <c r="AB309" s="2617">
        <v>906</v>
      </c>
      <c r="AC309" s="2617">
        <f>AB309*0.25</f>
        <v>226.5</v>
      </c>
      <c r="AD309" s="2617">
        <v>500</v>
      </c>
      <c r="AE309" s="2624"/>
      <c r="AF309" s="2624"/>
      <c r="AG309" s="1148"/>
      <c r="AH309" s="199"/>
      <c r="AI309" s="200"/>
      <c r="AJ309" s="199"/>
    </row>
    <row r="310" spans="1:36" s="48" customFormat="1" ht="13.2" customHeight="1" x14ac:dyDescent="0.2">
      <c r="A310" s="1348" t="s">
        <v>3659</v>
      </c>
      <c r="B310" s="1370"/>
      <c r="C310" s="1744"/>
      <c r="D310" s="1783" t="s">
        <v>2383</v>
      </c>
      <c r="E310" s="1753" t="s">
        <v>2384</v>
      </c>
      <c r="F310" s="1755"/>
      <c r="G310" s="1755"/>
      <c r="H310" s="1755"/>
      <c r="I310" s="1755"/>
      <c r="J310" s="1738"/>
      <c r="K310" s="1754" t="s">
        <v>64</v>
      </c>
      <c r="L310" s="1755"/>
      <c r="M310" s="1755"/>
      <c r="N310" s="1755" t="s">
        <v>2802</v>
      </c>
      <c r="O310" s="1755"/>
      <c r="P310" s="1753" t="s">
        <v>2463</v>
      </c>
      <c r="Q310" s="1753"/>
      <c r="R310" s="1753"/>
      <c r="S310" s="1753"/>
      <c r="T310" s="1753"/>
      <c r="U310" s="1753"/>
      <c r="V310" s="1756"/>
      <c r="W310" s="1733">
        <f>AD310*1.8*C310</f>
        <v>0</v>
      </c>
      <c r="X310" s="1895">
        <f t="shared" si="72"/>
        <v>0</v>
      </c>
      <c r="Y310" s="3756"/>
      <c r="Z310" s="249" t="s">
        <v>2377</v>
      </c>
      <c r="AA310" s="3204" t="s">
        <v>2385</v>
      </c>
      <c r="AB310" s="2629">
        <v>906</v>
      </c>
      <c r="AC310" s="2629">
        <v>906</v>
      </c>
      <c r="AD310" s="2629">
        <v>500</v>
      </c>
      <c r="AE310" s="2630"/>
      <c r="AF310" s="2630"/>
      <c r="AG310" s="1156"/>
      <c r="AH310" s="251"/>
      <c r="AI310" s="780"/>
      <c r="AJ310" s="251"/>
    </row>
    <row r="311" spans="1:36" s="48" customFormat="1" ht="13.2" customHeight="1" x14ac:dyDescent="0.2">
      <c r="A311" s="1348" t="s">
        <v>3659</v>
      </c>
      <c r="B311" s="1370"/>
      <c r="C311" s="1744"/>
      <c r="D311" s="1755" t="s">
        <v>2383</v>
      </c>
      <c r="E311" s="1755" t="s">
        <v>2384</v>
      </c>
      <c r="F311" s="1755"/>
      <c r="G311" s="1755"/>
      <c r="H311" s="1755"/>
      <c r="I311" s="1755"/>
      <c r="J311" s="1738"/>
      <c r="K311" s="1754" t="s">
        <v>64</v>
      </c>
      <c r="L311" s="1755"/>
      <c r="M311" s="1755"/>
      <c r="N311" s="1755" t="s">
        <v>2802</v>
      </c>
      <c r="O311" s="1755"/>
      <c r="P311" s="1755"/>
      <c r="Q311" s="1755"/>
      <c r="R311" s="1755"/>
      <c r="S311" s="1755"/>
      <c r="T311" s="1753"/>
      <c r="U311" s="1753"/>
      <c r="V311" s="1784"/>
      <c r="W311" s="1762">
        <f>AD311*1.8*C311</f>
        <v>0</v>
      </c>
      <c r="X311" s="2373">
        <f t="shared" si="72"/>
        <v>0</v>
      </c>
      <c r="Y311" s="3756"/>
      <c r="Z311" s="249" t="s">
        <v>2377</v>
      </c>
      <c r="AA311" s="3204" t="s">
        <v>2385</v>
      </c>
      <c r="AB311" s="2629">
        <v>906</v>
      </c>
      <c r="AC311" s="2629">
        <v>906</v>
      </c>
      <c r="AD311" s="2629">
        <v>500</v>
      </c>
      <c r="AE311" s="2630"/>
      <c r="AF311" s="2630"/>
      <c r="AG311" s="1156"/>
      <c r="AH311" s="251"/>
      <c r="AI311" s="780"/>
      <c r="AJ311" s="251"/>
    </row>
    <row r="312" spans="1:36" s="48" customFormat="1" ht="13.2" customHeight="1" x14ac:dyDescent="0.2">
      <c r="A312" s="1348" t="s">
        <v>3659</v>
      </c>
      <c r="B312" s="1370"/>
      <c r="C312" s="1735"/>
      <c r="D312" s="1755" t="s">
        <v>2383</v>
      </c>
      <c r="E312" s="1755" t="s">
        <v>3031</v>
      </c>
      <c r="F312" s="1755"/>
      <c r="G312" s="1755" t="s">
        <v>3032</v>
      </c>
      <c r="H312" s="1755"/>
      <c r="I312" s="1755"/>
      <c r="J312" s="1738"/>
      <c r="K312" s="1754" t="s">
        <v>64</v>
      </c>
      <c r="L312" s="1755"/>
      <c r="M312" s="1755"/>
      <c r="N312" s="1755" t="s">
        <v>3023</v>
      </c>
      <c r="O312" s="1755"/>
      <c r="P312" s="1755"/>
      <c r="Q312" s="1755"/>
      <c r="R312" s="1755"/>
      <c r="S312" s="1755"/>
      <c r="T312" s="1753"/>
      <c r="U312" s="1753"/>
      <c r="V312" s="1784"/>
      <c r="W312" s="1762">
        <f>AD312*1.5*C312</f>
        <v>0</v>
      </c>
      <c r="X312" s="2373">
        <f>+ROUNDUP(W312,0)</f>
        <v>0</v>
      </c>
      <c r="Y312" s="3756"/>
      <c r="Z312" s="249" t="s">
        <v>350</v>
      </c>
      <c r="AA312" s="3204"/>
      <c r="AB312" s="2629">
        <v>906</v>
      </c>
      <c r="AC312" s="2629">
        <v>906</v>
      </c>
      <c r="AD312" s="2629">
        <v>350</v>
      </c>
      <c r="AE312" s="2630"/>
      <c r="AF312" s="2630"/>
      <c r="AG312" s="1156"/>
      <c r="AH312" s="251"/>
      <c r="AI312" s="780"/>
      <c r="AJ312" s="251"/>
    </row>
    <row r="313" spans="1:36" s="48" customFormat="1" ht="13.2" customHeight="1" x14ac:dyDescent="0.2">
      <c r="A313" s="48" t="s">
        <v>3660</v>
      </c>
      <c r="B313" s="1357"/>
      <c r="C313" s="1735"/>
      <c r="D313" s="1745" t="s">
        <v>90</v>
      </c>
      <c r="E313" s="1785" t="s">
        <v>91</v>
      </c>
      <c r="F313" s="1746"/>
      <c r="G313" s="1746"/>
      <c r="H313" s="1746"/>
      <c r="I313" s="1746"/>
      <c r="J313" s="1738"/>
      <c r="K313" s="1786">
        <v>626</v>
      </c>
      <c r="L313" s="1746"/>
      <c r="M313" s="1746"/>
      <c r="N313" s="1746"/>
      <c r="O313" s="1746"/>
      <c r="P313" s="1786"/>
      <c r="Q313" s="1786"/>
      <c r="R313" s="1786"/>
      <c r="S313" s="1787"/>
      <c r="T313" s="1759"/>
      <c r="U313" s="1759"/>
      <c r="V313" s="1788"/>
      <c r="W313" s="1748">
        <f>+AD313*1.65</f>
        <v>0</v>
      </c>
      <c r="X313" s="1895">
        <f t="shared" si="72"/>
        <v>0</v>
      </c>
      <c r="Y313" s="3756"/>
      <c r="Z313" s="896" t="s">
        <v>2646</v>
      </c>
      <c r="AA313" s="3205" t="s">
        <v>92</v>
      </c>
      <c r="AB313" s="2650">
        <v>18</v>
      </c>
      <c r="AC313" s="2651">
        <f>+AB313</f>
        <v>18</v>
      </c>
      <c r="AD313" s="2652">
        <f>+AC313*AA313*C313</f>
        <v>0</v>
      </c>
      <c r="AE313" s="2653">
        <f>+W313-AD313</f>
        <v>0</v>
      </c>
      <c r="AF313" s="2653"/>
      <c r="AG313" s="1157"/>
      <c r="AH313" s="903" t="e">
        <f>+AE313/W313</f>
        <v>#DIV/0!</v>
      </c>
      <c r="AI313" s="891"/>
      <c r="AJ313" s="912"/>
    </row>
    <row r="314" spans="1:36" s="48" customFormat="1" ht="13.2" customHeight="1" x14ac:dyDescent="0.2">
      <c r="A314" s="48" t="s">
        <v>3661</v>
      </c>
      <c r="B314" s="1370"/>
      <c r="C314" s="1789"/>
      <c r="D314" s="1737" t="s">
        <v>1307</v>
      </c>
      <c r="E314" s="1737" t="s">
        <v>352</v>
      </c>
      <c r="F314" s="1738"/>
      <c r="G314" s="1738"/>
      <c r="H314" s="1738"/>
      <c r="I314" s="1738"/>
      <c r="J314" s="1738"/>
      <c r="K314" s="1772">
        <v>626</v>
      </c>
      <c r="L314" s="1738"/>
      <c r="M314" s="1738"/>
      <c r="N314" s="1738" t="s">
        <v>342</v>
      </c>
      <c r="O314" s="1738"/>
      <c r="P314" s="1737"/>
      <c r="Q314" s="1737"/>
      <c r="R314" s="1737"/>
      <c r="S314" s="1737"/>
      <c r="T314" s="1737"/>
      <c r="U314" s="1737"/>
      <c r="V314" s="1741"/>
      <c r="W314" s="1790">
        <f>+AD314*1.6*C314</f>
        <v>0</v>
      </c>
      <c r="X314" s="1895">
        <f t="shared" si="72"/>
        <v>0</v>
      </c>
      <c r="Y314" s="3756"/>
      <c r="Z314" s="61"/>
      <c r="AA314" s="3188"/>
      <c r="AB314" s="2625"/>
      <c r="AC314" s="2625"/>
      <c r="AD314" s="2616"/>
      <c r="AE314" s="2624">
        <f t="shared" ref="AE314:AE319" si="74">+AD314*C314</f>
        <v>0</v>
      </c>
      <c r="AF314" s="2624"/>
      <c r="AG314" s="1148"/>
      <c r="AH314" s="42">
        <f>+W314-AE314</f>
        <v>0</v>
      </c>
      <c r="AI314" s="43" t="e">
        <f>+AH314/X314</f>
        <v>#DIV/0!</v>
      </c>
    </row>
    <row r="315" spans="1:36" s="48" customFormat="1" ht="13.2" customHeight="1" thickBot="1" x14ac:dyDescent="0.25">
      <c r="A315" s="48" t="s">
        <v>3661</v>
      </c>
      <c r="B315" s="1370"/>
      <c r="C315" s="1789"/>
      <c r="D315" s="1740" t="s">
        <v>1307</v>
      </c>
      <c r="E315" s="1737" t="s">
        <v>352</v>
      </c>
      <c r="F315" s="1738"/>
      <c r="G315" s="1738"/>
      <c r="H315" s="1738"/>
      <c r="I315" s="1738"/>
      <c r="J315" s="1738"/>
      <c r="K315" s="1772">
        <v>626</v>
      </c>
      <c r="L315" s="1738"/>
      <c r="M315" s="1738"/>
      <c r="N315" s="1738" t="s">
        <v>342</v>
      </c>
      <c r="O315" s="1738"/>
      <c r="P315" s="1737"/>
      <c r="Q315" s="1737"/>
      <c r="R315" s="1737"/>
      <c r="S315" s="1737"/>
      <c r="T315" s="1737"/>
      <c r="U315" s="1737"/>
      <c r="V315" s="1741"/>
      <c r="W315" s="1742">
        <f>+AD315*1.6*C315</f>
        <v>0</v>
      </c>
      <c r="X315" s="1895">
        <f t="shared" si="72"/>
        <v>0</v>
      </c>
      <c r="Y315" s="3756"/>
      <c r="Z315" s="61"/>
      <c r="AA315" s="3188"/>
      <c r="AB315" s="2625"/>
      <c r="AC315" s="2625"/>
      <c r="AD315" s="2616"/>
      <c r="AE315" s="2624">
        <f t="shared" si="74"/>
        <v>0</v>
      </c>
      <c r="AF315" s="2624"/>
      <c r="AG315" s="1148"/>
      <c r="AH315" s="42">
        <f>+W315-AE315</f>
        <v>0</v>
      </c>
      <c r="AI315" s="43" t="e">
        <f>+AH315/X315</f>
        <v>#DIV/0!</v>
      </c>
    </row>
    <row r="316" spans="1:36" s="48" customFormat="1" ht="13.2" customHeight="1" thickBot="1" x14ac:dyDescent="0.25">
      <c r="A316" s="48" t="s">
        <v>3660</v>
      </c>
      <c r="B316" s="2111"/>
      <c r="C316" s="1955"/>
      <c r="D316" s="1917" t="s">
        <v>3192</v>
      </c>
      <c r="E316" s="1917" t="s">
        <v>75</v>
      </c>
      <c r="F316" s="1918"/>
      <c r="G316" s="1776"/>
      <c r="H316" s="1918"/>
      <c r="I316" s="1918"/>
      <c r="J316" s="1801"/>
      <c r="K316" s="1916">
        <v>626</v>
      </c>
      <c r="L316" s="1918"/>
      <c r="M316" s="1918"/>
      <c r="N316" s="1776"/>
      <c r="O316" s="1776"/>
      <c r="P316" s="1779"/>
      <c r="Q316" s="1779"/>
      <c r="R316" s="1779"/>
      <c r="S316" s="1737"/>
      <c r="T316" s="1737"/>
      <c r="U316" s="1737"/>
      <c r="V316" s="1741"/>
      <c r="W316" s="1758">
        <f>+AD316*1.6*C316</f>
        <v>0</v>
      </c>
      <c r="X316" s="1895">
        <f t="shared" si="72"/>
        <v>0</v>
      </c>
      <c r="Y316" s="3758"/>
      <c r="Z316" s="61" t="s">
        <v>76</v>
      </c>
      <c r="AA316" s="3190"/>
      <c r="AB316" s="2623"/>
      <c r="AC316" s="2625">
        <v>26</v>
      </c>
      <c r="AD316" s="2617">
        <f>+AC316</f>
        <v>26</v>
      </c>
      <c r="AE316" s="2617">
        <f t="shared" si="74"/>
        <v>0</v>
      </c>
      <c r="AF316" s="2617"/>
      <c r="AG316" s="1141"/>
      <c r="AH316" s="42">
        <f>+X316-AE316</f>
        <v>0</v>
      </c>
      <c r="AI316" s="43"/>
    </row>
    <row r="317" spans="1:36" s="48" customFormat="1" ht="13.2" customHeight="1" thickBot="1" x14ac:dyDescent="0.25">
      <c r="A317" s="48" t="s">
        <v>3662</v>
      </c>
      <c r="B317" s="1370"/>
      <c r="C317" s="1955"/>
      <c r="D317" s="1834" t="s">
        <v>27</v>
      </c>
      <c r="E317" s="1834" t="s">
        <v>41</v>
      </c>
      <c r="F317" s="1834" t="s">
        <v>2898</v>
      </c>
      <c r="G317" s="1745"/>
      <c r="H317" s="1834"/>
      <c r="I317" s="2262"/>
      <c r="J317" s="2939"/>
      <c r="K317" s="1786">
        <v>626</v>
      </c>
      <c r="L317" s="2263"/>
      <c r="M317" s="2263"/>
      <c r="N317" s="2263" t="s">
        <v>46</v>
      </c>
      <c r="O317" s="2263"/>
      <c r="P317" s="1745"/>
      <c r="Q317" s="1745"/>
      <c r="R317" s="1745"/>
      <c r="S317" s="1737"/>
      <c r="T317" s="1737"/>
      <c r="U317" s="1737"/>
      <c r="V317" s="1741"/>
      <c r="W317" s="1748">
        <f>+AD317*C317*1.65</f>
        <v>0</v>
      </c>
      <c r="X317" s="1894">
        <f t="shared" ref="X317:X350" si="75">+ROUNDUP(W317,0)</f>
        <v>0</v>
      </c>
      <c r="Y317" s="3756"/>
      <c r="Z317" s="74" t="s">
        <v>2899</v>
      </c>
      <c r="AA317" s="3190" t="s">
        <v>97</v>
      </c>
      <c r="AB317" s="2623">
        <v>0.26</v>
      </c>
      <c r="AC317" s="2625">
        <v>65</v>
      </c>
      <c r="AD317" s="2634">
        <f t="shared" ref="AD317:AD329" si="76">+AC317*AB317</f>
        <v>16.900000000000002</v>
      </c>
      <c r="AE317" s="2624">
        <f t="shared" si="74"/>
        <v>0</v>
      </c>
      <c r="AF317" s="2617"/>
      <c r="AG317" s="1141">
        <f>+AD317+AD317</f>
        <v>33.800000000000004</v>
      </c>
      <c r="AH317" s="44">
        <f>+W317-AE317</f>
        <v>0</v>
      </c>
      <c r="AI317" s="874" t="e">
        <f>+AH317/X317</f>
        <v>#DIV/0!</v>
      </c>
    </row>
    <row r="318" spans="1:36" s="48" customFormat="1" ht="13.2" customHeight="1" thickBot="1" x14ac:dyDescent="0.25">
      <c r="A318" s="48" t="s">
        <v>3662</v>
      </c>
      <c r="B318" s="1370"/>
      <c r="C318" s="1959"/>
      <c r="D318" s="1805" t="s">
        <v>27</v>
      </c>
      <c r="E318" s="1805" t="s">
        <v>41</v>
      </c>
      <c r="F318" s="1805" t="s">
        <v>96</v>
      </c>
      <c r="G318" s="1753"/>
      <c r="H318" s="1805" t="s">
        <v>505</v>
      </c>
      <c r="I318" s="1753"/>
      <c r="J318" s="1801"/>
      <c r="K318" s="1804">
        <v>626</v>
      </c>
      <c r="L318" s="1805"/>
      <c r="M318" s="1805"/>
      <c r="N318" s="1805" t="s">
        <v>46</v>
      </c>
      <c r="O318" s="1804"/>
      <c r="P318" s="1753" t="s">
        <v>357</v>
      </c>
      <c r="Q318" s="1754"/>
      <c r="R318" s="1754"/>
      <c r="S318" s="1738"/>
      <c r="T318" s="1737"/>
      <c r="U318" s="1737"/>
      <c r="V318" s="1761"/>
      <c r="W318" s="2199">
        <f>68*C318</f>
        <v>0</v>
      </c>
      <c r="X318" s="2205">
        <f t="shared" si="75"/>
        <v>0</v>
      </c>
      <c r="Y318" s="3762"/>
      <c r="Z318" s="74"/>
      <c r="AA318" s="3190"/>
      <c r="AB318" s="2623">
        <v>0.26</v>
      </c>
      <c r="AC318" s="2617">
        <v>65</v>
      </c>
      <c r="AD318" s="2634">
        <f t="shared" si="76"/>
        <v>16.900000000000002</v>
      </c>
      <c r="AE318" s="2624">
        <f t="shared" si="74"/>
        <v>0</v>
      </c>
      <c r="AF318" s="2617"/>
      <c r="AG318" s="1141"/>
      <c r="AH318" s="44">
        <f>+W318-AE318</f>
        <v>0</v>
      </c>
      <c r="AI318" s="874" t="e">
        <f>+AH318/X318</f>
        <v>#DIV/0!</v>
      </c>
    </row>
    <row r="319" spans="1:36" s="48" customFormat="1" ht="13.2" customHeight="1" x14ac:dyDescent="0.2">
      <c r="A319" s="48" t="s">
        <v>3662</v>
      </c>
      <c r="B319" s="1370"/>
      <c r="C319" s="1744"/>
      <c r="D319" s="1759" t="s">
        <v>27</v>
      </c>
      <c r="E319" s="1759" t="s">
        <v>41</v>
      </c>
      <c r="F319" s="1759" t="s">
        <v>96</v>
      </c>
      <c r="G319" s="1759"/>
      <c r="H319" s="1759" t="s">
        <v>505</v>
      </c>
      <c r="I319" s="1759"/>
      <c r="J319" s="1738"/>
      <c r="K319" s="1757">
        <v>630</v>
      </c>
      <c r="L319" s="1759"/>
      <c r="M319" s="1759"/>
      <c r="N319" s="1759"/>
      <c r="O319" s="1757"/>
      <c r="P319" s="1753" t="s">
        <v>386</v>
      </c>
      <c r="Q319" s="1754"/>
      <c r="R319" s="1754"/>
      <c r="S319" s="1754"/>
      <c r="T319" s="1737"/>
      <c r="U319" s="1737"/>
      <c r="V319" s="1761"/>
      <c r="W319" s="1762">
        <f>122*C319</f>
        <v>0</v>
      </c>
      <c r="X319" s="2374">
        <f>+ROUNDUP(W319,0)</f>
        <v>0</v>
      </c>
      <c r="Y319" s="3756"/>
      <c r="Z319" s="74"/>
      <c r="AA319" s="3190"/>
      <c r="AB319" s="2623">
        <v>0.26</v>
      </c>
      <c r="AC319" s="2617">
        <v>65</v>
      </c>
      <c r="AD319" s="2634">
        <f>+AC319*AB319</f>
        <v>16.900000000000002</v>
      </c>
      <c r="AE319" s="2624">
        <f t="shared" si="74"/>
        <v>0</v>
      </c>
      <c r="AF319" s="2617"/>
      <c r="AG319" s="1141"/>
      <c r="AH319" s="44">
        <f>+W319-AE319</f>
        <v>0</v>
      </c>
      <c r="AI319" s="874" t="e">
        <f>+AH319/X319</f>
        <v>#DIV/0!</v>
      </c>
    </row>
    <row r="320" spans="1:36" s="207" customFormat="1" ht="13.2" customHeight="1" x14ac:dyDescent="0.2">
      <c r="A320" s="48" t="s">
        <v>3662</v>
      </c>
      <c r="B320" s="1370"/>
      <c r="C320" s="1735"/>
      <c r="D320" s="1737" t="s">
        <v>27</v>
      </c>
      <c r="E320" s="1737" t="s">
        <v>41</v>
      </c>
      <c r="F320" s="1737" t="s">
        <v>51</v>
      </c>
      <c r="G320" s="1737"/>
      <c r="H320" s="1738" t="s">
        <v>2948</v>
      </c>
      <c r="I320" s="1737"/>
      <c r="J320" s="1738"/>
      <c r="K320" s="1738"/>
      <c r="L320" s="1738"/>
      <c r="M320" s="1738"/>
      <c r="N320" s="1738" t="s">
        <v>46</v>
      </c>
      <c r="O320" s="1738"/>
      <c r="P320" s="1737" t="s">
        <v>386</v>
      </c>
      <c r="Q320" s="1737"/>
      <c r="R320" s="1737"/>
      <c r="S320" s="1737"/>
      <c r="T320" s="1737"/>
      <c r="U320" s="1737"/>
      <c r="V320" s="1741"/>
      <c r="W320" s="1773">
        <f>+AD320*C320*1.65</f>
        <v>0</v>
      </c>
      <c r="X320" s="1895">
        <f t="shared" si="75"/>
        <v>0</v>
      </c>
      <c r="Y320" s="3756"/>
      <c r="Z320" s="61"/>
      <c r="AA320" s="3190"/>
      <c r="AB320" s="2623">
        <v>0.26</v>
      </c>
      <c r="AC320" s="2617">
        <v>65</v>
      </c>
      <c r="AD320" s="2634">
        <f t="shared" si="76"/>
        <v>16.900000000000002</v>
      </c>
      <c r="AE320" s="2617">
        <f>W320-AC320</f>
        <v>-65</v>
      </c>
      <c r="AF320" s="2617"/>
      <c r="AG320" s="1141">
        <f>+AD320+AD320</f>
        <v>33.800000000000004</v>
      </c>
      <c r="AH320" s="44">
        <f>+W320-AG320</f>
        <v>-33.800000000000004</v>
      </c>
      <c r="AI320" s="874" t="e">
        <f>+AH320/W320</f>
        <v>#DIV/0!</v>
      </c>
    </row>
    <row r="321" spans="1:35" s="48" customFormat="1" ht="13.2" customHeight="1" x14ac:dyDescent="0.2">
      <c r="A321" s="48" t="s">
        <v>3662</v>
      </c>
      <c r="B321" s="1370"/>
      <c r="C321" s="2224"/>
      <c r="D321" s="1924" t="s">
        <v>3329</v>
      </c>
      <c r="E321" s="1924" t="s">
        <v>3326</v>
      </c>
      <c r="F321" s="1924"/>
      <c r="G321" s="1787"/>
      <c r="H321" s="1924"/>
      <c r="I321" s="2885" t="s">
        <v>3355</v>
      </c>
      <c r="J321" s="1925"/>
      <c r="K321" s="1926">
        <v>630</v>
      </c>
      <c r="L321" s="2941"/>
      <c r="M321" s="2941"/>
      <c r="N321" s="2942"/>
      <c r="O321" s="2942"/>
      <c r="P321" s="1787" t="s">
        <v>3327</v>
      </c>
      <c r="Q321" s="1739"/>
      <c r="R321" s="1739"/>
      <c r="S321" s="1738"/>
      <c r="T321" s="1737"/>
      <c r="U321" s="1737"/>
      <c r="V321" s="1741"/>
      <c r="W321" s="2943">
        <f>+AD321*4*C321</f>
        <v>0</v>
      </c>
      <c r="X321" s="2385">
        <f t="shared" ref="X321" si="77">+ROUNDUP(W321,0)</f>
        <v>0</v>
      </c>
      <c r="Y321" s="3756"/>
      <c r="Z321" s="2366" t="s">
        <v>3328</v>
      </c>
      <c r="AA321" s="3191"/>
      <c r="AB321" s="2635">
        <v>1</v>
      </c>
      <c r="AC321" s="2627">
        <v>6</v>
      </c>
      <c r="AD321" s="2654">
        <f t="shared" ref="AD321" si="78">+AC321*AB321</f>
        <v>6</v>
      </c>
      <c r="AE321" s="2627">
        <f>+AD321</f>
        <v>6</v>
      </c>
      <c r="AF321" s="2627"/>
      <c r="AG321" s="1143"/>
      <c r="AH321" s="188">
        <f>+W321-(AE321*C321)</f>
        <v>0</v>
      </c>
      <c r="AI321" s="189" t="e">
        <f>+AH321/W321</f>
        <v>#DIV/0!</v>
      </c>
    </row>
    <row r="322" spans="1:35" s="48" customFormat="1" ht="13.2" customHeight="1" x14ac:dyDescent="0.2">
      <c r="A322" s="48" t="s">
        <v>3663</v>
      </c>
      <c r="B322" s="1370"/>
      <c r="C322" s="1735"/>
      <c r="D322" s="1737" t="s">
        <v>27</v>
      </c>
      <c r="E322" s="1737" t="s">
        <v>2722</v>
      </c>
      <c r="F322" s="1737" t="s">
        <v>96</v>
      </c>
      <c r="G322" s="1737"/>
      <c r="H322" s="1737"/>
      <c r="I322" s="1737"/>
      <c r="J322" s="1738"/>
      <c r="K322" s="1772">
        <v>626</v>
      </c>
      <c r="L322" s="1738"/>
      <c r="M322" s="1738"/>
      <c r="N322" s="1738" t="s">
        <v>46</v>
      </c>
      <c r="O322" s="1738"/>
      <c r="P322" s="1737"/>
      <c r="Q322" s="1737"/>
      <c r="R322" s="1737"/>
      <c r="S322" s="1737"/>
      <c r="T322" s="1737"/>
      <c r="U322" s="1737"/>
      <c r="V322" s="1741"/>
      <c r="W322" s="1751">
        <f>88*C322</f>
        <v>0</v>
      </c>
      <c r="X322" s="1895">
        <f>+ROUNDUP(W322,0)</f>
        <v>0</v>
      </c>
      <c r="Y322" s="3756"/>
      <c r="Z322" s="1051" t="s">
        <v>357</v>
      </c>
      <c r="AA322" s="3190"/>
      <c r="AB322" s="2623">
        <v>0.26</v>
      </c>
      <c r="AC322" s="2617">
        <v>65</v>
      </c>
      <c r="AD322" s="2634">
        <f>+AC322*AB322</f>
        <v>16.900000000000002</v>
      </c>
      <c r="AE322" s="2624">
        <f>+AD322*C322</f>
        <v>0</v>
      </c>
      <c r="AF322" s="2617"/>
      <c r="AG322" s="1141"/>
      <c r="AH322" s="44">
        <f>+W322-AE322</f>
        <v>0</v>
      </c>
      <c r="AI322" s="874" t="e">
        <f>+AH322/X322</f>
        <v>#DIV/0!</v>
      </c>
    </row>
    <row r="323" spans="1:35" s="48" customFormat="1" ht="13.2" customHeight="1" x14ac:dyDescent="0.2">
      <c r="A323" s="48" t="s">
        <v>3664</v>
      </c>
      <c r="B323" s="1370"/>
      <c r="C323" s="1735"/>
      <c r="D323" s="1737" t="s">
        <v>27</v>
      </c>
      <c r="E323" s="1737" t="s">
        <v>1298</v>
      </c>
      <c r="F323" s="1737" t="s">
        <v>2723</v>
      </c>
      <c r="G323" s="1737"/>
      <c r="H323" s="1737"/>
      <c r="I323" s="1737"/>
      <c r="J323" s="1738"/>
      <c r="K323" s="1772">
        <v>626</v>
      </c>
      <c r="L323" s="1738"/>
      <c r="M323" s="1738"/>
      <c r="N323" s="1738" t="s">
        <v>46</v>
      </c>
      <c r="O323" s="1738"/>
      <c r="P323" s="1737"/>
      <c r="Q323" s="1737"/>
      <c r="R323" s="1737"/>
      <c r="S323" s="1737"/>
      <c r="T323" s="1737"/>
      <c r="U323" s="1737"/>
      <c r="V323" s="1741"/>
      <c r="W323" s="1751">
        <f>130*C323</f>
        <v>0</v>
      </c>
      <c r="X323" s="1895">
        <f>+ROUNDUP(W323,0)</f>
        <v>0</v>
      </c>
      <c r="Y323" s="3756"/>
      <c r="Z323" s="1051" t="s">
        <v>357</v>
      </c>
      <c r="AA323" s="3190"/>
      <c r="AB323" s="2623">
        <v>0.26</v>
      </c>
      <c r="AC323" s="2617">
        <v>65</v>
      </c>
      <c r="AD323" s="2634">
        <f>+AC323*AB323</f>
        <v>16.900000000000002</v>
      </c>
      <c r="AE323" s="2624">
        <f>+AD323*C323</f>
        <v>0</v>
      </c>
      <c r="AF323" s="2617"/>
      <c r="AG323" s="1141"/>
      <c r="AH323" s="44">
        <f>+W323-AE323</f>
        <v>0</v>
      </c>
      <c r="AI323" s="874" t="e">
        <f>+AH323/X323</f>
        <v>#DIV/0!</v>
      </c>
    </row>
    <row r="324" spans="1:35" s="206" customFormat="1" ht="13.2" customHeight="1" thickBot="1" x14ac:dyDescent="0.25">
      <c r="A324" s="48" t="s">
        <v>3665</v>
      </c>
      <c r="B324" s="1370"/>
      <c r="C324" s="2220"/>
      <c r="D324" s="1753" t="s">
        <v>27</v>
      </c>
      <c r="E324" s="1753" t="s">
        <v>67</v>
      </c>
      <c r="F324" s="1753" t="s">
        <v>97</v>
      </c>
      <c r="G324" s="1753" t="s">
        <v>2901</v>
      </c>
      <c r="H324" s="1753"/>
      <c r="I324" s="1753"/>
      <c r="J324" s="1755"/>
      <c r="K324" s="1754">
        <v>630</v>
      </c>
      <c r="L324" s="1755"/>
      <c r="M324" s="1755"/>
      <c r="N324" s="1755" t="s">
        <v>2766</v>
      </c>
      <c r="O324" s="1755"/>
      <c r="P324" s="1737"/>
      <c r="Q324" s="1737"/>
      <c r="R324" s="1737"/>
      <c r="S324" s="1737"/>
      <c r="T324" s="1737"/>
      <c r="U324" s="1737"/>
      <c r="V324" s="1741"/>
      <c r="W324" s="1733">
        <f>+AD324*C324*1.6</f>
        <v>0</v>
      </c>
      <c r="X324" s="1893">
        <f t="shared" si="75"/>
        <v>0</v>
      </c>
      <c r="Y324" s="3756"/>
      <c r="Z324" s="208" t="s">
        <v>2902</v>
      </c>
      <c r="AA324" s="3187"/>
      <c r="AB324" s="2620">
        <v>0.375</v>
      </c>
      <c r="AC324" s="2619">
        <v>91</v>
      </c>
      <c r="AD324" s="2638">
        <f t="shared" si="76"/>
        <v>34.125</v>
      </c>
      <c r="AE324" s="2621">
        <f>+AD324*C324</f>
        <v>0</v>
      </c>
      <c r="AF324" s="2619"/>
      <c r="AG324" s="1152"/>
      <c r="AH324" s="203">
        <f>+W324-AE324</f>
        <v>0</v>
      </c>
      <c r="AI324" s="204" t="e">
        <f>+AH324/X324</f>
        <v>#DIV/0!</v>
      </c>
    </row>
    <row r="325" spans="1:35" s="48" customFormat="1" ht="13.2" customHeight="1" thickBot="1" x14ac:dyDescent="0.25">
      <c r="A325" s="48" t="s">
        <v>3665</v>
      </c>
      <c r="B325" s="2111"/>
      <c r="C325" s="2226">
        <v>2</v>
      </c>
      <c r="D325" s="2217" t="s">
        <v>3196</v>
      </c>
      <c r="E325" s="1805" t="s">
        <v>67</v>
      </c>
      <c r="F325" s="1807" t="s">
        <v>97</v>
      </c>
      <c r="G325" s="1807"/>
      <c r="H325" s="1807"/>
      <c r="I325" s="1807"/>
      <c r="J325" s="1807"/>
      <c r="K325" s="1804">
        <v>626</v>
      </c>
      <c r="L325" s="1807"/>
      <c r="M325" s="1807"/>
      <c r="N325" s="1807" t="s">
        <v>46</v>
      </c>
      <c r="O325" s="1805" t="s">
        <v>97</v>
      </c>
      <c r="P325" s="1763"/>
      <c r="Q325" s="1763"/>
      <c r="R325" s="1763"/>
      <c r="S325" s="1737"/>
      <c r="T325" s="1737"/>
      <c r="U325" s="1737"/>
      <c r="V325" s="1741"/>
      <c r="W325" s="2016">
        <f>+AD325*C325*1.6</f>
        <v>54.080000000000013</v>
      </c>
      <c r="X325" s="2017">
        <f t="shared" si="75"/>
        <v>55</v>
      </c>
      <c r="Y325" s="3758"/>
      <c r="Z325" s="197" t="s">
        <v>357</v>
      </c>
      <c r="AA325" s="3191"/>
      <c r="AB325" s="2635">
        <v>0.26</v>
      </c>
      <c r="AC325" s="2627">
        <v>65</v>
      </c>
      <c r="AD325" s="2654">
        <f t="shared" si="76"/>
        <v>16.900000000000002</v>
      </c>
      <c r="AE325" s="2655">
        <f>+AD325*C325</f>
        <v>33.800000000000004</v>
      </c>
      <c r="AF325" s="2627"/>
      <c r="AG325" s="1143"/>
      <c r="AH325" s="188">
        <f>+W325-AE325</f>
        <v>20.280000000000008</v>
      </c>
      <c r="AI325" s="189">
        <f>+AH325/X325</f>
        <v>0.3687272727272729</v>
      </c>
    </row>
    <row r="326" spans="1:35" s="48" customFormat="1" ht="13.2" customHeight="1" thickBot="1" x14ac:dyDescent="0.25">
      <c r="A326" s="48" t="s">
        <v>3665</v>
      </c>
      <c r="B326" s="1370"/>
      <c r="C326" s="2224"/>
      <c r="D326" s="1924" t="s">
        <v>3196</v>
      </c>
      <c r="E326" s="1924" t="s">
        <v>67</v>
      </c>
      <c r="F326" s="1924" t="s">
        <v>97</v>
      </c>
      <c r="G326" s="1787"/>
      <c r="H326" s="1924"/>
      <c r="I326" s="1924"/>
      <c r="J326" s="1925"/>
      <c r="K326" s="1926">
        <v>626</v>
      </c>
      <c r="L326" s="1792"/>
      <c r="M326" s="1792"/>
      <c r="N326" s="1793"/>
      <c r="O326" s="1793"/>
      <c r="P326" s="1787" t="s">
        <v>386</v>
      </c>
      <c r="Q326" s="1739"/>
      <c r="R326" s="1739"/>
      <c r="S326" s="1738"/>
      <c r="T326" s="1737"/>
      <c r="U326" s="1737"/>
      <c r="V326" s="1741"/>
      <c r="W326" s="1794">
        <f>+AD326*C326*1.6</f>
        <v>0</v>
      </c>
      <c r="X326" s="1923">
        <f t="shared" si="75"/>
        <v>0</v>
      </c>
      <c r="Y326" s="3756"/>
      <c r="Z326" s="197" t="s">
        <v>357</v>
      </c>
      <c r="AA326" s="3191"/>
      <c r="AB326" s="2635">
        <v>0.26</v>
      </c>
      <c r="AC326" s="2627">
        <v>65</v>
      </c>
      <c r="AD326" s="2654">
        <f t="shared" si="76"/>
        <v>16.900000000000002</v>
      </c>
      <c r="AE326" s="2627">
        <f>W326-AC326</f>
        <v>-65</v>
      </c>
      <c r="AF326" s="2627"/>
      <c r="AG326" s="1143"/>
      <c r="AH326" s="188">
        <f>+X326-AE326</f>
        <v>65</v>
      </c>
      <c r="AI326" s="189" t="e">
        <f>AE326/W326</f>
        <v>#DIV/0!</v>
      </c>
    </row>
    <row r="327" spans="1:35" s="48" customFormat="1" ht="13.2" customHeight="1" thickBot="1" x14ac:dyDescent="0.25">
      <c r="A327" s="48" t="s">
        <v>3665</v>
      </c>
      <c r="B327" s="1727"/>
      <c r="C327" s="1959"/>
      <c r="D327" s="1805" t="s">
        <v>3580</v>
      </c>
      <c r="E327" s="1805" t="s">
        <v>67</v>
      </c>
      <c r="F327" s="1805" t="s">
        <v>96</v>
      </c>
      <c r="G327" s="1753" t="s">
        <v>2917</v>
      </c>
      <c r="H327" s="1846" t="s">
        <v>2778</v>
      </c>
      <c r="I327" s="1753"/>
      <c r="J327" s="1807"/>
      <c r="K327" s="1914" t="s">
        <v>2770</v>
      </c>
      <c r="L327" s="1807"/>
      <c r="M327" s="1807"/>
      <c r="N327" s="1807" t="s">
        <v>95</v>
      </c>
      <c r="O327" s="1807"/>
      <c r="P327" s="1753"/>
      <c r="Q327" s="1753"/>
      <c r="R327" s="1753"/>
      <c r="S327" s="1737"/>
      <c r="T327" s="1737"/>
      <c r="U327" s="1737"/>
      <c r="V327" s="1741"/>
      <c r="W327" s="1743">
        <f>75*C327</f>
        <v>0</v>
      </c>
      <c r="X327" s="1893">
        <f t="shared" si="75"/>
        <v>0</v>
      </c>
      <c r="Y327" s="3758"/>
      <c r="Z327" s="889" t="s">
        <v>350</v>
      </c>
      <c r="AA327" s="3206"/>
      <c r="AB327" s="2656"/>
      <c r="AC327" s="2657"/>
      <c r="AD327" s="2654">
        <f t="shared" si="76"/>
        <v>0</v>
      </c>
      <c r="AE327" s="2655">
        <f>+AD327*C327</f>
        <v>0</v>
      </c>
      <c r="AF327" s="2627"/>
      <c r="AG327" s="1143"/>
      <c r="AH327" s="188">
        <f>+W327-AE327</f>
        <v>0</v>
      </c>
      <c r="AI327" s="189" t="e">
        <f>+AH327/X327</f>
        <v>#DIV/0!</v>
      </c>
    </row>
    <row r="328" spans="1:35" s="48" customFormat="1" ht="13.2" customHeight="1" x14ac:dyDescent="0.2">
      <c r="A328" s="48" t="s">
        <v>3665</v>
      </c>
      <c r="B328" s="1370"/>
      <c r="C328" s="1735"/>
      <c r="D328" s="1759" t="s">
        <v>3313</v>
      </c>
      <c r="E328" s="1759" t="s">
        <v>67</v>
      </c>
      <c r="F328" s="1759" t="s">
        <v>96</v>
      </c>
      <c r="G328" s="1759" t="s">
        <v>2918</v>
      </c>
      <c r="H328" s="1752" t="s">
        <v>2778</v>
      </c>
      <c r="I328" s="1759"/>
      <c r="K328" s="1757" t="s">
        <v>2770</v>
      </c>
      <c r="L328" s="1752"/>
      <c r="M328" s="1752"/>
      <c r="N328" s="1752" t="s">
        <v>2465</v>
      </c>
      <c r="O328" s="1752"/>
      <c r="P328" s="1759"/>
      <c r="Q328" s="1759"/>
      <c r="R328" s="1759"/>
      <c r="S328" s="1759"/>
      <c r="T328" s="1753"/>
      <c r="U328" s="1753"/>
      <c r="V328" s="1756"/>
      <c r="W328" s="1734">
        <f>AD328*C328*1.35*2</f>
        <v>0</v>
      </c>
      <c r="X328" s="1893">
        <f t="shared" si="75"/>
        <v>0</v>
      </c>
      <c r="Y328" s="3756"/>
      <c r="Z328" s="889" t="s">
        <v>422</v>
      </c>
      <c r="AA328" s="3188" t="s">
        <v>2989</v>
      </c>
      <c r="AB328" s="2658">
        <v>1</v>
      </c>
      <c r="AC328" s="2658">
        <v>87</v>
      </c>
      <c r="AD328" s="2654">
        <f t="shared" si="76"/>
        <v>87</v>
      </c>
      <c r="AE328" s="2624">
        <f>+AD328*C328</f>
        <v>0</v>
      </c>
      <c r="AF328" s="2617">
        <f>+X328-AE328</f>
        <v>0</v>
      </c>
      <c r="AG328" s="1154">
        <f>+W328-AF328</f>
        <v>0</v>
      </c>
      <c r="AH328" s="76" t="e">
        <f>+AG328/W328</f>
        <v>#DIV/0!</v>
      </c>
      <c r="AI328" s="43" t="e">
        <f>+AH328/X328</f>
        <v>#DIV/0!</v>
      </c>
    </row>
    <row r="329" spans="1:35" s="48" customFormat="1" ht="13.2" customHeight="1" x14ac:dyDescent="0.2">
      <c r="A329" s="48" t="s">
        <v>3665</v>
      </c>
      <c r="B329" s="1370"/>
      <c r="C329" s="2313"/>
      <c r="D329" s="2314" t="s">
        <v>3319</v>
      </c>
      <c r="E329" s="2330" t="s">
        <v>3317</v>
      </c>
      <c r="F329" s="2314" t="s">
        <v>96</v>
      </c>
      <c r="G329" s="2300" t="s">
        <v>2918</v>
      </c>
      <c r="H329" s="2309" t="s">
        <v>3317</v>
      </c>
      <c r="I329" s="2314"/>
      <c r="J329" s="2308"/>
      <c r="K329" s="2315"/>
      <c r="L329" s="2261"/>
      <c r="M329" s="1752"/>
      <c r="N329" s="1752" t="s">
        <v>3311</v>
      </c>
      <c r="O329" s="1752"/>
      <c r="P329" s="1759"/>
      <c r="Q329" s="1759"/>
      <c r="R329" s="1759"/>
      <c r="S329" s="1759"/>
      <c r="T329" s="1753"/>
      <c r="U329" s="1753"/>
      <c r="V329" s="1756"/>
      <c r="W329" s="1893">
        <f>AD329*C329*1.6</f>
        <v>0</v>
      </c>
      <c r="X329" s="2361">
        <f t="shared" ref="X329" si="79">+ROUNDUP(W329,0)</f>
        <v>0</v>
      </c>
      <c r="Y329" s="3756"/>
      <c r="Z329" s="214" t="s">
        <v>422</v>
      </c>
      <c r="AA329" s="3207" t="s">
        <v>3312</v>
      </c>
      <c r="AB329" s="2660">
        <v>1</v>
      </c>
      <c r="AC329" s="2657">
        <v>153</v>
      </c>
      <c r="AD329" s="2654">
        <f t="shared" si="76"/>
        <v>153</v>
      </c>
      <c r="AE329" s="2655"/>
      <c r="AF329" s="2627"/>
      <c r="AG329" s="1154"/>
      <c r="AH329" s="187"/>
      <c r="AI329" s="43"/>
    </row>
    <row r="330" spans="1:35" s="48" customFormat="1" ht="13.2" customHeight="1" x14ac:dyDescent="0.2">
      <c r="A330" s="48" t="s">
        <v>3666</v>
      </c>
      <c r="B330" s="1372"/>
      <c r="C330" s="2225"/>
      <c r="D330" s="2321" t="s">
        <v>3279</v>
      </c>
      <c r="E330" s="2321" t="s">
        <v>3280</v>
      </c>
      <c r="F330" s="2321"/>
      <c r="G330" s="1791"/>
      <c r="H330" s="2322"/>
      <c r="I330" s="2321"/>
      <c r="K330" s="2323" t="s">
        <v>3282</v>
      </c>
      <c r="L330" s="1776"/>
      <c r="M330" s="1776"/>
      <c r="N330" s="1776"/>
      <c r="O330" s="1776"/>
      <c r="P330" s="1791"/>
      <c r="Q330" s="1791"/>
      <c r="R330" s="1791"/>
      <c r="S330" s="1791"/>
      <c r="T330" s="1737"/>
      <c r="U330" s="1737"/>
      <c r="V330" s="1741"/>
      <c r="W330" s="1743">
        <f>AD330*C330*1.7*C330</f>
        <v>0</v>
      </c>
      <c r="X330" s="2375">
        <f t="shared" si="75"/>
        <v>0</v>
      </c>
      <c r="Y330" s="3756"/>
      <c r="Z330" s="45" t="s">
        <v>33</v>
      </c>
      <c r="AA330" s="3207" t="s">
        <v>3283</v>
      </c>
      <c r="AB330" s="2661">
        <v>0.2</v>
      </c>
      <c r="AC330" s="2657">
        <v>1078</v>
      </c>
      <c r="AD330" s="2660">
        <f>+AC330*AB330</f>
        <v>215.60000000000002</v>
      </c>
      <c r="AE330" s="2655">
        <f>+W330-AD330</f>
        <v>-215.60000000000002</v>
      </c>
      <c r="AF330" s="2627"/>
      <c r="AG330" s="1154"/>
      <c r="AH330" s="188">
        <f>+AE330</f>
        <v>-215.60000000000002</v>
      </c>
      <c r="AI330" s="43" t="e">
        <f>+AH330/W330</f>
        <v>#DIV/0!</v>
      </c>
    </row>
    <row r="331" spans="1:35" s="48" customFormat="1" ht="13.2" customHeight="1" x14ac:dyDescent="0.2">
      <c r="A331" s="48" t="s">
        <v>3666</v>
      </c>
      <c r="B331" s="1372"/>
      <c r="C331" s="1955"/>
      <c r="D331" s="1917" t="s">
        <v>3279</v>
      </c>
      <c r="E331" s="1917" t="s">
        <v>3281</v>
      </c>
      <c r="F331" s="1917"/>
      <c r="G331" s="1791"/>
      <c r="H331" s="1918" t="s">
        <v>2778</v>
      </c>
      <c r="I331" s="1917"/>
      <c r="J331" s="2204"/>
      <c r="K331" s="1916" t="s">
        <v>3282</v>
      </c>
      <c r="L331" s="1918"/>
      <c r="M331" s="1776"/>
      <c r="N331" s="1918"/>
      <c r="O331" s="1918"/>
      <c r="P331" s="1791"/>
      <c r="Q331" s="1791"/>
      <c r="R331" s="1791"/>
      <c r="S331" s="1791"/>
      <c r="T331" s="1737"/>
      <c r="U331" s="1737"/>
      <c r="V331" s="1741"/>
      <c r="W331" s="1743">
        <f>AD331*C331*1.85*C331</f>
        <v>0</v>
      </c>
      <c r="X331" s="2019">
        <f t="shared" si="75"/>
        <v>0</v>
      </c>
      <c r="Y331" s="3756"/>
      <c r="Z331" s="45" t="s">
        <v>33</v>
      </c>
      <c r="AA331" s="3207" t="s">
        <v>3284</v>
      </c>
      <c r="AB331" s="2661">
        <v>0.2</v>
      </c>
      <c r="AC331" s="2657">
        <v>1533</v>
      </c>
      <c r="AD331" s="2660">
        <f>+AC331*AB331</f>
        <v>306.60000000000002</v>
      </c>
      <c r="AE331" s="2655">
        <f>+W331-AD331</f>
        <v>-306.60000000000002</v>
      </c>
      <c r="AF331" s="2627"/>
      <c r="AG331" s="1154"/>
      <c r="AH331" s="188">
        <f>+AE331</f>
        <v>-306.60000000000002</v>
      </c>
      <c r="AI331" s="43" t="e">
        <f>+AH331/W331</f>
        <v>#DIV/0!</v>
      </c>
    </row>
    <row r="332" spans="1:35" s="48" customFormat="1" ht="13.2" customHeight="1" x14ac:dyDescent="0.2">
      <c r="A332" s="48" t="s">
        <v>3667</v>
      </c>
      <c r="B332" s="1727"/>
      <c r="C332" s="1766"/>
      <c r="D332" s="1753" t="s">
        <v>409</v>
      </c>
      <c r="E332" s="1753" t="s">
        <v>412</v>
      </c>
      <c r="F332" s="1755"/>
      <c r="G332" s="1755"/>
      <c r="H332" s="1755"/>
      <c r="I332" s="1755"/>
      <c r="J332" s="1755"/>
      <c r="K332" s="1753"/>
      <c r="L332" s="1755"/>
      <c r="M332" s="1755"/>
      <c r="N332" s="1755" t="s">
        <v>410</v>
      </c>
      <c r="O332" s="1755"/>
      <c r="P332" s="1737"/>
      <c r="Q332" s="1737"/>
      <c r="R332" s="1737"/>
      <c r="S332" s="1737"/>
      <c r="T332" s="1737"/>
      <c r="U332" s="1737"/>
      <c r="V332" s="1741"/>
      <c r="W332" s="1733">
        <f>+AD332*1.3*C332</f>
        <v>0</v>
      </c>
      <c r="X332" s="1893">
        <f t="shared" si="75"/>
        <v>0</v>
      </c>
      <c r="Y332" s="3756"/>
      <c r="Z332" s="45" t="s">
        <v>386</v>
      </c>
      <c r="AA332" s="3208"/>
      <c r="AB332" s="2661"/>
      <c r="AC332" s="2627"/>
      <c r="AD332" s="2662">
        <v>50</v>
      </c>
      <c r="AE332" s="2655"/>
      <c r="AF332" s="2655"/>
      <c r="AG332" s="1154"/>
      <c r="AH332" s="67"/>
      <c r="AI332" s="189"/>
    </row>
    <row r="333" spans="1:35" s="48" customFormat="1" ht="13.2" customHeight="1" x14ac:dyDescent="0.2">
      <c r="A333" s="48" t="s">
        <v>3667</v>
      </c>
      <c r="B333" s="1727"/>
      <c r="C333" s="1766"/>
      <c r="D333" s="1753" t="s">
        <v>409</v>
      </c>
      <c r="E333" s="1753" t="s">
        <v>412</v>
      </c>
      <c r="F333" s="1755"/>
      <c r="G333" s="1755"/>
      <c r="H333" s="1755"/>
      <c r="I333" s="1755"/>
      <c r="J333" s="1755"/>
      <c r="K333" s="1753"/>
      <c r="L333" s="1755"/>
      <c r="M333" s="1755"/>
      <c r="N333" s="1755" t="s">
        <v>410</v>
      </c>
      <c r="O333" s="1755"/>
      <c r="P333" s="1737"/>
      <c r="Q333" s="1737"/>
      <c r="R333" s="1737"/>
      <c r="S333" s="1737"/>
      <c r="T333" s="1737"/>
      <c r="U333" s="1737"/>
      <c r="V333" s="1741"/>
      <c r="W333" s="1733">
        <f>+AD333*1.3*C333</f>
        <v>0</v>
      </c>
      <c r="X333" s="1893">
        <f>+ROUNDUP(W333,0)</f>
        <v>0</v>
      </c>
      <c r="Y333" s="3756"/>
      <c r="Z333" s="45" t="s">
        <v>386</v>
      </c>
      <c r="AA333" s="3208"/>
      <c r="AB333" s="2661"/>
      <c r="AC333" s="2627"/>
      <c r="AD333" s="2662">
        <v>50</v>
      </c>
      <c r="AE333" s="2655"/>
      <c r="AF333" s="2655"/>
      <c r="AG333" s="1154"/>
      <c r="AH333" s="67"/>
      <c r="AI333" s="189"/>
    </row>
    <row r="334" spans="1:35" s="48" customFormat="1" ht="13.2" customHeight="1" thickBot="1" x14ac:dyDescent="0.25">
      <c r="A334" s="48" t="s">
        <v>3667</v>
      </c>
      <c r="B334" s="1727"/>
      <c r="C334" s="1766"/>
      <c r="D334" s="1753" t="s">
        <v>409</v>
      </c>
      <c r="E334" s="1753" t="s">
        <v>412</v>
      </c>
      <c r="F334" s="1755"/>
      <c r="G334" s="1755"/>
      <c r="H334" s="1755"/>
      <c r="I334" s="1755"/>
      <c r="J334" s="1755"/>
      <c r="K334" s="1753"/>
      <c r="L334" s="1755"/>
      <c r="M334" s="1755"/>
      <c r="N334" s="1755" t="s">
        <v>410</v>
      </c>
      <c r="O334" s="1755"/>
      <c r="P334" s="1737"/>
      <c r="Q334" s="1737"/>
      <c r="R334" s="1737"/>
      <c r="S334" s="1737"/>
      <c r="T334" s="1737"/>
      <c r="U334" s="1737"/>
      <c r="V334" s="1741"/>
      <c r="W334" s="1733">
        <f>+AD334*1.3*C334</f>
        <v>0</v>
      </c>
      <c r="X334" s="1893">
        <f>+ROUNDUP(W334,0)</f>
        <v>0</v>
      </c>
      <c r="Y334" s="3756"/>
      <c r="Z334" s="45" t="s">
        <v>386</v>
      </c>
      <c r="AA334" s="3208"/>
      <c r="AB334" s="2661"/>
      <c r="AC334" s="2627"/>
      <c r="AD334" s="2662">
        <v>50</v>
      </c>
      <c r="AE334" s="2655"/>
      <c r="AF334" s="2655"/>
      <c r="AG334" s="1154"/>
      <c r="AH334" s="67"/>
      <c r="AI334" s="189"/>
    </row>
    <row r="335" spans="1:35" s="48" customFormat="1" ht="13.2" thickBot="1" x14ac:dyDescent="0.25">
      <c r="A335" s="48" t="s">
        <v>3667</v>
      </c>
      <c r="B335" s="1370"/>
      <c r="C335" s="3650">
        <v>3</v>
      </c>
      <c r="D335" s="3651" t="s">
        <v>3743</v>
      </c>
      <c r="E335" s="3651" t="s">
        <v>413</v>
      </c>
      <c r="F335" s="3652"/>
      <c r="G335" s="1769"/>
      <c r="H335" s="3651" t="s">
        <v>2753</v>
      </c>
      <c r="I335" s="2249"/>
      <c r="J335" s="3651" t="s">
        <v>2754</v>
      </c>
      <c r="K335" s="3653" t="s">
        <v>2674</v>
      </c>
      <c r="L335" s="2100"/>
      <c r="M335" s="2100"/>
      <c r="N335" s="2204"/>
      <c r="O335" s="2100"/>
      <c r="P335" s="1740"/>
      <c r="Q335" s="1740"/>
      <c r="R335" s="1740"/>
      <c r="S335" s="1737"/>
      <c r="T335" s="1737"/>
      <c r="U335" s="1737"/>
      <c r="V335" s="1741"/>
      <c r="W335" s="3654">
        <f>+AD335*1.85*C335</f>
        <v>95.238</v>
      </c>
      <c r="X335" s="3655">
        <f t="shared" si="75"/>
        <v>96</v>
      </c>
      <c r="Y335" s="3762"/>
      <c r="Z335" s="45" t="s">
        <v>386</v>
      </c>
      <c r="AA335" s="3208" t="s">
        <v>2750</v>
      </c>
      <c r="AB335" s="2661">
        <v>0.55000000000000004</v>
      </c>
      <c r="AC335" s="2627">
        <v>31.2</v>
      </c>
      <c r="AD335" s="2662">
        <f>+AC335*AB335</f>
        <v>17.16</v>
      </c>
      <c r="AE335" s="2655">
        <f>+AD335</f>
        <v>17.16</v>
      </c>
      <c r="AF335" s="2655"/>
      <c r="AG335" s="1154"/>
      <c r="AH335" s="67">
        <f>+W335-AE335</f>
        <v>78.078000000000003</v>
      </c>
      <c r="AI335" s="189">
        <f>+AH335/X335</f>
        <v>0.81331249999999999</v>
      </c>
    </row>
    <row r="336" spans="1:35" s="48" customFormat="1" ht="12.6" customHeight="1" thickBot="1" x14ac:dyDescent="0.25">
      <c r="A336" s="48" t="s">
        <v>3667</v>
      </c>
      <c r="B336" s="1370"/>
      <c r="C336" s="2227"/>
      <c r="D336" s="3112" t="s">
        <v>409</v>
      </c>
      <c r="E336" s="3112" t="s">
        <v>413</v>
      </c>
      <c r="F336" s="2842"/>
      <c r="G336" s="2306"/>
      <c r="H336" s="2842"/>
      <c r="I336" s="2306"/>
      <c r="J336" s="2842"/>
      <c r="K336" s="2838">
        <v>630</v>
      </c>
      <c r="L336" s="2216"/>
      <c r="M336" s="1878"/>
      <c r="N336" s="1878" t="s">
        <v>414</v>
      </c>
      <c r="O336" s="1878"/>
      <c r="P336" s="1737"/>
      <c r="Q336" s="1737"/>
      <c r="R336" s="1737"/>
      <c r="S336" s="1737"/>
      <c r="T336" s="1737"/>
      <c r="U336" s="1737"/>
      <c r="V336" s="3630"/>
      <c r="W336" s="3696">
        <f>+AD336*1.6*C336</f>
        <v>0</v>
      </c>
      <c r="X336" s="2092">
        <f t="shared" si="75"/>
        <v>0</v>
      </c>
      <c r="Y336" s="3759"/>
      <c r="Z336" s="45" t="s">
        <v>386</v>
      </c>
      <c r="AA336" s="3208" t="s">
        <v>2751</v>
      </c>
      <c r="AB336" s="2661">
        <v>0.55000000000000004</v>
      </c>
      <c r="AC336" s="2627">
        <v>70</v>
      </c>
      <c r="AD336" s="2662">
        <f>+AC336*AB336</f>
        <v>38.5</v>
      </c>
      <c r="AE336" s="2655">
        <f>+AD336</f>
        <v>38.5</v>
      </c>
      <c r="AF336" s="2618">
        <f>+AE336*C336</f>
        <v>0</v>
      </c>
      <c r="AG336" s="1154">
        <f>+W336-AF336</f>
        <v>0</v>
      </c>
      <c r="AH336" s="76" t="e">
        <f>+AG336/W336</f>
        <v>#DIV/0!</v>
      </c>
      <c r="AI336" s="187"/>
    </row>
    <row r="337" spans="1:35" s="244" customFormat="1" ht="12.6" customHeight="1" thickBot="1" x14ac:dyDescent="0.25">
      <c r="A337" s="48" t="s">
        <v>3667</v>
      </c>
      <c r="B337" s="1370"/>
      <c r="C337" s="3678"/>
      <c r="D337" s="3679" t="s">
        <v>3118</v>
      </c>
      <c r="E337" s="3680" t="s">
        <v>3112</v>
      </c>
      <c r="F337" s="3681"/>
      <c r="G337" s="2008" t="s">
        <v>3073</v>
      </c>
      <c r="H337" s="3941" t="s">
        <v>421</v>
      </c>
      <c r="I337" s="3942"/>
      <c r="J337" s="3943"/>
      <c r="K337" s="3682">
        <v>630</v>
      </c>
      <c r="L337" s="2007"/>
      <c r="M337" s="2007"/>
      <c r="N337" s="2009">
        <v>630</v>
      </c>
      <c r="O337" s="887"/>
      <c r="P337" s="887"/>
      <c r="Q337" s="887"/>
      <c r="R337" s="2010"/>
      <c r="S337" s="887"/>
      <c r="T337" s="887"/>
      <c r="U337" s="2011"/>
      <c r="V337" s="2012"/>
      <c r="W337" s="1972">
        <f>+AD337*1.6*C337</f>
        <v>0</v>
      </c>
      <c r="X337" s="3048">
        <f t="shared" si="75"/>
        <v>0</v>
      </c>
      <c r="Y337" s="3755"/>
      <c r="Z337" s="900" t="s">
        <v>421</v>
      </c>
      <c r="AA337" s="3209">
        <v>0.55000000000000004</v>
      </c>
      <c r="AB337" s="2627">
        <v>86</v>
      </c>
      <c r="AC337" s="2634">
        <f>+AB337*AA337</f>
        <v>47.300000000000004</v>
      </c>
      <c r="AD337" s="2624">
        <f>+AC337</f>
        <v>47.300000000000004</v>
      </c>
      <c r="AE337" s="2624">
        <f>+W337-AC337</f>
        <v>-47.300000000000004</v>
      </c>
      <c r="AF337" s="2624" t="e">
        <f>+AE337/W337</f>
        <v>#DIV/0!</v>
      </c>
      <c r="AG337" s="42"/>
      <c r="AH337" s="43"/>
    </row>
    <row r="338" spans="1:35" s="244" customFormat="1" ht="12.6" customHeight="1" x14ac:dyDescent="0.2">
      <c r="A338" s="48" t="s">
        <v>3667</v>
      </c>
      <c r="B338" s="1370"/>
      <c r="C338" s="1735"/>
      <c r="D338" s="2038" t="s">
        <v>409</v>
      </c>
      <c r="E338" s="2037" t="s">
        <v>415</v>
      </c>
      <c r="F338" s="2040"/>
      <c r="G338" s="1738"/>
      <c r="H338" s="2040"/>
      <c r="I338" s="1738"/>
      <c r="J338" s="2040"/>
      <c r="K338" s="2040"/>
      <c r="L338" s="1738"/>
      <c r="M338" s="1738"/>
      <c r="N338" s="2040" t="s">
        <v>418</v>
      </c>
      <c r="O338" s="2040" t="s">
        <v>416</v>
      </c>
      <c r="P338" s="1737"/>
      <c r="Q338" s="1737"/>
      <c r="R338" s="1737"/>
      <c r="S338" s="1737"/>
      <c r="T338" s="1737"/>
      <c r="U338" s="1737"/>
      <c r="V338" s="1741"/>
      <c r="W338" s="1758">
        <f>+AD338*1.3*C338</f>
        <v>0</v>
      </c>
      <c r="X338" s="3032">
        <f t="shared" si="75"/>
        <v>0</v>
      </c>
      <c r="Y338" s="3756"/>
      <c r="Z338" s="197"/>
      <c r="AA338" s="3202"/>
      <c r="AB338" s="2635"/>
      <c r="AC338" s="2627"/>
      <c r="AD338" s="2634"/>
      <c r="AE338" s="2624"/>
      <c r="AF338" s="2624"/>
      <c r="AG338" s="1148"/>
      <c r="AH338" s="42"/>
      <c r="AI338" s="43"/>
    </row>
    <row r="339" spans="1:35" s="1071" customFormat="1" ht="12.6" customHeight="1" x14ac:dyDescent="0.2">
      <c r="A339" s="1071" t="s">
        <v>3674</v>
      </c>
      <c r="B339" s="3487"/>
      <c r="C339" s="3273"/>
      <c r="D339" s="1917" t="s">
        <v>3195</v>
      </c>
      <c r="E339" s="1917" t="s">
        <v>3453</v>
      </c>
      <c r="F339" s="1918"/>
      <c r="H339" s="1917" t="s">
        <v>3184</v>
      </c>
      <c r="I339" s="3488" t="s">
        <v>340</v>
      </c>
      <c r="J339" s="3274"/>
      <c r="K339" s="3275">
        <v>630</v>
      </c>
      <c r="L339" s="3489"/>
      <c r="M339" s="3274"/>
      <c r="N339" s="1918"/>
      <c r="O339" s="1918"/>
      <c r="P339" s="3490"/>
      <c r="Q339" s="1917"/>
      <c r="R339" s="1917"/>
      <c r="S339" s="1917"/>
      <c r="T339" s="1791"/>
      <c r="U339" s="1791"/>
      <c r="V339" s="3491"/>
      <c r="W339" s="3016">
        <f>+AD339*1.4*C339</f>
        <v>0</v>
      </c>
      <c r="X339" s="2019">
        <f>ROUNDUP(W339,0)</f>
        <v>0</v>
      </c>
      <c r="Y339" s="3756"/>
      <c r="Z339" s="3492" t="s">
        <v>3452</v>
      </c>
      <c r="AA339" s="3493"/>
      <c r="AB339" s="3494">
        <v>1</v>
      </c>
      <c r="AC339" s="2541">
        <v>45.05</v>
      </c>
      <c r="AD339" s="2513">
        <f>+AC339</f>
        <v>45.05</v>
      </c>
      <c r="AE339" s="2513">
        <f>+AD339</f>
        <v>45.05</v>
      </c>
      <c r="AF339" s="2513"/>
      <c r="AG339" s="1327"/>
      <c r="AH339" s="232">
        <f t="shared" ref="AH339" si="80">+W339-AE339</f>
        <v>-45.05</v>
      </c>
      <c r="AI339" s="233" t="e">
        <f t="shared" ref="AI339" si="81">+AH339/X339</f>
        <v>#DIV/0!</v>
      </c>
    </row>
    <row r="340" spans="1:35" s="244" customFormat="1" ht="12.6" customHeight="1" x14ac:dyDescent="0.2">
      <c r="A340" s="1071" t="s">
        <v>3674</v>
      </c>
      <c r="B340" s="1357"/>
      <c r="C340" s="1845"/>
      <c r="D340" s="2321" t="s">
        <v>2985</v>
      </c>
      <c r="E340" s="2321" t="s">
        <v>3049</v>
      </c>
      <c r="F340" s="2322"/>
      <c r="G340" s="1776"/>
      <c r="H340" s="2322"/>
      <c r="I340" s="1776"/>
      <c r="J340" s="2322"/>
      <c r="K340" s="2321"/>
      <c r="L340" s="1776"/>
      <c r="M340" s="1776"/>
      <c r="N340" s="2322"/>
      <c r="O340" s="2322"/>
      <c r="P340" s="1791"/>
      <c r="Q340" s="1791"/>
      <c r="R340" s="1791"/>
      <c r="S340" s="1791"/>
      <c r="T340" s="1791"/>
      <c r="U340" s="1791"/>
      <c r="V340" s="3491"/>
      <c r="W340" s="1758">
        <f>65*C340</f>
        <v>0</v>
      </c>
      <c r="X340" s="2375">
        <f>ROUNDUP(W340,0)</f>
        <v>0</v>
      </c>
      <c r="Y340" s="3756"/>
      <c r="AA340" s="3218"/>
      <c r="AF340" s="2513"/>
      <c r="AG340" s="1327"/>
      <c r="AH340" s="232"/>
      <c r="AI340" s="233"/>
    </row>
    <row r="341" spans="1:35" s="244" customFormat="1" ht="12.6" customHeight="1" x14ac:dyDescent="0.2">
      <c r="A341" s="1071" t="s">
        <v>3674</v>
      </c>
      <c r="B341" s="1357"/>
      <c r="C341" s="1845"/>
      <c r="D341" s="1791" t="s">
        <v>2985</v>
      </c>
      <c r="E341" s="1791" t="s">
        <v>412</v>
      </c>
      <c r="F341" s="1776" t="s">
        <v>3416</v>
      </c>
      <c r="G341" s="1776"/>
      <c r="H341" s="1776" t="s">
        <v>3418</v>
      </c>
      <c r="I341" s="1776"/>
      <c r="J341" s="1776"/>
      <c r="K341" s="1777" t="s">
        <v>2674</v>
      </c>
      <c r="L341" s="1776"/>
      <c r="M341" s="1776"/>
      <c r="N341" s="1791" t="s">
        <v>411</v>
      </c>
      <c r="O341" s="1776"/>
      <c r="P341" s="1791"/>
      <c r="Q341" s="1791"/>
      <c r="R341" s="1791"/>
      <c r="S341" s="1791"/>
      <c r="T341" s="1791"/>
      <c r="U341" s="1791"/>
      <c r="V341" s="3491"/>
      <c r="W341" s="1773">
        <f>+AE341*2*C341</f>
        <v>0</v>
      </c>
      <c r="X341" s="1895">
        <f t="shared" ref="X341:X342" si="82">+ROUNDUP(W341,0)</f>
        <v>0</v>
      </c>
      <c r="Y341" s="3756"/>
      <c r="Z341" s="3492" t="s">
        <v>76</v>
      </c>
      <c r="AA341" s="3493" t="s">
        <v>3420</v>
      </c>
      <c r="AB341" s="3494">
        <v>1</v>
      </c>
      <c r="AC341" s="2541">
        <v>13.8</v>
      </c>
      <c r="AD341" s="3495">
        <f>+AC341</f>
        <v>13.8</v>
      </c>
      <c r="AE341" s="3496">
        <f>+AD341</f>
        <v>13.8</v>
      </c>
      <c r="AF341" s="3496"/>
      <c r="AG341" s="3497"/>
      <c r="AH341" s="232"/>
      <c r="AI341" s="233"/>
    </row>
    <row r="342" spans="1:35" s="1071" customFormat="1" ht="12.6" customHeight="1" x14ac:dyDescent="0.2">
      <c r="A342" s="1071" t="s">
        <v>3674</v>
      </c>
      <c r="B342" s="1725"/>
      <c r="C342" s="1845"/>
      <c r="D342" s="1791" t="s">
        <v>2985</v>
      </c>
      <c r="E342" s="1791" t="s">
        <v>412</v>
      </c>
      <c r="F342" s="1776" t="s">
        <v>3417</v>
      </c>
      <c r="G342" s="1776"/>
      <c r="H342" s="1776"/>
      <c r="I342" s="1776"/>
      <c r="J342" s="1776"/>
      <c r="K342" s="1777">
        <v>630</v>
      </c>
      <c r="L342" s="1776"/>
      <c r="M342" s="1776"/>
      <c r="N342" s="1776" t="s">
        <v>410</v>
      </c>
      <c r="O342" s="1776"/>
      <c r="P342" s="1791"/>
      <c r="Q342" s="1791"/>
      <c r="R342" s="1791"/>
      <c r="S342" s="1791"/>
      <c r="T342" s="1791"/>
      <c r="U342" s="1791"/>
      <c r="V342" s="3491"/>
      <c r="W342" s="1751">
        <f>+AE342*1.5*C342</f>
        <v>0</v>
      </c>
      <c r="X342" s="1895">
        <f t="shared" si="82"/>
        <v>0</v>
      </c>
      <c r="Y342" s="3756"/>
      <c r="Z342" s="3492" t="s">
        <v>76</v>
      </c>
      <c r="AA342" s="3493" t="s">
        <v>3419</v>
      </c>
      <c r="AB342" s="3494">
        <v>1</v>
      </c>
      <c r="AC342" s="2541">
        <v>35.1</v>
      </c>
      <c r="AD342" s="3495">
        <f>+AC342</f>
        <v>35.1</v>
      </c>
      <c r="AE342" s="3496">
        <f>+AD342</f>
        <v>35.1</v>
      </c>
      <c r="AF342" s="3496"/>
      <c r="AG342" s="3497"/>
      <c r="AH342" s="232" t="e">
        <f>+W342-#REF!</f>
        <v>#REF!</v>
      </c>
      <c r="AI342" s="233" t="e">
        <f>+AH342/X342</f>
        <v>#REF!</v>
      </c>
    </row>
    <row r="343" spans="1:35" s="1071" customFormat="1" ht="12.6" customHeight="1" x14ac:dyDescent="0.2">
      <c r="A343" s="1071" t="s">
        <v>3674</v>
      </c>
      <c r="B343" s="1725"/>
      <c r="C343" s="1845"/>
      <c r="D343" s="1791" t="s">
        <v>2985</v>
      </c>
      <c r="E343" s="1791" t="s">
        <v>412</v>
      </c>
      <c r="F343" s="1776"/>
      <c r="G343" s="1776"/>
      <c r="H343" s="1776"/>
      <c r="I343" s="1776"/>
      <c r="J343" s="1776"/>
      <c r="K343" s="1777">
        <v>630</v>
      </c>
      <c r="L343" s="1776"/>
      <c r="M343" s="1776"/>
      <c r="N343" s="1776" t="s">
        <v>410</v>
      </c>
      <c r="O343" s="1776"/>
      <c r="P343" s="1791"/>
      <c r="Q343" s="1791"/>
      <c r="R343" s="1791"/>
      <c r="S343" s="1791"/>
      <c r="T343" s="1791"/>
      <c r="U343" s="1791"/>
      <c r="V343" s="3491"/>
      <c r="W343" s="1751">
        <f>30*C343</f>
        <v>0</v>
      </c>
      <c r="X343" s="1895">
        <f>+ROUNDUP(W343,0)</f>
        <v>0</v>
      </c>
      <c r="Y343" s="3756"/>
      <c r="Z343" s="1326"/>
      <c r="AA343" s="3250"/>
      <c r="AB343" s="2748"/>
      <c r="AC343" s="2527"/>
      <c r="AD343" s="3495"/>
      <c r="AE343" s="3496">
        <f>+AD343*C343</f>
        <v>0</v>
      </c>
      <c r="AF343" s="3496"/>
      <c r="AG343" s="3497"/>
      <c r="AH343" s="232">
        <f>+W343-AE343</f>
        <v>0</v>
      </c>
      <c r="AI343" s="233" t="e">
        <f>+AH343/X343</f>
        <v>#DIV/0!</v>
      </c>
    </row>
    <row r="344" spans="1:35" s="1071" customFormat="1" ht="12.6" customHeight="1" x14ac:dyDescent="0.2">
      <c r="A344" s="1071" t="s">
        <v>3674</v>
      </c>
      <c r="B344" s="1725"/>
      <c r="C344" s="1845"/>
      <c r="D344" s="1791" t="s">
        <v>2985</v>
      </c>
      <c r="E344" s="1791" t="s">
        <v>412</v>
      </c>
      <c r="F344" s="1776"/>
      <c r="G344" s="1776"/>
      <c r="H344" s="1776"/>
      <c r="I344" s="1776"/>
      <c r="J344" s="1776"/>
      <c r="K344" s="1777">
        <v>630</v>
      </c>
      <c r="L344" s="1776"/>
      <c r="M344" s="1776"/>
      <c r="N344" s="1776" t="s">
        <v>410</v>
      </c>
      <c r="O344" s="1776"/>
      <c r="P344" s="1791"/>
      <c r="Q344" s="1791"/>
      <c r="R344" s="1791"/>
      <c r="S344" s="1791"/>
      <c r="T344" s="1791"/>
      <c r="U344" s="1791"/>
      <c r="V344" s="3491"/>
      <c r="W344" s="1751">
        <f>30*C344</f>
        <v>0</v>
      </c>
      <c r="X344" s="1895">
        <f>+ROUNDUP(W344,0)</f>
        <v>0</v>
      </c>
      <c r="Y344" s="3756"/>
      <c r="Z344" s="1326"/>
      <c r="AA344" s="3250"/>
      <c r="AB344" s="2748"/>
      <c r="AC344" s="2527"/>
      <c r="AD344" s="3495"/>
      <c r="AE344" s="3496">
        <f>+AD344*C344</f>
        <v>0</v>
      </c>
      <c r="AF344" s="3496"/>
      <c r="AG344" s="3497"/>
      <c r="AH344" s="232">
        <f>+W344-AE344</f>
        <v>0</v>
      </c>
      <c r="AI344" s="233" t="e">
        <f>+AH344/X344</f>
        <v>#DIV/0!</v>
      </c>
    </row>
    <row r="345" spans="1:35" s="1071" customFormat="1" ht="12.6" customHeight="1" x14ac:dyDescent="0.2">
      <c r="A345" s="1071" t="s">
        <v>3674</v>
      </c>
      <c r="B345" s="1357"/>
      <c r="C345" s="3498"/>
      <c r="D345" s="1775" t="s">
        <v>77</v>
      </c>
      <c r="E345" s="1791" t="s">
        <v>413</v>
      </c>
      <c r="F345" s="1776"/>
      <c r="G345" s="1776"/>
      <c r="H345" s="1776"/>
      <c r="I345" s="1776"/>
      <c r="J345" s="1776"/>
      <c r="K345" s="1777">
        <v>630</v>
      </c>
      <c r="L345" s="1776"/>
      <c r="M345" s="1776"/>
      <c r="N345" s="1776" t="s">
        <v>414</v>
      </c>
      <c r="O345" s="1776"/>
      <c r="P345" s="1791"/>
      <c r="Q345" s="1791"/>
      <c r="R345" s="1791"/>
      <c r="S345" s="1791"/>
      <c r="T345" s="1791"/>
      <c r="U345" s="1791"/>
      <c r="V345" s="3491"/>
      <c r="W345" s="1812">
        <f>+AD345*1.3*C345</f>
        <v>0</v>
      </c>
      <c r="X345" s="2271">
        <f t="shared" ref="X345:X348" si="83">+ROUNDUP(W345,0)</f>
        <v>0</v>
      </c>
      <c r="Y345" s="3756"/>
      <c r="Z345" s="3499"/>
      <c r="AA345" s="3500"/>
      <c r="AB345" s="3501"/>
      <c r="AC345" s="3502"/>
      <c r="AD345" s="3495"/>
      <c r="AE345" s="3496">
        <f>+AD345*C345</f>
        <v>0</v>
      </c>
      <c r="AF345" s="3496"/>
      <c r="AG345" s="3497"/>
      <c r="AH345" s="232">
        <f>+W345-AE345</f>
        <v>0</v>
      </c>
      <c r="AI345" s="233" t="e">
        <f>+AH345/X345</f>
        <v>#DIV/0!</v>
      </c>
    </row>
    <row r="346" spans="1:35" s="1071" customFormat="1" ht="12.6" customHeight="1" x14ac:dyDescent="0.2">
      <c r="A346" s="1071" t="s">
        <v>3674</v>
      </c>
      <c r="B346" s="1357"/>
      <c r="C346" s="3498"/>
      <c r="D346" s="1791" t="s">
        <v>77</v>
      </c>
      <c r="E346" s="1791" t="s">
        <v>413</v>
      </c>
      <c r="F346" s="1776"/>
      <c r="G346" s="1776"/>
      <c r="H346" s="1776"/>
      <c r="I346" s="1776"/>
      <c r="J346" s="1776"/>
      <c r="K346" s="1777" t="s">
        <v>2674</v>
      </c>
      <c r="L346" s="1776"/>
      <c r="M346" s="1776"/>
      <c r="N346" s="1776" t="s">
        <v>414</v>
      </c>
      <c r="O346" s="1776"/>
      <c r="P346" s="1791"/>
      <c r="Q346" s="1791"/>
      <c r="R346" s="1791"/>
      <c r="S346" s="1791"/>
      <c r="T346" s="1791"/>
      <c r="U346" s="1791"/>
      <c r="V346" s="3491"/>
      <c r="W346" s="1773"/>
      <c r="X346" s="1895">
        <f t="shared" si="83"/>
        <v>0</v>
      </c>
      <c r="Y346" s="3756"/>
      <c r="Z346" s="3499"/>
      <c r="AA346" s="3500"/>
      <c r="AB346" s="3501"/>
      <c r="AC346" s="3502"/>
      <c r="AD346" s="3495"/>
      <c r="AE346" s="3496"/>
      <c r="AF346" s="3496"/>
      <c r="AG346" s="3497"/>
      <c r="AH346" s="232"/>
      <c r="AI346" s="233"/>
    </row>
    <row r="347" spans="1:35" s="1071" customFormat="1" ht="22.8" customHeight="1" x14ac:dyDescent="0.2">
      <c r="A347" s="1071" t="s">
        <v>3674</v>
      </c>
      <c r="B347" s="1357"/>
      <c r="C347" s="1845"/>
      <c r="D347" s="1791" t="s">
        <v>77</v>
      </c>
      <c r="E347" s="1791" t="s">
        <v>417</v>
      </c>
      <c r="F347" s="1776"/>
      <c r="G347" s="1776"/>
      <c r="H347" s="1776"/>
      <c r="I347" s="1776"/>
      <c r="J347" s="1776"/>
      <c r="K347" s="1777">
        <v>630</v>
      </c>
      <c r="L347" s="1776"/>
      <c r="M347" s="1776"/>
      <c r="N347" s="1776" t="s">
        <v>419</v>
      </c>
      <c r="O347" s="1776"/>
      <c r="P347" s="1791"/>
      <c r="Q347" s="1791"/>
      <c r="R347" s="1791"/>
      <c r="S347" s="1791" t="s">
        <v>420</v>
      </c>
      <c r="T347" s="1791"/>
      <c r="U347" s="1791"/>
      <c r="V347" s="3491"/>
      <c r="W347" s="1812">
        <f>+AD347*1.5*C347</f>
        <v>0</v>
      </c>
      <c r="X347" s="2271">
        <f t="shared" si="83"/>
        <v>0</v>
      </c>
      <c r="Y347" s="3756"/>
      <c r="Z347" s="3503" t="s">
        <v>386</v>
      </c>
      <c r="AA347" s="3504" t="s">
        <v>421</v>
      </c>
      <c r="AB347" s="2748">
        <v>0.55000000000000004</v>
      </c>
      <c r="AC347" s="2527">
        <v>86</v>
      </c>
      <c r="AD347" s="3495">
        <f>+AC347*AB347</f>
        <v>47.300000000000004</v>
      </c>
      <c r="AE347" s="2513">
        <f>+X347-AD347</f>
        <v>-47.300000000000004</v>
      </c>
      <c r="AF347" s="3496">
        <f>+X347-AD347</f>
        <v>-47.300000000000004</v>
      </c>
      <c r="AG347" s="3497" t="e">
        <f>+AF347/X347</f>
        <v>#DIV/0!</v>
      </c>
      <c r="AH347" s="232">
        <f>+W347-AE347</f>
        <v>47.300000000000004</v>
      </c>
      <c r="AI347" s="233" t="e">
        <f>+AH347/X347</f>
        <v>#DIV/0!</v>
      </c>
    </row>
    <row r="348" spans="1:35" s="1071" customFormat="1" ht="25.2" customHeight="1" x14ac:dyDescent="0.2">
      <c r="A348" s="1071" t="s">
        <v>3674</v>
      </c>
      <c r="B348" s="1357"/>
      <c r="C348" s="3498"/>
      <c r="D348" s="1791" t="s">
        <v>77</v>
      </c>
      <c r="E348" s="1791" t="s">
        <v>415</v>
      </c>
      <c r="F348" s="1776"/>
      <c r="G348" s="1776"/>
      <c r="H348" s="1776"/>
      <c r="I348" s="1776"/>
      <c r="J348" s="1776" t="s">
        <v>418</v>
      </c>
      <c r="K348" s="1777">
        <v>630</v>
      </c>
      <c r="L348" s="1776"/>
      <c r="M348" s="1776"/>
      <c r="N348" s="1776" t="s">
        <v>416</v>
      </c>
      <c r="O348" s="1776"/>
      <c r="P348" s="1791"/>
      <c r="Q348" s="1791"/>
      <c r="R348" s="1791"/>
      <c r="S348" s="1791"/>
      <c r="T348" s="1791"/>
      <c r="U348" s="1791"/>
      <c r="V348" s="3491"/>
      <c r="W348" s="1812">
        <f>+AD348*1.3*C348</f>
        <v>0</v>
      </c>
      <c r="X348" s="2271">
        <f t="shared" si="83"/>
        <v>0</v>
      </c>
      <c r="Y348" s="3756"/>
      <c r="Z348" s="3503" t="s">
        <v>386</v>
      </c>
      <c r="AA348" s="3500" t="s">
        <v>2567</v>
      </c>
      <c r="AB348" s="3501">
        <v>0.55000000000000004</v>
      </c>
      <c r="AC348" s="3502">
        <v>55</v>
      </c>
      <c r="AD348" s="3495">
        <f>+AC348*AB348</f>
        <v>30.250000000000004</v>
      </c>
      <c r="AE348" s="2513">
        <f>+X348-AD348</f>
        <v>-30.250000000000004</v>
      </c>
      <c r="AF348" s="3496">
        <f>+X348-AD348</f>
        <v>-30.250000000000004</v>
      </c>
      <c r="AG348" s="3497" t="e">
        <f>+AF348/X348</f>
        <v>#DIV/0!</v>
      </c>
      <c r="AH348" s="232">
        <f>+W348-AE348</f>
        <v>30.250000000000004</v>
      </c>
      <c r="AI348" s="233" t="e">
        <f>+AH348/X348</f>
        <v>#DIV/0!</v>
      </c>
    </row>
    <row r="349" spans="1:35" s="1348" customFormat="1" ht="12.6" customHeight="1" x14ac:dyDescent="0.2">
      <c r="A349" s="1348" t="s">
        <v>3668</v>
      </c>
      <c r="B349" s="1371"/>
      <c r="C349" s="3011"/>
      <c r="D349" s="1924" t="s">
        <v>384</v>
      </c>
      <c r="E349" s="1924" t="s">
        <v>2762</v>
      </c>
      <c r="F349" s="2942" t="s">
        <v>2758</v>
      </c>
      <c r="G349" s="3023"/>
      <c r="H349" s="2996" t="s">
        <v>385</v>
      </c>
      <c r="I349" s="3023"/>
      <c r="J349" s="3068"/>
      <c r="K349" s="1926">
        <v>630</v>
      </c>
      <c r="L349" s="3024"/>
      <c r="M349" s="3014"/>
      <c r="N349" s="3069">
        <v>34</v>
      </c>
      <c r="O349" s="1924" t="s">
        <v>42</v>
      </c>
      <c r="P349" s="3025" t="s">
        <v>385</v>
      </c>
      <c r="Q349" s="1796"/>
      <c r="R349" s="1796"/>
      <c r="S349" s="1738"/>
      <c r="T349" s="1737"/>
      <c r="U349" s="1737"/>
      <c r="V349" s="1741"/>
      <c r="W349" s="3015">
        <f>+AD349*1.6*C349</f>
        <v>0</v>
      </c>
      <c r="X349" s="3078">
        <f t="shared" si="75"/>
        <v>0</v>
      </c>
      <c r="Y349" s="3756"/>
      <c r="Z349" s="2997" t="s">
        <v>386</v>
      </c>
      <c r="AA349" s="3210" t="s">
        <v>387</v>
      </c>
      <c r="AB349" s="2998">
        <v>0.55000000000000004</v>
      </c>
      <c r="AC349" s="2999">
        <v>15</v>
      </c>
      <c r="AD349" s="3000">
        <f>+N349*0.1*AC349*AB349</f>
        <v>28.050000000000008</v>
      </c>
      <c r="AE349" s="2991">
        <f>+X349-AD349</f>
        <v>-28.050000000000008</v>
      </c>
      <c r="AF349" s="2991"/>
      <c r="AG349" s="2992"/>
      <c r="AH349" s="3001">
        <f>+AE349</f>
        <v>-28.050000000000008</v>
      </c>
      <c r="AI349" s="2994" t="e">
        <f>+AH349/X349</f>
        <v>#DIV/0!</v>
      </c>
    </row>
    <row r="350" spans="1:35" s="48" customFormat="1" ht="12.6" customHeight="1" x14ac:dyDescent="0.2">
      <c r="A350" s="1348" t="s">
        <v>3668</v>
      </c>
      <c r="B350" s="1370"/>
      <c r="C350" s="1735"/>
      <c r="D350" s="2048" t="s">
        <v>384</v>
      </c>
      <c r="E350" s="3049" t="s">
        <v>2762</v>
      </c>
      <c r="F350" s="3050" t="s">
        <v>2758</v>
      </c>
      <c r="G350" s="1793"/>
      <c r="H350" s="3051" t="s">
        <v>385</v>
      </c>
      <c r="I350" s="1793"/>
      <c r="K350" s="3052">
        <v>630</v>
      </c>
      <c r="L350" s="1795"/>
      <c r="M350" s="1795"/>
      <c r="N350" s="3053">
        <v>34</v>
      </c>
      <c r="O350" s="3052" t="s">
        <v>42</v>
      </c>
      <c r="P350" s="1797" t="s">
        <v>385</v>
      </c>
      <c r="Q350" s="1797"/>
      <c r="R350" s="1797"/>
      <c r="S350" s="1737"/>
      <c r="T350" s="1737"/>
      <c r="U350" s="1737"/>
      <c r="V350" s="1741"/>
      <c r="W350" s="1758">
        <f>+AD350*1.6*C350</f>
        <v>0</v>
      </c>
      <c r="X350" s="2375">
        <f t="shared" si="75"/>
        <v>0</v>
      </c>
      <c r="Y350" s="3756"/>
      <c r="Z350" s="52" t="s">
        <v>386</v>
      </c>
      <c r="AA350" s="3211" t="s">
        <v>387</v>
      </c>
      <c r="AB350" s="2666">
        <v>0.55000000000000004</v>
      </c>
      <c r="AC350" s="2667">
        <v>15</v>
      </c>
      <c r="AD350" s="2664">
        <f>+N350*0.1*AC350*AB350</f>
        <v>28.050000000000008</v>
      </c>
      <c r="AE350" s="2617">
        <f>+X350-AD350</f>
        <v>-28.050000000000008</v>
      </c>
      <c r="AF350" s="2617"/>
      <c r="AG350" s="1141"/>
      <c r="AH350" s="901">
        <f>+AE350</f>
        <v>-28.050000000000008</v>
      </c>
      <c r="AI350" s="43" t="e">
        <f>+AH350/X350</f>
        <v>#DIV/0!</v>
      </c>
    </row>
    <row r="351" spans="1:35" s="48" customFormat="1" ht="12.6" customHeight="1" x14ac:dyDescent="0.2">
      <c r="A351" s="48" t="s">
        <v>3669</v>
      </c>
      <c r="B351" s="1370"/>
      <c r="C351" s="1735"/>
      <c r="D351" s="1740" t="s">
        <v>2378</v>
      </c>
      <c r="E351" s="1737" t="s">
        <v>3057</v>
      </c>
      <c r="F351" s="1738"/>
      <c r="G351" s="1738"/>
      <c r="H351" s="1738"/>
      <c r="I351" s="1738"/>
      <c r="J351" s="1738"/>
      <c r="K351" s="1798"/>
      <c r="L351" s="1738"/>
      <c r="M351" s="1738"/>
      <c r="N351" s="1772" t="s">
        <v>2380</v>
      </c>
      <c r="O351" s="1772"/>
      <c r="P351" s="1797"/>
      <c r="Q351" s="1797"/>
      <c r="R351" s="1797"/>
      <c r="S351" s="1737"/>
      <c r="T351" s="1737"/>
      <c r="U351" s="1737"/>
      <c r="V351" s="1741"/>
      <c r="W351" s="1758">
        <f>+C351*AD351*1.7</f>
        <v>0</v>
      </c>
      <c r="X351" s="1895">
        <f>+ROUNDUP(W351,0)</f>
        <v>0</v>
      </c>
      <c r="Y351" s="3756"/>
      <c r="Z351" s="894" t="s">
        <v>357</v>
      </c>
      <c r="AA351" s="3212" t="s">
        <v>2382</v>
      </c>
      <c r="AB351" s="2668"/>
      <c r="AC351" s="2664">
        <v>20</v>
      </c>
      <c r="AD351" s="2664">
        <v>20</v>
      </c>
      <c r="AE351" s="2617"/>
      <c r="AF351" s="2617"/>
      <c r="AG351" s="1141"/>
      <c r="AH351" s="865"/>
      <c r="AI351" s="43"/>
    </row>
    <row r="352" spans="1:35" s="48" customFormat="1" ht="12.6" customHeight="1" thickBot="1" x14ac:dyDescent="0.25">
      <c r="A352" s="48" t="s">
        <v>3669</v>
      </c>
      <c r="B352" s="1370"/>
      <c r="C352" s="2042"/>
      <c r="D352" s="1740" t="s">
        <v>2379</v>
      </c>
      <c r="E352" s="1737" t="s">
        <v>3056</v>
      </c>
      <c r="F352" s="1738"/>
      <c r="G352" s="1738"/>
      <c r="H352" s="1738"/>
      <c r="I352" s="1738"/>
      <c r="J352" s="1738"/>
      <c r="K352" s="1798"/>
      <c r="L352" s="1738"/>
      <c r="M352" s="1738"/>
      <c r="N352" s="1772" t="s">
        <v>2380</v>
      </c>
      <c r="O352" s="1772"/>
      <c r="P352" s="1797"/>
      <c r="Q352" s="1797"/>
      <c r="R352" s="1797"/>
      <c r="S352" s="1737"/>
      <c r="T352" s="1737"/>
      <c r="U352" s="1737"/>
      <c r="V352" s="1741"/>
      <c r="W352" s="1758">
        <f>+C352*AD352*1.7</f>
        <v>0</v>
      </c>
      <c r="X352" s="1893">
        <f>+ROUNDUP(W352,0)</f>
        <v>0</v>
      </c>
      <c r="Y352" s="3756"/>
      <c r="Z352" s="857" t="s">
        <v>357</v>
      </c>
      <c r="AA352" s="3213" t="s">
        <v>2381</v>
      </c>
      <c r="AB352" s="2663"/>
      <c r="AC352" s="2664">
        <v>17.61</v>
      </c>
      <c r="AD352" s="2664">
        <v>17.61</v>
      </c>
      <c r="AE352" s="2617"/>
      <c r="AF352" s="2617"/>
      <c r="AG352" s="1141"/>
      <c r="AH352" s="862"/>
      <c r="AI352" s="43"/>
    </row>
    <row r="353" spans="1:38" s="48" customFormat="1" ht="13.2" customHeight="1" thickBot="1" x14ac:dyDescent="0.25">
      <c r="A353" s="48" t="s">
        <v>3670</v>
      </c>
      <c r="B353" s="1370"/>
      <c r="C353" s="2227">
        <v>3</v>
      </c>
      <c r="D353" s="2218" t="s">
        <v>3253</v>
      </c>
      <c r="E353" s="1956" t="s">
        <v>73</v>
      </c>
      <c r="F353" s="2201" t="s">
        <v>2554</v>
      </c>
      <c r="G353" s="1764" t="s">
        <v>358</v>
      </c>
      <c r="H353" s="1956" t="s">
        <v>316</v>
      </c>
      <c r="I353" s="1956" t="s">
        <v>3252</v>
      </c>
      <c r="J353" s="1779"/>
      <c r="K353" s="3315">
        <v>689</v>
      </c>
      <c r="L353" s="1764"/>
      <c r="M353" s="1764"/>
      <c r="N353" s="1764"/>
      <c r="O353" s="1764"/>
      <c r="P353" s="1800"/>
      <c r="Q353" s="1800"/>
      <c r="R353" s="1800"/>
      <c r="S353" s="1737"/>
      <c r="T353" s="1737"/>
      <c r="U353" s="1737"/>
      <c r="V353" s="1741"/>
      <c r="W353" s="2018">
        <f>+AD353*1.6*C353</f>
        <v>432</v>
      </c>
      <c r="X353" s="2019">
        <f>ROUNDUP(W353,0)</f>
        <v>432</v>
      </c>
      <c r="Y353" s="3758"/>
      <c r="Z353" s="3121" t="s">
        <v>43</v>
      </c>
      <c r="AA353" s="3144" t="s">
        <v>359</v>
      </c>
      <c r="AB353" s="2669">
        <v>0.4</v>
      </c>
      <c r="AC353" s="2644">
        <f>75+150</f>
        <v>225</v>
      </c>
      <c r="AD353" s="2644">
        <f>+AC353*AB353</f>
        <v>90</v>
      </c>
      <c r="AE353" s="2644">
        <f t="shared" ref="AE353:AE362" si="84">+AD353*C353</f>
        <v>270</v>
      </c>
      <c r="AF353" s="2644"/>
      <c r="AG353" s="1155"/>
      <c r="AH353" s="870">
        <f t="shared" ref="AH353:AH362" si="85">+X353-AE353</f>
        <v>162</v>
      </c>
      <c r="AI353" s="878">
        <f t="shared" ref="AI353:AI362" si="86">+AH353/X353</f>
        <v>0.375</v>
      </c>
    </row>
    <row r="354" spans="1:38" s="48" customFormat="1" ht="12.6" x14ac:dyDescent="0.2">
      <c r="A354" s="48" t="s">
        <v>3670</v>
      </c>
      <c r="B354" s="1727"/>
      <c r="C354" s="2224"/>
      <c r="D354" s="1956" t="s">
        <v>3099</v>
      </c>
      <c r="E354" s="1956" t="s">
        <v>73</v>
      </c>
      <c r="F354" s="2201" t="s">
        <v>2554</v>
      </c>
      <c r="G354" s="1764" t="s">
        <v>3183</v>
      </c>
      <c r="H354" s="2202" t="s">
        <v>3549</v>
      </c>
      <c r="I354" s="2202" t="s">
        <v>3550</v>
      </c>
      <c r="J354" s="1801"/>
      <c r="K354" s="3315">
        <v>689</v>
      </c>
      <c r="L354" s="1764"/>
      <c r="M354" s="1764"/>
      <c r="N354" s="1764"/>
      <c r="O354" s="1764"/>
      <c r="P354" s="1800"/>
      <c r="Q354" s="1800"/>
      <c r="R354" s="1800"/>
      <c r="S354" s="1737"/>
      <c r="T354" s="1737"/>
      <c r="U354" s="1737"/>
      <c r="V354" s="1741"/>
      <c r="W354" s="1758">
        <f>+AD354*1.8*C354</f>
        <v>0</v>
      </c>
      <c r="X354" s="2019">
        <f>ROUNDUP(W354,0)</f>
        <v>0</v>
      </c>
      <c r="Y354" s="3763"/>
      <c r="Z354" s="860" t="s">
        <v>43</v>
      </c>
      <c r="AA354" s="3144" t="s">
        <v>3016</v>
      </c>
      <c r="AB354" s="2669">
        <v>0.4</v>
      </c>
      <c r="AC354" s="2644">
        <v>492</v>
      </c>
      <c r="AD354" s="2644">
        <f>+AC354*AB354</f>
        <v>196.8</v>
      </c>
      <c r="AE354" s="2644">
        <f t="shared" si="84"/>
        <v>0</v>
      </c>
      <c r="AF354" s="2644"/>
      <c r="AG354" s="1155"/>
      <c r="AH354" s="870">
        <f t="shared" si="85"/>
        <v>0</v>
      </c>
      <c r="AI354" s="878" t="e">
        <f t="shared" si="86"/>
        <v>#DIV/0!</v>
      </c>
    </row>
    <row r="355" spans="1:38" s="48" customFormat="1" ht="13.2" customHeight="1" x14ac:dyDescent="0.2">
      <c r="A355" s="48" t="s">
        <v>3670</v>
      </c>
      <c r="B355" s="1727"/>
      <c r="C355" s="1735"/>
      <c r="D355" s="1763" t="s">
        <v>3099</v>
      </c>
      <c r="E355" s="1763" t="s">
        <v>73</v>
      </c>
      <c r="F355" s="1799" t="s">
        <v>2554</v>
      </c>
      <c r="G355" s="1764" t="s">
        <v>3183</v>
      </c>
      <c r="H355" s="1764"/>
      <c r="I355" s="1764"/>
      <c r="J355" s="1738"/>
      <c r="K355" s="1765">
        <v>689</v>
      </c>
      <c r="L355" s="1764"/>
      <c r="M355" s="1764"/>
      <c r="N355" s="1764"/>
      <c r="O355" s="1764"/>
      <c r="P355" s="1800"/>
      <c r="Q355" s="1800"/>
      <c r="R355" s="1800"/>
      <c r="S355" s="1737"/>
      <c r="T355" s="1737"/>
      <c r="U355" s="1737"/>
      <c r="V355" s="1741"/>
      <c r="W355" s="1758">
        <f>+AD355*1.8*C355</f>
        <v>0</v>
      </c>
      <c r="X355" s="1895">
        <f>ROUNDUP(W355,0)</f>
        <v>0</v>
      </c>
      <c r="Y355" s="3756"/>
      <c r="Z355" s="860" t="s">
        <v>43</v>
      </c>
      <c r="AA355" s="3144" t="s">
        <v>3016</v>
      </c>
      <c r="AB355" s="2669">
        <v>0.4</v>
      </c>
      <c r="AC355" s="2644">
        <v>469</v>
      </c>
      <c r="AD355" s="2644">
        <f>+AC355*AB355</f>
        <v>187.60000000000002</v>
      </c>
      <c r="AE355" s="2644">
        <f t="shared" si="84"/>
        <v>0</v>
      </c>
      <c r="AF355" s="2644"/>
      <c r="AG355" s="1155"/>
      <c r="AH355" s="870">
        <f t="shared" si="85"/>
        <v>0</v>
      </c>
      <c r="AI355" s="878" t="e">
        <f t="shared" si="86"/>
        <v>#DIV/0!</v>
      </c>
    </row>
    <row r="356" spans="1:38" s="48" customFormat="1" ht="13.2" customHeight="1" x14ac:dyDescent="0.2">
      <c r="A356" s="48" t="s">
        <v>3670</v>
      </c>
      <c r="B356" s="1727"/>
      <c r="C356" s="1735"/>
      <c r="D356" s="1763" t="s">
        <v>3099</v>
      </c>
      <c r="E356" s="1763" t="s">
        <v>73</v>
      </c>
      <c r="F356" s="1799" t="s">
        <v>2554</v>
      </c>
      <c r="G356" s="1764" t="s">
        <v>3183</v>
      </c>
      <c r="H356" s="1764"/>
      <c r="I356" s="1764"/>
      <c r="J356" s="1738"/>
      <c r="K356" s="1765">
        <v>689</v>
      </c>
      <c r="L356" s="1764"/>
      <c r="M356" s="1764"/>
      <c r="N356" s="1764"/>
      <c r="O356" s="1764"/>
      <c r="P356" s="1800"/>
      <c r="Q356" s="1800"/>
      <c r="R356" s="1800"/>
      <c r="S356" s="1737"/>
      <c r="T356" s="1737"/>
      <c r="U356" s="1737"/>
      <c r="V356" s="1741"/>
      <c r="W356" s="1758">
        <f>+AD356*1.8*C356</f>
        <v>0</v>
      </c>
      <c r="X356" s="1895">
        <f>ROUNDUP(W356,0)</f>
        <v>0</v>
      </c>
      <c r="Y356" s="3756"/>
      <c r="Z356" s="860" t="s">
        <v>43</v>
      </c>
      <c r="AA356" s="3144" t="s">
        <v>3016</v>
      </c>
      <c r="AB356" s="2669">
        <v>0.4</v>
      </c>
      <c r="AC356" s="2644">
        <v>469</v>
      </c>
      <c r="AD356" s="2644">
        <f>+AC356*AB356</f>
        <v>187.60000000000002</v>
      </c>
      <c r="AE356" s="2644">
        <f t="shared" si="84"/>
        <v>0</v>
      </c>
      <c r="AF356" s="2644"/>
      <c r="AG356" s="1155"/>
      <c r="AH356" s="870">
        <f t="shared" si="85"/>
        <v>0</v>
      </c>
      <c r="AI356" s="878" t="e">
        <f t="shared" si="86"/>
        <v>#DIV/0!</v>
      </c>
    </row>
    <row r="357" spans="1:38" s="48" customFormat="1" ht="13.2" customHeight="1" x14ac:dyDescent="0.2">
      <c r="A357" s="48" t="s">
        <v>3670</v>
      </c>
      <c r="B357" s="1370"/>
      <c r="C357" s="1735"/>
      <c r="D357" s="1763" t="s">
        <v>3099</v>
      </c>
      <c r="E357" s="1737" t="s">
        <v>73</v>
      </c>
      <c r="F357" s="1799" t="s">
        <v>2555</v>
      </c>
      <c r="G357" s="1738" t="s">
        <v>358</v>
      </c>
      <c r="H357" s="1738"/>
      <c r="I357" s="1738"/>
      <c r="J357" s="1738"/>
      <c r="K357" s="1801"/>
      <c r="L357" s="1738"/>
      <c r="M357" s="1738"/>
      <c r="N357" s="1738"/>
      <c r="O357" s="1738"/>
      <c r="P357" s="1779"/>
      <c r="Q357" s="1779"/>
      <c r="R357" s="1779"/>
      <c r="S357" s="1737"/>
      <c r="T357" s="1737"/>
      <c r="U357" s="1737"/>
      <c r="V357" s="1741"/>
      <c r="W357" s="1758">
        <f>+AD357*1.6*C357</f>
        <v>0</v>
      </c>
      <c r="X357" s="1895">
        <f>ROUNDUP(W357,0)</f>
        <v>0</v>
      </c>
      <c r="Y357" s="3756"/>
      <c r="Z357" s="860" t="s">
        <v>43</v>
      </c>
      <c r="AA357" s="3147" t="s">
        <v>359</v>
      </c>
      <c r="AB357" s="2669">
        <v>0.4</v>
      </c>
      <c r="AC357" s="2644">
        <f>67+96</f>
        <v>163</v>
      </c>
      <c r="AD357" s="2644">
        <f>+AC357*AB357</f>
        <v>65.2</v>
      </c>
      <c r="AE357" s="2644">
        <f t="shared" si="84"/>
        <v>0</v>
      </c>
      <c r="AF357" s="2644"/>
      <c r="AG357" s="1155"/>
      <c r="AH357" s="870">
        <f t="shared" si="85"/>
        <v>0</v>
      </c>
      <c r="AI357" s="878" t="e">
        <f t="shared" si="86"/>
        <v>#DIV/0!</v>
      </c>
    </row>
    <row r="358" spans="1:38" s="48" customFormat="1" ht="13.2" customHeight="1" x14ac:dyDescent="0.2">
      <c r="A358" s="48" t="s">
        <v>3670</v>
      </c>
      <c r="B358" s="1370"/>
      <c r="C358" s="1766"/>
      <c r="D358" s="1763" t="s">
        <v>3099</v>
      </c>
      <c r="E358" s="1753" t="s">
        <v>73</v>
      </c>
      <c r="F358" s="1799" t="s">
        <v>3017</v>
      </c>
      <c r="G358" s="1738" t="s">
        <v>3019</v>
      </c>
      <c r="H358" s="1738"/>
      <c r="I358" s="1738"/>
      <c r="J358" s="1738"/>
      <c r="K358" s="1801"/>
      <c r="L358" s="1738"/>
      <c r="M358" s="1738"/>
      <c r="N358" s="1738"/>
      <c r="O358" s="1738"/>
      <c r="P358" s="1779"/>
      <c r="Q358" s="1779"/>
      <c r="R358" s="1779"/>
      <c r="S358" s="1737"/>
      <c r="T358" s="1737"/>
      <c r="U358" s="1737"/>
      <c r="V358" s="1741"/>
      <c r="W358" s="1758">
        <f>+AD358*1.65*C358</f>
        <v>0</v>
      </c>
      <c r="X358" s="1895">
        <f t="shared" ref="X358:X361" si="87">+ROUNDUP(W358,0)</f>
        <v>0</v>
      </c>
      <c r="Y358" s="3756"/>
      <c r="Z358" s="856" t="s">
        <v>43</v>
      </c>
      <c r="AA358" s="3147" t="s">
        <v>383</v>
      </c>
      <c r="AB358" s="2669">
        <v>0.4</v>
      </c>
      <c r="AC358" s="2644">
        <f>96+127</f>
        <v>223</v>
      </c>
      <c r="AD358" s="2644">
        <f t="shared" ref="AD358:AD362" si="88">+AC358*AB358</f>
        <v>89.2</v>
      </c>
      <c r="AE358" s="2644">
        <f t="shared" si="84"/>
        <v>0</v>
      </c>
      <c r="AF358" s="2644"/>
      <c r="AG358" s="1155"/>
      <c r="AH358" s="870">
        <f t="shared" si="85"/>
        <v>0</v>
      </c>
      <c r="AI358" s="875" t="e">
        <f t="shared" si="86"/>
        <v>#DIV/0!</v>
      </c>
    </row>
    <row r="359" spans="1:38" s="48" customFormat="1" ht="13.2" customHeight="1" x14ac:dyDescent="0.2">
      <c r="A359" s="48" t="s">
        <v>3670</v>
      </c>
      <c r="B359" s="1370"/>
      <c r="C359" s="1766"/>
      <c r="D359" s="1763" t="s">
        <v>3099</v>
      </c>
      <c r="E359" s="1753" t="s">
        <v>73</v>
      </c>
      <c r="F359" s="1799" t="s">
        <v>2556</v>
      </c>
      <c r="G359" s="1738" t="s">
        <v>3043</v>
      </c>
      <c r="H359" s="1738"/>
      <c r="I359" s="1738"/>
      <c r="J359" s="1738"/>
      <c r="K359" s="1801"/>
      <c r="L359" s="1738"/>
      <c r="M359" s="1738"/>
      <c r="N359" s="1738"/>
      <c r="O359" s="1738"/>
      <c r="P359" s="1779"/>
      <c r="Q359" s="1779"/>
      <c r="R359" s="1779"/>
      <c r="S359" s="1737"/>
      <c r="T359" s="1737"/>
      <c r="U359" s="1737"/>
      <c r="V359" s="1741"/>
      <c r="W359" s="1758">
        <f>+AD359*1.6*C359</f>
        <v>0</v>
      </c>
      <c r="X359" s="1895">
        <f>+ROUNDUP(W359,0)</f>
        <v>0</v>
      </c>
      <c r="Y359" s="3756"/>
      <c r="Z359" s="856" t="s">
        <v>43</v>
      </c>
      <c r="AA359" s="3147" t="s">
        <v>383</v>
      </c>
      <c r="AB359" s="2669">
        <v>0.4</v>
      </c>
      <c r="AC359" s="2644">
        <f>129+246</f>
        <v>375</v>
      </c>
      <c r="AD359" s="2644">
        <f>+AC359*AB359</f>
        <v>150</v>
      </c>
      <c r="AE359" s="2644">
        <f t="shared" si="84"/>
        <v>0</v>
      </c>
      <c r="AF359" s="2644"/>
      <c r="AG359" s="1155"/>
      <c r="AH359" s="870">
        <f t="shared" si="85"/>
        <v>0</v>
      </c>
      <c r="AI359" s="875" t="e">
        <f t="shared" si="86"/>
        <v>#DIV/0!</v>
      </c>
    </row>
    <row r="360" spans="1:38" s="218" customFormat="1" ht="13.2" customHeight="1" x14ac:dyDescent="0.2">
      <c r="A360" s="48" t="s">
        <v>3670</v>
      </c>
      <c r="B360" s="1373"/>
      <c r="C360" s="1766"/>
      <c r="D360" s="1763" t="s">
        <v>3099</v>
      </c>
      <c r="E360" s="1753" t="s">
        <v>3540</v>
      </c>
      <c r="F360" s="1799" t="s">
        <v>3027</v>
      </c>
      <c r="G360" s="1755"/>
      <c r="H360" s="1755" t="s">
        <v>3297</v>
      </c>
      <c r="I360" s="1755"/>
      <c r="J360" s="3918" t="s">
        <v>2763</v>
      </c>
      <c r="K360" s="3919"/>
      <c r="L360" s="1755"/>
      <c r="O360" s="1891"/>
      <c r="P360" s="1891"/>
      <c r="Q360" s="1806" t="s">
        <v>3102</v>
      </c>
      <c r="R360" s="1806"/>
      <c r="S360" s="1755"/>
      <c r="T360" s="1753"/>
      <c r="U360" s="1753"/>
      <c r="V360" s="1756"/>
      <c r="W360" s="1733">
        <f>+AD360*1.6*C360</f>
        <v>0</v>
      </c>
      <c r="X360" s="2270">
        <f t="shared" ref="X360" si="89">+ROUNDUP(W360,0)</f>
        <v>0</v>
      </c>
      <c r="Y360" s="3756"/>
      <c r="Z360" s="1073" t="s">
        <v>321</v>
      </c>
      <c r="AA360" s="3148" t="s">
        <v>3301</v>
      </c>
      <c r="AB360" s="2636">
        <v>0.4</v>
      </c>
      <c r="AC360" s="2670">
        <f>(129*1.25)+131</f>
        <v>292.25</v>
      </c>
      <c r="AD360" s="2637">
        <f t="shared" ref="AD360:AD361" si="90">+AC360</f>
        <v>292.25</v>
      </c>
      <c r="AE360" s="2637">
        <f t="shared" si="84"/>
        <v>0</v>
      </c>
      <c r="AF360" s="2637"/>
      <c r="AG360" s="1159"/>
      <c r="AH360" s="1078">
        <f>+X360-AE360</f>
        <v>0</v>
      </c>
      <c r="AI360" s="1075" t="e">
        <f t="shared" si="86"/>
        <v>#DIV/0!</v>
      </c>
      <c r="AJ360" s="882"/>
      <c r="AK360" s="1076"/>
      <c r="AL360" s="1076"/>
    </row>
    <row r="361" spans="1:38" s="48" customFormat="1" ht="13.2" customHeight="1" x14ac:dyDescent="0.2">
      <c r="A361" s="48" t="s">
        <v>3670</v>
      </c>
      <c r="B361" s="1370"/>
      <c r="C361" s="1735"/>
      <c r="D361" s="1763" t="s">
        <v>3099</v>
      </c>
      <c r="E361" s="1753" t="s">
        <v>3540</v>
      </c>
      <c r="F361" s="1799" t="s">
        <v>2557</v>
      </c>
      <c r="G361" s="1738" t="s">
        <v>382</v>
      </c>
      <c r="H361" s="1755" t="s">
        <v>3297</v>
      </c>
      <c r="I361" s="1738"/>
      <c r="J361" s="3918" t="s">
        <v>2763</v>
      </c>
      <c r="K361" s="3919"/>
      <c r="L361" s="1738"/>
      <c r="O361" s="1738"/>
      <c r="P361" s="1779"/>
      <c r="Q361" s="1779"/>
      <c r="R361" s="1779"/>
      <c r="S361" s="1737"/>
      <c r="T361" s="1737"/>
      <c r="U361" s="1737"/>
      <c r="V361" s="1741"/>
      <c r="W361" s="1758">
        <f>+AD361*1.6*C361</f>
        <v>0</v>
      </c>
      <c r="X361" s="1895">
        <f t="shared" si="87"/>
        <v>0</v>
      </c>
      <c r="Y361" s="3756"/>
      <c r="Z361" s="210" t="s">
        <v>43</v>
      </c>
      <c r="AA361" s="3147" t="s">
        <v>3301</v>
      </c>
      <c r="AB361" s="2669">
        <v>0.4</v>
      </c>
      <c r="AC361" s="2644">
        <f>(155*1.25)+158</f>
        <v>351.75</v>
      </c>
      <c r="AD361" s="2637">
        <f t="shared" si="90"/>
        <v>351.75</v>
      </c>
      <c r="AE361" s="2644">
        <f t="shared" si="84"/>
        <v>0</v>
      </c>
      <c r="AF361" s="2644"/>
      <c r="AG361" s="1155"/>
      <c r="AH361" s="870">
        <f t="shared" si="85"/>
        <v>0</v>
      </c>
      <c r="AI361" s="875" t="e">
        <f t="shared" si="86"/>
        <v>#DIV/0!</v>
      </c>
    </row>
    <row r="362" spans="1:38" s="48" customFormat="1" ht="13.2" customHeight="1" x14ac:dyDescent="0.2">
      <c r="A362" s="48" t="s">
        <v>3670</v>
      </c>
      <c r="B362" s="1370"/>
      <c r="C362" s="1735"/>
      <c r="D362" s="1763" t="s">
        <v>3099</v>
      </c>
      <c r="E362" s="1753" t="s">
        <v>3030</v>
      </c>
      <c r="F362" s="1802" t="s">
        <v>3027</v>
      </c>
      <c r="G362" s="1802" t="s">
        <v>2916</v>
      </c>
      <c r="H362" s="1753" t="s">
        <v>3029</v>
      </c>
      <c r="I362" s="1802"/>
      <c r="K362" s="1803" t="s">
        <v>2804</v>
      </c>
      <c r="L362" s="1753"/>
      <c r="M362" s="1753"/>
      <c r="N362" s="1755"/>
      <c r="O362" s="1754"/>
      <c r="P362" s="1804"/>
      <c r="Q362" s="1804"/>
      <c r="R362" s="1804"/>
      <c r="S362" s="1754"/>
      <c r="T362" s="1737"/>
      <c r="U362" s="1737"/>
      <c r="V362" s="1741"/>
      <c r="W362" s="1758">
        <f>+AD362*1.7*C362</f>
        <v>0</v>
      </c>
      <c r="X362" s="1893">
        <f t="shared" ref="X362:X371" si="91">+ROUNDUP(W362,0)</f>
        <v>0</v>
      </c>
      <c r="Y362" s="3756"/>
      <c r="Z362" s="210" t="s">
        <v>43</v>
      </c>
      <c r="AA362" s="3147" t="s">
        <v>3028</v>
      </c>
      <c r="AB362" s="2669">
        <v>0.4</v>
      </c>
      <c r="AC362" s="2644">
        <f>143+131</f>
        <v>274</v>
      </c>
      <c r="AD362" s="2644">
        <f t="shared" si="88"/>
        <v>109.60000000000001</v>
      </c>
      <c r="AE362" s="2644">
        <f t="shared" si="84"/>
        <v>0</v>
      </c>
      <c r="AF362" s="2644"/>
      <c r="AG362" s="1155"/>
      <c r="AH362" s="870">
        <f t="shared" si="85"/>
        <v>0</v>
      </c>
      <c r="AI362" s="875" t="e">
        <f t="shared" si="86"/>
        <v>#DIV/0!</v>
      </c>
    </row>
    <row r="363" spans="1:38" s="48" customFormat="1" ht="13.2" customHeight="1" x14ac:dyDescent="0.2">
      <c r="A363" s="48" t="s">
        <v>3670</v>
      </c>
      <c r="B363" s="1370"/>
      <c r="C363" s="1735"/>
      <c r="D363" s="1763" t="s">
        <v>3099</v>
      </c>
      <c r="E363" s="1753" t="s">
        <v>3030</v>
      </c>
      <c r="F363" s="1802" t="s">
        <v>3027</v>
      </c>
      <c r="G363" s="1802" t="s">
        <v>2916</v>
      </c>
      <c r="H363" s="1753" t="s">
        <v>3040</v>
      </c>
      <c r="I363" s="1802"/>
      <c r="K363" s="1803" t="s">
        <v>2804</v>
      </c>
      <c r="L363" s="1753"/>
      <c r="M363" s="1753"/>
      <c r="N363" s="1755">
        <v>6</v>
      </c>
      <c r="O363" s="1754" t="s">
        <v>3042</v>
      </c>
      <c r="P363" s="1804"/>
      <c r="Q363" s="1804"/>
      <c r="R363" s="1804"/>
      <c r="S363" s="1754"/>
      <c r="T363" s="1737"/>
      <c r="U363" s="1737"/>
      <c r="V363" s="1741"/>
      <c r="W363" s="1758">
        <f>+AD363*1.7*C363</f>
        <v>0</v>
      </c>
      <c r="X363" s="1893">
        <f t="shared" si="91"/>
        <v>0</v>
      </c>
      <c r="Y363" s="3756"/>
      <c r="Z363" s="210" t="s">
        <v>43</v>
      </c>
      <c r="AA363" s="3147" t="s">
        <v>3041</v>
      </c>
      <c r="AB363" s="2669">
        <v>0.4</v>
      </c>
      <c r="AC363" s="2644">
        <f>232+(N363*105)</f>
        <v>862</v>
      </c>
      <c r="AD363" s="2644">
        <f t="shared" ref="AD363:AD368" si="92">+AC363*AB363</f>
        <v>344.8</v>
      </c>
      <c r="AE363" s="2644"/>
      <c r="AF363" s="2644"/>
      <c r="AG363" s="1155"/>
      <c r="AH363" s="870"/>
      <c r="AI363" s="875"/>
    </row>
    <row r="364" spans="1:38" s="48" customFormat="1" ht="13.2" customHeight="1" x14ac:dyDescent="0.2">
      <c r="A364" s="48" t="s">
        <v>3670</v>
      </c>
      <c r="B364" s="1370"/>
      <c r="C364" s="1735"/>
      <c r="D364" s="1763" t="s">
        <v>3099</v>
      </c>
      <c r="E364" s="1753" t="s">
        <v>3143</v>
      </c>
      <c r="F364" s="1802" t="s">
        <v>3144</v>
      </c>
      <c r="G364" s="1802" t="s">
        <v>2916</v>
      </c>
      <c r="H364" s="1753" t="s">
        <v>3040</v>
      </c>
      <c r="I364" s="1802"/>
      <c r="K364" s="1803" t="s">
        <v>2804</v>
      </c>
      <c r="L364" s="1753"/>
      <c r="M364" s="1753"/>
      <c r="N364" s="1755">
        <v>1.5</v>
      </c>
      <c r="O364" s="1754" t="s">
        <v>3042</v>
      </c>
      <c r="P364" s="1804"/>
      <c r="Q364" s="1804"/>
      <c r="R364" s="1804"/>
      <c r="S364" s="1754"/>
      <c r="T364" s="1737"/>
      <c r="U364" s="1737"/>
      <c r="V364" s="1741"/>
      <c r="W364" s="1758">
        <f>+AD364*1.6*C364</f>
        <v>0</v>
      </c>
      <c r="X364" s="1893">
        <f t="shared" ref="X364" si="93">+ROUNDUP(W364,0)</f>
        <v>0</v>
      </c>
      <c r="Y364" s="3756"/>
      <c r="Z364" s="210" t="s">
        <v>43</v>
      </c>
      <c r="AA364" s="3147" t="s">
        <v>3041</v>
      </c>
      <c r="AB364" s="2669">
        <v>0.4</v>
      </c>
      <c r="AC364" s="2644">
        <f>(180*1.2)+(315)</f>
        <v>531</v>
      </c>
      <c r="AD364" s="2644">
        <f t="shared" si="92"/>
        <v>212.4</v>
      </c>
      <c r="AE364" s="2644"/>
      <c r="AF364" s="2644"/>
      <c r="AG364" s="1155"/>
      <c r="AH364" s="870"/>
      <c r="AI364" s="875"/>
    </row>
    <row r="365" spans="1:38" s="207" customFormat="1" ht="13.2" customHeight="1" x14ac:dyDescent="0.2">
      <c r="A365" s="48" t="s">
        <v>3670</v>
      </c>
      <c r="B365" s="1370"/>
      <c r="C365" s="1766"/>
      <c r="D365" s="1763" t="s">
        <v>3099</v>
      </c>
      <c r="E365" s="1737" t="s">
        <v>73</v>
      </c>
      <c r="F365" s="1799" t="s">
        <v>2779</v>
      </c>
      <c r="G365" s="1799" t="s">
        <v>2916</v>
      </c>
      <c r="H365" s="1738" t="s">
        <v>2915</v>
      </c>
      <c r="I365" s="1799"/>
      <c r="K365" s="1772" t="s">
        <v>2786</v>
      </c>
      <c r="L365" s="1738"/>
      <c r="M365" s="1738"/>
      <c r="N365" s="1738"/>
      <c r="O365" s="1738"/>
      <c r="P365" s="1779"/>
      <c r="Q365" s="1779"/>
      <c r="R365" s="1779"/>
      <c r="S365" s="1737"/>
      <c r="T365" s="1737"/>
      <c r="U365" s="1737"/>
      <c r="V365" s="1741"/>
      <c r="W365" s="1758">
        <f>+AD365*1.9*C365</f>
        <v>0</v>
      </c>
      <c r="X365" s="1895">
        <f t="shared" si="91"/>
        <v>0</v>
      </c>
      <c r="Y365" s="3756"/>
      <c r="Z365" s="1319" t="s">
        <v>43</v>
      </c>
      <c r="AA365" s="3149" t="s">
        <v>359</v>
      </c>
      <c r="AB365" s="2669">
        <v>0.4</v>
      </c>
      <c r="AC365" s="2644">
        <f>71+96</f>
        <v>167</v>
      </c>
      <c r="AD365" s="2644">
        <f t="shared" si="92"/>
        <v>66.8</v>
      </c>
      <c r="AE365" s="2644">
        <f t="shared" ref="AE365:AE382" si="94">+AD365*C365</f>
        <v>0</v>
      </c>
      <c r="AF365" s="2644"/>
      <c r="AG365" s="1155"/>
      <c r="AH365" s="870">
        <f>+X365-AE365</f>
        <v>0</v>
      </c>
      <c r="AI365" s="875" t="e">
        <f>+AH365/X365</f>
        <v>#DIV/0!</v>
      </c>
    </row>
    <row r="366" spans="1:38" s="206" customFormat="1" ht="25.95" customHeight="1" x14ac:dyDescent="0.2">
      <c r="A366" s="48" t="s">
        <v>3670</v>
      </c>
      <c r="B366" s="1370"/>
      <c r="C366" s="1735"/>
      <c r="D366" s="1763" t="s">
        <v>3099</v>
      </c>
      <c r="E366" s="1737" t="s">
        <v>73</v>
      </c>
      <c r="F366" s="1738" t="s">
        <v>2557</v>
      </c>
      <c r="G366" s="1738" t="s">
        <v>2916</v>
      </c>
      <c r="H366" s="1737" t="s">
        <v>3011</v>
      </c>
      <c r="I366" s="1738"/>
      <c r="K366" s="1801"/>
      <c r="L366" s="1738"/>
      <c r="M366" s="1738"/>
      <c r="N366" s="1738"/>
      <c r="O366" s="1738"/>
      <c r="P366" s="1779"/>
      <c r="Q366" s="1779"/>
      <c r="R366" s="1779"/>
      <c r="S366" s="1737"/>
      <c r="T366" s="1737"/>
      <c r="U366" s="1737"/>
      <c r="V366" s="1741"/>
      <c r="W366" s="1758">
        <f>+AD366*1.6*C366</f>
        <v>0</v>
      </c>
      <c r="X366" s="1895">
        <f t="shared" si="91"/>
        <v>0</v>
      </c>
      <c r="Y366" s="3756"/>
      <c r="Z366" s="867" t="s">
        <v>43</v>
      </c>
      <c r="AA366" s="3150" t="s">
        <v>359</v>
      </c>
      <c r="AB366" s="2672">
        <v>0.4</v>
      </c>
      <c r="AC366" s="2671">
        <f>71+96</f>
        <v>167</v>
      </c>
      <c r="AD366" s="2671">
        <f t="shared" si="92"/>
        <v>66.8</v>
      </c>
      <c r="AE366" s="2671">
        <f t="shared" si="94"/>
        <v>0</v>
      </c>
      <c r="AF366" s="2671"/>
      <c r="AG366" s="1158"/>
      <c r="AH366" s="906">
        <f>+X366-AE366</f>
        <v>0</v>
      </c>
      <c r="AI366" s="910" t="e">
        <f>+AH366/X366</f>
        <v>#DIV/0!</v>
      </c>
    </row>
    <row r="367" spans="1:38" s="206" customFormat="1" ht="13.2" customHeight="1" x14ac:dyDescent="0.2">
      <c r="A367" s="48" t="s">
        <v>3670</v>
      </c>
      <c r="B367" s="1370"/>
      <c r="C367" s="1955"/>
      <c r="D367" s="1956" t="s">
        <v>3099</v>
      </c>
      <c r="E367" s="1779" t="s">
        <v>73</v>
      </c>
      <c r="F367" s="1957" t="s">
        <v>2557</v>
      </c>
      <c r="G367" s="1738" t="s">
        <v>2916</v>
      </c>
      <c r="H367" s="1779" t="s">
        <v>3209</v>
      </c>
      <c r="I367" s="1801"/>
      <c r="J367" s="1958"/>
      <c r="K367" s="1801"/>
      <c r="L367" s="1738"/>
      <c r="M367" s="1738"/>
      <c r="N367" s="1738"/>
      <c r="O367" s="1738"/>
      <c r="P367" s="1779"/>
      <c r="Q367" s="1779"/>
      <c r="R367" s="1779"/>
      <c r="S367" s="1737"/>
      <c r="T367" s="1737"/>
      <c r="U367" s="1737"/>
      <c r="V367" s="1741"/>
      <c r="W367" s="1758">
        <f>+AD367*1.6*C367</f>
        <v>0</v>
      </c>
      <c r="X367" s="1895">
        <f t="shared" si="91"/>
        <v>0</v>
      </c>
      <c r="Y367" s="3756"/>
      <c r="Z367" s="867" t="s">
        <v>43</v>
      </c>
      <c r="AA367" s="3150" t="s">
        <v>3210</v>
      </c>
      <c r="AB367" s="2672">
        <v>0.4</v>
      </c>
      <c r="AC367" s="2671">
        <f>155+(142*5)</f>
        <v>865</v>
      </c>
      <c r="AD367" s="2671">
        <f t="shared" si="92"/>
        <v>346</v>
      </c>
      <c r="AE367" s="2671">
        <f t="shared" si="94"/>
        <v>0</v>
      </c>
      <c r="AF367" s="2671"/>
      <c r="AG367" s="1158"/>
      <c r="AH367" s="906">
        <f>+X367-AE367</f>
        <v>0</v>
      </c>
      <c r="AI367" s="910" t="e">
        <f>+AH367/X367</f>
        <v>#DIV/0!</v>
      </c>
    </row>
    <row r="368" spans="1:38" s="206" customFormat="1" ht="13.2" customHeight="1" x14ac:dyDescent="0.2">
      <c r="A368" s="48" t="s">
        <v>3670</v>
      </c>
      <c r="B368" s="1370"/>
      <c r="C368" s="1955"/>
      <c r="D368" s="1956" t="s">
        <v>3099</v>
      </c>
      <c r="E368" s="1779" t="s">
        <v>73</v>
      </c>
      <c r="F368" s="1957" t="s">
        <v>3027</v>
      </c>
      <c r="G368" s="1738" t="s">
        <v>2916</v>
      </c>
      <c r="H368" s="1779" t="s">
        <v>3232</v>
      </c>
      <c r="I368" s="1801"/>
      <c r="J368" s="1958"/>
      <c r="K368" s="1801"/>
      <c r="L368" s="1738"/>
      <c r="M368" s="1738"/>
      <c r="N368" s="1738"/>
      <c r="O368" s="1738"/>
      <c r="P368" s="1779"/>
      <c r="Q368" s="1779"/>
      <c r="R368" s="1779"/>
      <c r="S368" s="1737"/>
      <c r="T368" s="1737"/>
      <c r="U368" s="1737"/>
      <c r="V368" s="1741"/>
      <c r="W368" s="1758">
        <f>+AD368*1.5*C368</f>
        <v>0</v>
      </c>
      <c r="X368" s="1895">
        <f t="shared" ref="X368" si="95">+ROUNDUP(W368,0)</f>
        <v>0</v>
      </c>
      <c r="Y368" s="3756"/>
      <c r="Z368" s="867" t="s">
        <v>2897</v>
      </c>
      <c r="AA368" s="3150" t="s">
        <v>3231</v>
      </c>
      <c r="AB368" s="2672">
        <v>1</v>
      </c>
      <c r="AC368" s="2671">
        <v>248</v>
      </c>
      <c r="AD368" s="2671">
        <f t="shared" si="92"/>
        <v>248</v>
      </c>
      <c r="AE368" s="2671">
        <f t="shared" si="94"/>
        <v>0</v>
      </c>
      <c r="AF368" s="2671"/>
      <c r="AG368" s="1158"/>
      <c r="AH368" s="906">
        <f>+X368-AE368</f>
        <v>0</v>
      </c>
      <c r="AI368" s="910" t="e">
        <f>+AH368/X368</f>
        <v>#DIV/0!</v>
      </c>
    </row>
    <row r="369" spans="1:38" s="218" customFormat="1" ht="13.2" customHeight="1" x14ac:dyDescent="0.2">
      <c r="A369" s="48" t="s">
        <v>3670</v>
      </c>
      <c r="B369" s="1373"/>
      <c r="C369" s="1766"/>
      <c r="D369" s="1737" t="s">
        <v>3100</v>
      </c>
      <c r="E369" s="1753" t="s">
        <v>73</v>
      </c>
      <c r="F369" s="1755" t="s">
        <v>363</v>
      </c>
      <c r="G369" s="1755"/>
      <c r="H369" s="1755"/>
      <c r="I369" s="1755"/>
      <c r="J369" s="1755"/>
      <c r="K369" s="1807"/>
      <c r="L369" s="1755"/>
      <c r="M369" s="1755"/>
      <c r="N369" s="1755"/>
      <c r="O369" s="1755"/>
      <c r="P369" s="1805"/>
      <c r="Q369" s="1805"/>
      <c r="R369" s="1805"/>
      <c r="S369" s="1753"/>
      <c r="T369" s="1753"/>
      <c r="U369" s="1753"/>
      <c r="V369" s="1756"/>
      <c r="W369" s="1733">
        <f>+AD369*1.3*C369</f>
        <v>0</v>
      </c>
      <c r="X369" s="2270">
        <f t="shared" si="91"/>
        <v>0</v>
      </c>
      <c r="Y369" s="3756"/>
      <c r="Z369" s="1073" t="s">
        <v>321</v>
      </c>
      <c r="AA369" s="3148" t="s">
        <v>362</v>
      </c>
      <c r="AB369" s="2636">
        <v>1</v>
      </c>
      <c r="AC369" s="2670">
        <v>245</v>
      </c>
      <c r="AD369" s="2637">
        <f t="shared" ref="AD369:AD373" si="96">+AC369</f>
        <v>245</v>
      </c>
      <c r="AE369" s="2637">
        <f t="shared" si="94"/>
        <v>0</v>
      </c>
      <c r="AF369" s="2637"/>
      <c r="AG369" s="1159"/>
      <c r="AH369" s="1074"/>
      <c r="AI369" s="1077" t="e">
        <f t="shared" ref="AI369:AI373" si="97">+AH369/X369</f>
        <v>#DIV/0!</v>
      </c>
      <c r="AJ369" s="882"/>
      <c r="AK369" s="1076"/>
      <c r="AL369" s="1076"/>
    </row>
    <row r="370" spans="1:38" s="218" customFormat="1" ht="13.2" customHeight="1" x14ac:dyDescent="0.2">
      <c r="A370" s="48" t="s">
        <v>3670</v>
      </c>
      <c r="B370" s="1373"/>
      <c r="C370" s="1808"/>
      <c r="D370" s="1737" t="s">
        <v>3100</v>
      </c>
      <c r="E370" s="1753" t="s">
        <v>73</v>
      </c>
      <c r="F370" s="1755" t="s">
        <v>326</v>
      </c>
      <c r="G370" s="1755"/>
      <c r="H370" s="1755"/>
      <c r="I370" s="1755"/>
      <c r="J370" s="1755"/>
      <c r="K370" s="1807"/>
      <c r="L370" s="1755"/>
      <c r="M370" s="1755"/>
      <c r="N370" s="1755"/>
      <c r="O370" s="1755"/>
      <c r="P370" s="1805"/>
      <c r="Q370" s="1805"/>
      <c r="R370" s="1805"/>
      <c r="S370" s="1753"/>
      <c r="T370" s="1753"/>
      <c r="U370" s="1753"/>
      <c r="V370" s="1756"/>
      <c r="W370" s="1733">
        <f>+AD370*1.6*C370</f>
        <v>0</v>
      </c>
      <c r="X370" s="2270">
        <f t="shared" si="91"/>
        <v>0</v>
      </c>
      <c r="Y370" s="3756"/>
      <c r="Z370" s="1073" t="s">
        <v>321</v>
      </c>
      <c r="AA370" s="3148" t="s">
        <v>325</v>
      </c>
      <c r="AB370" s="2636">
        <v>1</v>
      </c>
      <c r="AC370" s="2670">
        <v>700</v>
      </c>
      <c r="AD370" s="2637">
        <f t="shared" si="96"/>
        <v>700</v>
      </c>
      <c r="AE370" s="2637">
        <f t="shared" si="94"/>
        <v>0</v>
      </c>
      <c r="AF370" s="2637"/>
      <c r="AG370" s="1159"/>
      <c r="AH370" s="1074"/>
      <c r="AI370" s="1077" t="e">
        <f t="shared" si="97"/>
        <v>#DIV/0!</v>
      </c>
      <c r="AJ370" s="882"/>
      <c r="AK370" s="1076"/>
      <c r="AL370" s="1076"/>
    </row>
    <row r="371" spans="1:38" s="218" customFormat="1" ht="13.2" customHeight="1" x14ac:dyDescent="0.2">
      <c r="A371" s="48" t="s">
        <v>3670</v>
      </c>
      <c r="B371" s="1373"/>
      <c r="C371" s="1808"/>
      <c r="D371" s="1737" t="s">
        <v>3100</v>
      </c>
      <c r="E371" s="1753" t="s">
        <v>73</v>
      </c>
      <c r="F371" s="1755" t="s">
        <v>326</v>
      </c>
      <c r="G371" s="1755"/>
      <c r="H371" s="1755"/>
      <c r="I371" s="1755"/>
      <c r="J371" s="1755"/>
      <c r="K371" s="1807"/>
      <c r="L371" s="1755"/>
      <c r="M371" s="1755"/>
      <c r="N371" s="1755"/>
      <c r="O371" s="1755"/>
      <c r="P371" s="1805"/>
      <c r="Q371" s="1805"/>
      <c r="R371" s="1805"/>
      <c r="S371" s="1753"/>
      <c r="T371" s="1753"/>
      <c r="U371" s="1753"/>
      <c r="V371" s="1756"/>
      <c r="W371" s="1733">
        <f>+AD371*1.6*C371</f>
        <v>0</v>
      </c>
      <c r="X371" s="2270">
        <f t="shared" si="91"/>
        <v>0</v>
      </c>
      <c r="Y371" s="3756"/>
      <c r="Z371" s="1073" t="s">
        <v>321</v>
      </c>
      <c r="AA371" s="3145" t="s">
        <v>325</v>
      </c>
      <c r="AB371" s="2636">
        <v>1</v>
      </c>
      <c r="AC371" s="2670">
        <v>700</v>
      </c>
      <c r="AD371" s="2637">
        <f t="shared" si="96"/>
        <v>700</v>
      </c>
      <c r="AE371" s="2637">
        <f t="shared" si="94"/>
        <v>0</v>
      </c>
      <c r="AF371" s="2637"/>
      <c r="AG371" s="1159"/>
      <c r="AH371" s="1074"/>
      <c r="AI371" s="1075" t="e">
        <f t="shared" si="97"/>
        <v>#DIV/0!</v>
      </c>
      <c r="AJ371" s="882"/>
      <c r="AK371" s="1076"/>
      <c r="AL371" s="1076"/>
    </row>
    <row r="372" spans="1:38" s="48" customFormat="1" ht="13.2" customHeight="1" x14ac:dyDescent="0.2">
      <c r="A372" s="48" t="s">
        <v>3670</v>
      </c>
      <c r="B372" s="1370"/>
      <c r="C372" s="1808"/>
      <c r="D372" s="1737" t="s">
        <v>3100</v>
      </c>
      <c r="E372" s="1737" t="s">
        <v>73</v>
      </c>
      <c r="F372" s="1737" t="s">
        <v>326</v>
      </c>
      <c r="G372" s="1738"/>
      <c r="H372" s="1738"/>
      <c r="I372" s="1738"/>
      <c r="J372" s="1738"/>
      <c r="K372" s="1801"/>
      <c r="L372" s="1738"/>
      <c r="M372" s="1738"/>
      <c r="N372" s="1738"/>
      <c r="O372" s="1738"/>
      <c r="P372" s="1779"/>
      <c r="Q372" s="1779"/>
      <c r="R372" s="1779"/>
      <c r="S372" s="1737"/>
      <c r="T372" s="1737"/>
      <c r="U372" s="1737"/>
      <c r="V372" s="1741"/>
      <c r="W372" s="1758">
        <f>+AD372*1.6*C372</f>
        <v>0</v>
      </c>
      <c r="X372" s="1895">
        <f t="shared" ref="X372:X381" si="98">+ROUNDUP(W372,0)</f>
        <v>0</v>
      </c>
      <c r="Y372" s="3756"/>
      <c r="Z372" s="860" t="s">
        <v>321</v>
      </c>
      <c r="AA372" s="3144" t="s">
        <v>325</v>
      </c>
      <c r="AB372" s="2669">
        <v>1</v>
      </c>
      <c r="AC372" s="2643">
        <v>700</v>
      </c>
      <c r="AD372" s="2644">
        <f t="shared" si="96"/>
        <v>700</v>
      </c>
      <c r="AE372" s="2644">
        <f t="shared" si="94"/>
        <v>0</v>
      </c>
      <c r="AF372" s="2644"/>
      <c r="AG372" s="1155"/>
      <c r="AH372" s="870">
        <f t="shared" ref="AH372:AH382" si="99">+X372-AE372</f>
        <v>0</v>
      </c>
      <c r="AI372" s="875" t="e">
        <f t="shared" si="97"/>
        <v>#DIV/0!</v>
      </c>
    </row>
    <row r="373" spans="1:38" s="48" customFormat="1" ht="13.2" customHeight="1" x14ac:dyDescent="0.2">
      <c r="A373" s="48" t="s">
        <v>3670</v>
      </c>
      <c r="B373" s="1370"/>
      <c r="C373" s="1808"/>
      <c r="D373" s="1737" t="s">
        <v>3100</v>
      </c>
      <c r="E373" s="1737" t="s">
        <v>73</v>
      </c>
      <c r="F373" s="1737" t="s">
        <v>326</v>
      </c>
      <c r="G373" s="1738"/>
      <c r="H373" s="1738"/>
      <c r="I373" s="1738"/>
      <c r="J373" s="1738"/>
      <c r="K373" s="1801"/>
      <c r="L373" s="1738"/>
      <c r="M373" s="1738"/>
      <c r="N373" s="1738"/>
      <c r="O373" s="1738"/>
      <c r="P373" s="1779"/>
      <c r="Q373" s="1779"/>
      <c r="R373" s="1779"/>
      <c r="S373" s="1737"/>
      <c r="T373" s="1737"/>
      <c r="U373" s="1737"/>
      <c r="V373" s="1741"/>
      <c r="W373" s="1758">
        <f>+AD373*1.6*C373</f>
        <v>0</v>
      </c>
      <c r="X373" s="1895">
        <f t="shared" si="98"/>
        <v>0</v>
      </c>
      <c r="Y373" s="3756"/>
      <c r="Z373" s="860" t="s">
        <v>321</v>
      </c>
      <c r="AA373" s="3144" t="s">
        <v>325</v>
      </c>
      <c r="AB373" s="2669">
        <v>1</v>
      </c>
      <c r="AC373" s="2643">
        <v>700</v>
      </c>
      <c r="AD373" s="2644">
        <f t="shared" si="96"/>
        <v>700</v>
      </c>
      <c r="AE373" s="2644">
        <f t="shared" si="94"/>
        <v>0</v>
      </c>
      <c r="AF373" s="2644"/>
      <c r="AG373" s="1155"/>
      <c r="AH373" s="871">
        <f t="shared" si="99"/>
        <v>0</v>
      </c>
      <c r="AI373" s="878" t="e">
        <f t="shared" si="97"/>
        <v>#DIV/0!</v>
      </c>
    </row>
    <row r="374" spans="1:38" s="207" customFormat="1" ht="25.8" customHeight="1" x14ac:dyDescent="0.2">
      <c r="A374" s="48" t="s">
        <v>3670</v>
      </c>
      <c r="B374" s="1370"/>
      <c r="C374" s="1735"/>
      <c r="D374" s="1737" t="s">
        <v>3100</v>
      </c>
      <c r="E374" s="1737" t="s">
        <v>73</v>
      </c>
      <c r="F374" s="1799" t="s">
        <v>2779</v>
      </c>
      <c r="G374" s="1738" t="s">
        <v>2785</v>
      </c>
      <c r="H374" s="1738"/>
      <c r="I374" s="1738"/>
      <c r="J374" s="1738"/>
      <c r="K374" s="1809" t="s">
        <v>2786</v>
      </c>
      <c r="L374" s="1738"/>
      <c r="M374" s="1738"/>
      <c r="N374" s="1738"/>
      <c r="O374" s="1738"/>
      <c r="P374" s="1779"/>
      <c r="Q374" s="1779"/>
      <c r="R374" s="1779"/>
      <c r="S374" s="1737"/>
      <c r="T374" s="1737"/>
      <c r="U374" s="1737"/>
      <c r="V374" s="1741"/>
      <c r="W374" s="1758">
        <f>+AD374*1.9*C374</f>
        <v>0</v>
      </c>
      <c r="X374" s="1895">
        <f>+ROUNDUP(W374,0)</f>
        <v>0</v>
      </c>
      <c r="Y374" s="3756"/>
      <c r="Z374" s="1319" t="s">
        <v>43</v>
      </c>
      <c r="AA374" s="3146" t="s">
        <v>359</v>
      </c>
      <c r="AB374" s="2669">
        <v>0.4</v>
      </c>
      <c r="AC374" s="2644">
        <f>71+96</f>
        <v>167</v>
      </c>
      <c r="AD374" s="2644">
        <f>+AC374*AB374</f>
        <v>66.8</v>
      </c>
      <c r="AE374" s="2644">
        <f t="shared" si="94"/>
        <v>0</v>
      </c>
      <c r="AF374" s="2644"/>
      <c r="AG374" s="1155"/>
      <c r="AH374" s="870">
        <f>+X374-AE374</f>
        <v>0</v>
      </c>
      <c r="AI374" s="875" t="e">
        <f>+AH374/X374</f>
        <v>#DIV/0!</v>
      </c>
    </row>
    <row r="375" spans="1:38" s="48" customFormat="1" ht="13.2" customHeight="1" x14ac:dyDescent="0.2">
      <c r="A375" s="48" t="s">
        <v>3670</v>
      </c>
      <c r="B375" s="1370"/>
      <c r="C375" s="1735"/>
      <c r="D375" s="1737" t="s">
        <v>3100</v>
      </c>
      <c r="E375" s="1737" t="s">
        <v>73</v>
      </c>
      <c r="F375" s="1799" t="s">
        <v>2558</v>
      </c>
      <c r="G375" s="1738" t="s">
        <v>326</v>
      </c>
      <c r="H375" s="1738"/>
      <c r="I375" s="1738"/>
      <c r="J375" s="1738"/>
      <c r="K375" s="1801"/>
      <c r="L375" s="1738"/>
      <c r="M375" s="1738"/>
      <c r="N375" s="1738"/>
      <c r="O375" s="1738"/>
      <c r="P375" s="1779"/>
      <c r="Q375" s="1779"/>
      <c r="R375" s="1779"/>
      <c r="S375" s="1737"/>
      <c r="T375" s="1737"/>
      <c r="U375" s="1737"/>
      <c r="V375" s="1741"/>
      <c r="W375" s="1758">
        <f>+AD375*1.6*C375</f>
        <v>0</v>
      </c>
      <c r="X375" s="1895">
        <f>+ROUNDUP(W375,0)</f>
        <v>0</v>
      </c>
      <c r="Y375" s="3756"/>
      <c r="Z375" s="1084" t="s">
        <v>321</v>
      </c>
      <c r="AA375" s="3144" t="s">
        <v>325</v>
      </c>
      <c r="AB375" s="2669">
        <v>1</v>
      </c>
      <c r="AC375" s="2644">
        <v>700</v>
      </c>
      <c r="AD375" s="2644">
        <f>+AC375</f>
        <v>700</v>
      </c>
      <c r="AE375" s="2644">
        <f t="shared" si="94"/>
        <v>0</v>
      </c>
      <c r="AF375" s="2644"/>
      <c r="AG375" s="1155"/>
      <c r="AH375" s="870">
        <f>+X375-AE375</f>
        <v>0</v>
      </c>
      <c r="AI375" s="878" t="e">
        <f>+AH375/X375</f>
        <v>#DIV/0!</v>
      </c>
    </row>
    <row r="376" spans="1:38" s="48" customFormat="1" ht="13.2" customHeight="1" x14ac:dyDescent="0.2">
      <c r="A376" s="48" t="s">
        <v>3670</v>
      </c>
      <c r="B376" s="1370"/>
      <c r="C376" s="1744"/>
      <c r="D376" s="1737" t="s">
        <v>3100</v>
      </c>
      <c r="E376" s="1759" t="s">
        <v>73</v>
      </c>
      <c r="F376" s="1810" t="s">
        <v>2779</v>
      </c>
      <c r="G376" s="1752" t="s">
        <v>2784</v>
      </c>
      <c r="H376" s="1752"/>
      <c r="I376" s="1752"/>
      <c r="J376" s="1738"/>
      <c r="K376" s="1757" t="s">
        <v>2786</v>
      </c>
      <c r="L376" s="1752"/>
      <c r="M376" s="1752"/>
      <c r="N376" s="1752"/>
      <c r="O376" s="1752"/>
      <c r="P376" s="1779"/>
      <c r="Q376" s="1779"/>
      <c r="R376" s="1779"/>
      <c r="S376" s="1737"/>
      <c r="T376" s="1737"/>
      <c r="U376" s="1737"/>
      <c r="V376" s="1741"/>
      <c r="W376" s="1733">
        <f>+AD376*1.6*C376</f>
        <v>0</v>
      </c>
      <c r="X376" s="1893">
        <f>+ROUNDUP(W376,0)</f>
        <v>0</v>
      </c>
      <c r="Y376" s="3756"/>
      <c r="Z376" s="1319" t="s">
        <v>321</v>
      </c>
      <c r="AA376" s="3146" t="s">
        <v>325</v>
      </c>
      <c r="AB376" s="2669">
        <v>1</v>
      </c>
      <c r="AC376" s="2643">
        <v>700</v>
      </c>
      <c r="AD376" s="2644">
        <f>+AC376</f>
        <v>700</v>
      </c>
      <c r="AE376" s="2644">
        <f t="shared" si="94"/>
        <v>0</v>
      </c>
      <c r="AF376" s="2644"/>
      <c r="AG376" s="1155"/>
      <c r="AH376" s="870">
        <f>+X376-AE376</f>
        <v>0</v>
      </c>
      <c r="AI376" s="875" t="e">
        <f>+AH376/X376</f>
        <v>#DIV/0!</v>
      </c>
    </row>
    <row r="377" spans="1:38" s="48" customFormat="1" ht="25.8" customHeight="1" x14ac:dyDescent="0.2">
      <c r="A377" s="48" t="s">
        <v>3671</v>
      </c>
      <c r="B377" s="1370"/>
      <c r="C377" s="1766"/>
      <c r="D377" s="1737" t="s">
        <v>3101</v>
      </c>
      <c r="E377" s="1737" t="s">
        <v>72</v>
      </c>
      <c r="F377" s="1811" t="s">
        <v>2489</v>
      </c>
      <c r="G377" s="1738"/>
      <c r="H377" s="1738"/>
      <c r="I377" s="1738"/>
      <c r="J377" s="1738"/>
      <c r="K377" s="1757" t="s">
        <v>2786</v>
      </c>
      <c r="L377" s="1738"/>
      <c r="M377" s="1738"/>
      <c r="N377" s="1738"/>
      <c r="O377" s="1738"/>
      <c r="P377" s="1779"/>
      <c r="Q377" s="1779"/>
      <c r="R377" s="1779"/>
      <c r="S377" s="1737"/>
      <c r="T377" s="1737"/>
      <c r="U377" s="1737"/>
      <c r="V377" s="1741"/>
      <c r="W377" s="1758">
        <f t="shared" ref="W377:W382" si="100">+AD377*1.9*C377</f>
        <v>0</v>
      </c>
      <c r="X377" s="1895">
        <f t="shared" si="98"/>
        <v>0</v>
      </c>
      <c r="Y377" s="3756"/>
      <c r="Z377" s="67" t="s">
        <v>43</v>
      </c>
      <c r="AA377" s="3214" t="s">
        <v>2491</v>
      </c>
      <c r="AB377" s="2674">
        <v>0.4</v>
      </c>
      <c r="AC377" s="2659">
        <f>121*1.2</f>
        <v>145.19999999999999</v>
      </c>
      <c r="AD377" s="2617">
        <f t="shared" ref="AD377:AD382" si="101">+AB377*AC377</f>
        <v>58.08</v>
      </c>
      <c r="AE377" s="2617">
        <f t="shared" si="94"/>
        <v>0</v>
      </c>
      <c r="AF377" s="2617"/>
      <c r="AG377" s="1141"/>
      <c r="AH377" s="42">
        <f t="shared" si="99"/>
        <v>0</v>
      </c>
      <c r="AI377" s="46" t="e">
        <f t="shared" ref="AI377:AI382" si="102">+AE377/W377</f>
        <v>#DIV/0!</v>
      </c>
    </row>
    <row r="378" spans="1:38" s="206" customFormat="1" ht="25.8" customHeight="1" x14ac:dyDescent="0.2">
      <c r="A378" s="48" t="s">
        <v>3671</v>
      </c>
      <c r="B378" s="1370"/>
      <c r="C378" s="1808"/>
      <c r="D378" s="1737" t="s">
        <v>3101</v>
      </c>
      <c r="E378" s="1737" t="s">
        <v>3208</v>
      </c>
      <c r="F378" s="1738" t="s">
        <v>2472</v>
      </c>
      <c r="G378" s="1738"/>
      <c r="H378" s="1738"/>
      <c r="I378" s="1738"/>
      <c r="J378" s="1801"/>
      <c r="K378" s="1757" t="s">
        <v>2786</v>
      </c>
      <c r="L378" s="1738"/>
      <c r="M378" s="1738"/>
      <c r="N378" s="1738"/>
      <c r="O378" s="1738"/>
      <c r="P378" s="1779"/>
      <c r="Q378" s="1779"/>
      <c r="R378" s="1779"/>
      <c r="S378" s="1737"/>
      <c r="T378" s="1737"/>
      <c r="U378" s="1737"/>
      <c r="V378" s="1741"/>
      <c r="W378" s="1758">
        <f t="shared" si="100"/>
        <v>0</v>
      </c>
      <c r="X378" s="1895">
        <f t="shared" si="98"/>
        <v>0</v>
      </c>
      <c r="Y378" s="3756"/>
      <c r="Z378" s="861" t="s">
        <v>43</v>
      </c>
      <c r="AA378" s="3215" t="s">
        <v>2493</v>
      </c>
      <c r="AB378" s="2676">
        <v>0.4</v>
      </c>
      <c r="AC378" s="2632">
        <f>137*1.2</f>
        <v>164.4</v>
      </c>
      <c r="AD378" s="2619">
        <f t="shared" si="101"/>
        <v>65.760000000000005</v>
      </c>
      <c r="AE378" s="2619">
        <f t="shared" si="94"/>
        <v>0</v>
      </c>
      <c r="AF378" s="2675"/>
      <c r="AG378" s="1160"/>
      <c r="AH378" s="861">
        <f t="shared" si="99"/>
        <v>0</v>
      </c>
      <c r="AI378" s="260" t="e">
        <f t="shared" si="102"/>
        <v>#DIV/0!</v>
      </c>
    </row>
    <row r="379" spans="1:38" s="48" customFormat="1" ht="25.8" customHeight="1" x14ac:dyDescent="0.2">
      <c r="A379" s="48" t="s">
        <v>3671</v>
      </c>
      <c r="B379" s="1370"/>
      <c r="C379" s="1808"/>
      <c r="D379" s="1737" t="s">
        <v>3101</v>
      </c>
      <c r="E379" s="1737" t="s">
        <v>3208</v>
      </c>
      <c r="F379" s="1738" t="s">
        <v>74</v>
      </c>
      <c r="G379" s="1738"/>
      <c r="H379" s="1738"/>
      <c r="I379" s="1738"/>
      <c r="J379" s="1801"/>
      <c r="K379" s="1757" t="s">
        <v>2786</v>
      </c>
      <c r="L379" s="1738"/>
      <c r="M379" s="1738"/>
      <c r="N379" s="1738"/>
      <c r="O379" s="1738"/>
      <c r="P379" s="1779"/>
      <c r="Q379" s="1779"/>
      <c r="R379" s="1779"/>
      <c r="S379" s="1737"/>
      <c r="T379" s="1737"/>
      <c r="U379" s="1737"/>
      <c r="V379" s="1741"/>
      <c r="W379" s="1758">
        <f t="shared" si="100"/>
        <v>0</v>
      </c>
      <c r="X379" s="1895">
        <f t="shared" si="98"/>
        <v>0</v>
      </c>
      <c r="Y379" s="3756"/>
      <c r="Z379" s="861" t="s">
        <v>43</v>
      </c>
      <c r="AA379" s="3215" t="s">
        <v>2496</v>
      </c>
      <c r="AB379" s="2674">
        <v>0.4</v>
      </c>
      <c r="AC379" s="2659">
        <f>159*1.2</f>
        <v>190.79999999999998</v>
      </c>
      <c r="AD379" s="2617">
        <f t="shared" si="101"/>
        <v>76.319999999999993</v>
      </c>
      <c r="AE379" s="2617">
        <f t="shared" si="94"/>
        <v>0</v>
      </c>
      <c r="AF379" s="2617"/>
      <c r="AG379" s="1141"/>
      <c r="AH379" s="67">
        <f t="shared" si="99"/>
        <v>0</v>
      </c>
      <c r="AI379" s="46" t="e">
        <f t="shared" si="102"/>
        <v>#DIV/0!</v>
      </c>
    </row>
    <row r="380" spans="1:38" s="48" customFormat="1" ht="25.8" customHeight="1" x14ac:dyDescent="0.2">
      <c r="A380" s="48" t="s">
        <v>3671</v>
      </c>
      <c r="B380" s="1370"/>
      <c r="C380" s="1808"/>
      <c r="D380" s="1737" t="s">
        <v>3101</v>
      </c>
      <c r="E380" s="1737" t="s">
        <v>3208</v>
      </c>
      <c r="F380" s="1738" t="s">
        <v>2473</v>
      </c>
      <c r="G380" s="1738"/>
      <c r="H380" s="1738"/>
      <c r="I380" s="1738"/>
      <c r="J380" s="1801"/>
      <c r="K380" s="1757" t="s">
        <v>2786</v>
      </c>
      <c r="L380" s="1738"/>
      <c r="M380" s="1738"/>
      <c r="N380" s="1738"/>
      <c r="O380" s="1738"/>
      <c r="P380" s="1779"/>
      <c r="Q380" s="1779"/>
      <c r="R380" s="1779"/>
      <c r="S380" s="1737"/>
      <c r="T380" s="1737"/>
      <c r="U380" s="1737"/>
      <c r="V380" s="1741"/>
      <c r="W380" s="1758">
        <f t="shared" si="100"/>
        <v>0</v>
      </c>
      <c r="X380" s="1895">
        <f t="shared" si="98"/>
        <v>0</v>
      </c>
      <c r="Y380" s="3756"/>
      <c r="Z380" s="67" t="s">
        <v>43</v>
      </c>
      <c r="AA380" s="3214" t="s">
        <v>2492</v>
      </c>
      <c r="AB380" s="2674">
        <v>0.4</v>
      </c>
      <c r="AC380" s="2659">
        <f>159*1.2</f>
        <v>190.79999999999998</v>
      </c>
      <c r="AD380" s="2617">
        <f t="shared" si="101"/>
        <v>76.319999999999993</v>
      </c>
      <c r="AE380" s="2617">
        <f t="shared" si="94"/>
        <v>0</v>
      </c>
      <c r="AF380" s="2617"/>
      <c r="AG380" s="1141"/>
      <c r="AH380" s="67">
        <f t="shared" si="99"/>
        <v>0</v>
      </c>
      <c r="AI380" s="46" t="e">
        <f t="shared" si="102"/>
        <v>#DIV/0!</v>
      </c>
    </row>
    <row r="381" spans="1:38" s="222" customFormat="1" ht="25.8" customHeight="1" x14ac:dyDescent="0.2">
      <c r="A381" s="48" t="s">
        <v>3671</v>
      </c>
      <c r="B381" s="1370"/>
      <c r="C381" s="1808"/>
      <c r="D381" s="1737" t="s">
        <v>3101</v>
      </c>
      <c r="E381" s="1737" t="s">
        <v>3208</v>
      </c>
      <c r="F381" s="1738" t="s">
        <v>2470</v>
      </c>
      <c r="G381" s="1738"/>
      <c r="H381" s="1738"/>
      <c r="I381" s="1738"/>
      <c r="J381" s="1801"/>
      <c r="K381" s="1757" t="s">
        <v>2786</v>
      </c>
      <c r="L381" s="1738"/>
      <c r="M381" s="1738"/>
      <c r="N381" s="1738"/>
      <c r="O381" s="1738"/>
      <c r="P381" s="1779"/>
      <c r="Q381" s="1779"/>
      <c r="R381" s="1779"/>
      <c r="S381" s="1737"/>
      <c r="T381" s="1737"/>
      <c r="U381" s="1737"/>
      <c r="V381" s="1741"/>
      <c r="W381" s="1758">
        <f t="shared" si="100"/>
        <v>0</v>
      </c>
      <c r="X381" s="1895">
        <f t="shared" si="98"/>
        <v>0</v>
      </c>
      <c r="Y381" s="3756"/>
      <c r="Z381" s="858" t="s">
        <v>43</v>
      </c>
      <c r="AA381" s="3216" t="s">
        <v>2494</v>
      </c>
      <c r="AB381" s="2678">
        <v>0.4</v>
      </c>
      <c r="AC381" s="2677">
        <f>179*1.2</f>
        <v>214.79999999999998</v>
      </c>
      <c r="AD381" s="2677">
        <f t="shared" si="101"/>
        <v>85.92</v>
      </c>
      <c r="AE381" s="2679">
        <f t="shared" si="94"/>
        <v>0</v>
      </c>
      <c r="AF381" s="2679"/>
      <c r="AG381" s="1161"/>
      <c r="AH381" s="866">
        <f t="shared" si="99"/>
        <v>0</v>
      </c>
      <c r="AI381" s="884" t="e">
        <f t="shared" si="102"/>
        <v>#DIV/0!</v>
      </c>
    </row>
    <row r="382" spans="1:38" s="196" customFormat="1" ht="25.8" customHeight="1" thickBot="1" x14ac:dyDescent="0.25">
      <c r="A382" s="48" t="s">
        <v>3671</v>
      </c>
      <c r="B382" s="1370"/>
      <c r="C382" s="1735"/>
      <c r="D382" s="1737" t="s">
        <v>3101</v>
      </c>
      <c r="E382" s="1737" t="s">
        <v>3208</v>
      </c>
      <c r="F382" s="1738" t="s">
        <v>2471</v>
      </c>
      <c r="G382" s="1738"/>
      <c r="H382" s="1738"/>
      <c r="I382" s="1738"/>
      <c r="J382" s="1801"/>
      <c r="K382" s="1757" t="s">
        <v>2786</v>
      </c>
      <c r="L382" s="1738"/>
      <c r="M382" s="1738"/>
      <c r="N382" s="1738"/>
      <c r="O382" s="1738"/>
      <c r="P382" s="1779"/>
      <c r="Q382" s="1779"/>
      <c r="R382" s="1779"/>
      <c r="S382" s="1737"/>
      <c r="T382" s="1737"/>
      <c r="U382" s="1737"/>
      <c r="V382" s="1741"/>
      <c r="W382" s="1758">
        <f t="shared" si="100"/>
        <v>0</v>
      </c>
      <c r="X382" s="1895">
        <f>ROUNDUP(W382,0)</f>
        <v>0</v>
      </c>
      <c r="Y382" s="3756"/>
      <c r="Z382" s="193" t="s">
        <v>43</v>
      </c>
      <c r="AA382" s="3217" t="s">
        <v>2495</v>
      </c>
      <c r="AB382" s="2681">
        <v>0.4</v>
      </c>
      <c r="AC382" s="2682">
        <f>219*1.2</f>
        <v>262.8</v>
      </c>
      <c r="AD382" s="2682">
        <f t="shared" si="101"/>
        <v>105.12</v>
      </c>
      <c r="AE382" s="2682">
        <f t="shared" si="94"/>
        <v>0</v>
      </c>
      <c r="AF382" s="2682"/>
      <c r="AG382" s="1162"/>
      <c r="AH382" s="194">
        <f t="shared" si="99"/>
        <v>0</v>
      </c>
      <c r="AI382" s="885" t="e">
        <f t="shared" si="102"/>
        <v>#DIV/0!</v>
      </c>
    </row>
    <row r="383" spans="1:38" s="206" customFormat="1" ht="13.2" customHeight="1" thickBot="1" x14ac:dyDescent="0.25">
      <c r="A383" s="48" t="s">
        <v>3672</v>
      </c>
      <c r="B383" s="1370"/>
      <c r="C383" s="2841"/>
      <c r="D383" s="1779" t="s">
        <v>3585</v>
      </c>
      <c r="E383" s="1779" t="s">
        <v>98</v>
      </c>
      <c r="F383" s="1801"/>
      <c r="G383" s="1738"/>
      <c r="H383" s="1801" t="s">
        <v>3241</v>
      </c>
      <c r="I383" s="1801"/>
      <c r="J383" s="1801"/>
      <c r="K383" s="1809">
        <v>630</v>
      </c>
      <c r="L383" s="1801"/>
      <c r="M383" s="1801"/>
      <c r="N383" s="1801" t="s">
        <v>3241</v>
      </c>
      <c r="O383" s="1801"/>
      <c r="P383" s="1779"/>
      <c r="Q383" s="1779"/>
      <c r="R383" s="1779"/>
      <c r="S383" s="1779"/>
      <c r="T383" s="1779"/>
      <c r="U383" s="1779"/>
      <c r="V383" s="2015"/>
      <c r="W383" s="2018">
        <f>+AD383*1.6*C383</f>
        <v>0</v>
      </c>
      <c r="X383" s="2019">
        <f>+ROUNDUP(W383,0)</f>
        <v>0</v>
      </c>
      <c r="Y383" s="3756"/>
      <c r="Z383" s="208" t="s">
        <v>355</v>
      </c>
      <c r="AA383" s="3187" t="s">
        <v>354</v>
      </c>
      <c r="AB383" s="2671">
        <v>0.434</v>
      </c>
      <c r="AC383" s="2671">
        <v>750.75</v>
      </c>
      <c r="AD383" s="2683">
        <f>+AC383*AB383</f>
        <v>325.82549999999998</v>
      </c>
      <c r="AE383" s="2621"/>
      <c r="AF383" s="2621"/>
      <c r="AG383" s="1150"/>
      <c r="AH383" s="873">
        <f>+X383-AD383</f>
        <v>-325.82549999999998</v>
      </c>
      <c r="AI383" s="880" t="e">
        <f>+AH383/X383</f>
        <v>#DIV/0!</v>
      </c>
    </row>
    <row r="384" spans="1:38" s="48" customFormat="1" ht="13.2" customHeight="1" thickBot="1" x14ac:dyDescent="0.25">
      <c r="A384" s="48" t="s">
        <v>3672</v>
      </c>
      <c r="B384" s="1370"/>
      <c r="C384" s="2226">
        <v>1</v>
      </c>
      <c r="D384" s="2029" t="s">
        <v>3586</v>
      </c>
      <c r="E384" s="1779" t="s">
        <v>98</v>
      </c>
      <c r="F384" s="1801"/>
      <c r="G384" s="1738"/>
      <c r="H384" s="1801" t="s">
        <v>316</v>
      </c>
      <c r="I384" s="1801"/>
      <c r="J384" s="1801"/>
      <c r="K384" s="1809">
        <v>630</v>
      </c>
      <c r="L384" s="1738"/>
      <c r="M384" s="1738"/>
      <c r="N384" s="1738" t="s">
        <v>316</v>
      </c>
      <c r="O384" s="1738"/>
      <c r="P384" s="1737"/>
      <c r="Q384" s="1737"/>
      <c r="R384" s="1737"/>
      <c r="S384" s="1737"/>
      <c r="T384" s="1737"/>
      <c r="U384" s="1737"/>
      <c r="V384" s="1741"/>
      <c r="W384" s="2018">
        <f>+AD384*1.65*C384</f>
        <v>537.61207499999989</v>
      </c>
      <c r="X384" s="2019">
        <f>+ROUNDUP(W384,0)</f>
        <v>538</v>
      </c>
      <c r="Y384" s="3758"/>
      <c r="Z384" s="61" t="s">
        <v>355</v>
      </c>
      <c r="AA384" s="3188" t="s">
        <v>354</v>
      </c>
      <c r="AB384" s="2643">
        <v>0.434</v>
      </c>
      <c r="AC384" s="2643">
        <v>750.75</v>
      </c>
      <c r="AD384" s="2637">
        <f>+AC384*AB384</f>
        <v>325.82549999999998</v>
      </c>
      <c r="AE384" s="2624"/>
      <c r="AF384" s="2624"/>
      <c r="AG384" s="1148"/>
      <c r="AH384" s="842">
        <f>+X384-AD384</f>
        <v>212.17450000000002</v>
      </c>
      <c r="AI384" s="876">
        <f>+AH384/X384</f>
        <v>0.39437639405204467</v>
      </c>
    </row>
    <row r="385" spans="1:35" s="48" customFormat="1" ht="13.2" customHeight="1" x14ac:dyDescent="0.2">
      <c r="A385" s="48" t="s">
        <v>3672</v>
      </c>
      <c r="B385" s="1370"/>
      <c r="C385" s="2116"/>
      <c r="D385" s="1740" t="s">
        <v>3585</v>
      </c>
      <c r="E385" s="1737" t="s">
        <v>351</v>
      </c>
      <c r="F385" s="1738"/>
      <c r="G385" s="1738"/>
      <c r="H385" s="1738" t="s">
        <v>3241</v>
      </c>
      <c r="I385" s="1738"/>
      <c r="J385" s="1738"/>
      <c r="K385" s="1772">
        <v>630</v>
      </c>
      <c r="L385" s="1738"/>
      <c r="M385" s="1738"/>
      <c r="N385" s="1738" t="s">
        <v>3241</v>
      </c>
      <c r="O385" s="1738"/>
      <c r="P385" s="1737"/>
      <c r="Q385" s="1737"/>
      <c r="R385" s="1737"/>
      <c r="S385" s="1737"/>
      <c r="T385" s="1737"/>
      <c r="U385" s="1737"/>
      <c r="V385" s="1741"/>
      <c r="W385" s="1790">
        <f>+AD385*1.6*C385</f>
        <v>0</v>
      </c>
      <c r="X385" s="2271">
        <f t="shared" ref="X385:X386" si="103">+ROUNDUP(W385,0)</f>
        <v>0</v>
      </c>
      <c r="Y385" s="3756"/>
      <c r="Z385" s="74" t="s">
        <v>355</v>
      </c>
      <c r="AA385" s="3189" t="s">
        <v>354</v>
      </c>
      <c r="AB385" s="2644">
        <v>0.434</v>
      </c>
      <c r="AC385" s="2644">
        <v>798</v>
      </c>
      <c r="AD385" s="2637">
        <f t="shared" ref="AD385:AD386" si="104">+AC385*AB385</f>
        <v>346.33199999999999</v>
      </c>
      <c r="AE385" s="2624">
        <f t="shared" ref="AE385:AE398" si="105">+AD385*C385</f>
        <v>0</v>
      </c>
      <c r="AF385" s="2624"/>
      <c r="AG385" s="1148"/>
      <c r="AH385" s="42">
        <f>+W385-AE385</f>
        <v>0</v>
      </c>
      <c r="AI385" s="43" t="e">
        <f t="shared" ref="AI385:AI386" si="106">+AH385/X385</f>
        <v>#DIV/0!</v>
      </c>
    </row>
    <row r="386" spans="1:35" s="48" customFormat="1" ht="13.2" customHeight="1" x14ac:dyDescent="0.2">
      <c r="A386" s="48" t="s">
        <v>3672</v>
      </c>
      <c r="B386" s="1370"/>
      <c r="C386" s="1766"/>
      <c r="D386" s="1740" t="s">
        <v>3586</v>
      </c>
      <c r="E386" s="1737" t="s">
        <v>351</v>
      </c>
      <c r="F386" s="1738"/>
      <c r="G386" s="1738"/>
      <c r="H386" s="1738" t="s">
        <v>316</v>
      </c>
      <c r="I386" s="1738"/>
      <c r="J386" s="1738"/>
      <c r="K386" s="1772">
        <v>630</v>
      </c>
      <c r="L386" s="1738"/>
      <c r="M386" s="1738"/>
      <c r="N386" s="1738" t="s">
        <v>316</v>
      </c>
      <c r="O386" s="1738"/>
      <c r="P386" s="1737"/>
      <c r="Q386" s="1737"/>
      <c r="R386" s="1737"/>
      <c r="S386" s="1737"/>
      <c r="T386" s="1737"/>
      <c r="U386" s="1737"/>
      <c r="V386" s="1741"/>
      <c r="W386" s="1742">
        <f>+AD386*1.6*C386</f>
        <v>0</v>
      </c>
      <c r="X386" s="2271">
        <f t="shared" si="103"/>
        <v>0</v>
      </c>
      <c r="Y386" s="3756"/>
      <c r="Z386" s="74" t="s">
        <v>355</v>
      </c>
      <c r="AA386" s="3186" t="s">
        <v>354</v>
      </c>
      <c r="AB386" s="2644">
        <v>0.434</v>
      </c>
      <c r="AC386" s="2644">
        <v>798</v>
      </c>
      <c r="AD386" s="2637">
        <f t="shared" si="104"/>
        <v>346.33199999999999</v>
      </c>
      <c r="AE386" s="2624">
        <f t="shared" si="105"/>
        <v>0</v>
      </c>
      <c r="AF386" s="2624"/>
      <c r="AG386" s="1148"/>
      <c r="AH386" s="42">
        <f>+W386-AE386</f>
        <v>0</v>
      </c>
      <c r="AI386" s="43" t="e">
        <f t="shared" si="106"/>
        <v>#DIV/0!</v>
      </c>
    </row>
    <row r="387" spans="1:35" s="207" customFormat="1" ht="13.2" customHeight="1" x14ac:dyDescent="0.2">
      <c r="A387" s="48" t="s">
        <v>3672</v>
      </c>
      <c r="B387" s="1370"/>
      <c r="C387" s="2116"/>
      <c r="D387" s="2058" t="s">
        <v>424</v>
      </c>
      <c r="E387" s="2058" t="s">
        <v>2531</v>
      </c>
      <c r="F387" s="2024" t="s">
        <v>2711</v>
      </c>
      <c r="G387" s="2024"/>
      <c r="H387" s="2024"/>
      <c r="I387" s="2024"/>
      <c r="J387" s="2024" t="s">
        <v>85</v>
      </c>
      <c r="K387" s="2117">
        <v>630</v>
      </c>
      <c r="L387" s="2024"/>
      <c r="M387" s="2024"/>
      <c r="N387" s="2024"/>
      <c r="O387" s="2024"/>
      <c r="P387" s="2058"/>
      <c r="Q387" s="2058"/>
      <c r="R387" s="2058"/>
      <c r="S387" s="2048"/>
      <c r="T387" s="2048"/>
      <c r="U387" s="2048"/>
      <c r="V387" s="2118"/>
      <c r="W387" s="2026">
        <f>+AD387*1.7*C387</f>
        <v>0</v>
      </c>
      <c r="X387" s="2376">
        <f t="shared" ref="X387:X398" si="107">+ROUNDUP(W387,0)</f>
        <v>0</v>
      </c>
      <c r="Y387" s="3756"/>
      <c r="Z387" s="74" t="s">
        <v>33</v>
      </c>
      <c r="AA387" s="3189" t="s">
        <v>334</v>
      </c>
      <c r="AB387" s="2684">
        <v>0.15</v>
      </c>
      <c r="AC387" s="2644">
        <f>5306+351+280</f>
        <v>5937</v>
      </c>
      <c r="AD387" s="2634">
        <f t="shared" ref="AD387:AD398" si="108">+AB387*AC387</f>
        <v>890.55</v>
      </c>
      <c r="AE387" s="2624">
        <f t="shared" si="105"/>
        <v>0</v>
      </c>
      <c r="AF387" s="2624"/>
      <c r="AG387" s="1148"/>
      <c r="AH387" s="42">
        <f t="shared" ref="AH387:AH398" si="109">+W387-AE387</f>
        <v>0</v>
      </c>
      <c r="AI387" s="43" t="e">
        <f t="shared" ref="AI387:AI398" si="110">+AH387/X387</f>
        <v>#DIV/0!</v>
      </c>
    </row>
    <row r="388" spans="1:35" s="207" customFormat="1" ht="13.2" customHeight="1" x14ac:dyDescent="0.2">
      <c r="A388" s="48" t="s">
        <v>3672</v>
      </c>
      <c r="B388" s="1370"/>
      <c r="C388" s="1767"/>
      <c r="D388" s="1745" t="s">
        <v>2759</v>
      </c>
      <c r="E388" s="1745" t="s">
        <v>98</v>
      </c>
      <c r="F388" s="1745" t="s">
        <v>85</v>
      </c>
      <c r="G388" s="1745"/>
      <c r="H388" s="1745"/>
      <c r="I388" s="1745"/>
      <c r="J388" s="1768" t="s">
        <v>2761</v>
      </c>
      <c r="K388" s="1739">
        <v>630</v>
      </c>
      <c r="L388" s="1745"/>
      <c r="M388" s="1745"/>
      <c r="N388" s="1745"/>
      <c r="O388" s="1739"/>
      <c r="P388" s="1739"/>
      <c r="Q388" s="1739"/>
      <c r="R388" s="1739"/>
      <c r="S388" s="1739"/>
      <c r="T388" s="1737"/>
      <c r="U388" s="1737"/>
      <c r="V388" s="1741"/>
      <c r="W388" s="1794">
        <f>+AD388*1.5*C388</f>
        <v>0</v>
      </c>
      <c r="X388" s="1894">
        <f>+ROUNDUP(W388,0)</f>
        <v>0</v>
      </c>
      <c r="Y388" s="3756"/>
      <c r="Z388" s="61" t="s">
        <v>33</v>
      </c>
      <c r="AA388" s="3190" t="s">
        <v>334</v>
      </c>
      <c r="AB388" s="2685">
        <v>0.15</v>
      </c>
      <c r="AC388" s="2686">
        <v>3855</v>
      </c>
      <c r="AD388" s="2687">
        <f>+AB388*AC388</f>
        <v>578.25</v>
      </c>
      <c r="AE388" s="2624">
        <f t="shared" si="105"/>
        <v>0</v>
      </c>
      <c r="AF388" s="2624"/>
      <c r="AG388" s="1148"/>
      <c r="AH388" s="44">
        <f>+W388-AE388</f>
        <v>0</v>
      </c>
      <c r="AI388" s="874" t="e">
        <f>+AH388/X388</f>
        <v>#DIV/0!</v>
      </c>
    </row>
    <row r="389" spans="1:35" s="207" customFormat="1" ht="13.2" customHeight="1" x14ac:dyDescent="0.2">
      <c r="A389" s="48" t="s">
        <v>3672</v>
      </c>
      <c r="B389" s="1370"/>
      <c r="C389" s="1767"/>
      <c r="D389" s="1813" t="s">
        <v>3404</v>
      </c>
      <c r="E389" s="1813" t="s">
        <v>98</v>
      </c>
      <c r="F389" s="1814" t="s">
        <v>2576</v>
      </c>
      <c r="G389" s="1814"/>
      <c r="H389" s="1814"/>
      <c r="I389" s="1814"/>
      <c r="J389" s="1814" t="s">
        <v>348</v>
      </c>
      <c r="K389" s="1813"/>
      <c r="L389" s="1814"/>
      <c r="M389" s="1814"/>
      <c r="N389" s="1813" t="s">
        <v>87</v>
      </c>
      <c r="O389" s="1814"/>
      <c r="P389" s="1737"/>
      <c r="Q389" s="1737"/>
      <c r="R389" s="1737"/>
      <c r="S389" s="1737"/>
      <c r="T389" s="1737"/>
      <c r="U389" s="1737"/>
      <c r="V389" s="1741"/>
      <c r="W389" s="1773">
        <f>+AD389*1.4*C389</f>
        <v>0</v>
      </c>
      <c r="X389" s="2377">
        <f>+ROUNDUP(W389,0)</f>
        <v>0</v>
      </c>
      <c r="Y389" s="3756"/>
      <c r="Z389" s="61" t="s">
        <v>397</v>
      </c>
      <c r="AA389" s="3190" t="s">
        <v>2578</v>
      </c>
      <c r="AB389" s="2623">
        <v>1</v>
      </c>
      <c r="AC389" s="2617">
        <v>1750</v>
      </c>
      <c r="AD389" s="2634">
        <f>+AB389*AC389</f>
        <v>1750</v>
      </c>
      <c r="AE389" s="2624">
        <f t="shared" si="105"/>
        <v>0</v>
      </c>
      <c r="AF389" s="2624"/>
      <c r="AG389" s="1148"/>
      <c r="AH389" s="44">
        <f>+W389-AE389</f>
        <v>0</v>
      </c>
      <c r="AI389" s="874" t="e">
        <f>+AH389/X389</f>
        <v>#DIV/0!</v>
      </c>
    </row>
    <row r="390" spans="1:35" s="207" customFormat="1" ht="13.2" customHeight="1" x14ac:dyDescent="0.2">
      <c r="A390" s="48" t="s">
        <v>3672</v>
      </c>
      <c r="B390" s="1370"/>
      <c r="C390" s="1767"/>
      <c r="D390" s="1813" t="s">
        <v>3404</v>
      </c>
      <c r="E390" s="1813" t="s">
        <v>98</v>
      </c>
      <c r="F390" s="1814" t="s">
        <v>2576</v>
      </c>
      <c r="G390" s="1814"/>
      <c r="H390" s="1814" t="s">
        <v>3403</v>
      </c>
      <c r="I390" s="1814"/>
      <c r="J390" s="1814">
        <v>9975</v>
      </c>
      <c r="K390" s="1813">
        <v>626</v>
      </c>
      <c r="L390" s="1814"/>
      <c r="M390" s="1814"/>
      <c r="N390" s="1813" t="s">
        <v>87</v>
      </c>
      <c r="O390" s="1814"/>
      <c r="P390" s="1737"/>
      <c r="Q390" s="1737"/>
      <c r="R390" s="1737"/>
      <c r="S390" s="1737"/>
      <c r="T390" s="1737"/>
      <c r="U390" s="1737"/>
      <c r="V390" s="1741"/>
      <c r="W390" s="1773">
        <f>+AD390*1.4*C390</f>
        <v>0</v>
      </c>
      <c r="X390" s="2377">
        <f>+ROUNDUP(W390,0)</f>
        <v>0</v>
      </c>
      <c r="Y390" s="3756"/>
      <c r="Z390" s="61" t="s">
        <v>397</v>
      </c>
      <c r="AA390" s="3190" t="s">
        <v>3408</v>
      </c>
      <c r="AB390" s="2623">
        <v>1</v>
      </c>
      <c r="AC390" s="2617">
        <v>1439</v>
      </c>
      <c r="AD390" s="2634">
        <f>+AB390*AC390</f>
        <v>1439</v>
      </c>
      <c r="AE390" s="2624">
        <f t="shared" si="105"/>
        <v>0</v>
      </c>
      <c r="AF390" s="2624"/>
      <c r="AG390" s="1148"/>
      <c r="AH390" s="44">
        <f>+W390-AE390</f>
        <v>0</v>
      </c>
      <c r="AI390" s="874" t="e">
        <f>+AH390/X390</f>
        <v>#DIV/0!</v>
      </c>
    </row>
    <row r="391" spans="1:35" s="207" customFormat="1" ht="13.2" customHeight="1" x14ac:dyDescent="0.2">
      <c r="A391" s="48" t="s">
        <v>3672</v>
      </c>
      <c r="B391" s="1370"/>
      <c r="C391" s="1767"/>
      <c r="D391" s="1813" t="s">
        <v>3404</v>
      </c>
      <c r="E391" s="1813" t="s">
        <v>351</v>
      </c>
      <c r="F391" s="1814" t="s">
        <v>2576</v>
      </c>
      <c r="G391" s="1814"/>
      <c r="H391" s="1814" t="s">
        <v>3403</v>
      </c>
      <c r="I391" s="1814"/>
      <c r="J391" s="1814">
        <v>9975</v>
      </c>
      <c r="K391" s="1813">
        <v>636</v>
      </c>
      <c r="L391" s="1814"/>
      <c r="M391" s="1814"/>
      <c r="N391" s="1813" t="s">
        <v>87</v>
      </c>
      <c r="O391" s="1814"/>
      <c r="P391" s="1737"/>
      <c r="Q391" s="1737"/>
      <c r="R391" s="1737"/>
      <c r="S391" s="1737"/>
      <c r="T391" s="1737"/>
      <c r="U391" s="1737"/>
      <c r="V391" s="1741"/>
      <c r="W391" s="1773">
        <f>+AD391*1.4*C391</f>
        <v>0</v>
      </c>
      <c r="X391" s="2377">
        <f>+ROUNDUP(W391,0)</f>
        <v>0</v>
      </c>
      <c r="Y391" s="3756"/>
      <c r="Z391" s="61" t="s">
        <v>397</v>
      </c>
      <c r="AA391" s="3190" t="s">
        <v>3408</v>
      </c>
      <c r="AB391" s="2623">
        <v>1</v>
      </c>
      <c r="AC391" s="2617">
        <v>1511</v>
      </c>
      <c r="AD391" s="2634">
        <f>+AB392*AC391</f>
        <v>1511</v>
      </c>
      <c r="AE391" s="2624">
        <f t="shared" si="105"/>
        <v>0</v>
      </c>
      <c r="AF391" s="2624"/>
      <c r="AG391" s="1148"/>
      <c r="AH391" s="44">
        <f>+W391-AE391</f>
        <v>0</v>
      </c>
      <c r="AI391" s="874" t="e">
        <f>+AH391/X392</f>
        <v>#DIV/0!</v>
      </c>
    </row>
    <row r="392" spans="1:35" s="207" customFormat="1" ht="13.2" customHeight="1" x14ac:dyDescent="0.2">
      <c r="A392" s="48" t="s">
        <v>3672</v>
      </c>
      <c r="B392" s="1370"/>
      <c r="C392" s="1767"/>
      <c r="D392" s="1813" t="s">
        <v>3405</v>
      </c>
      <c r="E392" s="1813" t="s">
        <v>3406</v>
      </c>
      <c r="F392" s="1814" t="s">
        <v>2576</v>
      </c>
      <c r="G392" s="1814"/>
      <c r="H392" s="2947" t="s">
        <v>3407</v>
      </c>
      <c r="I392" s="1814"/>
      <c r="J392" s="1814"/>
      <c r="K392" s="1813">
        <v>626</v>
      </c>
      <c r="L392" s="1814"/>
      <c r="M392" s="1814"/>
      <c r="N392" s="1813" t="s">
        <v>46</v>
      </c>
      <c r="O392" s="1814"/>
      <c r="P392" s="1737"/>
      <c r="Q392" s="1737"/>
      <c r="R392" s="1737"/>
      <c r="S392" s="1737"/>
      <c r="T392" s="1737"/>
      <c r="U392" s="1737"/>
      <c r="V392" s="1741"/>
      <c r="W392" s="1773">
        <f>+AD392*1.4*C392</f>
        <v>0</v>
      </c>
      <c r="X392" s="2377">
        <f>+ROUNDUP(W391,0)</f>
        <v>0</v>
      </c>
      <c r="Y392" s="3756"/>
      <c r="Z392" s="61" t="s">
        <v>397</v>
      </c>
      <c r="AA392" s="3190" t="s">
        <v>3409</v>
      </c>
      <c r="AB392" s="2623">
        <v>1</v>
      </c>
      <c r="AC392" s="2617">
        <v>892.78</v>
      </c>
      <c r="AD392" s="2634">
        <f>+AC392</f>
        <v>892.78</v>
      </c>
      <c r="AE392" s="2624">
        <f t="shared" si="105"/>
        <v>0</v>
      </c>
      <c r="AF392" s="2624"/>
      <c r="AG392" s="1148"/>
      <c r="AH392" s="44"/>
      <c r="AI392" s="874"/>
    </row>
    <row r="393" spans="1:35" s="207" customFormat="1" ht="13.2" customHeight="1" x14ac:dyDescent="0.2">
      <c r="A393" s="48" t="s">
        <v>3673</v>
      </c>
      <c r="B393" s="1370"/>
      <c r="C393" s="1767"/>
      <c r="D393" s="1753" t="s">
        <v>3572</v>
      </c>
      <c r="E393" s="1753" t="s">
        <v>2530</v>
      </c>
      <c r="F393" s="1755" t="s">
        <v>85</v>
      </c>
      <c r="G393" s="1755"/>
      <c r="H393" s="1755"/>
      <c r="I393" s="1755"/>
      <c r="J393" s="1755"/>
      <c r="K393" s="1739">
        <v>630</v>
      </c>
      <c r="L393" s="1755"/>
      <c r="M393" s="1755"/>
      <c r="N393" s="1755"/>
      <c r="O393" s="1755"/>
      <c r="P393" s="1753"/>
      <c r="Q393" s="1753"/>
      <c r="R393" s="1753"/>
      <c r="S393" s="1737"/>
      <c r="T393" s="1737"/>
      <c r="U393" s="1737"/>
      <c r="V393" s="1741"/>
      <c r="W393" s="1748">
        <f>+AD393*1.7*C393</f>
        <v>0</v>
      </c>
      <c r="X393" s="1893">
        <f>+ROUNDUP(W393,0)*C393</f>
        <v>0</v>
      </c>
      <c r="Y393" s="3756"/>
      <c r="Z393" s="61" t="s">
        <v>33</v>
      </c>
      <c r="AA393" s="3190" t="s">
        <v>335</v>
      </c>
      <c r="AB393" s="2623">
        <v>0.15</v>
      </c>
      <c r="AC393" s="2617">
        <f>4097+251</f>
        <v>4348</v>
      </c>
      <c r="AD393" s="2634">
        <f>+AB393*AC393</f>
        <v>652.19999999999993</v>
      </c>
      <c r="AE393" s="2624">
        <f t="shared" si="105"/>
        <v>0</v>
      </c>
      <c r="AF393" s="2624"/>
      <c r="AG393" s="1148"/>
      <c r="AH393" s="44">
        <f>+W393-AE393</f>
        <v>0</v>
      </c>
      <c r="AI393" s="874" t="e">
        <f>+AH393/X393</f>
        <v>#DIV/0!</v>
      </c>
    </row>
    <row r="394" spans="1:35" s="207" customFormat="1" ht="13.2" customHeight="1" thickBot="1" x14ac:dyDescent="0.25">
      <c r="A394" s="48" t="s">
        <v>3673</v>
      </c>
      <c r="B394" s="1370"/>
      <c r="C394" s="1767"/>
      <c r="D394" s="1753" t="s">
        <v>3572</v>
      </c>
      <c r="E394" s="1753" t="s">
        <v>3554</v>
      </c>
      <c r="F394" s="1755" t="s">
        <v>85</v>
      </c>
      <c r="G394" s="1755"/>
      <c r="H394" s="1755"/>
      <c r="I394" s="1755"/>
      <c r="J394" s="1755"/>
      <c r="K394" s="1739">
        <v>630</v>
      </c>
      <c r="L394" s="1755"/>
      <c r="M394" s="1755"/>
      <c r="N394" s="1755"/>
      <c r="O394" s="1755"/>
      <c r="P394" s="1753"/>
      <c r="Q394" s="1753"/>
      <c r="R394" s="1753"/>
      <c r="S394" s="1737"/>
      <c r="T394" s="1737"/>
      <c r="U394" s="1737"/>
      <c r="V394" s="1741"/>
      <c r="W394" s="1748">
        <f>+AD394*1.7*C394</f>
        <v>0</v>
      </c>
      <c r="X394" s="1893">
        <f>+ROUNDUP(W394,0)*C394</f>
        <v>0</v>
      </c>
      <c r="Y394" s="3756"/>
      <c r="Z394" s="61" t="s">
        <v>33</v>
      </c>
      <c r="AA394" s="3190" t="s">
        <v>335</v>
      </c>
      <c r="AB394" s="2623">
        <v>0.15</v>
      </c>
      <c r="AC394" s="2617">
        <f>4097+395</f>
        <v>4492</v>
      </c>
      <c r="AD394" s="2634">
        <f>+AB394*AC394</f>
        <v>673.8</v>
      </c>
      <c r="AE394" s="2624">
        <f t="shared" si="105"/>
        <v>0</v>
      </c>
      <c r="AF394" s="2624"/>
      <c r="AG394" s="1148"/>
      <c r="AH394" s="44">
        <f>+W394-AE394</f>
        <v>0</v>
      </c>
      <c r="AI394" s="874" t="e">
        <f>+AH394/X394</f>
        <v>#DIV/0!</v>
      </c>
    </row>
    <row r="395" spans="1:35" s="3276" customFormat="1" ht="13.2" thickBot="1" x14ac:dyDescent="0.25">
      <c r="A395" s="48" t="s">
        <v>3673</v>
      </c>
      <c r="B395" s="3323" t="s">
        <v>3570</v>
      </c>
      <c r="C395" s="2264"/>
      <c r="D395" s="2259" t="s">
        <v>3562</v>
      </c>
      <c r="E395" s="3432" t="s">
        <v>3567</v>
      </c>
      <c r="F395" s="2256" t="s">
        <v>85</v>
      </c>
      <c r="G395" s="1807"/>
      <c r="H395" s="2256"/>
      <c r="I395" s="2256"/>
      <c r="J395" s="2267" t="s">
        <v>3477</v>
      </c>
      <c r="K395" s="2257">
        <v>630</v>
      </c>
      <c r="L395" s="2256"/>
      <c r="M395" s="2256"/>
      <c r="N395" s="2256"/>
      <c r="O395" s="2256"/>
      <c r="P395" s="1760"/>
      <c r="Q395" s="1760"/>
      <c r="R395" s="1760"/>
      <c r="S395" s="1753"/>
      <c r="T395" s="1753"/>
      <c r="U395" s="1753"/>
      <c r="V395" s="1756"/>
      <c r="W395" s="1733">
        <f>+AD395*1.65*C395</f>
        <v>0</v>
      </c>
      <c r="X395" s="2017">
        <f t="shared" si="107"/>
        <v>0</v>
      </c>
      <c r="Y395" s="3764"/>
      <c r="Z395" s="1973" t="s">
        <v>3640</v>
      </c>
      <c r="AA395" s="3277" t="s">
        <v>3639</v>
      </c>
      <c r="AB395" s="3278">
        <v>0.15</v>
      </c>
      <c r="AC395" s="2742">
        <v>3805</v>
      </c>
      <c r="AD395" s="2742">
        <f t="shared" si="108"/>
        <v>570.75</v>
      </c>
      <c r="AE395" s="3279">
        <f t="shared" si="105"/>
        <v>0</v>
      </c>
      <c r="AF395" s="3279"/>
      <c r="AG395" s="3280"/>
      <c r="AH395" s="3281">
        <f t="shared" si="109"/>
        <v>0</v>
      </c>
      <c r="AI395" s="3282" t="e">
        <f t="shared" si="110"/>
        <v>#DIV/0!</v>
      </c>
    </row>
    <row r="396" spans="1:35" s="218" customFormat="1" ht="12.6" customHeight="1" thickBot="1" x14ac:dyDescent="0.25">
      <c r="A396" s="48" t="s">
        <v>3673</v>
      </c>
      <c r="B396" s="3324" t="s">
        <v>3561</v>
      </c>
      <c r="C396" s="1766">
        <v>1</v>
      </c>
      <c r="D396" s="1805" t="s">
        <v>3563</v>
      </c>
      <c r="E396" s="1807" t="s">
        <v>3568</v>
      </c>
      <c r="F396" s="1755" t="s">
        <v>85</v>
      </c>
      <c r="G396" s="1755"/>
      <c r="H396" s="3659" t="s">
        <v>316</v>
      </c>
      <c r="I396" s="1755"/>
      <c r="J396" s="1746" t="s">
        <v>316</v>
      </c>
      <c r="K396" s="1739">
        <v>630</v>
      </c>
      <c r="L396" s="1746"/>
      <c r="M396" s="1746"/>
      <c r="N396" s="1755" t="s">
        <v>2787</v>
      </c>
      <c r="O396" s="1755"/>
      <c r="P396" s="1848"/>
      <c r="Q396" s="1848"/>
      <c r="R396" s="1848"/>
      <c r="S396" s="1755"/>
      <c r="T396" s="1755"/>
      <c r="U396" s="1755"/>
      <c r="V396" s="1784"/>
      <c r="W396" s="1733">
        <f>+AD396*1.3*C396</f>
        <v>751.72500000000002</v>
      </c>
      <c r="X396" s="2017">
        <f t="shared" si="107"/>
        <v>752</v>
      </c>
      <c r="Y396" s="3758"/>
      <c r="Z396" s="889" t="s">
        <v>33</v>
      </c>
      <c r="AA396" s="3283" t="s">
        <v>334</v>
      </c>
      <c r="AB396" s="3284">
        <v>0.15</v>
      </c>
      <c r="AC396" s="2774">
        <f>3855</f>
        <v>3855</v>
      </c>
      <c r="AD396" s="2774">
        <f t="shared" si="108"/>
        <v>578.25</v>
      </c>
      <c r="AE396" s="3285">
        <f t="shared" si="105"/>
        <v>578.25</v>
      </c>
      <c r="AF396" s="3285"/>
      <c r="AG396" s="3286"/>
      <c r="AH396" s="3287">
        <f t="shared" si="109"/>
        <v>173.47500000000002</v>
      </c>
      <c r="AI396" s="3288">
        <f t="shared" si="110"/>
        <v>0.23068484042553195</v>
      </c>
    </row>
    <row r="397" spans="1:35" s="218" customFormat="1" ht="12.6" customHeight="1" x14ac:dyDescent="0.2">
      <c r="A397" s="48" t="s">
        <v>3673</v>
      </c>
      <c r="B397" s="3324" t="s">
        <v>3561</v>
      </c>
      <c r="C397" s="1766"/>
      <c r="D397" s="1805" t="s">
        <v>3564</v>
      </c>
      <c r="E397" s="1753" t="s">
        <v>3568</v>
      </c>
      <c r="F397" s="1755" t="s">
        <v>85</v>
      </c>
      <c r="G397" s="1755">
        <v>2300</v>
      </c>
      <c r="H397" s="1755"/>
      <c r="I397" s="1755"/>
      <c r="J397" s="1755" t="s">
        <v>2460</v>
      </c>
      <c r="K397" s="1739">
        <v>630</v>
      </c>
      <c r="L397" s="1755"/>
      <c r="M397" s="1755"/>
      <c r="N397" s="1755"/>
      <c r="O397" s="1755"/>
      <c r="P397" s="1760"/>
      <c r="Q397" s="1760"/>
      <c r="R397" s="1760"/>
      <c r="S397" s="1753"/>
      <c r="T397" s="1753"/>
      <c r="U397" s="1753"/>
      <c r="V397" s="1756"/>
      <c r="W397" s="1733">
        <f>+AD397*1.7*C397</f>
        <v>0</v>
      </c>
      <c r="X397" s="1893">
        <f t="shared" si="107"/>
        <v>0</v>
      </c>
      <c r="Y397" s="3756"/>
      <c r="Z397" s="214" t="s">
        <v>33</v>
      </c>
      <c r="AA397" s="3289" t="s">
        <v>334</v>
      </c>
      <c r="AB397" s="3284">
        <v>0.15</v>
      </c>
      <c r="AC397" s="2774">
        <f>3855+50</f>
        <v>3905</v>
      </c>
      <c r="AD397" s="2774">
        <f t="shared" si="108"/>
        <v>585.75</v>
      </c>
      <c r="AE397" s="3285">
        <f t="shared" si="105"/>
        <v>0</v>
      </c>
      <c r="AF397" s="3285"/>
      <c r="AG397" s="3286"/>
      <c r="AH397" s="3287">
        <f t="shared" si="109"/>
        <v>0</v>
      </c>
      <c r="AI397" s="3288" t="e">
        <f t="shared" si="110"/>
        <v>#DIV/0!</v>
      </c>
    </row>
    <row r="398" spans="1:35" s="218" customFormat="1" ht="12.6" customHeight="1" x14ac:dyDescent="0.2">
      <c r="A398" s="48" t="s">
        <v>3673</v>
      </c>
      <c r="B398" s="3324" t="s">
        <v>3561</v>
      </c>
      <c r="C398" s="1766"/>
      <c r="D398" s="1805" t="s">
        <v>3565</v>
      </c>
      <c r="E398" s="1753" t="s">
        <v>3568</v>
      </c>
      <c r="F398" s="1755" t="str">
        <f t="shared" ref="F398:F404" si="111">+F397</f>
        <v>PRECISION</v>
      </c>
      <c r="G398" s="1755"/>
      <c r="H398" s="1755"/>
      <c r="I398" s="1755"/>
      <c r="J398" s="1755" t="s">
        <v>3285</v>
      </c>
      <c r="K398" s="1739">
        <v>630</v>
      </c>
      <c r="L398" s="1755"/>
      <c r="M398" s="1755"/>
      <c r="N398" s="1755"/>
      <c r="O398" s="1755"/>
      <c r="P398" s="1753"/>
      <c r="Q398" s="1753"/>
      <c r="R398" s="1753"/>
      <c r="S398" s="1753"/>
      <c r="T398" s="1753"/>
      <c r="U398" s="1753"/>
      <c r="V398" s="1756"/>
      <c r="W398" s="1733">
        <f>+AD398*1.5*C398</f>
        <v>0</v>
      </c>
      <c r="X398" s="1893">
        <f t="shared" si="107"/>
        <v>0</v>
      </c>
      <c r="Y398" s="3756"/>
      <c r="Z398" s="3290" t="s">
        <v>33</v>
      </c>
      <c r="AA398" s="3289" t="s">
        <v>334</v>
      </c>
      <c r="AB398" s="3284">
        <v>0.15</v>
      </c>
      <c r="AC398" s="2774">
        <f>3855</f>
        <v>3855</v>
      </c>
      <c r="AD398" s="2774">
        <f t="shared" si="108"/>
        <v>578.25</v>
      </c>
      <c r="AE398" s="3285">
        <f t="shared" si="105"/>
        <v>0</v>
      </c>
      <c r="AF398" s="3285"/>
      <c r="AG398" s="3286"/>
      <c r="AH398" s="3287">
        <f t="shared" si="109"/>
        <v>0</v>
      </c>
      <c r="AI398" s="3288" t="e">
        <f t="shared" si="110"/>
        <v>#DIV/0!</v>
      </c>
    </row>
    <row r="399" spans="1:35" s="218" customFormat="1" ht="12.6" customHeight="1" thickBot="1" x14ac:dyDescent="0.25">
      <c r="A399" s="48" t="s">
        <v>3673</v>
      </c>
      <c r="B399" s="3324" t="s">
        <v>3561</v>
      </c>
      <c r="C399" s="1766"/>
      <c r="D399" s="1805" t="s">
        <v>3566</v>
      </c>
      <c r="E399" s="1753" t="s">
        <v>3568</v>
      </c>
      <c r="F399" s="1755" t="str">
        <f t="shared" si="111"/>
        <v>PRECISION</v>
      </c>
      <c r="G399" s="1755"/>
      <c r="H399" s="1755"/>
      <c r="I399" s="1755"/>
      <c r="J399" s="1755" t="s">
        <v>3285</v>
      </c>
      <c r="K399" s="1739">
        <v>630</v>
      </c>
      <c r="L399" s="1755"/>
      <c r="M399" s="1755"/>
      <c r="N399" s="1755"/>
      <c r="O399" s="1755"/>
      <c r="P399" s="1753"/>
      <c r="Q399" s="1753"/>
      <c r="R399" s="1753"/>
      <c r="S399" s="1753"/>
      <c r="T399" s="1753"/>
      <c r="U399" s="1753"/>
      <c r="V399" s="1756"/>
      <c r="W399" s="1733">
        <f>+AD399*1.5*C399</f>
        <v>0</v>
      </c>
      <c r="X399" s="1893">
        <f t="shared" ref="X399" si="112">+ROUNDUP(W399,0)</f>
        <v>0</v>
      </c>
      <c r="Y399" s="3756"/>
      <c r="Z399" s="3290" t="s">
        <v>33</v>
      </c>
      <c r="AA399" s="3289" t="s">
        <v>334</v>
      </c>
      <c r="AB399" s="3284">
        <v>0.15</v>
      </c>
      <c r="AC399" s="2774">
        <f>3855</f>
        <v>3855</v>
      </c>
      <c r="AD399" s="2774">
        <f t="shared" ref="AD399" si="113">+AB399*AC399</f>
        <v>578.25</v>
      </c>
      <c r="AE399" s="3285">
        <f t="shared" ref="AE399" si="114">+AD399*C399</f>
        <v>0</v>
      </c>
      <c r="AF399" s="3285"/>
      <c r="AG399" s="3286"/>
      <c r="AH399" s="3287">
        <f t="shared" ref="AH399" si="115">+W399-AE399</f>
        <v>0</v>
      </c>
      <c r="AI399" s="3288" t="e">
        <f t="shared" ref="AI399" si="116">+AH399/X399</f>
        <v>#DIV/0!</v>
      </c>
    </row>
    <row r="400" spans="1:35" s="3276" customFormat="1" ht="12.6" customHeight="1" thickBot="1" x14ac:dyDescent="0.25">
      <c r="A400" s="48" t="s">
        <v>3673</v>
      </c>
      <c r="B400" s="3324" t="s">
        <v>3561</v>
      </c>
      <c r="C400" s="2264"/>
      <c r="D400" s="2259" t="s">
        <v>3562</v>
      </c>
      <c r="E400" s="3443" t="s">
        <v>2697</v>
      </c>
      <c r="F400" s="2256" t="s">
        <v>85</v>
      </c>
      <c r="G400" s="1807"/>
      <c r="H400" s="2256"/>
      <c r="I400" s="2256"/>
      <c r="J400" s="2267" t="s">
        <v>3477</v>
      </c>
      <c r="K400" s="2257">
        <v>630</v>
      </c>
      <c r="L400" s="2256"/>
      <c r="M400" s="2256"/>
      <c r="N400" s="2256"/>
      <c r="O400" s="2256"/>
      <c r="P400" s="1760"/>
      <c r="Q400" s="1760"/>
      <c r="R400" s="1760"/>
      <c r="S400" s="1753"/>
      <c r="T400" s="1753"/>
      <c r="U400" s="1753"/>
      <c r="V400" s="1756"/>
      <c r="W400" s="1733">
        <f>+AD400*1.5*C400</f>
        <v>0</v>
      </c>
      <c r="X400" s="1893">
        <f t="shared" ref="X400:X409" si="117">+ROUNDUP(W400,0)</f>
        <v>0</v>
      </c>
      <c r="Y400" s="3755"/>
      <c r="Z400" s="1973" t="s">
        <v>33</v>
      </c>
      <c r="AA400" s="3277" t="s">
        <v>334</v>
      </c>
      <c r="AB400" s="3278">
        <v>0.15</v>
      </c>
      <c r="AC400" s="2742">
        <v>3855</v>
      </c>
      <c r="AD400" s="2742">
        <f t="shared" ref="AD400:AD409" si="118">+AB400*AC400</f>
        <v>578.25</v>
      </c>
      <c r="AE400" s="3279">
        <f t="shared" ref="AE400:AE409" si="119">+AD400*C400</f>
        <v>0</v>
      </c>
      <c r="AF400" s="3279"/>
      <c r="AG400" s="3280"/>
      <c r="AH400" s="3281">
        <f t="shared" ref="AH400:AH409" si="120">+W400-AE400</f>
        <v>0</v>
      </c>
      <c r="AI400" s="3282" t="e">
        <f t="shared" ref="AI400:AI409" si="121">+AH400/X400</f>
        <v>#DIV/0!</v>
      </c>
    </row>
    <row r="401" spans="1:35" s="218" customFormat="1" ht="12.6" customHeight="1" x14ac:dyDescent="0.2">
      <c r="A401" s="48" t="s">
        <v>3673</v>
      </c>
      <c r="B401" s="3324" t="s">
        <v>3561</v>
      </c>
      <c r="C401" s="1766"/>
      <c r="D401" s="1805" t="s">
        <v>3563</v>
      </c>
      <c r="E401" s="1755" t="s">
        <v>3569</v>
      </c>
      <c r="F401" s="1755" t="s">
        <v>85</v>
      </c>
      <c r="G401" s="1755"/>
      <c r="H401" s="1755"/>
      <c r="I401" s="1755"/>
      <c r="J401" s="1746" t="s">
        <v>316</v>
      </c>
      <c r="K401" s="1739">
        <v>630</v>
      </c>
      <c r="L401" s="1746"/>
      <c r="M401" s="1746"/>
      <c r="N401" s="1755" t="s">
        <v>2787</v>
      </c>
      <c r="O401" s="1755"/>
      <c r="P401" s="1848"/>
      <c r="Q401" s="1848"/>
      <c r="R401" s="1848"/>
      <c r="S401" s="1755"/>
      <c r="T401" s="1755"/>
      <c r="U401" s="1755"/>
      <c r="V401" s="1784"/>
      <c r="W401" s="1733">
        <f>+AD401*1.3*C401</f>
        <v>0</v>
      </c>
      <c r="X401" s="1893">
        <f t="shared" si="117"/>
        <v>0</v>
      </c>
      <c r="Y401" s="3756"/>
      <c r="Z401" s="889" t="s">
        <v>33</v>
      </c>
      <c r="AA401" s="3283" t="s">
        <v>334</v>
      </c>
      <c r="AB401" s="3284">
        <v>0.15</v>
      </c>
      <c r="AC401" s="2774">
        <f>3855</f>
        <v>3855</v>
      </c>
      <c r="AD401" s="2774">
        <f t="shared" si="118"/>
        <v>578.25</v>
      </c>
      <c r="AE401" s="3285">
        <f t="shared" si="119"/>
        <v>0</v>
      </c>
      <c r="AF401" s="3285"/>
      <c r="AG401" s="3286"/>
      <c r="AH401" s="3287">
        <f t="shared" si="120"/>
        <v>0</v>
      </c>
      <c r="AI401" s="3288" t="e">
        <f t="shared" si="121"/>
        <v>#DIV/0!</v>
      </c>
    </row>
    <row r="402" spans="1:35" s="218" customFormat="1" ht="12.6" customHeight="1" x14ac:dyDescent="0.2">
      <c r="A402" s="48" t="s">
        <v>3673</v>
      </c>
      <c r="B402" s="3324" t="s">
        <v>3561</v>
      </c>
      <c r="C402" s="1766"/>
      <c r="D402" s="1805" t="s">
        <v>3564</v>
      </c>
      <c r="E402" s="1753" t="s">
        <v>3569</v>
      </c>
      <c r="F402" s="1755" t="s">
        <v>85</v>
      </c>
      <c r="G402" s="1755">
        <v>2300</v>
      </c>
      <c r="H402" s="1755"/>
      <c r="I402" s="1755"/>
      <c r="J402" s="1755" t="s">
        <v>2460</v>
      </c>
      <c r="K402" s="1739">
        <v>630</v>
      </c>
      <c r="L402" s="1755"/>
      <c r="M402" s="1755"/>
      <c r="N402" s="1755"/>
      <c r="O402" s="1755"/>
      <c r="P402" s="1760"/>
      <c r="Q402" s="1760"/>
      <c r="R402" s="1760"/>
      <c r="S402" s="1753"/>
      <c r="T402" s="1753"/>
      <c r="U402" s="1753"/>
      <c r="V402" s="1756"/>
      <c r="W402" s="1733">
        <f>+AD402*1.7*C402</f>
        <v>0</v>
      </c>
      <c r="X402" s="1893">
        <f t="shared" si="117"/>
        <v>0</v>
      </c>
      <c r="Y402" s="3756"/>
      <c r="Z402" s="214" t="s">
        <v>33</v>
      </c>
      <c r="AA402" s="3289" t="s">
        <v>334</v>
      </c>
      <c r="AB402" s="3284">
        <v>0.15</v>
      </c>
      <c r="AC402" s="2774">
        <f>3855+50</f>
        <v>3905</v>
      </c>
      <c r="AD402" s="2774">
        <f t="shared" si="118"/>
        <v>585.75</v>
      </c>
      <c r="AE402" s="3285">
        <f t="shared" si="119"/>
        <v>0</v>
      </c>
      <c r="AF402" s="3285"/>
      <c r="AG402" s="3286"/>
      <c r="AH402" s="3287">
        <f t="shared" si="120"/>
        <v>0</v>
      </c>
      <c r="AI402" s="3288" t="e">
        <f t="shared" si="121"/>
        <v>#DIV/0!</v>
      </c>
    </row>
    <row r="403" spans="1:35" s="218" customFormat="1" ht="12.6" customHeight="1" x14ac:dyDescent="0.2">
      <c r="A403" s="48" t="s">
        <v>3673</v>
      </c>
      <c r="B403" s="3324" t="s">
        <v>3561</v>
      </c>
      <c r="C403" s="1766"/>
      <c r="D403" s="1805" t="s">
        <v>3565</v>
      </c>
      <c r="E403" s="1753" t="s">
        <v>3569</v>
      </c>
      <c r="F403" s="1755" t="str">
        <f t="shared" si="111"/>
        <v>PRECISION</v>
      </c>
      <c r="G403" s="1755"/>
      <c r="H403" s="1755"/>
      <c r="I403" s="1755"/>
      <c r="J403" s="1755" t="s">
        <v>3285</v>
      </c>
      <c r="K403" s="1739">
        <v>630</v>
      </c>
      <c r="L403" s="1755"/>
      <c r="M403" s="1755"/>
      <c r="N403" s="1755"/>
      <c r="O403" s="1755"/>
      <c r="P403" s="1753"/>
      <c r="Q403" s="1753"/>
      <c r="R403" s="1753"/>
      <c r="S403" s="1753"/>
      <c r="T403" s="1753"/>
      <c r="U403" s="1753"/>
      <c r="V403" s="1756"/>
      <c r="W403" s="1733">
        <f>+AD403*1.5*C403</f>
        <v>0</v>
      </c>
      <c r="X403" s="1893">
        <f t="shared" si="117"/>
        <v>0</v>
      </c>
      <c r="Y403" s="3756"/>
      <c r="Z403" s="3290" t="s">
        <v>33</v>
      </c>
      <c r="AA403" s="3289" t="s">
        <v>334</v>
      </c>
      <c r="AB403" s="3284">
        <v>0.15</v>
      </c>
      <c r="AC403" s="2774">
        <f>3855</f>
        <v>3855</v>
      </c>
      <c r="AD403" s="2774">
        <f t="shared" si="118"/>
        <v>578.25</v>
      </c>
      <c r="AE403" s="3285">
        <f t="shared" si="119"/>
        <v>0</v>
      </c>
      <c r="AF403" s="3285"/>
      <c r="AG403" s="3286"/>
      <c r="AH403" s="3287">
        <f t="shared" si="120"/>
        <v>0</v>
      </c>
      <c r="AI403" s="3288" t="e">
        <f t="shared" si="121"/>
        <v>#DIV/0!</v>
      </c>
    </row>
    <row r="404" spans="1:35" s="3307" customFormat="1" ht="13.2" customHeight="1" thickBot="1" x14ac:dyDescent="0.25">
      <c r="A404" s="48" t="s">
        <v>3673</v>
      </c>
      <c r="B404" s="3325" t="s">
        <v>3561</v>
      </c>
      <c r="C404" s="3291"/>
      <c r="D404" s="3292" t="s">
        <v>3566</v>
      </c>
      <c r="E404" s="3293" t="s">
        <v>3569</v>
      </c>
      <c r="F404" s="3294" t="str">
        <f t="shared" si="111"/>
        <v>PRECISION</v>
      </c>
      <c r="G404" s="3294"/>
      <c r="H404" s="3294"/>
      <c r="I404" s="3294"/>
      <c r="J404" s="3294" t="s">
        <v>3285</v>
      </c>
      <c r="K404" s="3295">
        <v>630</v>
      </c>
      <c r="L404" s="3294"/>
      <c r="M404" s="3294"/>
      <c r="N404" s="3294"/>
      <c r="O404" s="3294"/>
      <c r="P404" s="3293"/>
      <c r="Q404" s="3293"/>
      <c r="R404" s="3293"/>
      <c r="S404" s="3293"/>
      <c r="T404" s="3293"/>
      <c r="U404" s="3293"/>
      <c r="V404" s="3296"/>
      <c r="W404" s="3297">
        <f>+AD404*1.5*C404</f>
        <v>0</v>
      </c>
      <c r="X404" s="3298">
        <f t="shared" si="117"/>
        <v>0</v>
      </c>
      <c r="Y404" s="3756"/>
      <c r="Z404" s="3299" t="s">
        <v>33</v>
      </c>
      <c r="AA404" s="3300" t="s">
        <v>334</v>
      </c>
      <c r="AB404" s="3301">
        <v>0.15</v>
      </c>
      <c r="AC404" s="3302">
        <f>3855</f>
        <v>3855</v>
      </c>
      <c r="AD404" s="3302">
        <f t="shared" si="118"/>
        <v>578.25</v>
      </c>
      <c r="AE404" s="3303">
        <f t="shared" si="119"/>
        <v>0</v>
      </c>
      <c r="AF404" s="3303"/>
      <c r="AG404" s="3304"/>
      <c r="AH404" s="3305">
        <f t="shared" si="120"/>
        <v>0</v>
      </c>
      <c r="AI404" s="3306" t="e">
        <f t="shared" si="121"/>
        <v>#DIV/0!</v>
      </c>
    </row>
    <row r="405" spans="1:35" s="3276" customFormat="1" ht="13.2" thickBot="1" x14ac:dyDescent="0.25">
      <c r="A405" s="48" t="s">
        <v>3673</v>
      </c>
      <c r="B405" s="3323" t="s">
        <v>3571</v>
      </c>
      <c r="C405" s="3316"/>
      <c r="D405" s="3126" t="s">
        <v>3556</v>
      </c>
      <c r="E405" s="1956" t="s">
        <v>3574</v>
      </c>
      <c r="F405" s="3308" t="s">
        <v>85</v>
      </c>
      <c r="G405" s="3308"/>
      <c r="H405" s="3308"/>
      <c r="I405" s="3308"/>
      <c r="J405" s="3309" t="s">
        <v>3477</v>
      </c>
      <c r="K405" s="3317">
        <v>630</v>
      </c>
      <c r="L405" s="3310"/>
      <c r="M405" s="3310"/>
      <c r="N405" s="3310"/>
      <c r="O405" s="3310"/>
      <c r="P405" s="3311"/>
      <c r="Q405" s="3311"/>
      <c r="R405" s="3311"/>
      <c r="S405" s="3312"/>
      <c r="T405" s="3312"/>
      <c r="U405" s="3312"/>
      <c r="V405" s="3313"/>
      <c r="W405" s="1972">
        <f>+AD405*1.65*C405</f>
        <v>0</v>
      </c>
      <c r="X405" s="2905">
        <f t="shared" si="117"/>
        <v>0</v>
      </c>
      <c r="Y405" s="3762"/>
      <c r="Z405" s="1973" t="s">
        <v>3709</v>
      </c>
      <c r="AA405" s="3277" t="s">
        <v>334</v>
      </c>
      <c r="AB405" s="3278">
        <v>0.15</v>
      </c>
      <c r="AC405" s="2742">
        <v>4798</v>
      </c>
      <c r="AD405" s="2742">
        <f t="shared" si="118"/>
        <v>719.69999999999993</v>
      </c>
      <c r="AE405" s="3279">
        <f t="shared" si="119"/>
        <v>0</v>
      </c>
      <c r="AF405" s="3279"/>
      <c r="AG405" s="3280"/>
      <c r="AH405" s="3281">
        <f t="shared" si="120"/>
        <v>0</v>
      </c>
      <c r="AI405" s="3282" t="e">
        <f t="shared" si="121"/>
        <v>#DIV/0!</v>
      </c>
    </row>
    <row r="406" spans="1:35" s="218" customFormat="1" ht="12.6" customHeight="1" x14ac:dyDescent="0.2">
      <c r="A406" s="48" t="s">
        <v>3673</v>
      </c>
      <c r="B406" s="3324" t="s">
        <v>3561</v>
      </c>
      <c r="C406" s="1766"/>
      <c r="D406" s="1805" t="s">
        <v>3555</v>
      </c>
      <c r="E406" s="1753" t="s">
        <v>330</v>
      </c>
      <c r="F406" s="1755" t="s">
        <v>85</v>
      </c>
      <c r="G406" s="1755"/>
      <c r="H406" s="1755"/>
      <c r="I406" s="1755"/>
      <c r="J406" s="1746" t="s">
        <v>316</v>
      </c>
      <c r="K406" s="1739">
        <v>630</v>
      </c>
      <c r="L406" s="1746"/>
      <c r="M406" s="1746"/>
      <c r="N406" s="1755" t="s">
        <v>2787</v>
      </c>
      <c r="O406" s="1755"/>
      <c r="P406" s="1848"/>
      <c r="Q406" s="1848"/>
      <c r="R406" s="1848"/>
      <c r="S406" s="1755"/>
      <c r="T406" s="1755"/>
      <c r="U406" s="1755"/>
      <c r="V406" s="1784"/>
      <c r="W406" s="1733">
        <f>+AD406*1.3*C406</f>
        <v>0</v>
      </c>
      <c r="X406" s="1893">
        <f t="shared" si="117"/>
        <v>0</v>
      </c>
      <c r="Y406" s="3756"/>
      <c r="Z406" s="889" t="s">
        <v>33</v>
      </c>
      <c r="AA406" s="3283" t="s">
        <v>334</v>
      </c>
      <c r="AB406" s="3284">
        <v>0.15</v>
      </c>
      <c r="AC406" s="2774">
        <f>3855</f>
        <v>3855</v>
      </c>
      <c r="AD406" s="2774">
        <f t="shared" si="118"/>
        <v>578.25</v>
      </c>
      <c r="AE406" s="3285">
        <f t="shared" si="119"/>
        <v>0</v>
      </c>
      <c r="AF406" s="3285"/>
      <c r="AG406" s="3286"/>
      <c r="AH406" s="3287">
        <f t="shared" si="120"/>
        <v>0</v>
      </c>
      <c r="AI406" s="3288" t="e">
        <f t="shared" si="121"/>
        <v>#DIV/0!</v>
      </c>
    </row>
    <row r="407" spans="1:35" s="218" customFormat="1" ht="12.6" customHeight="1" x14ac:dyDescent="0.2">
      <c r="A407" s="48" t="s">
        <v>3673</v>
      </c>
      <c r="B407" s="3324" t="s">
        <v>3561</v>
      </c>
      <c r="C407" s="1766"/>
      <c r="D407" s="1805" t="s">
        <v>3557</v>
      </c>
      <c r="E407" s="1753" t="s">
        <v>330</v>
      </c>
      <c r="F407" s="1755" t="s">
        <v>85</v>
      </c>
      <c r="G407" s="1755">
        <v>2300</v>
      </c>
      <c r="H407" s="1755"/>
      <c r="I407" s="1755"/>
      <c r="J407" s="1755" t="s">
        <v>2460</v>
      </c>
      <c r="K407" s="1739">
        <v>630</v>
      </c>
      <c r="L407" s="1755"/>
      <c r="M407" s="1755"/>
      <c r="N407" s="1755"/>
      <c r="O407" s="1755"/>
      <c r="P407" s="1760"/>
      <c r="Q407" s="1760"/>
      <c r="R407" s="1760"/>
      <c r="S407" s="1753"/>
      <c r="T407" s="1753"/>
      <c r="U407" s="1753"/>
      <c r="V407" s="1756"/>
      <c r="W407" s="1733">
        <f>+AD407*1.7*C407</f>
        <v>0</v>
      </c>
      <c r="X407" s="1893">
        <f t="shared" si="117"/>
        <v>0</v>
      </c>
      <c r="Y407" s="3756"/>
      <c r="Z407" s="214" t="s">
        <v>33</v>
      </c>
      <c r="AA407" s="3289" t="s">
        <v>334</v>
      </c>
      <c r="AB407" s="3284">
        <v>0.15</v>
      </c>
      <c r="AC407" s="2774">
        <f>3855+50</f>
        <v>3905</v>
      </c>
      <c r="AD407" s="2774">
        <f t="shared" si="118"/>
        <v>585.75</v>
      </c>
      <c r="AE407" s="3285">
        <f t="shared" si="119"/>
        <v>0</v>
      </c>
      <c r="AF407" s="3285"/>
      <c r="AG407" s="3286"/>
      <c r="AH407" s="3287">
        <f t="shared" si="120"/>
        <v>0</v>
      </c>
      <c r="AI407" s="3288" t="e">
        <f t="shared" si="121"/>
        <v>#DIV/0!</v>
      </c>
    </row>
    <row r="408" spans="1:35" s="218" customFormat="1" ht="12.6" customHeight="1" x14ac:dyDescent="0.2">
      <c r="A408" s="48" t="s">
        <v>3673</v>
      </c>
      <c r="B408" s="3324" t="s">
        <v>3561</v>
      </c>
      <c r="C408" s="1766"/>
      <c r="D408" s="1805" t="s">
        <v>3558</v>
      </c>
      <c r="E408" s="1753" t="s">
        <v>330</v>
      </c>
      <c r="F408" s="1755" t="str">
        <f t="shared" ref="F408:F414" si="122">+F407</f>
        <v>PRECISION</v>
      </c>
      <c r="G408" s="1755"/>
      <c r="H408" s="1755"/>
      <c r="I408" s="1755"/>
      <c r="J408" s="1755" t="s">
        <v>3285</v>
      </c>
      <c r="K408" s="1739">
        <v>630</v>
      </c>
      <c r="L408" s="1755"/>
      <c r="M408" s="1755"/>
      <c r="N408" s="1755"/>
      <c r="O408" s="1755"/>
      <c r="P408" s="1753"/>
      <c r="Q408" s="1753"/>
      <c r="R408" s="1753"/>
      <c r="S408" s="1753"/>
      <c r="T408" s="1753"/>
      <c r="U408" s="1753"/>
      <c r="V408" s="1756"/>
      <c r="W408" s="1733">
        <f>+AD408*1.5*C408</f>
        <v>0</v>
      </c>
      <c r="X408" s="1893">
        <f t="shared" si="117"/>
        <v>0</v>
      </c>
      <c r="Y408" s="3756"/>
      <c r="Z408" s="3290" t="s">
        <v>33</v>
      </c>
      <c r="AA408" s="3289" t="s">
        <v>334</v>
      </c>
      <c r="AB408" s="3284">
        <v>0.15</v>
      </c>
      <c r="AC408" s="2774">
        <f>3855</f>
        <v>3855</v>
      </c>
      <c r="AD408" s="2774">
        <f t="shared" si="118"/>
        <v>578.25</v>
      </c>
      <c r="AE408" s="3285">
        <f t="shared" si="119"/>
        <v>0</v>
      </c>
      <c r="AF408" s="3285"/>
      <c r="AG408" s="3286"/>
      <c r="AH408" s="3287">
        <f t="shared" si="120"/>
        <v>0</v>
      </c>
      <c r="AI408" s="3288" t="e">
        <f t="shared" si="121"/>
        <v>#DIV/0!</v>
      </c>
    </row>
    <row r="409" spans="1:35" s="218" customFormat="1" ht="12.6" customHeight="1" x14ac:dyDescent="0.2">
      <c r="A409" s="48" t="s">
        <v>3673</v>
      </c>
      <c r="B409" s="3324" t="s">
        <v>3561</v>
      </c>
      <c r="C409" s="1766"/>
      <c r="D409" s="1805" t="s">
        <v>3560</v>
      </c>
      <c r="E409" s="1753" t="s">
        <v>330</v>
      </c>
      <c r="F409" s="1755" t="str">
        <f t="shared" si="122"/>
        <v>PRECISION</v>
      </c>
      <c r="G409" s="1755"/>
      <c r="H409" s="1755"/>
      <c r="I409" s="1755"/>
      <c r="J409" s="1755" t="s">
        <v>3285</v>
      </c>
      <c r="K409" s="1739">
        <v>630</v>
      </c>
      <c r="L409" s="1755"/>
      <c r="M409" s="1755"/>
      <c r="N409" s="1755"/>
      <c r="O409" s="1755"/>
      <c r="P409" s="1753"/>
      <c r="Q409" s="1753"/>
      <c r="R409" s="1753"/>
      <c r="S409" s="1753"/>
      <c r="T409" s="1753"/>
      <c r="U409" s="1753"/>
      <c r="V409" s="1756"/>
      <c r="W409" s="1733">
        <f>+AD409*1.5*C409</f>
        <v>0</v>
      </c>
      <c r="X409" s="1893">
        <f t="shared" si="117"/>
        <v>0</v>
      </c>
      <c r="Y409" s="3756"/>
      <c r="Z409" s="3290" t="s">
        <v>33</v>
      </c>
      <c r="AA409" s="3289" t="s">
        <v>334</v>
      </c>
      <c r="AB409" s="3284">
        <v>0.15</v>
      </c>
      <c r="AC409" s="2774">
        <f>3855</f>
        <v>3855</v>
      </c>
      <c r="AD409" s="2774">
        <f t="shared" si="118"/>
        <v>578.25</v>
      </c>
      <c r="AE409" s="3285">
        <f t="shared" si="119"/>
        <v>0</v>
      </c>
      <c r="AF409" s="3285"/>
      <c r="AG409" s="3286"/>
      <c r="AH409" s="3287">
        <f t="shared" si="120"/>
        <v>0</v>
      </c>
      <c r="AI409" s="3288" t="e">
        <f t="shared" si="121"/>
        <v>#DIV/0!</v>
      </c>
    </row>
    <row r="410" spans="1:35" s="3276" customFormat="1" ht="12.6" customHeight="1" x14ac:dyDescent="0.2">
      <c r="A410" s="48" t="s">
        <v>3673</v>
      </c>
      <c r="B410" s="3324" t="s">
        <v>3561</v>
      </c>
      <c r="C410" s="2264"/>
      <c r="D410" s="1805" t="s">
        <v>3556</v>
      </c>
      <c r="E410" s="1753" t="s">
        <v>3559</v>
      </c>
      <c r="F410" s="1807" t="s">
        <v>85</v>
      </c>
      <c r="G410" s="1807"/>
      <c r="H410" s="1807"/>
      <c r="I410" s="1807"/>
      <c r="J410" s="3086" t="s">
        <v>3477</v>
      </c>
      <c r="K410" s="2257">
        <v>630</v>
      </c>
      <c r="L410" s="2256"/>
      <c r="M410" s="2256"/>
      <c r="N410" s="2256"/>
      <c r="O410" s="2256"/>
      <c r="P410" s="1760"/>
      <c r="Q410" s="1760"/>
      <c r="R410" s="1760"/>
      <c r="S410" s="1753"/>
      <c r="T410" s="1753"/>
      <c r="U410" s="1753"/>
      <c r="V410" s="1756"/>
      <c r="W410" s="1733">
        <f>+AD410*1.5*C410</f>
        <v>0</v>
      </c>
      <c r="X410" s="1893">
        <f t="shared" ref="X410:X414" si="123">+ROUNDUP(W410,0)</f>
        <v>0</v>
      </c>
      <c r="Y410" s="3756"/>
      <c r="Z410" s="1973" t="s">
        <v>33</v>
      </c>
      <c r="AA410" s="3277" t="s">
        <v>334</v>
      </c>
      <c r="AB410" s="3278">
        <v>0.15</v>
      </c>
      <c r="AC410" s="2742">
        <v>3855</v>
      </c>
      <c r="AD410" s="2742">
        <f t="shared" ref="AD410:AD414" si="124">+AB410*AC410</f>
        <v>578.25</v>
      </c>
      <c r="AE410" s="3279">
        <f t="shared" ref="AE410:AE414" si="125">+AD410*C410</f>
        <v>0</v>
      </c>
      <c r="AF410" s="3279"/>
      <c r="AG410" s="3280"/>
      <c r="AH410" s="3281">
        <f t="shared" ref="AH410:AH414" si="126">+W410-AE410</f>
        <v>0</v>
      </c>
      <c r="AI410" s="3282" t="e">
        <f t="shared" ref="AI410:AI414" si="127">+AH410/X410</f>
        <v>#DIV/0!</v>
      </c>
    </row>
    <row r="411" spans="1:35" s="218" customFormat="1" ht="12.6" customHeight="1" x14ac:dyDescent="0.2">
      <c r="A411" s="48" t="s">
        <v>3673</v>
      </c>
      <c r="B411" s="3324" t="s">
        <v>3561</v>
      </c>
      <c r="C411" s="1766"/>
      <c r="D411" s="1805" t="s">
        <v>3555</v>
      </c>
      <c r="E411" s="1755" t="s">
        <v>3559</v>
      </c>
      <c r="F411" s="1755" t="s">
        <v>85</v>
      </c>
      <c r="G411" s="1755"/>
      <c r="H411" s="1755"/>
      <c r="I411" s="1755"/>
      <c r="J411" s="1746" t="s">
        <v>316</v>
      </c>
      <c r="K411" s="1739">
        <v>630</v>
      </c>
      <c r="L411" s="1746"/>
      <c r="M411" s="1746"/>
      <c r="N411" s="1755" t="s">
        <v>2787</v>
      </c>
      <c r="O411" s="1755"/>
      <c r="P411" s="1848"/>
      <c r="Q411" s="1848"/>
      <c r="R411" s="1848"/>
      <c r="S411" s="1755"/>
      <c r="T411" s="1755"/>
      <c r="U411" s="1755"/>
      <c r="V411" s="1784"/>
      <c r="W411" s="1733">
        <f>+AD411*1.3*C411</f>
        <v>0</v>
      </c>
      <c r="X411" s="1893">
        <f t="shared" si="123"/>
        <v>0</v>
      </c>
      <c r="Y411" s="3756"/>
      <c r="Z411" s="889" t="s">
        <v>33</v>
      </c>
      <c r="AA411" s="3283" t="s">
        <v>334</v>
      </c>
      <c r="AB411" s="3284">
        <v>0.15</v>
      </c>
      <c r="AC411" s="2774">
        <f>3855</f>
        <v>3855</v>
      </c>
      <c r="AD411" s="2774">
        <f t="shared" si="124"/>
        <v>578.25</v>
      </c>
      <c r="AE411" s="3285">
        <f t="shared" si="125"/>
        <v>0</v>
      </c>
      <c r="AF411" s="3285"/>
      <c r="AG411" s="3286"/>
      <c r="AH411" s="3287">
        <f t="shared" si="126"/>
        <v>0</v>
      </c>
      <c r="AI411" s="3288" t="e">
        <f t="shared" si="127"/>
        <v>#DIV/0!</v>
      </c>
    </row>
    <row r="412" spans="1:35" s="218" customFormat="1" ht="12.6" customHeight="1" x14ac:dyDescent="0.2">
      <c r="A412" s="48" t="s">
        <v>3673</v>
      </c>
      <c r="B412" s="3324" t="s">
        <v>3561</v>
      </c>
      <c r="C412" s="1766"/>
      <c r="D412" s="1805" t="s">
        <v>3557</v>
      </c>
      <c r="E412" s="1753" t="s">
        <v>3559</v>
      </c>
      <c r="F412" s="1755" t="s">
        <v>85</v>
      </c>
      <c r="G412" s="1755">
        <v>2300</v>
      </c>
      <c r="H412" s="1755"/>
      <c r="I412" s="1755"/>
      <c r="J412" s="1755" t="s">
        <v>2460</v>
      </c>
      <c r="K412" s="1739">
        <v>630</v>
      </c>
      <c r="L412" s="1755"/>
      <c r="M412" s="1755"/>
      <c r="N412" s="1755"/>
      <c r="O412" s="1755"/>
      <c r="P412" s="1760"/>
      <c r="Q412" s="1760"/>
      <c r="R412" s="1760"/>
      <c r="S412" s="1753"/>
      <c r="T412" s="1753"/>
      <c r="U412" s="1753"/>
      <c r="V412" s="1756"/>
      <c r="W412" s="1733">
        <f>+AD412*1.7*C412</f>
        <v>0</v>
      </c>
      <c r="X412" s="1893">
        <f t="shared" si="123"/>
        <v>0</v>
      </c>
      <c r="Y412" s="3756"/>
      <c r="Z412" s="214" t="s">
        <v>33</v>
      </c>
      <c r="AA412" s="3289" t="s">
        <v>334</v>
      </c>
      <c r="AB412" s="3284">
        <v>0.15</v>
      </c>
      <c r="AC412" s="2774">
        <f>3855+50</f>
        <v>3905</v>
      </c>
      <c r="AD412" s="2774">
        <f t="shared" si="124"/>
        <v>585.75</v>
      </c>
      <c r="AE412" s="3285">
        <f t="shared" si="125"/>
        <v>0</v>
      </c>
      <c r="AF412" s="3285"/>
      <c r="AG412" s="3286"/>
      <c r="AH412" s="3287">
        <f t="shared" si="126"/>
        <v>0</v>
      </c>
      <c r="AI412" s="3288" t="e">
        <f t="shared" si="127"/>
        <v>#DIV/0!</v>
      </c>
    </row>
    <row r="413" spans="1:35" s="218" customFormat="1" ht="12.6" customHeight="1" x14ac:dyDescent="0.2">
      <c r="A413" s="48" t="s">
        <v>3673</v>
      </c>
      <c r="B413" s="3324" t="s">
        <v>3561</v>
      </c>
      <c r="C413" s="1766"/>
      <c r="D413" s="1805" t="s">
        <v>3558</v>
      </c>
      <c r="E413" s="1753" t="s">
        <v>3559</v>
      </c>
      <c r="F413" s="1755" t="str">
        <f t="shared" si="122"/>
        <v>PRECISION</v>
      </c>
      <c r="G413" s="1755"/>
      <c r="H413" s="1755"/>
      <c r="I413" s="1755"/>
      <c r="J413" s="1755" t="s">
        <v>3285</v>
      </c>
      <c r="K413" s="1739">
        <v>630</v>
      </c>
      <c r="L413" s="1755"/>
      <c r="M413" s="1755"/>
      <c r="N413" s="1755"/>
      <c r="O413" s="1755"/>
      <c r="P413" s="1753"/>
      <c r="Q413" s="1753"/>
      <c r="R413" s="1753"/>
      <c r="S413" s="1753"/>
      <c r="T413" s="1753"/>
      <c r="U413" s="1753"/>
      <c r="V413" s="1756"/>
      <c r="W413" s="1733">
        <f>+AD413*1.5*C413</f>
        <v>0</v>
      </c>
      <c r="X413" s="1893">
        <f t="shared" si="123"/>
        <v>0</v>
      </c>
      <c r="Y413" s="3756"/>
      <c r="Z413" s="3290" t="s">
        <v>33</v>
      </c>
      <c r="AA413" s="3289" t="s">
        <v>334</v>
      </c>
      <c r="AB413" s="3284">
        <v>0.15</v>
      </c>
      <c r="AC413" s="2774">
        <f>3855</f>
        <v>3855</v>
      </c>
      <c r="AD413" s="2774">
        <f t="shared" si="124"/>
        <v>578.25</v>
      </c>
      <c r="AE413" s="3285">
        <f t="shared" si="125"/>
        <v>0</v>
      </c>
      <c r="AF413" s="3285"/>
      <c r="AG413" s="3286"/>
      <c r="AH413" s="3287">
        <f t="shared" si="126"/>
        <v>0</v>
      </c>
      <c r="AI413" s="3288" t="e">
        <f t="shared" si="127"/>
        <v>#DIV/0!</v>
      </c>
    </row>
    <row r="414" spans="1:35" s="218" customFormat="1" ht="12.6" customHeight="1" x14ac:dyDescent="0.2">
      <c r="A414" s="48" t="s">
        <v>3673</v>
      </c>
      <c r="B414" s="3324" t="s">
        <v>3561</v>
      </c>
      <c r="C414" s="1766"/>
      <c r="D414" s="1805" t="s">
        <v>3560</v>
      </c>
      <c r="E414" s="1753" t="s">
        <v>3559</v>
      </c>
      <c r="F414" s="1755" t="str">
        <f t="shared" si="122"/>
        <v>PRECISION</v>
      </c>
      <c r="G414" s="1755"/>
      <c r="H414" s="1755"/>
      <c r="I414" s="1755"/>
      <c r="J414" s="1755" t="s">
        <v>3285</v>
      </c>
      <c r="K414" s="1739">
        <v>630</v>
      </c>
      <c r="L414" s="1755"/>
      <c r="M414" s="1755"/>
      <c r="N414" s="1755"/>
      <c r="O414" s="1755"/>
      <c r="P414" s="1753"/>
      <c r="Q414" s="1753"/>
      <c r="R414" s="1753"/>
      <c r="S414" s="1753"/>
      <c r="T414" s="1753"/>
      <c r="U414" s="1753"/>
      <c r="V414" s="1756"/>
      <c r="W414" s="1733">
        <f>+AD414*1.5*C414</f>
        <v>0</v>
      </c>
      <c r="X414" s="1893">
        <f t="shared" si="123"/>
        <v>0</v>
      </c>
      <c r="Y414" s="3756"/>
      <c r="Z414" s="3290" t="s">
        <v>33</v>
      </c>
      <c r="AA414" s="3289" t="s">
        <v>334</v>
      </c>
      <c r="AB414" s="3284">
        <v>0.15</v>
      </c>
      <c r="AC414" s="2774">
        <f>3855</f>
        <v>3855</v>
      </c>
      <c r="AD414" s="2774">
        <f t="shared" si="124"/>
        <v>578.25</v>
      </c>
      <c r="AE414" s="3285">
        <f t="shared" si="125"/>
        <v>0</v>
      </c>
      <c r="AF414" s="3285"/>
      <c r="AG414" s="3286"/>
      <c r="AH414" s="3287">
        <f t="shared" si="126"/>
        <v>0</v>
      </c>
      <c r="AI414" s="3288" t="e">
        <f t="shared" si="127"/>
        <v>#DIV/0!</v>
      </c>
    </row>
    <row r="415" spans="1:35" s="48" customFormat="1" ht="12.6" customHeight="1" x14ac:dyDescent="0.2">
      <c r="A415" s="48" t="s">
        <v>3673</v>
      </c>
      <c r="B415" s="1370"/>
      <c r="C415" s="1789"/>
      <c r="D415" s="1740" t="s">
        <v>2453</v>
      </c>
      <c r="E415" s="1737" t="s">
        <v>2461</v>
      </c>
      <c r="F415" s="1778" t="s">
        <v>2454</v>
      </c>
      <c r="G415" s="1778"/>
      <c r="H415" s="1778"/>
      <c r="I415" s="1778"/>
      <c r="J415" s="1738"/>
      <c r="K415" s="1772">
        <v>630</v>
      </c>
      <c r="L415" s="1738"/>
      <c r="M415" s="1738"/>
      <c r="N415" s="1738" t="s">
        <v>2457</v>
      </c>
      <c r="O415" s="1738"/>
      <c r="P415" s="1737"/>
      <c r="Q415" s="1737"/>
      <c r="R415" s="1737"/>
      <c r="S415" s="1737"/>
      <c r="T415" s="1737"/>
      <c r="U415" s="1737"/>
      <c r="V415" s="1741"/>
      <c r="W415" s="1812">
        <f>+AD415*C415*1.55</f>
        <v>0</v>
      </c>
      <c r="X415" s="2271">
        <f t="shared" ref="X415:X434" si="128">+ROUNDUP(W415,0)</f>
        <v>0</v>
      </c>
      <c r="Y415" s="3756"/>
      <c r="Z415" s="67" t="s">
        <v>397</v>
      </c>
      <c r="AA415" s="3214" t="s">
        <v>2457</v>
      </c>
      <c r="AB415" s="2674">
        <v>1</v>
      </c>
      <c r="AC415" s="2659">
        <v>1121.28</v>
      </c>
      <c r="AD415" s="2617">
        <f>+AC415*AB415</f>
        <v>1121.28</v>
      </c>
      <c r="AE415" s="2624"/>
      <c r="AF415" s="2624"/>
      <c r="AG415" s="1148"/>
      <c r="AH415" s="842">
        <f>+W415-AD415</f>
        <v>-1121.28</v>
      </c>
      <c r="AI415" s="43" t="e">
        <f>+AH415/W415</f>
        <v>#DIV/0!</v>
      </c>
    </row>
    <row r="416" spans="1:35" s="48" customFormat="1" ht="25.2" customHeight="1" x14ac:dyDescent="0.2">
      <c r="A416" s="48" t="s">
        <v>3675</v>
      </c>
      <c r="B416" s="1370"/>
      <c r="C416" s="2313"/>
      <c r="D416" s="3506" t="s">
        <v>3320</v>
      </c>
      <c r="E416" s="2329" t="s">
        <v>3316</v>
      </c>
      <c r="F416" s="2308"/>
      <c r="G416" s="2301"/>
      <c r="H416" s="2308" t="s">
        <v>2497</v>
      </c>
      <c r="I416" s="2316" t="s">
        <v>3310</v>
      </c>
      <c r="J416" s="2308"/>
      <c r="K416" s="2317">
        <v>630</v>
      </c>
      <c r="L416" s="2266" t="s">
        <v>3302</v>
      </c>
      <c r="M416" s="1738"/>
      <c r="N416" s="1738" t="s">
        <v>3307</v>
      </c>
      <c r="O416" s="1738"/>
      <c r="P416" s="1737"/>
      <c r="Q416" s="1737"/>
      <c r="R416" s="1737"/>
      <c r="S416" s="1737"/>
      <c r="T416" s="1737"/>
      <c r="U416" s="1737"/>
      <c r="V416" s="1741"/>
      <c r="W416" s="2293">
        <f>+AD416*C416*1.55</f>
        <v>0</v>
      </c>
      <c r="X416" s="2378">
        <f t="shared" si="128"/>
        <v>0</v>
      </c>
      <c r="Y416" s="3756"/>
      <c r="Z416" s="67" t="s">
        <v>3309</v>
      </c>
      <c r="AA416" s="3214" t="s">
        <v>3308</v>
      </c>
      <c r="AB416" s="2674">
        <v>0.48</v>
      </c>
      <c r="AC416" s="2659">
        <v>3259</v>
      </c>
      <c r="AD416" s="2617">
        <f>+AC416*AB416</f>
        <v>1564.32</v>
      </c>
      <c r="AE416" s="2624"/>
      <c r="AF416" s="2624"/>
      <c r="AG416" s="1148">
        <f>+X416-AD416*C416</f>
        <v>0</v>
      </c>
      <c r="AH416" s="876" t="e">
        <f>+AG416/X416</f>
        <v>#DIV/0!</v>
      </c>
      <c r="AI416" s="43"/>
    </row>
    <row r="417" spans="1:35" s="998" customFormat="1" ht="12.6" customHeight="1" x14ac:dyDescent="0.2">
      <c r="A417" s="998" t="s">
        <v>3673</v>
      </c>
      <c r="B417" s="1374"/>
      <c r="C417" s="1757"/>
      <c r="D417" s="1759" t="s">
        <v>2969</v>
      </c>
      <c r="E417" s="1752" t="s">
        <v>2479</v>
      </c>
      <c r="F417" s="1752" t="s">
        <v>2818</v>
      </c>
      <c r="G417" s="1752"/>
      <c r="H417" s="1752"/>
      <c r="I417" s="1752"/>
      <c r="J417" s="1752"/>
      <c r="K417" s="1757">
        <v>630</v>
      </c>
      <c r="L417" s="1752"/>
      <c r="M417" s="1752"/>
      <c r="N417" s="1752"/>
      <c r="O417" s="1759"/>
      <c r="P417" s="1734"/>
      <c r="Q417" s="1734"/>
      <c r="R417" s="1734"/>
      <c r="S417" s="1817" t="s">
        <v>2851</v>
      </c>
      <c r="T417" s="1778"/>
      <c r="U417" s="1818">
        <v>1</v>
      </c>
      <c r="V417" s="1819">
        <f>1114.2*C417</f>
        <v>0</v>
      </c>
      <c r="W417" s="1733">
        <f>+AD417*1.6*C417</f>
        <v>0</v>
      </c>
      <c r="X417" s="1893">
        <f t="shared" si="128"/>
        <v>0</v>
      </c>
      <c r="Y417" s="3756"/>
      <c r="Z417" s="61" t="s">
        <v>397</v>
      </c>
      <c r="AA417" s="3190" t="s">
        <v>2578</v>
      </c>
      <c r="AB417" s="2692">
        <v>1</v>
      </c>
      <c r="AC417" s="2693">
        <v>1051</v>
      </c>
      <c r="AD417" s="2634">
        <f>+AB417*AC417</f>
        <v>1051</v>
      </c>
      <c r="AE417" s="2624">
        <f>+AD417*C417</f>
        <v>0</v>
      </c>
      <c r="AF417" s="2624"/>
      <c r="AG417" s="1148"/>
      <c r="AH417" s="44">
        <f>+W417-AE417</f>
        <v>0</v>
      </c>
      <c r="AI417" s="874" t="e">
        <f t="shared" ref="AI417:AI418" si="129">+AH417/X417</f>
        <v>#DIV/0!</v>
      </c>
    </row>
    <row r="418" spans="1:35" s="998" customFormat="1" ht="12.6" customHeight="1" x14ac:dyDescent="0.2">
      <c r="A418" s="998" t="s">
        <v>3673</v>
      </c>
      <c r="B418" s="1374"/>
      <c r="C418" s="1757"/>
      <c r="D418" s="1759" t="s">
        <v>2969</v>
      </c>
      <c r="E418" s="1752" t="s">
        <v>2480</v>
      </c>
      <c r="F418" s="1752" t="s">
        <v>2818</v>
      </c>
      <c r="G418" s="1752"/>
      <c r="H418" s="1752"/>
      <c r="I418" s="1752"/>
      <c r="J418" s="1752"/>
      <c r="K418" s="1757">
        <v>630</v>
      </c>
      <c r="L418" s="1752"/>
      <c r="M418" s="1752"/>
      <c r="N418" s="1752"/>
      <c r="O418" s="1759"/>
      <c r="P418" s="1734"/>
      <c r="Q418" s="1734"/>
      <c r="R418" s="1734"/>
      <c r="S418" s="1817" t="s">
        <v>2747</v>
      </c>
      <c r="T418" s="1778"/>
      <c r="U418" s="1818">
        <v>1</v>
      </c>
      <c r="V418" s="1819"/>
      <c r="W418" s="1733">
        <f t="shared" ref="W418:W428" si="130">+AD418*1.5*C418</f>
        <v>0</v>
      </c>
      <c r="X418" s="1893">
        <f>+ROUNDUP(W418,0)</f>
        <v>0</v>
      </c>
      <c r="Y418" s="3756"/>
      <c r="Z418" s="61" t="s">
        <v>397</v>
      </c>
      <c r="AA418" s="3190" t="s">
        <v>2578</v>
      </c>
      <c r="AB418" s="2692">
        <v>1</v>
      </c>
      <c r="AC418" s="2693">
        <v>1021</v>
      </c>
      <c r="AD418" s="2634">
        <f>+AB418*AC418</f>
        <v>1021</v>
      </c>
      <c r="AE418" s="2624">
        <f>+AD418*C418</f>
        <v>0</v>
      </c>
      <c r="AF418" s="2624"/>
      <c r="AG418" s="1148"/>
      <c r="AH418" s="44">
        <f>+W418-AE418</f>
        <v>0</v>
      </c>
      <c r="AI418" s="874" t="e">
        <f t="shared" si="129"/>
        <v>#DIV/0!</v>
      </c>
    </row>
    <row r="419" spans="1:35" s="219" customFormat="1" ht="12.6" customHeight="1" x14ac:dyDescent="0.2">
      <c r="A419" s="998" t="s">
        <v>3673</v>
      </c>
      <c r="B419" s="1370"/>
      <c r="C419" s="1744"/>
      <c r="D419" s="1759" t="s">
        <v>2969</v>
      </c>
      <c r="E419" s="1752" t="s">
        <v>3113</v>
      </c>
      <c r="F419" s="1752"/>
      <c r="G419" s="1757" t="s">
        <v>3083</v>
      </c>
      <c r="H419" s="1757"/>
      <c r="I419" s="1746" t="s">
        <v>3132</v>
      </c>
      <c r="J419" s="1746"/>
      <c r="K419" s="1746"/>
      <c r="L419" s="1820"/>
      <c r="M419" s="1820"/>
      <c r="N419" s="1752"/>
      <c r="O419" s="1752"/>
      <c r="P419" s="1737"/>
      <c r="Q419" s="1737"/>
      <c r="R419" s="1737"/>
      <c r="S419" s="1737"/>
      <c r="T419" s="1737"/>
      <c r="U419" s="1737"/>
      <c r="V419" s="1741"/>
      <c r="W419" s="1816">
        <f t="shared" si="130"/>
        <v>0</v>
      </c>
      <c r="X419" s="1893">
        <f>+ROUNDUP(W419,0)*C419</f>
        <v>0</v>
      </c>
      <c r="Y419" s="3756"/>
      <c r="Z419" s="858" t="s">
        <v>397</v>
      </c>
      <c r="AA419" s="3216" t="s">
        <v>2943</v>
      </c>
      <c r="AB419" s="2678">
        <v>1</v>
      </c>
      <c r="AC419" s="2694">
        <v>286.58999999999997</v>
      </c>
      <c r="AD419" s="2677">
        <f t="shared" ref="AD419:AD429" si="131">+AC419*AB419</f>
        <v>286.58999999999997</v>
      </c>
      <c r="AE419" s="2695">
        <f>+W419-AD419</f>
        <v>-286.58999999999997</v>
      </c>
      <c r="AF419" s="2696" t="e">
        <f>+AE419/X419</f>
        <v>#DIV/0!</v>
      </c>
      <c r="AG419" s="1165"/>
      <c r="AH419" s="887"/>
      <c r="AI419" s="884"/>
    </row>
    <row r="420" spans="1:35" s="219" customFormat="1" ht="12.6" customHeight="1" x14ac:dyDescent="0.2">
      <c r="A420" s="998" t="s">
        <v>3673</v>
      </c>
      <c r="B420" s="1370"/>
      <c r="C420" s="1744"/>
      <c r="D420" s="1759" t="s">
        <v>2969</v>
      </c>
      <c r="E420" s="1759" t="s">
        <v>2941</v>
      </c>
      <c r="F420" s="1752" t="s">
        <v>401</v>
      </c>
      <c r="G420" s="1752"/>
      <c r="H420" s="1752"/>
      <c r="I420" s="1752"/>
      <c r="J420" s="1759" t="s">
        <v>2947</v>
      </c>
      <c r="K420" s="1757" t="s">
        <v>403</v>
      </c>
      <c r="L420" s="1759"/>
      <c r="M420" s="1759"/>
      <c r="N420" s="1752"/>
      <c r="O420" s="1752"/>
      <c r="P420" s="1737"/>
      <c r="Q420" s="1737"/>
      <c r="R420" s="1737"/>
      <c r="S420" s="1737"/>
      <c r="T420" s="1737"/>
      <c r="U420" s="1737"/>
      <c r="V420" s="1741"/>
      <c r="W420" s="1816">
        <f t="shared" si="130"/>
        <v>0</v>
      </c>
      <c r="X420" s="1893">
        <f>+ROUNDUP(W420,0)*C420</f>
        <v>0</v>
      </c>
      <c r="Y420" s="3756"/>
      <c r="Z420" s="858" t="s">
        <v>397</v>
      </c>
      <c r="AA420" s="3216" t="s">
        <v>2944</v>
      </c>
      <c r="AB420" s="2678">
        <v>1</v>
      </c>
      <c r="AC420" s="2677">
        <v>286.58999999999997</v>
      </c>
      <c r="AD420" s="2677">
        <f t="shared" si="131"/>
        <v>286.58999999999997</v>
      </c>
      <c r="AE420" s="2695">
        <f>+W420-AD420</f>
        <v>-286.58999999999997</v>
      </c>
      <c r="AF420" s="2696" t="e">
        <f>+AE420/X420</f>
        <v>#DIV/0!</v>
      </c>
      <c r="AG420" s="1165"/>
      <c r="AH420" s="887"/>
      <c r="AI420" s="884"/>
    </row>
    <row r="421" spans="1:35" s="219" customFormat="1" ht="12.6" customHeight="1" x14ac:dyDescent="0.2">
      <c r="A421" s="998" t="s">
        <v>3673</v>
      </c>
      <c r="B421" s="1370"/>
      <c r="C421" s="1744"/>
      <c r="D421" s="1759" t="s">
        <v>2970</v>
      </c>
      <c r="E421" s="1759" t="s">
        <v>400</v>
      </c>
      <c r="F421" s="1752" t="s">
        <v>401</v>
      </c>
      <c r="G421" s="1752"/>
      <c r="H421" s="1752"/>
      <c r="I421" s="1752"/>
      <c r="J421" s="1759" t="s">
        <v>2808</v>
      </c>
      <c r="K421" s="1759" t="s">
        <v>403</v>
      </c>
      <c r="L421" s="1759"/>
      <c r="M421" s="1759"/>
      <c r="N421" s="1752"/>
      <c r="O421" s="1752"/>
      <c r="P421" s="1737"/>
      <c r="Q421" s="1737"/>
      <c r="R421" s="1737"/>
      <c r="S421" s="1737"/>
      <c r="T421" s="1737"/>
      <c r="U421" s="1737"/>
      <c r="V421" s="1741"/>
      <c r="W421" s="1816">
        <f t="shared" si="130"/>
        <v>0</v>
      </c>
      <c r="X421" s="1893">
        <f>+ROUNDUP(W421,0)*C421</f>
        <v>0</v>
      </c>
      <c r="Y421" s="3756"/>
      <c r="Z421" s="858" t="s">
        <v>397</v>
      </c>
      <c r="AA421" s="3216" t="s">
        <v>404</v>
      </c>
      <c r="AB421" s="2678">
        <v>1</v>
      </c>
      <c r="AC421" s="2677">
        <v>326</v>
      </c>
      <c r="AD421" s="2677">
        <f t="shared" si="131"/>
        <v>326</v>
      </c>
      <c r="AE421" s="2695">
        <f>+W421-AD421</f>
        <v>-326</v>
      </c>
      <c r="AF421" s="2696" t="e">
        <f>+AE421/X421</f>
        <v>#DIV/0!</v>
      </c>
      <c r="AG421" s="1165"/>
      <c r="AH421" s="887"/>
      <c r="AI421" s="884"/>
    </row>
    <row r="422" spans="1:35" s="219" customFormat="1" ht="12.6" customHeight="1" x14ac:dyDescent="0.2">
      <c r="A422" s="998" t="s">
        <v>3673</v>
      </c>
      <c r="B422" s="1370"/>
      <c r="C422" s="1744"/>
      <c r="D422" s="1759" t="s">
        <v>2970</v>
      </c>
      <c r="E422" s="1759" t="s">
        <v>2941</v>
      </c>
      <c r="F422" s="1752" t="s">
        <v>401</v>
      </c>
      <c r="G422" s="1752"/>
      <c r="H422" s="1752"/>
      <c r="I422" s="1752"/>
      <c r="J422" s="1759" t="s">
        <v>2808</v>
      </c>
      <c r="K422" s="1759" t="s">
        <v>403</v>
      </c>
      <c r="L422" s="1759"/>
      <c r="M422" s="1759"/>
      <c r="N422" s="1752"/>
      <c r="O422" s="1752"/>
      <c r="P422" s="1737"/>
      <c r="Q422" s="1737"/>
      <c r="R422" s="1737"/>
      <c r="S422" s="1737"/>
      <c r="T422" s="1737"/>
      <c r="U422" s="1737"/>
      <c r="V422" s="1741"/>
      <c r="W422" s="1816">
        <f t="shared" si="130"/>
        <v>0</v>
      </c>
      <c r="X422" s="1893">
        <f>+ROUNDUP(W422,0)*C422</f>
        <v>0</v>
      </c>
      <c r="Y422" s="3756"/>
      <c r="Z422" s="858" t="s">
        <v>397</v>
      </c>
      <c r="AA422" s="3216" t="s">
        <v>2942</v>
      </c>
      <c r="AB422" s="2678">
        <v>1</v>
      </c>
      <c r="AC422" s="2677">
        <v>326</v>
      </c>
      <c r="AD422" s="2677">
        <f t="shared" si="131"/>
        <v>326</v>
      </c>
      <c r="AE422" s="2695">
        <f>+W422-AD422</f>
        <v>-326</v>
      </c>
      <c r="AF422" s="2696" t="e">
        <f>+AE422/X422</f>
        <v>#DIV/0!</v>
      </c>
      <c r="AG422" s="1165"/>
      <c r="AH422" s="887"/>
      <c r="AI422" s="884"/>
    </row>
    <row r="423" spans="1:35" s="48" customFormat="1" ht="12.6" customHeight="1" x14ac:dyDescent="0.2">
      <c r="A423" s="48" t="s">
        <v>3673</v>
      </c>
      <c r="B423" s="1370"/>
      <c r="C423" s="1735"/>
      <c r="D423" s="1791" t="s">
        <v>2971</v>
      </c>
      <c r="E423" s="1791" t="s">
        <v>337</v>
      </c>
      <c r="F423" s="1752" t="s">
        <v>2818</v>
      </c>
      <c r="G423" s="1776"/>
      <c r="H423" s="1776"/>
      <c r="I423" s="1776"/>
      <c r="J423" s="1776" t="s">
        <v>2972</v>
      </c>
      <c r="K423" s="1777">
        <v>626</v>
      </c>
      <c r="L423" s="1776"/>
      <c r="M423" s="1776"/>
      <c r="N423" s="1776" t="s">
        <v>2481</v>
      </c>
      <c r="O423" s="1776"/>
      <c r="P423" s="1737"/>
      <c r="Q423" s="1737"/>
      <c r="R423" s="1737"/>
      <c r="S423" s="1737"/>
      <c r="T423" s="1737"/>
      <c r="U423" s="1737"/>
      <c r="V423" s="1741"/>
      <c r="W423" s="1758">
        <f>+AD423*1.6*C423</f>
        <v>0</v>
      </c>
      <c r="X423" s="1895">
        <f t="shared" ref="X423:X424" si="132">+ROUNDUP(W423,0)</f>
        <v>0</v>
      </c>
      <c r="Y423" s="3756"/>
      <c r="Z423" s="913" t="s">
        <v>397</v>
      </c>
      <c r="AA423" s="3219" t="s">
        <v>2483</v>
      </c>
      <c r="AB423" s="2635">
        <v>1</v>
      </c>
      <c r="AC423" s="2627">
        <v>2000</v>
      </c>
      <c r="AD423" s="2627">
        <f>+AB423*AC423</f>
        <v>2000</v>
      </c>
      <c r="AE423" s="2655"/>
      <c r="AF423" s="2655"/>
      <c r="AG423" s="1154"/>
      <c r="AH423" s="1025">
        <f>+X423-AD423</f>
        <v>-2000</v>
      </c>
      <c r="AI423" s="43" t="e">
        <f>+AH423/X423</f>
        <v>#DIV/0!</v>
      </c>
    </row>
    <row r="424" spans="1:35" s="48" customFormat="1" ht="22.8" customHeight="1" x14ac:dyDescent="0.2">
      <c r="A424" s="48" t="s">
        <v>3673</v>
      </c>
      <c r="B424" s="1370"/>
      <c r="C424" s="1767"/>
      <c r="D424" s="1791" t="s">
        <v>2971</v>
      </c>
      <c r="E424" s="1738" t="s">
        <v>3114</v>
      </c>
      <c r="F424" s="1738"/>
      <c r="G424" s="1754" t="s">
        <v>3074</v>
      </c>
      <c r="H424" s="1754"/>
      <c r="I424" s="1738" t="s">
        <v>3133</v>
      </c>
      <c r="J424" s="1738"/>
      <c r="K424" s="1738"/>
      <c r="L424" s="1774"/>
      <c r="M424" s="1774"/>
      <c r="N424" s="1738"/>
      <c r="O424" s="1738"/>
      <c r="P424" s="1737"/>
      <c r="Q424" s="1737"/>
      <c r="R424" s="1737"/>
      <c r="S424" s="1737"/>
      <c r="T424" s="1737"/>
      <c r="U424" s="1737"/>
      <c r="V424" s="1741"/>
      <c r="W424" s="1816">
        <f>+AD424*C424*1.5</f>
        <v>0</v>
      </c>
      <c r="X424" s="1895">
        <f t="shared" si="132"/>
        <v>0</v>
      </c>
      <c r="Y424" s="3756"/>
      <c r="Z424" s="859" t="s">
        <v>397</v>
      </c>
      <c r="AA424" s="3220" t="s">
        <v>399</v>
      </c>
      <c r="AB424" s="2623">
        <v>1</v>
      </c>
      <c r="AC424" s="2617">
        <v>1022</v>
      </c>
      <c r="AD424" s="2617">
        <f>+AC424*AB424</f>
        <v>1022</v>
      </c>
      <c r="AE424" s="2624">
        <f>+W424-AD424</f>
        <v>-1022</v>
      </c>
      <c r="AF424" s="2624" t="e">
        <f>+AE424/X424</f>
        <v>#DIV/0!</v>
      </c>
      <c r="AG424" s="1148"/>
      <c r="AH424" s="49"/>
      <c r="AI424" s="43" t="e">
        <f>+AH424/X424</f>
        <v>#DIV/0!</v>
      </c>
    </row>
    <row r="425" spans="1:35" s="48" customFormat="1" ht="22.8" customHeight="1" x14ac:dyDescent="0.2">
      <c r="A425" s="48" t="s">
        <v>3673</v>
      </c>
      <c r="B425" s="1370"/>
      <c r="C425" s="1767"/>
      <c r="D425" s="1791" t="s">
        <v>2971</v>
      </c>
      <c r="E425" s="1738" t="s">
        <v>3115</v>
      </c>
      <c r="F425" s="1738"/>
      <c r="G425" s="1754" t="s">
        <v>3075</v>
      </c>
      <c r="H425" s="1754"/>
      <c r="I425" s="1738" t="s">
        <v>3134</v>
      </c>
      <c r="J425" s="1738"/>
      <c r="K425" s="1738"/>
      <c r="L425" s="1774"/>
      <c r="M425" s="1774"/>
      <c r="N425" s="1738"/>
      <c r="O425" s="1738"/>
      <c r="P425" s="1737"/>
      <c r="Q425" s="1737"/>
      <c r="R425" s="1737"/>
      <c r="S425" s="1737"/>
      <c r="T425" s="1737"/>
      <c r="U425" s="1737"/>
      <c r="V425" s="1741"/>
      <c r="W425" s="1816">
        <f>+AD425*C425*1.5</f>
        <v>0</v>
      </c>
      <c r="X425" s="1895">
        <f>ROUNDUP(W425,0)</f>
        <v>0</v>
      </c>
      <c r="Y425" s="3756"/>
      <c r="Z425" s="859" t="s">
        <v>397</v>
      </c>
      <c r="AA425" s="3220" t="s">
        <v>399</v>
      </c>
      <c r="AB425" s="2623">
        <v>1</v>
      </c>
      <c r="AC425" s="2625">
        <v>1022</v>
      </c>
      <c r="AD425" s="2617">
        <f>+AC425*AB425</f>
        <v>1022</v>
      </c>
      <c r="AE425" s="2624">
        <f>+W425-AD425</f>
        <v>-1022</v>
      </c>
      <c r="AF425" s="2624" t="e">
        <f>+AE425/X425</f>
        <v>#DIV/0!</v>
      </c>
      <c r="AG425" s="1148"/>
      <c r="AH425" s="199"/>
      <c r="AI425" s="43" t="e">
        <f>+AH425/X425</f>
        <v>#DIV/0!</v>
      </c>
    </row>
    <row r="426" spans="1:35" s="48" customFormat="1" ht="22.8" customHeight="1" x14ac:dyDescent="0.2">
      <c r="A426" s="48" t="s">
        <v>3673</v>
      </c>
      <c r="B426" s="1370"/>
      <c r="C426" s="1767"/>
      <c r="D426" s="1791" t="s">
        <v>2971</v>
      </c>
      <c r="E426" s="1737" t="s">
        <v>378</v>
      </c>
      <c r="F426" s="1752" t="s">
        <v>2818</v>
      </c>
      <c r="G426" s="1738"/>
      <c r="H426" s="1738"/>
      <c r="I426" s="1738"/>
      <c r="J426" s="1738"/>
      <c r="K426" s="1777">
        <v>626</v>
      </c>
      <c r="L426" s="1738"/>
      <c r="M426" s="1738"/>
      <c r="N426" s="1738" t="s">
        <v>402</v>
      </c>
      <c r="O426" s="1738"/>
      <c r="P426" s="1737"/>
      <c r="Q426" s="1737"/>
      <c r="R426" s="1737"/>
      <c r="S426" s="1737"/>
      <c r="T426" s="1737"/>
      <c r="U426" s="1737"/>
      <c r="V426" s="1741"/>
      <c r="W426" s="1758">
        <f>+AD426*C426*1.4</f>
        <v>0</v>
      </c>
      <c r="X426" s="1895">
        <f>ROUNDUP(W426,0)</f>
        <v>0</v>
      </c>
      <c r="Y426" s="3756"/>
      <c r="Z426" s="859" t="s">
        <v>397</v>
      </c>
      <c r="AA426" s="3220" t="s">
        <v>399</v>
      </c>
      <c r="AB426" s="2623">
        <v>1</v>
      </c>
      <c r="AC426" s="2617">
        <v>1173</v>
      </c>
      <c r="AD426" s="2617">
        <f>+AC426*AB426</f>
        <v>1173</v>
      </c>
      <c r="AE426" s="2624">
        <f>+W426-AD426</f>
        <v>-1173</v>
      </c>
      <c r="AF426" s="2624" t="e">
        <f>+AE426/X426</f>
        <v>#DIV/0!</v>
      </c>
      <c r="AG426" s="1148"/>
      <c r="AH426" s="49"/>
      <c r="AI426" s="43" t="e">
        <f>+AH426/X426</f>
        <v>#DIV/0!</v>
      </c>
    </row>
    <row r="427" spans="1:35" s="48" customFormat="1" ht="12.6" customHeight="1" x14ac:dyDescent="0.2">
      <c r="A427" s="48" t="s">
        <v>3673</v>
      </c>
      <c r="B427" s="1370"/>
      <c r="C427" s="1767"/>
      <c r="D427" s="1791" t="s">
        <v>2971</v>
      </c>
      <c r="E427" s="1737" t="s">
        <v>378</v>
      </c>
      <c r="F427" s="1752" t="s">
        <v>2818</v>
      </c>
      <c r="G427" s="1738"/>
      <c r="H427" s="1738"/>
      <c r="I427" s="1738"/>
      <c r="J427" s="1738" t="s">
        <v>2972</v>
      </c>
      <c r="K427" s="1777">
        <v>626</v>
      </c>
      <c r="L427" s="1738"/>
      <c r="M427" s="1738"/>
      <c r="N427" s="1738" t="s">
        <v>2481</v>
      </c>
      <c r="O427" s="1738"/>
      <c r="P427" s="1737"/>
      <c r="Q427" s="1737"/>
      <c r="R427" s="1737"/>
      <c r="S427" s="1737"/>
      <c r="T427" s="1737"/>
      <c r="U427" s="1737"/>
      <c r="V427" s="1741"/>
      <c r="W427" s="1758">
        <f>+AD427*1.6*C427</f>
        <v>0</v>
      </c>
      <c r="X427" s="1895">
        <f>+ROUNDUP(W427,0)</f>
        <v>0</v>
      </c>
      <c r="Y427" s="3756"/>
      <c r="Z427" s="913" t="s">
        <v>2482</v>
      </c>
      <c r="AA427" s="3219" t="s">
        <v>2483</v>
      </c>
      <c r="AB427" s="2635">
        <v>1</v>
      </c>
      <c r="AC427" s="2627">
        <v>2000</v>
      </c>
      <c r="AD427" s="2627">
        <f>+AB427*AC427</f>
        <v>2000</v>
      </c>
      <c r="AE427" s="2655"/>
      <c r="AF427" s="2655"/>
      <c r="AG427" s="1154"/>
      <c r="AH427" s="198"/>
      <c r="AI427" s="43"/>
    </row>
    <row r="428" spans="1:35" s="48" customFormat="1" ht="25.2" customHeight="1" x14ac:dyDescent="0.2">
      <c r="A428" s="48" t="s">
        <v>3676</v>
      </c>
      <c r="B428" s="1370"/>
      <c r="C428" s="1821"/>
      <c r="D428" s="1737" t="s">
        <v>3084</v>
      </c>
      <c r="E428" s="1737" t="s">
        <v>3111</v>
      </c>
      <c r="F428" s="1738"/>
      <c r="G428" s="1757" t="s">
        <v>3076</v>
      </c>
      <c r="H428" s="1757"/>
      <c r="I428" s="1738" t="s">
        <v>3119</v>
      </c>
      <c r="J428" s="1738"/>
      <c r="K428" s="1738"/>
      <c r="L428" s="1774"/>
      <c r="M428" s="1774"/>
      <c r="N428" s="1738"/>
      <c r="O428" s="1822"/>
      <c r="P428" s="1737"/>
      <c r="Q428" s="1737"/>
      <c r="R428" s="1737"/>
      <c r="S428" s="1737"/>
      <c r="T428" s="1737"/>
      <c r="U428" s="1737"/>
      <c r="V428" s="1741"/>
      <c r="W428" s="1816">
        <f t="shared" si="130"/>
        <v>0</v>
      </c>
      <c r="X428" s="1893">
        <f>+ROUNDUP(W428,0)*C428</f>
        <v>0</v>
      </c>
      <c r="Y428" s="3756"/>
      <c r="Z428" s="197" t="s">
        <v>397</v>
      </c>
      <c r="AA428" s="3191" t="s">
        <v>405</v>
      </c>
      <c r="AB428" s="2635">
        <v>1</v>
      </c>
      <c r="AC428" s="2626">
        <v>136</v>
      </c>
      <c r="AD428" s="2627">
        <f t="shared" si="131"/>
        <v>136</v>
      </c>
      <c r="AE428" s="2655">
        <f>+AD428*C428</f>
        <v>0</v>
      </c>
      <c r="AF428" s="2655"/>
      <c r="AG428" s="1154"/>
      <c r="AH428" s="188">
        <f>+W428-AE428</f>
        <v>0</v>
      </c>
      <c r="AI428" s="189" t="e">
        <f>+AH428/X428</f>
        <v>#DIV/0!</v>
      </c>
    </row>
    <row r="429" spans="1:35" s="48" customFormat="1" ht="22.2" customHeight="1" x14ac:dyDescent="0.2">
      <c r="A429" s="48" t="s">
        <v>3676</v>
      </c>
      <c r="B429" s="1370"/>
      <c r="C429" s="1744"/>
      <c r="D429" s="1759" t="s">
        <v>1307</v>
      </c>
      <c r="E429" s="1759" t="s">
        <v>88</v>
      </c>
      <c r="F429" s="1752" t="s">
        <v>2810</v>
      </c>
      <c r="G429" s="1752"/>
      <c r="H429" s="1752"/>
      <c r="I429" s="1752"/>
      <c r="J429" s="1759" t="s">
        <v>2947</v>
      </c>
      <c r="K429" s="1759"/>
      <c r="L429" s="1759"/>
      <c r="M429" s="1759"/>
      <c r="N429" s="1889" t="s">
        <v>2807</v>
      </c>
      <c r="O429" s="1889" t="s">
        <v>2806</v>
      </c>
      <c r="P429" s="1889"/>
      <c r="Q429" s="1889"/>
      <c r="R429" s="1737"/>
      <c r="S429" s="1737"/>
      <c r="T429" s="1737"/>
      <c r="U429" s="1737"/>
      <c r="V429" s="1741"/>
      <c r="W429" s="1733">
        <f>+AD429*C429*1.5</f>
        <v>0</v>
      </c>
      <c r="X429" s="1893">
        <f t="shared" ref="X429" si="133">+ROUNDUP(W429,0)</f>
        <v>0</v>
      </c>
      <c r="Y429" s="3756"/>
      <c r="Z429" s="913" t="s">
        <v>397</v>
      </c>
      <c r="AA429" s="3199" t="s">
        <v>2809</v>
      </c>
      <c r="AB429" s="2623">
        <v>1</v>
      </c>
      <c r="AC429" s="2625">
        <v>148.4</v>
      </c>
      <c r="AD429" s="2617">
        <f t="shared" si="131"/>
        <v>148.4</v>
      </c>
      <c r="AE429" s="2624">
        <f>+W429-AD429</f>
        <v>-148.4</v>
      </c>
      <c r="AF429" s="2624" t="e">
        <f>+AE429/X429</f>
        <v>#DIV/0!</v>
      </c>
      <c r="AG429" s="1148"/>
      <c r="AH429" s="199"/>
      <c r="AI429" s="43"/>
    </row>
    <row r="430" spans="1:35" s="48" customFormat="1" ht="12.6" customHeight="1" x14ac:dyDescent="0.2">
      <c r="A430" s="48" t="s">
        <v>3676</v>
      </c>
      <c r="B430" s="1370"/>
      <c r="C430" s="1767"/>
      <c r="D430" s="1753" t="s">
        <v>1307</v>
      </c>
      <c r="E430" s="1753" t="s">
        <v>2811</v>
      </c>
      <c r="F430" s="1755"/>
      <c r="G430" s="1755"/>
      <c r="H430" s="1755"/>
      <c r="I430" s="1755"/>
      <c r="J430" s="1755"/>
      <c r="K430" s="1754">
        <v>626</v>
      </c>
      <c r="L430" s="1755"/>
      <c r="M430" s="1755"/>
      <c r="N430" s="1755" t="s">
        <v>402</v>
      </c>
      <c r="O430" s="1755"/>
      <c r="P430" s="1753"/>
      <c r="Q430" s="1753"/>
      <c r="R430" s="1753"/>
      <c r="S430" s="1737" t="s">
        <v>2737</v>
      </c>
      <c r="T430" s="1737" t="s">
        <v>2814</v>
      </c>
      <c r="U430" s="1737"/>
      <c r="V430" s="1741"/>
      <c r="W430" s="1790">
        <f>+AD430*C430*1.4</f>
        <v>0</v>
      </c>
      <c r="X430" s="1893">
        <f>+ROUNDUP(W430,0)</f>
        <v>0</v>
      </c>
      <c r="Y430" s="3756"/>
      <c r="Z430" s="1114" t="s">
        <v>397</v>
      </c>
      <c r="AA430" s="3221" t="s">
        <v>2813</v>
      </c>
      <c r="AB430" s="2623">
        <v>1</v>
      </c>
      <c r="AC430" s="2617">
        <v>266</v>
      </c>
      <c r="AD430" s="2617">
        <f>+AC430*AB430</f>
        <v>266</v>
      </c>
      <c r="AE430" s="2624"/>
      <c r="AF430" s="2624"/>
      <c r="AG430" s="1148"/>
      <c r="AH430" s="199"/>
      <c r="AI430" s="43"/>
    </row>
    <row r="431" spans="1:35" s="48" customFormat="1" ht="22.8" customHeight="1" x14ac:dyDescent="0.2">
      <c r="A431" s="48" t="s">
        <v>3676</v>
      </c>
      <c r="B431" s="1370"/>
      <c r="C431" s="1821"/>
      <c r="D431" s="1737" t="s">
        <v>3084</v>
      </c>
      <c r="E431" s="1737" t="s">
        <v>333</v>
      </c>
      <c r="F431" s="1738"/>
      <c r="G431" s="1754" t="s">
        <v>3073</v>
      </c>
      <c r="H431" s="1754"/>
      <c r="I431" s="1738" t="s">
        <v>3121</v>
      </c>
      <c r="J431" s="1738"/>
      <c r="K431" s="1738"/>
      <c r="L431" s="1774"/>
      <c r="M431" s="1774"/>
      <c r="N431" s="1823" t="s">
        <v>3110</v>
      </c>
      <c r="O431" s="1738"/>
      <c r="P431" s="1737"/>
      <c r="Q431" s="1737"/>
      <c r="R431" s="1737"/>
      <c r="S431" s="1737" t="s">
        <v>1289</v>
      </c>
      <c r="T431" s="1737"/>
      <c r="U431" s="1737"/>
      <c r="V431" s="1741"/>
      <c r="W431" s="1816">
        <f>+AD431*1.5*C431</f>
        <v>0</v>
      </c>
      <c r="X431" s="1895">
        <f>+W431*C431</f>
        <v>0</v>
      </c>
      <c r="Y431" s="3756"/>
      <c r="Z431" s="253" t="s">
        <v>397</v>
      </c>
      <c r="AA431" s="3222" t="s">
        <v>398</v>
      </c>
      <c r="AB431" s="2623">
        <v>1</v>
      </c>
      <c r="AC431" s="2617">
        <v>426</v>
      </c>
      <c r="AD431" s="2617">
        <f>+AC431*AB431</f>
        <v>426</v>
      </c>
      <c r="AE431" s="2624"/>
      <c r="AF431" s="2624"/>
      <c r="AG431" s="1148"/>
      <c r="AH431" s="199"/>
      <c r="AI431" s="43"/>
    </row>
    <row r="432" spans="1:35" s="48" customFormat="1" ht="22.8" customHeight="1" x14ac:dyDescent="0.2">
      <c r="A432" s="48" t="s">
        <v>3676</v>
      </c>
      <c r="B432" s="1370"/>
      <c r="C432" s="1821"/>
      <c r="D432" s="1771" t="s">
        <v>1307</v>
      </c>
      <c r="E432" s="1771" t="s">
        <v>2812</v>
      </c>
      <c r="F432" s="1769"/>
      <c r="G432" s="1769"/>
      <c r="H432" s="1769"/>
      <c r="I432" s="1769"/>
      <c r="J432" s="1769"/>
      <c r="K432" s="1765">
        <v>626</v>
      </c>
      <c r="L432" s="1769"/>
      <c r="M432" s="1769"/>
      <c r="N432" s="1769" t="s">
        <v>396</v>
      </c>
      <c r="O432" s="1769"/>
      <c r="P432" s="1737"/>
      <c r="Q432" s="1737"/>
      <c r="R432" s="1737"/>
      <c r="S432" s="1737"/>
      <c r="T432" s="1737" t="s">
        <v>2815</v>
      </c>
      <c r="U432" s="1737"/>
      <c r="V432" s="1741"/>
      <c r="W432" s="1790">
        <f>+AD432*C432*1.4</f>
        <v>0</v>
      </c>
      <c r="X432" s="1895">
        <f>+ROUNDUP(W432,0)</f>
        <v>0</v>
      </c>
      <c r="Y432" s="3756"/>
      <c r="Z432" s="253" t="s">
        <v>2738</v>
      </c>
      <c r="AA432" s="3222" t="s">
        <v>2739</v>
      </c>
      <c r="AB432" s="2623">
        <v>1</v>
      </c>
      <c r="AC432" s="2617">
        <v>197.47</v>
      </c>
      <c r="AD432" s="2617">
        <f>+AC432*AB432</f>
        <v>197.47</v>
      </c>
      <c r="AE432" s="2624"/>
      <c r="AF432" s="2624"/>
      <c r="AG432" s="1148"/>
      <c r="AH432" s="199"/>
      <c r="AI432" s="43"/>
    </row>
    <row r="433" spans="1:35" s="48" customFormat="1" ht="12.6" customHeight="1" x14ac:dyDescent="0.2">
      <c r="A433" s="48" t="s">
        <v>3676</v>
      </c>
      <c r="B433" s="1370"/>
      <c r="C433" s="1744"/>
      <c r="D433" s="1824" t="s">
        <v>1307</v>
      </c>
      <c r="E433" s="1813" t="s">
        <v>88</v>
      </c>
      <c r="F433" s="1814" t="s">
        <v>3077</v>
      </c>
      <c r="G433" s="1814"/>
      <c r="H433" s="1814"/>
      <c r="I433" s="1814"/>
      <c r="J433" s="1813" t="s">
        <v>1289</v>
      </c>
      <c r="K433" s="1814"/>
      <c r="L433" s="1813"/>
      <c r="M433" s="1813"/>
      <c r="N433" s="1825" t="s">
        <v>2579</v>
      </c>
      <c r="O433" s="1814"/>
      <c r="P433" s="1737"/>
      <c r="Q433" s="1737"/>
      <c r="R433" s="1737"/>
      <c r="S433" s="1737"/>
      <c r="T433" s="1737"/>
      <c r="U433" s="1737"/>
      <c r="V433" s="1741"/>
      <c r="W433" s="1758">
        <f>+AD433*C433*1.4</f>
        <v>0</v>
      </c>
      <c r="X433" s="2377">
        <f>+ROUNDUP(W433,0)</f>
        <v>0</v>
      </c>
      <c r="Y433" s="3756"/>
      <c r="Z433" s="913" t="s">
        <v>397</v>
      </c>
      <c r="AA433" s="3199" t="s">
        <v>2577</v>
      </c>
      <c r="AB433" s="2623">
        <v>1</v>
      </c>
      <c r="AC433" s="2625">
        <v>450</v>
      </c>
      <c r="AD433" s="2617">
        <f>+AC433*AB433</f>
        <v>450</v>
      </c>
      <c r="AE433" s="2624">
        <f>+W433-AD433</f>
        <v>-450</v>
      </c>
      <c r="AF433" s="2624" t="e">
        <f>+AE433/X433</f>
        <v>#DIV/0!</v>
      </c>
      <c r="AG433" s="1148"/>
      <c r="AH433" s="199"/>
      <c r="AI433" s="43"/>
    </row>
    <row r="434" spans="1:35" s="48" customFormat="1" ht="25.2" customHeight="1" x14ac:dyDescent="0.2">
      <c r="A434" s="48" t="s">
        <v>3673</v>
      </c>
      <c r="B434" s="1370"/>
      <c r="C434" s="1744"/>
      <c r="D434" s="1813" t="s">
        <v>2967</v>
      </c>
      <c r="E434" s="1813" t="s">
        <v>2479</v>
      </c>
      <c r="F434" s="1814" t="s">
        <v>85</v>
      </c>
      <c r="G434" s="1814"/>
      <c r="H434" s="1814"/>
      <c r="I434" s="1814"/>
      <c r="J434" s="1814" t="s">
        <v>348</v>
      </c>
      <c r="K434" s="1813"/>
      <c r="L434" s="1814"/>
      <c r="M434" s="1814"/>
      <c r="N434" s="1814" t="s">
        <v>410</v>
      </c>
      <c r="O434" s="1814"/>
      <c r="P434" s="1737"/>
      <c r="Q434" s="1737"/>
      <c r="R434" s="1737"/>
      <c r="S434" s="1737"/>
      <c r="T434" s="1737"/>
      <c r="U434" s="1737"/>
      <c r="V434" s="1741"/>
      <c r="W434" s="1773">
        <f>+AD434*1.4*C434</f>
        <v>0</v>
      </c>
      <c r="X434" s="2377">
        <f t="shared" si="128"/>
        <v>0</v>
      </c>
      <c r="Y434" s="3756"/>
      <c r="Z434" s="74" t="s">
        <v>33</v>
      </c>
      <c r="AA434" s="3189" t="s">
        <v>2580</v>
      </c>
      <c r="AB434" s="2635">
        <v>0.15</v>
      </c>
      <c r="AC434" s="2617">
        <v>4097</v>
      </c>
      <c r="AD434" s="2634">
        <f>+AB434*AC434</f>
        <v>614.54999999999995</v>
      </c>
      <c r="AE434" s="2624">
        <f>+AD434*C434</f>
        <v>0</v>
      </c>
      <c r="AF434" s="2624"/>
      <c r="AG434" s="1148"/>
      <c r="AH434" s="42">
        <f>+W434-AE434</f>
        <v>0</v>
      </c>
      <c r="AI434" s="43" t="e">
        <f t="shared" ref="AI434:AI470" si="134">+AH434/X434</f>
        <v>#DIV/0!</v>
      </c>
    </row>
    <row r="435" spans="1:35" s="48" customFormat="1" ht="13.2" customHeight="1" x14ac:dyDescent="0.2">
      <c r="A435" s="48" t="s">
        <v>3673</v>
      </c>
      <c r="B435" s="1370"/>
      <c r="C435" s="2258"/>
      <c r="D435" s="2259" t="s">
        <v>2760</v>
      </c>
      <c r="E435" s="2259" t="s">
        <v>329</v>
      </c>
      <c r="F435" s="2256" t="s">
        <v>85</v>
      </c>
      <c r="G435" s="1755"/>
      <c r="H435" s="2256"/>
      <c r="I435" s="2256"/>
      <c r="J435" s="2267"/>
      <c r="K435" s="2257">
        <v>630</v>
      </c>
      <c r="L435" s="2256"/>
      <c r="M435" s="2256"/>
      <c r="N435" s="2256" t="s">
        <v>347</v>
      </c>
      <c r="O435" s="2256"/>
      <c r="P435" s="1737"/>
      <c r="Q435" s="1737"/>
      <c r="R435" s="1737"/>
      <c r="S435" s="1737"/>
      <c r="T435" s="1737"/>
      <c r="U435" s="1737"/>
      <c r="V435" s="1741"/>
      <c r="W435" s="1733">
        <f>+AD435*1.3*C435</f>
        <v>0</v>
      </c>
      <c r="X435" s="1893">
        <f>+ROUNDUP(W435,0)</f>
        <v>0</v>
      </c>
      <c r="Y435" s="3756"/>
      <c r="Z435" s="74" t="s">
        <v>33</v>
      </c>
      <c r="AA435" s="3189" t="s">
        <v>335</v>
      </c>
      <c r="AB435" s="2635">
        <v>0.15</v>
      </c>
      <c r="AC435" s="2617">
        <f>2998+391+251</f>
        <v>3640</v>
      </c>
      <c r="AD435" s="2634">
        <f>+AB435*AC435</f>
        <v>546</v>
      </c>
      <c r="AE435" s="2624">
        <f>+AD435*C435</f>
        <v>0</v>
      </c>
      <c r="AF435" s="2624"/>
      <c r="AG435" s="1148"/>
      <c r="AH435" s="42">
        <f>+W435-AE435</f>
        <v>0</v>
      </c>
      <c r="AI435" s="43" t="e">
        <f t="shared" si="134"/>
        <v>#DIV/0!</v>
      </c>
    </row>
    <row r="436" spans="1:35" s="218" customFormat="1" ht="12.6" customHeight="1" x14ac:dyDescent="0.2">
      <c r="A436" s="48" t="s">
        <v>3673</v>
      </c>
      <c r="B436" s="1370"/>
      <c r="C436" s="1744"/>
      <c r="D436" s="1753" t="s">
        <v>2760</v>
      </c>
      <c r="E436" s="1737" t="s">
        <v>84</v>
      </c>
      <c r="F436" s="1738" t="s">
        <v>85</v>
      </c>
      <c r="G436" s="1738"/>
      <c r="H436" s="1738"/>
      <c r="I436" s="1738"/>
      <c r="J436" s="1738"/>
      <c r="K436" s="1737" t="s">
        <v>64</v>
      </c>
      <c r="L436" s="1738"/>
      <c r="M436" s="1738"/>
      <c r="N436" s="1738" t="s">
        <v>347</v>
      </c>
      <c r="O436" s="1738"/>
      <c r="P436" s="1737"/>
      <c r="Q436" s="1737"/>
      <c r="R436" s="1737"/>
      <c r="S436" s="1737"/>
      <c r="T436" s="1737"/>
      <c r="U436" s="1737"/>
      <c r="V436" s="1741"/>
      <c r="W436" s="1773">
        <f>+AD436*1.3*C436</f>
        <v>0</v>
      </c>
      <c r="X436" s="1895">
        <f>+ROUNDUP(W436,0)</f>
        <v>0</v>
      </c>
      <c r="Y436" s="3756"/>
      <c r="Z436" s="74" t="s">
        <v>33</v>
      </c>
      <c r="AA436" s="3189" t="s">
        <v>335</v>
      </c>
      <c r="AB436" s="2635">
        <v>0.15</v>
      </c>
      <c r="AC436" s="2617">
        <f>2998</f>
        <v>2998</v>
      </c>
      <c r="AD436" s="2634">
        <f>+AB436*AC436</f>
        <v>449.7</v>
      </c>
      <c r="AE436" s="2624">
        <f>+AD436*C436</f>
        <v>0</v>
      </c>
      <c r="AF436" s="2624"/>
      <c r="AG436" s="1148"/>
      <c r="AH436" s="42">
        <f>+W436-AE436</f>
        <v>0</v>
      </c>
      <c r="AI436" s="43" t="e">
        <f t="shared" si="134"/>
        <v>#DIV/0!</v>
      </c>
    </row>
    <row r="437" spans="1:35" s="196" customFormat="1" ht="13.2" customHeight="1" thickBot="1" x14ac:dyDescent="0.25">
      <c r="A437" s="48" t="s">
        <v>3673</v>
      </c>
      <c r="B437" s="1370"/>
      <c r="C437" s="1744"/>
      <c r="D437" s="1759" t="s">
        <v>2450</v>
      </c>
      <c r="E437" s="1759" t="s">
        <v>84</v>
      </c>
      <c r="F437" s="1752" t="s">
        <v>85</v>
      </c>
      <c r="G437" s="1752"/>
      <c r="H437" s="1752"/>
      <c r="I437" s="1752"/>
      <c r="J437" s="1752"/>
      <c r="K437" s="1757">
        <v>630</v>
      </c>
      <c r="L437" s="1752"/>
      <c r="M437" s="1752"/>
      <c r="N437" s="1752" t="s">
        <v>347</v>
      </c>
      <c r="O437" s="1752"/>
      <c r="P437" s="1737"/>
      <c r="Q437" s="1737"/>
      <c r="R437" s="1737"/>
      <c r="S437" s="1737"/>
      <c r="T437" s="1737"/>
      <c r="U437" s="1737"/>
      <c r="V437" s="1741"/>
      <c r="W437" s="1733">
        <f>+AD437*1.65*C437</f>
        <v>0</v>
      </c>
      <c r="X437" s="1893">
        <f>+ROUNDUP(W437,0)</f>
        <v>0</v>
      </c>
      <c r="Y437" s="3756"/>
      <c r="Z437" s="193" t="s">
        <v>33</v>
      </c>
      <c r="AA437" s="3217" t="s">
        <v>335</v>
      </c>
      <c r="AB437" s="2635">
        <v>0.15</v>
      </c>
      <c r="AC437" s="2682">
        <f>2998+391+251</f>
        <v>3640</v>
      </c>
      <c r="AD437" s="2697">
        <f>+AB437*AC437</f>
        <v>546</v>
      </c>
      <c r="AE437" s="2698">
        <f>+AD437*C437</f>
        <v>0</v>
      </c>
      <c r="AF437" s="2698"/>
      <c r="AG437" s="1163"/>
      <c r="AH437" s="194">
        <f>+W437-AE437</f>
        <v>0</v>
      </c>
      <c r="AI437" s="43" t="e">
        <f t="shared" si="134"/>
        <v>#DIV/0!</v>
      </c>
    </row>
    <row r="438" spans="1:35" s="48" customFormat="1" ht="25.2" customHeight="1" x14ac:dyDescent="0.2">
      <c r="A438" s="48" t="s">
        <v>3673</v>
      </c>
      <c r="B438" s="1370"/>
      <c r="C438" s="1744"/>
      <c r="D438" s="1737" t="s">
        <v>2450</v>
      </c>
      <c r="E438" s="1737" t="s">
        <v>84</v>
      </c>
      <c r="F438" s="1738" t="s">
        <v>85</v>
      </c>
      <c r="G438" s="1738"/>
      <c r="H438" s="1738"/>
      <c r="I438" s="1738"/>
      <c r="J438" s="1738" t="s">
        <v>347</v>
      </c>
      <c r="K438" s="1737"/>
      <c r="L438" s="1738"/>
      <c r="M438" s="1738"/>
      <c r="N438" s="1738" t="s">
        <v>410</v>
      </c>
      <c r="O438" s="1738"/>
      <c r="P438" s="1737"/>
      <c r="Q438" s="1737"/>
      <c r="R438" s="1737"/>
      <c r="S438" s="1737"/>
      <c r="T438" s="1737"/>
      <c r="U438" s="1737"/>
      <c r="V438" s="1741"/>
      <c r="W438" s="1773">
        <f>+AD438*1.4*C438</f>
        <v>0</v>
      </c>
      <c r="X438" s="1895">
        <f t="shared" ref="X438:X446" si="135">+ROUNDUP(W438,0)</f>
        <v>0</v>
      </c>
      <c r="Y438" s="3756"/>
      <c r="Z438" s="74" t="s">
        <v>33</v>
      </c>
      <c r="AA438" s="3189" t="s">
        <v>2518</v>
      </c>
      <c r="AB438" s="2635">
        <v>0.15</v>
      </c>
      <c r="AC438" s="2617">
        <v>4097</v>
      </c>
      <c r="AD438" s="2634">
        <f>+AB438*AC438</f>
        <v>614.54999999999995</v>
      </c>
      <c r="AE438" s="2624">
        <f>+AD438*C438</f>
        <v>0</v>
      </c>
      <c r="AF438" s="2624"/>
      <c r="AG438" s="1148"/>
      <c r="AH438" s="42">
        <f>+W438-AE438</f>
        <v>0</v>
      </c>
      <c r="AI438" s="43" t="e">
        <f t="shared" si="134"/>
        <v>#DIV/0!</v>
      </c>
    </row>
    <row r="439" spans="1:35" s="48" customFormat="1" ht="12.6" customHeight="1" x14ac:dyDescent="0.2">
      <c r="A439" s="48" t="s">
        <v>3673</v>
      </c>
      <c r="B439" s="1370"/>
      <c r="C439" s="1954"/>
      <c r="D439" s="1834" t="s">
        <v>3202</v>
      </c>
      <c r="E439" s="1834" t="s">
        <v>337</v>
      </c>
      <c r="F439" s="1878"/>
      <c r="G439" s="1746"/>
      <c r="H439" s="1878"/>
      <c r="I439" s="1953" t="s">
        <v>3300</v>
      </c>
      <c r="J439" s="1878"/>
      <c r="K439" s="1786">
        <v>630</v>
      </c>
      <c r="L439" s="1746"/>
      <c r="M439" s="1746"/>
      <c r="N439" s="1746" t="s">
        <v>338</v>
      </c>
      <c r="O439" s="1746"/>
      <c r="P439" s="1771"/>
      <c r="Q439" s="1771"/>
      <c r="R439" s="1771"/>
      <c r="S439" s="1737"/>
      <c r="T439" s="1737"/>
      <c r="U439" s="1737"/>
      <c r="V439" s="1741"/>
      <c r="W439" s="1733">
        <f>+AD439*C439*2.5</f>
        <v>0</v>
      </c>
      <c r="X439" s="1894">
        <f t="shared" si="135"/>
        <v>0</v>
      </c>
      <c r="Y439" s="3756"/>
      <c r="Z439" s="1921" t="s">
        <v>3199</v>
      </c>
      <c r="AA439" s="3189" t="s">
        <v>3200</v>
      </c>
      <c r="AB439" s="2669">
        <v>0.26</v>
      </c>
      <c r="AC439" s="2644">
        <v>519</v>
      </c>
      <c r="AD439" s="2617">
        <f t="shared" ref="AD439:AD472" si="136">+AC439*AB439</f>
        <v>134.94</v>
      </c>
      <c r="AE439" s="2624"/>
      <c r="AF439" s="2624"/>
      <c r="AH439" s="1148">
        <f>+W439-(AD439*C439)</f>
        <v>0</v>
      </c>
      <c r="AI439" s="43" t="e">
        <f>+AH439/X439</f>
        <v>#DIV/0!</v>
      </c>
    </row>
    <row r="440" spans="1:35" s="48" customFormat="1" ht="12.6" customHeight="1" x14ac:dyDescent="0.2">
      <c r="A440" s="48" t="s">
        <v>3673</v>
      </c>
      <c r="B440" s="1370"/>
      <c r="C440" s="2258"/>
      <c r="D440" s="2253" t="s">
        <v>3202</v>
      </c>
      <c r="E440" s="2253" t="s">
        <v>337</v>
      </c>
      <c r="F440" s="2254"/>
      <c r="G440" s="1738"/>
      <c r="H440" s="2254"/>
      <c r="I440" s="2254"/>
      <c r="J440" s="2254"/>
      <c r="K440" s="2359">
        <v>689</v>
      </c>
      <c r="L440" s="1738"/>
      <c r="M440" s="1738"/>
      <c r="N440" s="1811" t="s">
        <v>2976</v>
      </c>
      <c r="O440" s="1738"/>
      <c r="P440" s="1737"/>
      <c r="Q440" s="1737"/>
      <c r="R440" s="1737"/>
      <c r="S440" s="1737"/>
      <c r="T440" s="1737"/>
      <c r="U440" s="1737"/>
      <c r="V440" s="1741"/>
      <c r="W440" s="1790">
        <f>+AD440*C440*2.3</f>
        <v>0</v>
      </c>
      <c r="X440" s="1895">
        <f t="shared" si="135"/>
        <v>0</v>
      </c>
      <c r="Y440" s="3756"/>
      <c r="Z440" s="74" t="s">
        <v>23</v>
      </c>
      <c r="AA440" s="3190" t="s">
        <v>3324</v>
      </c>
      <c r="AB440" s="2669">
        <v>0.26</v>
      </c>
      <c r="AC440" s="2644">
        <v>389.85</v>
      </c>
      <c r="AD440" s="2617">
        <f t="shared" si="136"/>
        <v>101.361</v>
      </c>
      <c r="AE440" s="2624">
        <f>+AD440*C440</f>
        <v>0</v>
      </c>
      <c r="AF440" s="2624" t="e">
        <f t="shared" ref="AF440:AF472" si="137">+AE440/X440</f>
        <v>#DIV/0!</v>
      </c>
      <c r="AG440" s="1148"/>
      <c r="AH440" s="44">
        <f>+W440-AE440</f>
        <v>0</v>
      </c>
      <c r="AI440" s="874" t="e">
        <f t="shared" si="134"/>
        <v>#DIV/0!</v>
      </c>
    </row>
    <row r="441" spans="1:35" s="48" customFormat="1" ht="12.6" customHeight="1" x14ac:dyDescent="0.2">
      <c r="A441" s="48" t="s">
        <v>3673</v>
      </c>
      <c r="B441" s="1370"/>
      <c r="C441" s="1744"/>
      <c r="D441" s="1737" t="s">
        <v>3202</v>
      </c>
      <c r="E441" s="1737" t="s">
        <v>378</v>
      </c>
      <c r="F441" s="1738"/>
      <c r="G441" s="1738"/>
      <c r="H441" s="1738"/>
      <c r="I441" s="1738"/>
      <c r="J441" s="1738"/>
      <c r="K441" s="1772">
        <v>689</v>
      </c>
      <c r="L441" s="1738"/>
      <c r="M441" s="1738"/>
      <c r="N441" s="1738" t="s">
        <v>2976</v>
      </c>
      <c r="O441" s="1738"/>
      <c r="P441" s="1737"/>
      <c r="Q441" s="1737"/>
      <c r="R441" s="1737"/>
      <c r="S441" s="1737"/>
      <c r="T441" s="1737"/>
      <c r="U441" s="1737"/>
      <c r="V441" s="1741"/>
      <c r="W441" s="1773">
        <f>+AD441*C441*1.75</f>
        <v>0</v>
      </c>
      <c r="X441" s="1895">
        <f t="shared" si="135"/>
        <v>0</v>
      </c>
      <c r="Y441" s="3756"/>
      <c r="Z441" s="74" t="s">
        <v>23</v>
      </c>
      <c r="AA441" s="3190" t="s">
        <v>339</v>
      </c>
      <c r="AB441" s="2669">
        <v>0.26</v>
      </c>
      <c r="AC441" s="2643">
        <v>324</v>
      </c>
      <c r="AD441" s="2617">
        <f t="shared" si="136"/>
        <v>84.240000000000009</v>
      </c>
      <c r="AE441" s="2624">
        <f t="shared" ref="AE441:AE453" si="138">+W441-AD441</f>
        <v>-84.240000000000009</v>
      </c>
      <c r="AF441" s="2624" t="e">
        <f t="shared" si="137"/>
        <v>#DIV/0!</v>
      </c>
      <c r="AG441" s="1148"/>
      <c r="AH441" s="49"/>
      <c r="AI441" s="874" t="e">
        <f t="shared" si="134"/>
        <v>#DIV/0!</v>
      </c>
    </row>
    <row r="442" spans="1:35" s="48" customFormat="1" ht="12.6" customHeight="1" x14ac:dyDescent="0.2">
      <c r="A442" s="48" t="s">
        <v>3673</v>
      </c>
      <c r="B442" s="1370"/>
      <c r="C442" s="1954"/>
      <c r="D442" s="1779" t="s">
        <v>3535</v>
      </c>
      <c r="E442" s="1779" t="s">
        <v>337</v>
      </c>
      <c r="F442" s="1801"/>
      <c r="G442" s="1738"/>
      <c r="H442" s="1779"/>
      <c r="I442" s="1779"/>
      <c r="J442" s="1779"/>
      <c r="K442" s="3356">
        <v>630</v>
      </c>
      <c r="L442" s="1738"/>
      <c r="M442" s="1738"/>
      <c r="N442" s="1738" t="s">
        <v>338</v>
      </c>
      <c r="O442" s="1738"/>
      <c r="P442" s="1737"/>
      <c r="Q442" s="1737"/>
      <c r="R442" s="1737"/>
      <c r="S442" s="1737"/>
      <c r="T442" s="1737"/>
      <c r="U442" s="1737"/>
      <c r="V442" s="1741"/>
      <c r="W442" s="1773">
        <f>+AD442*C442*1.75</f>
        <v>0</v>
      </c>
      <c r="X442" s="2019">
        <f t="shared" si="135"/>
        <v>0</v>
      </c>
      <c r="Y442" s="3756"/>
      <c r="Z442" s="197" t="s">
        <v>3537</v>
      </c>
      <c r="AA442" s="3191" t="s">
        <v>3536</v>
      </c>
      <c r="AB442" s="2699">
        <v>0.26</v>
      </c>
      <c r="AC442" s="2700">
        <v>678</v>
      </c>
      <c r="AD442" s="2627">
        <f t="shared" si="136"/>
        <v>176.28</v>
      </c>
      <c r="AE442" s="2655">
        <f t="shared" si="138"/>
        <v>-176.28</v>
      </c>
      <c r="AF442" s="2655" t="e">
        <f t="shared" si="137"/>
        <v>#DIV/0!</v>
      </c>
      <c r="AG442" s="1154"/>
      <c r="AH442" s="781"/>
      <c r="AI442" s="189" t="e">
        <f t="shared" si="134"/>
        <v>#DIV/0!</v>
      </c>
    </row>
    <row r="443" spans="1:35" s="48" customFormat="1" ht="12.6" customHeight="1" x14ac:dyDescent="0.2">
      <c r="A443" s="48" t="s">
        <v>3673</v>
      </c>
      <c r="B443" s="1370"/>
      <c r="C443" s="1744"/>
      <c r="D443" s="1737" t="s">
        <v>3600</v>
      </c>
      <c r="E443" s="1737" t="s">
        <v>337</v>
      </c>
      <c r="F443" s="1738"/>
      <c r="G443" s="1738"/>
      <c r="H443" s="1738"/>
      <c r="I443" s="1738"/>
      <c r="J443" s="1738"/>
      <c r="K443" s="1772">
        <v>630</v>
      </c>
      <c r="L443" s="1738"/>
      <c r="M443" s="1738"/>
      <c r="N443" s="1738" t="s">
        <v>338</v>
      </c>
      <c r="O443" s="1738"/>
      <c r="P443" s="1737"/>
      <c r="Q443" s="1737"/>
      <c r="R443" s="1737"/>
      <c r="S443" s="1737"/>
      <c r="T443" s="1737"/>
      <c r="U443" s="1737"/>
      <c r="V443" s="1741"/>
      <c r="W443" s="1733">
        <f t="shared" ref="W443:W472" si="139">+AD443*C443*1.7</f>
        <v>0</v>
      </c>
      <c r="X443" s="1893">
        <f t="shared" si="135"/>
        <v>0</v>
      </c>
      <c r="Y443" s="3756"/>
      <c r="Z443" s="74" t="s">
        <v>23</v>
      </c>
      <c r="AA443" s="3190" t="s">
        <v>339</v>
      </c>
      <c r="AB443" s="2669">
        <v>0.26</v>
      </c>
      <c r="AC443" s="2643">
        <v>519</v>
      </c>
      <c r="AD443" s="2617">
        <f t="shared" si="136"/>
        <v>134.94</v>
      </c>
      <c r="AE443" s="2624">
        <f t="shared" si="138"/>
        <v>-134.94</v>
      </c>
      <c r="AF443" s="2624" t="e">
        <f t="shared" si="137"/>
        <v>#DIV/0!</v>
      </c>
      <c r="AG443" s="1148"/>
      <c r="AH443" s="49"/>
      <c r="AI443" s="874" t="e">
        <f t="shared" si="134"/>
        <v>#DIV/0!</v>
      </c>
    </row>
    <row r="444" spans="1:35" s="48" customFormat="1" ht="12.6" customHeight="1" x14ac:dyDescent="0.2">
      <c r="A444" s="48" t="s">
        <v>3673</v>
      </c>
      <c r="B444" s="1370"/>
      <c r="C444" s="1744"/>
      <c r="D444" s="1740" t="s">
        <v>3600</v>
      </c>
      <c r="E444" s="1737" t="s">
        <v>337</v>
      </c>
      <c r="F444" s="1738"/>
      <c r="G444" s="1738"/>
      <c r="H444" s="1738"/>
      <c r="I444" s="1738"/>
      <c r="J444" s="1738"/>
      <c r="K444" s="1737"/>
      <c r="L444" s="1738"/>
      <c r="M444" s="1738"/>
      <c r="N444" s="1738" t="s">
        <v>338</v>
      </c>
      <c r="O444" s="1738"/>
      <c r="P444" s="1737"/>
      <c r="Q444" s="1737"/>
      <c r="R444" s="1737"/>
      <c r="S444" s="1737"/>
      <c r="T444" s="1737"/>
      <c r="U444" s="1737"/>
      <c r="V444" s="1741"/>
      <c r="W444" s="1773">
        <f t="shared" si="139"/>
        <v>0</v>
      </c>
      <c r="X444" s="1895">
        <f t="shared" si="135"/>
        <v>0</v>
      </c>
      <c r="Y444" s="3756"/>
      <c r="Z444" s="74" t="s">
        <v>23</v>
      </c>
      <c r="AA444" s="3190" t="s">
        <v>339</v>
      </c>
      <c r="AB444" s="2669">
        <v>0.26</v>
      </c>
      <c r="AC444" s="2643">
        <v>519</v>
      </c>
      <c r="AD444" s="2617">
        <f t="shared" si="136"/>
        <v>134.94</v>
      </c>
      <c r="AE444" s="2624">
        <f t="shared" si="138"/>
        <v>-134.94</v>
      </c>
      <c r="AF444" s="2624" t="e">
        <f t="shared" si="137"/>
        <v>#DIV/0!</v>
      </c>
      <c r="AG444" s="1148"/>
      <c r="AH444" s="49"/>
      <c r="AI444" s="874" t="e">
        <f t="shared" si="134"/>
        <v>#DIV/0!</v>
      </c>
    </row>
    <row r="445" spans="1:35" s="48" customFormat="1" ht="12.6" customHeight="1" x14ac:dyDescent="0.2">
      <c r="A445" s="48" t="s">
        <v>3673</v>
      </c>
      <c r="B445" s="1370"/>
      <c r="C445" s="1744"/>
      <c r="D445" s="1740" t="s">
        <v>3600</v>
      </c>
      <c r="E445" s="1737" t="s">
        <v>337</v>
      </c>
      <c r="F445" s="1738"/>
      <c r="G445" s="1738"/>
      <c r="H445" s="1738"/>
      <c r="I445" s="1738"/>
      <c r="J445" s="1738"/>
      <c r="K445" s="1737"/>
      <c r="L445" s="1738"/>
      <c r="M445" s="1738"/>
      <c r="N445" s="1738" t="s">
        <v>338</v>
      </c>
      <c r="O445" s="1738"/>
      <c r="P445" s="1737"/>
      <c r="Q445" s="1737"/>
      <c r="R445" s="1737"/>
      <c r="S445" s="1737"/>
      <c r="T445" s="1737"/>
      <c r="U445" s="1737"/>
      <c r="V445" s="1741"/>
      <c r="W445" s="1773">
        <f t="shared" si="139"/>
        <v>0</v>
      </c>
      <c r="X445" s="1895">
        <f t="shared" si="135"/>
        <v>0</v>
      </c>
      <c r="Y445" s="3756"/>
      <c r="Z445" s="74" t="s">
        <v>23</v>
      </c>
      <c r="AA445" s="3190" t="s">
        <v>339</v>
      </c>
      <c r="AB445" s="2669">
        <v>0.26</v>
      </c>
      <c r="AC445" s="2643">
        <v>519</v>
      </c>
      <c r="AD445" s="2617">
        <f t="shared" si="136"/>
        <v>134.94</v>
      </c>
      <c r="AE445" s="2624">
        <f t="shared" si="138"/>
        <v>-134.94</v>
      </c>
      <c r="AF445" s="2624" t="e">
        <f t="shared" si="137"/>
        <v>#DIV/0!</v>
      </c>
      <c r="AG445" s="1148"/>
      <c r="AH445" s="49"/>
      <c r="AI445" s="874" t="e">
        <f t="shared" si="134"/>
        <v>#DIV/0!</v>
      </c>
    </row>
    <row r="446" spans="1:35" s="48" customFormat="1" ht="12.6" customHeight="1" x14ac:dyDescent="0.2">
      <c r="A446" s="48" t="s">
        <v>3673</v>
      </c>
      <c r="B446" s="1370"/>
      <c r="C446" s="1744"/>
      <c r="D446" s="1740" t="s">
        <v>3600</v>
      </c>
      <c r="E446" s="1737" t="s">
        <v>337</v>
      </c>
      <c r="F446" s="1738"/>
      <c r="G446" s="1738"/>
      <c r="H446" s="1738"/>
      <c r="I446" s="1738"/>
      <c r="J446" s="1738"/>
      <c r="K446" s="1737"/>
      <c r="L446" s="1738"/>
      <c r="M446" s="1738"/>
      <c r="N446" s="1738" t="s">
        <v>338</v>
      </c>
      <c r="O446" s="1738"/>
      <c r="P446" s="1737"/>
      <c r="Q446" s="1737"/>
      <c r="R446" s="1737"/>
      <c r="S446" s="1737"/>
      <c r="T446" s="1737"/>
      <c r="U446" s="1737"/>
      <c r="V446" s="1741"/>
      <c r="W446" s="1773">
        <f t="shared" si="139"/>
        <v>0</v>
      </c>
      <c r="X446" s="1895">
        <f t="shared" si="135"/>
        <v>0</v>
      </c>
      <c r="Y446" s="3756"/>
      <c r="Z446" s="74" t="s">
        <v>23</v>
      </c>
      <c r="AA446" s="3190" t="s">
        <v>339</v>
      </c>
      <c r="AB446" s="2669">
        <v>0.26</v>
      </c>
      <c r="AC446" s="2643">
        <v>519</v>
      </c>
      <c r="AD446" s="2617">
        <f t="shared" si="136"/>
        <v>134.94</v>
      </c>
      <c r="AE446" s="2624">
        <f t="shared" si="138"/>
        <v>-134.94</v>
      </c>
      <c r="AF446" s="2624" t="e">
        <f t="shared" si="137"/>
        <v>#DIV/0!</v>
      </c>
      <c r="AG446" s="1148"/>
      <c r="AH446" s="49"/>
      <c r="AI446" s="874" t="e">
        <f t="shared" si="134"/>
        <v>#DIV/0!</v>
      </c>
    </row>
    <row r="447" spans="1:35" s="48" customFormat="1" ht="12.6" customHeight="1" x14ac:dyDescent="0.2">
      <c r="A447" s="48" t="s">
        <v>3673</v>
      </c>
      <c r="B447" s="1370"/>
      <c r="C447" s="1744"/>
      <c r="D447" s="1740" t="s">
        <v>3600</v>
      </c>
      <c r="E447" s="1737" t="s">
        <v>337</v>
      </c>
      <c r="F447" s="1738"/>
      <c r="G447" s="1738"/>
      <c r="H447" s="1738"/>
      <c r="I447" s="1738"/>
      <c r="J447" s="1738"/>
      <c r="K447" s="1737"/>
      <c r="L447" s="1738"/>
      <c r="M447" s="1738"/>
      <c r="N447" s="1738" t="s">
        <v>338</v>
      </c>
      <c r="O447" s="1738"/>
      <c r="P447" s="1737"/>
      <c r="Q447" s="1737"/>
      <c r="R447" s="1737"/>
      <c r="S447" s="1737"/>
      <c r="T447" s="1737"/>
      <c r="U447" s="1737"/>
      <c r="V447" s="1741"/>
      <c r="W447" s="1758">
        <f t="shared" si="139"/>
        <v>0</v>
      </c>
      <c r="X447" s="1895">
        <f>ROUNDUP(W447,0)</f>
        <v>0</v>
      </c>
      <c r="Y447" s="3756"/>
      <c r="Z447" s="74" t="s">
        <v>23</v>
      </c>
      <c r="AA447" s="3190" t="s">
        <v>339</v>
      </c>
      <c r="AB447" s="2669">
        <v>0.26</v>
      </c>
      <c r="AC447" s="2644">
        <v>519</v>
      </c>
      <c r="AD447" s="2617">
        <f t="shared" si="136"/>
        <v>134.94</v>
      </c>
      <c r="AE447" s="2624">
        <f t="shared" si="138"/>
        <v>-134.94</v>
      </c>
      <c r="AF447" s="2624" t="e">
        <f t="shared" si="137"/>
        <v>#DIV/0!</v>
      </c>
      <c r="AG447" s="1148"/>
      <c r="AH447" s="49"/>
      <c r="AI447" s="874" t="e">
        <f t="shared" si="134"/>
        <v>#DIV/0!</v>
      </c>
    </row>
    <row r="448" spans="1:35" s="48" customFormat="1" ht="12.6" customHeight="1" x14ac:dyDescent="0.2">
      <c r="A448" s="48" t="s">
        <v>3673</v>
      </c>
      <c r="B448" s="1370"/>
      <c r="C448" s="1744"/>
      <c r="D448" s="1783" t="s">
        <v>3600</v>
      </c>
      <c r="E448" s="1753" t="s">
        <v>337</v>
      </c>
      <c r="F448" s="1755"/>
      <c r="G448" s="1755"/>
      <c r="H448" s="1755"/>
      <c r="I448" s="1755"/>
      <c r="J448" s="1755"/>
      <c r="K448" s="1753"/>
      <c r="L448" s="1755"/>
      <c r="M448" s="1755"/>
      <c r="N448" s="1755" t="s">
        <v>338</v>
      </c>
      <c r="O448" s="1755"/>
      <c r="P448" s="1753"/>
      <c r="Q448" s="1753"/>
      <c r="R448" s="1753"/>
      <c r="S448" s="1753"/>
      <c r="T448" s="1753"/>
      <c r="U448" s="1753"/>
      <c r="V448" s="1756"/>
      <c r="W448" s="1733">
        <f t="shared" si="139"/>
        <v>0</v>
      </c>
      <c r="X448" s="1893">
        <f>ROUNDUP(W448,0)</f>
        <v>0</v>
      </c>
      <c r="Y448" s="3756"/>
      <c r="Z448" s="249" t="s">
        <v>23</v>
      </c>
      <c r="AA448" s="3223" t="s">
        <v>339</v>
      </c>
      <c r="AB448" s="2636">
        <v>0.26</v>
      </c>
      <c r="AC448" s="2637">
        <v>519</v>
      </c>
      <c r="AD448" s="2629">
        <f t="shared" si="136"/>
        <v>134.94</v>
      </c>
      <c r="AE448" s="2630">
        <f t="shared" si="138"/>
        <v>-134.94</v>
      </c>
      <c r="AF448" s="2630" t="e">
        <f t="shared" si="137"/>
        <v>#DIV/0!</v>
      </c>
      <c r="AG448" s="1156"/>
      <c r="AH448" s="250"/>
      <c r="AI448" s="882" t="e">
        <f t="shared" si="134"/>
        <v>#DIV/0!</v>
      </c>
    </row>
    <row r="449" spans="1:35" s="207" customFormat="1" ht="12.6" customHeight="1" x14ac:dyDescent="0.2">
      <c r="A449" s="48" t="s">
        <v>3673</v>
      </c>
      <c r="B449" s="1370"/>
      <c r="C449" s="1744"/>
      <c r="D449" s="1740" t="s">
        <v>3600</v>
      </c>
      <c r="E449" s="1737" t="s">
        <v>337</v>
      </c>
      <c r="F449" s="1738"/>
      <c r="G449" s="1738"/>
      <c r="H449" s="1738"/>
      <c r="I449" s="1738"/>
      <c r="J449" s="1738"/>
      <c r="K449" s="1737"/>
      <c r="L449" s="1738"/>
      <c r="M449" s="1738"/>
      <c r="N449" s="1738" t="s">
        <v>338</v>
      </c>
      <c r="O449" s="1738"/>
      <c r="P449" s="1737"/>
      <c r="Q449" s="1737"/>
      <c r="R449" s="1737"/>
      <c r="S449" s="1737"/>
      <c r="T449" s="1737"/>
      <c r="U449" s="1737"/>
      <c r="V449" s="1741"/>
      <c r="W449" s="1758">
        <f t="shared" si="139"/>
        <v>0</v>
      </c>
      <c r="X449" s="1895">
        <f>ROUNDUP(W449,0)</f>
        <v>0</v>
      </c>
      <c r="Y449" s="3756"/>
      <c r="Z449" s="61" t="s">
        <v>23</v>
      </c>
      <c r="AA449" s="3190" t="s">
        <v>339</v>
      </c>
      <c r="AB449" s="2669">
        <v>0.26</v>
      </c>
      <c r="AC449" s="2644">
        <v>519</v>
      </c>
      <c r="AD449" s="2617">
        <f t="shared" si="136"/>
        <v>134.94</v>
      </c>
      <c r="AE449" s="2624">
        <f t="shared" si="138"/>
        <v>-134.94</v>
      </c>
      <c r="AF449" s="2624" t="e">
        <f t="shared" si="137"/>
        <v>#DIV/0!</v>
      </c>
      <c r="AG449" s="1148"/>
      <c r="AH449" s="49"/>
      <c r="AI449" s="874" t="e">
        <f t="shared" si="134"/>
        <v>#DIV/0!</v>
      </c>
    </row>
    <row r="450" spans="1:35" s="206" customFormat="1" ht="12.6" customHeight="1" x14ac:dyDescent="0.2">
      <c r="A450" s="48" t="s">
        <v>3673</v>
      </c>
      <c r="B450" s="1370"/>
      <c r="C450" s="1744"/>
      <c r="D450" s="1737" t="s">
        <v>3600</v>
      </c>
      <c r="E450" s="1737" t="s">
        <v>337</v>
      </c>
      <c r="F450" s="1738"/>
      <c r="G450" s="1738"/>
      <c r="H450" s="1738"/>
      <c r="I450" s="1738"/>
      <c r="J450" s="1738"/>
      <c r="K450" s="1737"/>
      <c r="L450" s="1738"/>
      <c r="M450" s="1738"/>
      <c r="N450" s="1738" t="s">
        <v>338</v>
      </c>
      <c r="O450" s="1738"/>
      <c r="P450" s="1737"/>
      <c r="Q450" s="1737"/>
      <c r="R450" s="1737"/>
      <c r="S450" s="1737"/>
      <c r="T450" s="1737"/>
      <c r="U450" s="1737"/>
      <c r="V450" s="1741"/>
      <c r="W450" s="1758">
        <f t="shared" si="139"/>
        <v>0</v>
      </c>
      <c r="X450" s="1895">
        <f>ROUNDUP(W450,0)</f>
        <v>0</v>
      </c>
      <c r="Y450" s="3756"/>
      <c r="Z450" s="208" t="s">
        <v>23</v>
      </c>
      <c r="AA450" s="3187" t="s">
        <v>339</v>
      </c>
      <c r="AB450" s="2672">
        <v>0.26</v>
      </c>
      <c r="AC450" s="2671">
        <v>519</v>
      </c>
      <c r="AD450" s="2619">
        <f t="shared" si="136"/>
        <v>134.94</v>
      </c>
      <c r="AE450" s="2621">
        <f t="shared" si="138"/>
        <v>-134.94</v>
      </c>
      <c r="AF450" s="2621" t="e">
        <f t="shared" si="137"/>
        <v>#DIV/0!</v>
      </c>
      <c r="AG450" s="1150"/>
      <c r="AH450" s="209"/>
      <c r="AI450" s="204" t="e">
        <f t="shared" si="134"/>
        <v>#DIV/0!</v>
      </c>
    </row>
    <row r="451" spans="1:35" s="48" customFormat="1" ht="12.6" customHeight="1" x14ac:dyDescent="0.2">
      <c r="A451" s="48" t="s">
        <v>3673</v>
      </c>
      <c r="B451" s="1370"/>
      <c r="C451" s="1744"/>
      <c r="D451" s="1740" t="s">
        <v>3600</v>
      </c>
      <c r="E451" s="1737" t="s">
        <v>337</v>
      </c>
      <c r="F451" s="1738"/>
      <c r="G451" s="1738"/>
      <c r="H451" s="1738"/>
      <c r="I451" s="1738"/>
      <c r="J451" s="1738"/>
      <c r="K451" s="1737" t="s">
        <v>389</v>
      </c>
      <c r="L451" s="1738"/>
      <c r="M451" s="1738"/>
      <c r="N451" s="1738" t="s">
        <v>338</v>
      </c>
      <c r="O451" s="1738"/>
      <c r="P451" s="1737"/>
      <c r="Q451" s="1737"/>
      <c r="R451" s="1737"/>
      <c r="S451" s="1737"/>
      <c r="T451" s="1737"/>
      <c r="U451" s="1737"/>
      <c r="V451" s="1741"/>
      <c r="W451" s="1758">
        <f t="shared" si="139"/>
        <v>0</v>
      </c>
      <c r="X451" s="1895">
        <f>ROUNDUP(W451,0)</f>
        <v>0</v>
      </c>
      <c r="Y451" s="3756"/>
      <c r="Z451" s="74" t="s">
        <v>23</v>
      </c>
      <c r="AA451" s="3186" t="s">
        <v>3012</v>
      </c>
      <c r="AB451" s="2616">
        <v>0.26</v>
      </c>
      <c r="AC451" s="2617">
        <v>930.35</v>
      </c>
      <c r="AD451" s="2617">
        <f t="shared" si="136"/>
        <v>241.89100000000002</v>
      </c>
      <c r="AE451" s="2624">
        <f t="shared" si="138"/>
        <v>-241.89100000000002</v>
      </c>
      <c r="AF451" s="2624" t="e">
        <f t="shared" si="137"/>
        <v>#DIV/0!</v>
      </c>
      <c r="AG451" s="1148"/>
      <c r="AH451" s="199"/>
      <c r="AI451" s="43" t="e">
        <f t="shared" si="134"/>
        <v>#DIV/0!</v>
      </c>
    </row>
    <row r="452" spans="1:35" s="48" customFormat="1" ht="12.6" customHeight="1" x14ac:dyDescent="0.2">
      <c r="A452" s="48" t="s">
        <v>3673</v>
      </c>
      <c r="B452" s="1370"/>
      <c r="C452" s="1744"/>
      <c r="D452" s="1740" t="s">
        <v>3600</v>
      </c>
      <c r="E452" s="1737" t="s">
        <v>378</v>
      </c>
      <c r="F452" s="1738"/>
      <c r="G452" s="1738"/>
      <c r="H452" s="1738"/>
      <c r="I452" s="1738"/>
      <c r="J452" s="1738"/>
      <c r="K452" s="1737" t="s">
        <v>389</v>
      </c>
      <c r="L452" s="1738"/>
      <c r="M452" s="1738"/>
      <c r="N452" s="1738" t="s">
        <v>338</v>
      </c>
      <c r="O452" s="1738"/>
      <c r="P452" s="1737"/>
      <c r="Q452" s="1737"/>
      <c r="R452" s="1737"/>
      <c r="S452" s="1737"/>
      <c r="T452" s="1737"/>
      <c r="U452" s="1737"/>
      <c r="V452" s="1741"/>
      <c r="W452" s="1790">
        <f t="shared" si="139"/>
        <v>0</v>
      </c>
      <c r="X452" s="2271">
        <f t="shared" ref="X452:X465" si="140">+ROUNDUP(W452,0)</f>
        <v>0</v>
      </c>
      <c r="Y452" s="3756"/>
      <c r="Z452" s="61" t="s">
        <v>23</v>
      </c>
      <c r="AA452" s="3188" t="s">
        <v>3012</v>
      </c>
      <c r="AB452" s="2623">
        <v>0.26</v>
      </c>
      <c r="AC452" s="2625">
        <v>1048</v>
      </c>
      <c r="AD452" s="2617">
        <f t="shared" si="136"/>
        <v>272.48</v>
      </c>
      <c r="AE452" s="2624">
        <f t="shared" si="138"/>
        <v>-272.48</v>
      </c>
      <c r="AF452" s="2624" t="e">
        <f t="shared" si="137"/>
        <v>#DIV/0!</v>
      </c>
      <c r="AG452" s="1148"/>
      <c r="AH452" s="199"/>
      <c r="AI452" s="43" t="e">
        <f t="shared" si="134"/>
        <v>#DIV/0!</v>
      </c>
    </row>
    <row r="453" spans="1:35" s="48" customFormat="1" ht="12.6" customHeight="1" x14ac:dyDescent="0.2">
      <c r="A453" s="48" t="s">
        <v>3673</v>
      </c>
      <c r="B453" s="1370"/>
      <c r="C453" s="1744"/>
      <c r="D453" s="1740" t="s">
        <v>3600</v>
      </c>
      <c r="E453" s="1737" t="s">
        <v>378</v>
      </c>
      <c r="F453" s="1738"/>
      <c r="G453" s="1738"/>
      <c r="H453" s="1738"/>
      <c r="I453" s="1738"/>
      <c r="J453" s="1738"/>
      <c r="K453" s="1737">
        <v>630</v>
      </c>
      <c r="L453" s="1738"/>
      <c r="M453" s="1738"/>
      <c r="N453" s="1738" t="s">
        <v>338</v>
      </c>
      <c r="O453" s="1738"/>
      <c r="P453" s="1737"/>
      <c r="Q453" s="1737"/>
      <c r="R453" s="1737"/>
      <c r="S453" s="1737"/>
      <c r="T453" s="1737"/>
      <c r="U453" s="1737"/>
      <c r="V453" s="1741"/>
      <c r="W453" s="1790">
        <f t="shared" si="139"/>
        <v>0</v>
      </c>
      <c r="X453" s="2271">
        <f t="shared" si="140"/>
        <v>0</v>
      </c>
      <c r="Y453" s="3756"/>
      <c r="Z453" s="61" t="s">
        <v>23</v>
      </c>
      <c r="AA453" s="3188" t="s">
        <v>339</v>
      </c>
      <c r="AB453" s="2623">
        <v>0.26</v>
      </c>
      <c r="AC453" s="2625">
        <v>571.15</v>
      </c>
      <c r="AD453" s="2617">
        <f t="shared" si="136"/>
        <v>148.499</v>
      </c>
      <c r="AE453" s="2624">
        <f t="shared" si="138"/>
        <v>-148.499</v>
      </c>
      <c r="AF453" s="2624" t="e">
        <f t="shared" si="137"/>
        <v>#DIV/0!</v>
      </c>
      <c r="AG453" s="1148"/>
      <c r="AH453" s="199"/>
      <c r="AI453" s="43" t="e">
        <f t="shared" si="134"/>
        <v>#DIV/0!</v>
      </c>
    </row>
    <row r="454" spans="1:35" s="48" customFormat="1" ht="12.6" customHeight="1" x14ac:dyDescent="0.2">
      <c r="A454" s="48" t="s">
        <v>3673</v>
      </c>
      <c r="B454" s="1370"/>
      <c r="C454" s="1744"/>
      <c r="D454" s="1740" t="s">
        <v>3600</v>
      </c>
      <c r="E454" s="1737" t="s">
        <v>378</v>
      </c>
      <c r="F454" s="1738"/>
      <c r="G454" s="1738"/>
      <c r="H454" s="1738"/>
      <c r="I454" s="1738"/>
      <c r="J454" s="1738"/>
      <c r="K454" s="1737" t="s">
        <v>389</v>
      </c>
      <c r="L454" s="1738"/>
      <c r="M454" s="1738"/>
      <c r="N454" s="1738" t="s">
        <v>338</v>
      </c>
      <c r="O454" s="1738"/>
      <c r="P454" s="1737"/>
      <c r="Q454" s="1737"/>
      <c r="R454" s="1737"/>
      <c r="S454" s="1737"/>
      <c r="T454" s="1737"/>
      <c r="U454" s="1737"/>
      <c r="V454" s="1741"/>
      <c r="W454" s="1790">
        <f t="shared" si="139"/>
        <v>0</v>
      </c>
      <c r="X454" s="2271">
        <f t="shared" si="140"/>
        <v>0</v>
      </c>
      <c r="Y454" s="3756"/>
      <c r="Z454" s="61" t="s">
        <v>23</v>
      </c>
      <c r="AA454" s="3188" t="s">
        <v>388</v>
      </c>
      <c r="AB454" s="2661">
        <v>0.26</v>
      </c>
      <c r="AC454" s="2673">
        <v>1048</v>
      </c>
      <c r="AD454" s="2673">
        <f t="shared" si="136"/>
        <v>272.48</v>
      </c>
      <c r="AE454" s="2624">
        <f>+AD454*C454</f>
        <v>0</v>
      </c>
      <c r="AF454" s="2624" t="e">
        <f t="shared" si="137"/>
        <v>#DIV/0!</v>
      </c>
      <c r="AG454" s="1148"/>
      <c r="AH454" s="42">
        <f>+W454-AE454</f>
        <v>0</v>
      </c>
      <c r="AI454" s="43" t="e">
        <f t="shared" si="134"/>
        <v>#DIV/0!</v>
      </c>
    </row>
    <row r="455" spans="1:35" s="48" customFormat="1" ht="12.6" customHeight="1" x14ac:dyDescent="0.2">
      <c r="A455" s="48" t="s">
        <v>3673</v>
      </c>
      <c r="B455" s="1370"/>
      <c r="C455" s="1744"/>
      <c r="D455" s="1740" t="s">
        <v>3600</v>
      </c>
      <c r="E455" s="1737" t="s">
        <v>378</v>
      </c>
      <c r="F455" s="1738"/>
      <c r="G455" s="1738"/>
      <c r="H455" s="1738"/>
      <c r="I455" s="1738"/>
      <c r="J455" s="1738"/>
      <c r="K455" s="1737">
        <v>630</v>
      </c>
      <c r="L455" s="1738"/>
      <c r="M455" s="1738"/>
      <c r="N455" s="1738" t="s">
        <v>338</v>
      </c>
      <c r="O455" s="1738"/>
      <c r="P455" s="1737"/>
      <c r="Q455" s="1737"/>
      <c r="R455" s="1737"/>
      <c r="S455" s="1737"/>
      <c r="T455" s="1737"/>
      <c r="U455" s="1737"/>
      <c r="V455" s="1741"/>
      <c r="W455" s="1790">
        <f t="shared" si="139"/>
        <v>0</v>
      </c>
      <c r="X455" s="2271">
        <f t="shared" si="140"/>
        <v>0</v>
      </c>
      <c r="Y455" s="3756"/>
      <c r="Z455" s="61" t="s">
        <v>23</v>
      </c>
      <c r="AA455" s="3188" t="s">
        <v>339</v>
      </c>
      <c r="AB455" s="2623">
        <v>0.26</v>
      </c>
      <c r="AC455" s="2625">
        <v>571.15</v>
      </c>
      <c r="AD455" s="2617">
        <f t="shared" si="136"/>
        <v>148.499</v>
      </c>
      <c r="AE455" s="2624">
        <f>+AD455*C455</f>
        <v>0</v>
      </c>
      <c r="AF455" s="2624" t="e">
        <f t="shared" si="137"/>
        <v>#DIV/0!</v>
      </c>
      <c r="AG455" s="1148"/>
      <c r="AH455" s="42">
        <f>+W455-AE455</f>
        <v>0</v>
      </c>
      <c r="AI455" s="43" t="e">
        <f t="shared" si="134"/>
        <v>#DIV/0!</v>
      </c>
    </row>
    <row r="456" spans="1:35" s="48" customFormat="1" ht="12.6" customHeight="1" x14ac:dyDescent="0.2">
      <c r="A456" s="48" t="s">
        <v>3673</v>
      </c>
      <c r="B456" s="1370"/>
      <c r="C456" s="1744"/>
      <c r="D456" s="1740" t="s">
        <v>3600</v>
      </c>
      <c r="E456" s="1737" t="s">
        <v>378</v>
      </c>
      <c r="F456" s="1738"/>
      <c r="G456" s="1738"/>
      <c r="H456" s="1738"/>
      <c r="I456" s="1738"/>
      <c r="J456" s="1738"/>
      <c r="K456" s="1737" t="s">
        <v>389</v>
      </c>
      <c r="L456" s="1738"/>
      <c r="M456" s="1738"/>
      <c r="N456" s="1738" t="s">
        <v>338</v>
      </c>
      <c r="O456" s="1738"/>
      <c r="P456" s="1737"/>
      <c r="Q456" s="1737"/>
      <c r="R456" s="1737"/>
      <c r="S456" s="1737"/>
      <c r="T456" s="1737"/>
      <c r="U456" s="1737"/>
      <c r="V456" s="1741"/>
      <c r="W456" s="1773">
        <f t="shared" si="139"/>
        <v>0</v>
      </c>
      <c r="X456" s="1895">
        <f t="shared" si="140"/>
        <v>0</v>
      </c>
      <c r="Y456" s="3756"/>
      <c r="Z456" s="61" t="s">
        <v>23</v>
      </c>
      <c r="AA456" s="3188" t="s">
        <v>388</v>
      </c>
      <c r="AB456" s="2623">
        <v>0.26</v>
      </c>
      <c r="AC456" s="2625">
        <v>1048</v>
      </c>
      <c r="AD456" s="2617">
        <f t="shared" si="136"/>
        <v>272.48</v>
      </c>
      <c r="AE456" s="2624">
        <f t="shared" ref="AE456:AE472" si="141">+W456-AD456</f>
        <v>-272.48</v>
      </c>
      <c r="AF456" s="2624" t="e">
        <f t="shared" si="137"/>
        <v>#DIV/0!</v>
      </c>
      <c r="AG456" s="1148"/>
      <c r="AH456" s="199"/>
      <c r="AI456" s="43" t="e">
        <f t="shared" si="134"/>
        <v>#DIV/0!</v>
      </c>
    </row>
    <row r="457" spans="1:35" s="48" customFormat="1" ht="12.6" customHeight="1" x14ac:dyDescent="0.2">
      <c r="A457" s="48" t="s">
        <v>3673</v>
      </c>
      <c r="B457" s="1370"/>
      <c r="C457" s="1744"/>
      <c r="D457" s="1740" t="s">
        <v>3600</v>
      </c>
      <c r="E457" s="1737" t="s">
        <v>378</v>
      </c>
      <c r="F457" s="1738"/>
      <c r="G457" s="1738"/>
      <c r="H457" s="1738"/>
      <c r="I457" s="1738"/>
      <c r="J457" s="1738"/>
      <c r="K457" s="1737">
        <v>630</v>
      </c>
      <c r="L457" s="1738"/>
      <c r="M457" s="1738"/>
      <c r="N457" s="1738" t="s">
        <v>338</v>
      </c>
      <c r="O457" s="1738"/>
      <c r="P457" s="1737"/>
      <c r="Q457" s="1737"/>
      <c r="R457" s="1737"/>
      <c r="S457" s="1737"/>
      <c r="T457" s="1737"/>
      <c r="U457" s="1737"/>
      <c r="V457" s="1741"/>
      <c r="W457" s="1773">
        <f t="shared" si="139"/>
        <v>0</v>
      </c>
      <c r="X457" s="1895">
        <f t="shared" si="140"/>
        <v>0</v>
      </c>
      <c r="Y457" s="3756"/>
      <c r="Z457" s="61" t="s">
        <v>23</v>
      </c>
      <c r="AA457" s="3188" t="s">
        <v>339</v>
      </c>
      <c r="AB457" s="2623">
        <v>0.26</v>
      </c>
      <c r="AC457" s="2625">
        <v>571.15</v>
      </c>
      <c r="AD457" s="2617">
        <f t="shared" si="136"/>
        <v>148.499</v>
      </c>
      <c r="AE457" s="2624">
        <f t="shared" si="141"/>
        <v>-148.499</v>
      </c>
      <c r="AF457" s="2624" t="e">
        <f t="shared" si="137"/>
        <v>#DIV/0!</v>
      </c>
      <c r="AG457" s="1148"/>
      <c r="AH457" s="199"/>
      <c r="AI457" s="43" t="e">
        <f t="shared" si="134"/>
        <v>#DIV/0!</v>
      </c>
    </row>
    <row r="458" spans="1:35" s="48" customFormat="1" ht="12.6" customHeight="1" x14ac:dyDescent="0.2">
      <c r="A458" s="48" t="s">
        <v>3673</v>
      </c>
      <c r="B458" s="1370"/>
      <c r="C458" s="1744"/>
      <c r="D458" s="1740" t="s">
        <v>3600</v>
      </c>
      <c r="E458" s="1737" t="s">
        <v>378</v>
      </c>
      <c r="F458" s="1738"/>
      <c r="G458" s="1738"/>
      <c r="H458" s="1738"/>
      <c r="I458" s="1738"/>
      <c r="J458" s="1738"/>
      <c r="K458" s="1737" t="s">
        <v>389</v>
      </c>
      <c r="L458" s="1738"/>
      <c r="M458" s="1738"/>
      <c r="N458" s="1738" t="s">
        <v>338</v>
      </c>
      <c r="O458" s="1738"/>
      <c r="P458" s="1737"/>
      <c r="Q458" s="1737"/>
      <c r="R458" s="1737"/>
      <c r="S458" s="1737"/>
      <c r="T458" s="1737"/>
      <c r="U458" s="1737"/>
      <c r="V458" s="1741"/>
      <c r="W458" s="1773">
        <f t="shared" si="139"/>
        <v>0</v>
      </c>
      <c r="X458" s="1895">
        <f t="shared" si="140"/>
        <v>0</v>
      </c>
      <c r="Y458" s="3756"/>
      <c r="Z458" s="61" t="s">
        <v>23</v>
      </c>
      <c r="AA458" s="3188" t="s">
        <v>388</v>
      </c>
      <c r="AB458" s="2623">
        <v>0.26</v>
      </c>
      <c r="AC458" s="2625">
        <v>1048</v>
      </c>
      <c r="AD458" s="2617">
        <f t="shared" si="136"/>
        <v>272.48</v>
      </c>
      <c r="AE458" s="2624">
        <f t="shared" si="141"/>
        <v>-272.48</v>
      </c>
      <c r="AF458" s="2624" t="e">
        <f t="shared" si="137"/>
        <v>#DIV/0!</v>
      </c>
      <c r="AG458" s="1148"/>
      <c r="AH458" s="199"/>
      <c r="AI458" s="43" t="e">
        <f t="shared" si="134"/>
        <v>#DIV/0!</v>
      </c>
    </row>
    <row r="459" spans="1:35" s="48" customFormat="1" ht="12.6" customHeight="1" x14ac:dyDescent="0.2">
      <c r="A459" s="48" t="s">
        <v>3673</v>
      </c>
      <c r="B459" s="1370"/>
      <c r="C459" s="1744"/>
      <c r="D459" s="1740" t="s">
        <v>3600</v>
      </c>
      <c r="E459" s="1737" t="s">
        <v>378</v>
      </c>
      <c r="F459" s="1738"/>
      <c r="G459" s="1738"/>
      <c r="H459" s="1738"/>
      <c r="I459" s="1738"/>
      <c r="J459" s="1738"/>
      <c r="K459" s="1737">
        <v>630</v>
      </c>
      <c r="L459" s="1738"/>
      <c r="M459" s="1738"/>
      <c r="N459" s="1738" t="s">
        <v>338</v>
      </c>
      <c r="O459" s="1738"/>
      <c r="P459" s="1737"/>
      <c r="Q459" s="1737"/>
      <c r="R459" s="1737"/>
      <c r="S459" s="1737"/>
      <c r="T459" s="1737"/>
      <c r="U459" s="1737"/>
      <c r="V459" s="1741"/>
      <c r="W459" s="1773">
        <f t="shared" si="139"/>
        <v>0</v>
      </c>
      <c r="X459" s="1895">
        <f t="shared" si="140"/>
        <v>0</v>
      </c>
      <c r="Y459" s="3756"/>
      <c r="Z459" s="197" t="s">
        <v>23</v>
      </c>
      <c r="AA459" s="3191" t="s">
        <v>339</v>
      </c>
      <c r="AB459" s="2635">
        <v>0.26</v>
      </c>
      <c r="AC459" s="2627">
        <v>571.15</v>
      </c>
      <c r="AD459" s="2627">
        <f t="shared" si="136"/>
        <v>148.499</v>
      </c>
      <c r="AE459" s="2655">
        <f t="shared" si="141"/>
        <v>-148.499</v>
      </c>
      <c r="AF459" s="2655" t="e">
        <f t="shared" si="137"/>
        <v>#DIV/0!</v>
      </c>
      <c r="AG459" s="1154"/>
      <c r="AH459" s="781"/>
      <c r="AI459" s="189" t="e">
        <f t="shared" si="134"/>
        <v>#DIV/0!</v>
      </c>
    </row>
    <row r="460" spans="1:35" s="48" customFormat="1" ht="12.6" customHeight="1" x14ac:dyDescent="0.2">
      <c r="A460" s="48" t="s">
        <v>3673</v>
      </c>
      <c r="B460" s="1370"/>
      <c r="C460" s="1744"/>
      <c r="D460" s="1740" t="s">
        <v>3600</v>
      </c>
      <c r="E460" s="1737" t="s">
        <v>378</v>
      </c>
      <c r="F460" s="1738"/>
      <c r="G460" s="1738"/>
      <c r="H460" s="1738"/>
      <c r="I460" s="1738"/>
      <c r="J460" s="1738"/>
      <c r="K460" s="1737" t="s">
        <v>389</v>
      </c>
      <c r="L460" s="1738"/>
      <c r="M460" s="1738"/>
      <c r="N460" s="1738" t="s">
        <v>338</v>
      </c>
      <c r="O460" s="1738"/>
      <c r="P460" s="1737"/>
      <c r="Q460" s="1737"/>
      <c r="R460" s="1737"/>
      <c r="S460" s="1737"/>
      <c r="T460" s="1737"/>
      <c r="U460" s="1737"/>
      <c r="V460" s="1741"/>
      <c r="W460" s="1773">
        <f t="shared" si="139"/>
        <v>0</v>
      </c>
      <c r="X460" s="1895">
        <f t="shared" si="140"/>
        <v>0</v>
      </c>
      <c r="Y460" s="3756"/>
      <c r="Z460" s="197" t="s">
        <v>23</v>
      </c>
      <c r="AA460" s="3191" t="s">
        <v>388</v>
      </c>
      <c r="AB460" s="2635">
        <v>0.26</v>
      </c>
      <c r="AC460" s="2627">
        <v>1048</v>
      </c>
      <c r="AD460" s="2627">
        <f t="shared" si="136"/>
        <v>272.48</v>
      </c>
      <c r="AE460" s="2655">
        <f t="shared" si="141"/>
        <v>-272.48</v>
      </c>
      <c r="AF460" s="2655" t="e">
        <f t="shared" si="137"/>
        <v>#DIV/0!</v>
      </c>
      <c r="AG460" s="1154"/>
      <c r="AH460" s="781"/>
      <c r="AI460" s="189" t="e">
        <f t="shared" si="134"/>
        <v>#DIV/0!</v>
      </c>
    </row>
    <row r="461" spans="1:35" s="261" customFormat="1" ht="12.6" customHeight="1" x14ac:dyDescent="0.2">
      <c r="A461" s="48" t="s">
        <v>3673</v>
      </c>
      <c r="B461" s="1370"/>
      <c r="C461" s="1744"/>
      <c r="D461" s="1740" t="s">
        <v>3600</v>
      </c>
      <c r="E461" s="1737" t="s">
        <v>378</v>
      </c>
      <c r="F461" s="1738"/>
      <c r="G461" s="1738"/>
      <c r="H461" s="1738"/>
      <c r="I461" s="1738"/>
      <c r="J461" s="1738"/>
      <c r="K461" s="1737">
        <v>630</v>
      </c>
      <c r="L461" s="1738"/>
      <c r="M461" s="1738"/>
      <c r="N461" s="1738" t="s">
        <v>338</v>
      </c>
      <c r="O461" s="1738"/>
      <c r="P461" s="1737"/>
      <c r="Q461" s="1737"/>
      <c r="R461" s="1737"/>
      <c r="S461" s="1737"/>
      <c r="T461" s="1737"/>
      <c r="U461" s="1737"/>
      <c r="V461" s="1741"/>
      <c r="W461" s="1773">
        <f t="shared" si="139"/>
        <v>0</v>
      </c>
      <c r="X461" s="1895">
        <f t="shared" si="140"/>
        <v>0</v>
      </c>
      <c r="Y461" s="3756"/>
      <c r="Z461" s="67" t="s">
        <v>23</v>
      </c>
      <c r="AA461" s="3214" t="s">
        <v>339</v>
      </c>
      <c r="AB461" s="2661">
        <v>0.26</v>
      </c>
      <c r="AC461" s="2673">
        <v>571.15</v>
      </c>
      <c r="AD461" s="2673">
        <f t="shared" si="136"/>
        <v>148.499</v>
      </c>
      <c r="AE461" s="2688">
        <f t="shared" si="141"/>
        <v>-148.499</v>
      </c>
      <c r="AF461" s="2688" t="e">
        <f t="shared" si="137"/>
        <v>#DIV/0!</v>
      </c>
      <c r="AG461" s="1164"/>
      <c r="AH461" s="186"/>
      <c r="AI461" s="844" t="e">
        <f t="shared" si="134"/>
        <v>#DIV/0!</v>
      </c>
    </row>
    <row r="462" spans="1:35" s="221" customFormat="1" ht="12.6" customHeight="1" x14ac:dyDescent="0.2">
      <c r="A462" s="48" t="s">
        <v>3673</v>
      </c>
      <c r="B462" s="1370"/>
      <c r="C462" s="1744"/>
      <c r="D462" s="1740" t="s">
        <v>3600</v>
      </c>
      <c r="E462" s="1737" t="s">
        <v>378</v>
      </c>
      <c r="F462" s="1738"/>
      <c r="G462" s="1738"/>
      <c r="H462" s="1738"/>
      <c r="I462" s="1738"/>
      <c r="J462" s="1738"/>
      <c r="K462" s="1737" t="s">
        <v>389</v>
      </c>
      <c r="L462" s="1738"/>
      <c r="M462" s="1738"/>
      <c r="N462" s="1738" t="s">
        <v>338</v>
      </c>
      <c r="O462" s="1738"/>
      <c r="P462" s="1737"/>
      <c r="Q462" s="1737"/>
      <c r="R462" s="1737"/>
      <c r="S462" s="1737"/>
      <c r="T462" s="1737"/>
      <c r="U462" s="1737"/>
      <c r="V462" s="1741"/>
      <c r="W462" s="1773">
        <f t="shared" si="139"/>
        <v>0</v>
      </c>
      <c r="X462" s="1895">
        <f t="shared" si="140"/>
        <v>0</v>
      </c>
      <c r="Y462" s="3756"/>
      <c r="Z462" s="858" t="s">
        <v>23</v>
      </c>
      <c r="AA462" s="3216" t="s">
        <v>388</v>
      </c>
      <c r="AB462" s="2678">
        <v>0.26</v>
      </c>
      <c r="AC462" s="2677">
        <v>1048</v>
      </c>
      <c r="AD462" s="2677">
        <f t="shared" si="136"/>
        <v>272.48</v>
      </c>
      <c r="AE462" s="2696">
        <f t="shared" si="141"/>
        <v>-272.48</v>
      </c>
      <c r="AF462" s="2696" t="e">
        <f t="shared" si="137"/>
        <v>#DIV/0!</v>
      </c>
      <c r="AG462" s="1165"/>
      <c r="AH462" s="852"/>
      <c r="AI462" s="884" t="e">
        <f t="shared" si="134"/>
        <v>#DIV/0!</v>
      </c>
    </row>
    <row r="463" spans="1:35" s="218" customFormat="1" ht="12.6" customHeight="1" x14ac:dyDescent="0.2">
      <c r="A463" s="48" t="s">
        <v>3673</v>
      </c>
      <c r="B463" s="1370"/>
      <c r="C463" s="1744"/>
      <c r="D463" s="1740" t="s">
        <v>3600</v>
      </c>
      <c r="E463" s="1737" t="s">
        <v>378</v>
      </c>
      <c r="F463" s="1738"/>
      <c r="G463" s="1738"/>
      <c r="H463" s="1738"/>
      <c r="I463" s="1738"/>
      <c r="J463" s="1738"/>
      <c r="K463" s="1737">
        <v>630</v>
      </c>
      <c r="L463" s="1738"/>
      <c r="M463" s="1738"/>
      <c r="N463" s="1738" t="s">
        <v>338</v>
      </c>
      <c r="O463" s="1738"/>
      <c r="P463" s="1737"/>
      <c r="Q463" s="1737"/>
      <c r="R463" s="1737"/>
      <c r="S463" s="1737"/>
      <c r="T463" s="1737"/>
      <c r="U463" s="1737"/>
      <c r="V463" s="1741"/>
      <c r="W463" s="1773">
        <f t="shared" si="139"/>
        <v>0</v>
      </c>
      <c r="X463" s="1895">
        <f t="shared" si="140"/>
        <v>0</v>
      </c>
      <c r="Y463" s="3756"/>
      <c r="Z463" s="67" t="s">
        <v>23</v>
      </c>
      <c r="AA463" s="3214" t="s">
        <v>339</v>
      </c>
      <c r="AB463" s="2674">
        <v>0.26</v>
      </c>
      <c r="AC463" s="2659">
        <v>571.15</v>
      </c>
      <c r="AD463" s="2617">
        <f t="shared" si="136"/>
        <v>148.499</v>
      </c>
      <c r="AE463" s="2624">
        <f t="shared" si="141"/>
        <v>-148.499</v>
      </c>
      <c r="AF463" s="2624" t="e">
        <f t="shared" si="137"/>
        <v>#DIV/0!</v>
      </c>
      <c r="AG463" s="1148"/>
      <c r="AH463" s="199"/>
      <c r="AI463" s="43" t="e">
        <f t="shared" si="134"/>
        <v>#DIV/0!</v>
      </c>
    </row>
    <row r="464" spans="1:35" s="48" customFormat="1" ht="12.6" customHeight="1" x14ac:dyDescent="0.2">
      <c r="A464" s="48" t="s">
        <v>3673</v>
      </c>
      <c r="B464" s="1370"/>
      <c r="C464" s="1744"/>
      <c r="D464" s="1740" t="s">
        <v>3600</v>
      </c>
      <c r="E464" s="1737" t="s">
        <v>378</v>
      </c>
      <c r="F464" s="1738"/>
      <c r="G464" s="1738"/>
      <c r="H464" s="1738"/>
      <c r="I464" s="1738"/>
      <c r="J464" s="1738"/>
      <c r="K464" s="1754">
        <v>630</v>
      </c>
      <c r="L464" s="1738"/>
      <c r="M464" s="1738"/>
      <c r="N464" s="1737" t="s">
        <v>389</v>
      </c>
      <c r="O464" s="1738"/>
      <c r="P464" s="1737"/>
      <c r="Q464" s="1737"/>
      <c r="R464" s="1737"/>
      <c r="S464" s="1737"/>
      <c r="T464" s="1737"/>
      <c r="U464" s="1737"/>
      <c r="V464" s="1741"/>
      <c r="W464" s="1773">
        <f t="shared" si="139"/>
        <v>0</v>
      </c>
      <c r="X464" s="1895">
        <f t="shared" si="140"/>
        <v>0</v>
      </c>
      <c r="Y464" s="3756"/>
      <c r="Z464" s="67" t="s">
        <v>23</v>
      </c>
      <c r="AA464" s="3214" t="s">
        <v>388</v>
      </c>
      <c r="AB464" s="2674">
        <v>0.26</v>
      </c>
      <c r="AC464" s="2659">
        <v>1048</v>
      </c>
      <c r="AD464" s="2617">
        <f t="shared" si="136"/>
        <v>272.48</v>
      </c>
      <c r="AE464" s="2624">
        <f t="shared" si="141"/>
        <v>-272.48</v>
      </c>
      <c r="AF464" s="2624" t="e">
        <f t="shared" si="137"/>
        <v>#DIV/0!</v>
      </c>
      <c r="AG464" s="1148"/>
      <c r="AH464" s="199"/>
      <c r="AI464" s="46" t="e">
        <f t="shared" si="134"/>
        <v>#DIV/0!</v>
      </c>
    </row>
    <row r="465" spans="1:35" s="211" customFormat="1" ht="12.6" customHeight="1" x14ac:dyDescent="0.2">
      <c r="A465" s="48" t="s">
        <v>3673</v>
      </c>
      <c r="B465" s="1370"/>
      <c r="C465" s="1744"/>
      <c r="D465" s="1740" t="s">
        <v>3600</v>
      </c>
      <c r="E465" s="1737" t="s">
        <v>378</v>
      </c>
      <c r="F465" s="1738"/>
      <c r="G465" s="1738"/>
      <c r="H465" s="1738"/>
      <c r="I465" s="1738"/>
      <c r="J465" s="1738"/>
      <c r="K465" s="1754">
        <v>630</v>
      </c>
      <c r="L465" s="1752"/>
      <c r="M465" s="1752"/>
      <c r="N465" s="1737" t="s">
        <v>389</v>
      </c>
      <c r="O465" s="1738"/>
      <c r="P465" s="1737"/>
      <c r="Q465" s="1737"/>
      <c r="R465" s="1737"/>
      <c r="S465" s="1737"/>
      <c r="T465" s="1737"/>
      <c r="U465" s="1737"/>
      <c r="V465" s="1741"/>
      <c r="W465" s="1773">
        <f t="shared" si="139"/>
        <v>0</v>
      </c>
      <c r="X465" s="1895">
        <f t="shared" si="140"/>
        <v>0</v>
      </c>
      <c r="Y465" s="3756"/>
      <c r="Z465" s="854" t="s">
        <v>23</v>
      </c>
      <c r="AA465" s="3224" t="s">
        <v>388</v>
      </c>
      <c r="AB465" s="2702">
        <v>0.26</v>
      </c>
      <c r="AC465" s="2701">
        <v>1048</v>
      </c>
      <c r="AD465" s="2617">
        <f t="shared" si="136"/>
        <v>272.48</v>
      </c>
      <c r="AE465" s="2624">
        <f t="shared" si="141"/>
        <v>-272.48</v>
      </c>
      <c r="AF465" s="2624" t="e">
        <f t="shared" si="137"/>
        <v>#DIV/0!</v>
      </c>
      <c r="AG465" s="1148"/>
      <c r="AH465" s="49"/>
      <c r="AI465" s="874" t="e">
        <f t="shared" si="134"/>
        <v>#DIV/0!</v>
      </c>
    </row>
    <row r="466" spans="1:35" s="48" customFormat="1" ht="12.6" customHeight="1" x14ac:dyDescent="0.2">
      <c r="A466" s="48" t="s">
        <v>3673</v>
      </c>
      <c r="B466" s="1370"/>
      <c r="C466" s="1744"/>
      <c r="D466" s="1740" t="s">
        <v>3600</v>
      </c>
      <c r="E466" s="1737" t="s">
        <v>378</v>
      </c>
      <c r="F466" s="1738"/>
      <c r="G466" s="1738"/>
      <c r="H466" s="1738"/>
      <c r="I466" s="1738"/>
      <c r="J466" s="1738"/>
      <c r="K466" s="1754">
        <v>630</v>
      </c>
      <c r="L466" s="1738"/>
      <c r="M466" s="1738"/>
      <c r="N466" s="1737" t="s">
        <v>389</v>
      </c>
      <c r="O466" s="1738"/>
      <c r="P466" s="1737"/>
      <c r="Q466" s="1737"/>
      <c r="R466" s="1737"/>
      <c r="S466" s="1737"/>
      <c r="T466" s="1737"/>
      <c r="U466" s="1737"/>
      <c r="V466" s="1741"/>
      <c r="W466" s="1773">
        <f t="shared" si="139"/>
        <v>0</v>
      </c>
      <c r="X466" s="1895">
        <f t="shared" ref="X466:X471" si="142">ROUNDUP(W466,0)</f>
        <v>0</v>
      </c>
      <c r="Y466" s="3756"/>
      <c r="Z466" s="67" t="s">
        <v>23</v>
      </c>
      <c r="AA466" s="3214" t="s">
        <v>388</v>
      </c>
      <c r="AB466" s="2674">
        <v>0.26</v>
      </c>
      <c r="AC466" s="2659">
        <v>1048</v>
      </c>
      <c r="AD466" s="2659">
        <f t="shared" si="136"/>
        <v>272.48</v>
      </c>
      <c r="AE466" s="2624">
        <f t="shared" si="141"/>
        <v>-272.48</v>
      </c>
      <c r="AF466" s="2688" t="e">
        <f t="shared" si="137"/>
        <v>#DIV/0!</v>
      </c>
      <c r="AG466" s="1164"/>
      <c r="AH466" s="186"/>
      <c r="AI466" s="46" t="e">
        <f t="shared" si="134"/>
        <v>#DIV/0!</v>
      </c>
    </row>
    <row r="467" spans="1:35" s="219" customFormat="1" ht="12.6" customHeight="1" x14ac:dyDescent="0.2">
      <c r="A467" s="48" t="s">
        <v>3673</v>
      </c>
      <c r="B467" s="1370"/>
      <c r="C467" s="1744"/>
      <c r="D467" s="1783" t="s">
        <v>3600</v>
      </c>
      <c r="E467" s="1753" t="s">
        <v>378</v>
      </c>
      <c r="F467" s="1755"/>
      <c r="G467" s="1755"/>
      <c r="H467" s="1755"/>
      <c r="I467" s="1755"/>
      <c r="J467" s="1755"/>
      <c r="K467" s="1754">
        <v>630</v>
      </c>
      <c r="L467" s="1826"/>
      <c r="M467" s="1826"/>
      <c r="N467" s="1753" t="s">
        <v>389</v>
      </c>
      <c r="O467" s="1755"/>
      <c r="P467" s="1753"/>
      <c r="Q467" s="1753"/>
      <c r="R467" s="1753"/>
      <c r="S467" s="1753"/>
      <c r="T467" s="1753"/>
      <c r="U467" s="1753"/>
      <c r="V467" s="1756"/>
      <c r="W467" s="1773">
        <f t="shared" si="139"/>
        <v>0</v>
      </c>
      <c r="X467" s="1893">
        <f t="shared" si="142"/>
        <v>0</v>
      </c>
      <c r="Y467" s="3756"/>
      <c r="Z467" s="889" t="s">
        <v>23</v>
      </c>
      <c r="AA467" s="3225" t="s">
        <v>388</v>
      </c>
      <c r="AB467" s="2704">
        <v>0.26</v>
      </c>
      <c r="AC467" s="2703">
        <v>930.35</v>
      </c>
      <c r="AD467" s="2703">
        <f t="shared" si="136"/>
        <v>241.89100000000002</v>
      </c>
      <c r="AE467" s="2705">
        <f t="shared" si="141"/>
        <v>-241.89100000000002</v>
      </c>
      <c r="AF467" s="2706" t="e">
        <f t="shared" si="137"/>
        <v>#DIV/0!</v>
      </c>
      <c r="AG467" s="1166"/>
      <c r="AH467" s="890"/>
      <c r="AI467" s="893" t="e">
        <f t="shared" si="134"/>
        <v>#DIV/0!</v>
      </c>
    </row>
    <row r="468" spans="1:35" s="48" customFormat="1" ht="12.6" customHeight="1" x14ac:dyDescent="0.2">
      <c r="A468" s="48" t="s">
        <v>3673</v>
      </c>
      <c r="B468" s="1370"/>
      <c r="C468" s="1744"/>
      <c r="D468" s="1740" t="s">
        <v>3600</v>
      </c>
      <c r="E468" s="1737" t="s">
        <v>378</v>
      </c>
      <c r="F468" s="1738"/>
      <c r="G468" s="1738"/>
      <c r="H468" s="1738"/>
      <c r="I468" s="1738"/>
      <c r="J468" s="1738"/>
      <c r="K468" s="1754">
        <v>630</v>
      </c>
      <c r="L468" s="1738"/>
      <c r="M468" s="1738"/>
      <c r="N468" s="1737" t="s">
        <v>389</v>
      </c>
      <c r="O468" s="1738"/>
      <c r="P468" s="1737"/>
      <c r="Q468" s="1737"/>
      <c r="R468" s="1737"/>
      <c r="S468" s="1737"/>
      <c r="T468" s="1737"/>
      <c r="U468" s="1737"/>
      <c r="V468" s="1741"/>
      <c r="W468" s="1773">
        <f t="shared" si="139"/>
        <v>0</v>
      </c>
      <c r="X468" s="1895">
        <f t="shared" si="142"/>
        <v>0</v>
      </c>
      <c r="Y468" s="3756"/>
      <c r="Z468" s="74" t="s">
        <v>23</v>
      </c>
      <c r="AA468" s="3190" t="s">
        <v>388</v>
      </c>
      <c r="AB468" s="2623">
        <v>0.26</v>
      </c>
      <c r="AC468" s="2617">
        <v>1048</v>
      </c>
      <c r="AD468" s="2617">
        <f t="shared" si="136"/>
        <v>272.48</v>
      </c>
      <c r="AE468" s="2624">
        <f t="shared" si="141"/>
        <v>-272.48</v>
      </c>
      <c r="AF468" s="2624" t="e">
        <f t="shared" si="137"/>
        <v>#DIV/0!</v>
      </c>
      <c r="AG468" s="1148"/>
      <c r="AH468" s="49"/>
      <c r="AI468" s="874" t="e">
        <f t="shared" si="134"/>
        <v>#DIV/0!</v>
      </c>
    </row>
    <row r="469" spans="1:35" s="48" customFormat="1" ht="12.6" customHeight="1" x14ac:dyDescent="0.2">
      <c r="A469" s="48" t="s">
        <v>3673</v>
      </c>
      <c r="B469" s="1370"/>
      <c r="C469" s="1744"/>
      <c r="D469" s="1740" t="s">
        <v>3600</v>
      </c>
      <c r="E469" s="1737" t="s">
        <v>378</v>
      </c>
      <c r="F469" s="1738"/>
      <c r="G469" s="1738"/>
      <c r="H469" s="1738"/>
      <c r="I469" s="1738"/>
      <c r="J469" s="1738"/>
      <c r="K469" s="1754">
        <v>630</v>
      </c>
      <c r="L469" s="1738"/>
      <c r="M469" s="1738"/>
      <c r="N469" s="1737" t="s">
        <v>389</v>
      </c>
      <c r="O469" s="1738"/>
      <c r="P469" s="1737"/>
      <c r="Q469" s="1737"/>
      <c r="R469" s="1737"/>
      <c r="S469" s="1737"/>
      <c r="T469" s="1737"/>
      <c r="U469" s="1737"/>
      <c r="V469" s="1741"/>
      <c r="W469" s="1773">
        <f t="shared" si="139"/>
        <v>0</v>
      </c>
      <c r="X469" s="1895">
        <f t="shared" si="142"/>
        <v>0</v>
      </c>
      <c r="Y469" s="3756"/>
      <c r="Z469" s="74" t="s">
        <v>23</v>
      </c>
      <c r="AA469" s="3190" t="s">
        <v>388</v>
      </c>
      <c r="AB469" s="2623">
        <v>0.26</v>
      </c>
      <c r="AC469" s="2625">
        <v>1048</v>
      </c>
      <c r="AD469" s="2673">
        <f t="shared" si="136"/>
        <v>272.48</v>
      </c>
      <c r="AE469" s="2624">
        <f t="shared" si="141"/>
        <v>-272.48</v>
      </c>
      <c r="AF469" s="2624" t="e">
        <f t="shared" si="137"/>
        <v>#DIV/0!</v>
      </c>
      <c r="AG469" s="1148"/>
      <c r="AH469" s="199"/>
      <c r="AI469" s="43" t="e">
        <f t="shared" si="134"/>
        <v>#DIV/0!</v>
      </c>
    </row>
    <row r="470" spans="1:35" s="227" customFormat="1" ht="12.6" customHeight="1" thickBot="1" x14ac:dyDescent="0.25">
      <c r="A470" s="48" t="s">
        <v>3673</v>
      </c>
      <c r="B470" s="1370"/>
      <c r="C470" s="1744"/>
      <c r="D470" s="1753" t="s">
        <v>3601</v>
      </c>
      <c r="E470" s="1753" t="s">
        <v>337</v>
      </c>
      <c r="F470" s="1755"/>
      <c r="G470" s="1755"/>
      <c r="H470" s="1755"/>
      <c r="I470" s="1755"/>
      <c r="J470" s="1755"/>
      <c r="K470" s="1754">
        <v>630</v>
      </c>
      <c r="L470" s="1755"/>
      <c r="M470" s="1755"/>
      <c r="N470" s="1753" t="s">
        <v>316</v>
      </c>
      <c r="O470" s="1755"/>
      <c r="P470" s="1753"/>
      <c r="Q470" s="1753"/>
      <c r="R470" s="1753"/>
      <c r="S470" s="1737"/>
      <c r="T470" s="1737"/>
      <c r="U470" s="1737"/>
      <c r="V470" s="1741"/>
      <c r="W470" s="1773">
        <f t="shared" si="139"/>
        <v>0</v>
      </c>
      <c r="X470" s="1893">
        <f t="shared" si="142"/>
        <v>0</v>
      </c>
      <c r="Y470" s="3756"/>
      <c r="Z470" s="45" t="s">
        <v>23</v>
      </c>
      <c r="AA470" s="3214" t="s">
        <v>339</v>
      </c>
      <c r="AB470" s="2661">
        <v>0.26</v>
      </c>
      <c r="AC470" s="2673">
        <v>624.35</v>
      </c>
      <c r="AD470" s="2673">
        <f t="shared" si="136"/>
        <v>162.33100000000002</v>
      </c>
      <c r="AE470" s="2688">
        <f>+AD470</f>
        <v>162.33100000000002</v>
      </c>
      <c r="AF470" s="2707">
        <f>+AE470*C470</f>
        <v>0</v>
      </c>
      <c r="AG470" s="1164"/>
      <c r="AH470" s="843">
        <f>+W470-AF470</f>
        <v>0</v>
      </c>
      <c r="AI470" s="844" t="e">
        <f t="shared" si="134"/>
        <v>#DIV/0!</v>
      </c>
    </row>
    <row r="471" spans="1:35" s="218" customFormat="1" ht="12.6" customHeight="1" thickBot="1" x14ac:dyDescent="0.25">
      <c r="A471" s="48" t="s">
        <v>3673</v>
      </c>
      <c r="B471" s="1370"/>
      <c r="C471" s="1744"/>
      <c r="D471" s="1740" t="s">
        <v>3714</v>
      </c>
      <c r="E471" s="1737" t="s">
        <v>337</v>
      </c>
      <c r="F471" s="1738"/>
      <c r="G471" s="1738"/>
      <c r="H471" s="1738"/>
      <c r="I471" s="1738"/>
      <c r="J471" s="1738"/>
      <c r="K471" s="1754">
        <v>630</v>
      </c>
      <c r="L471" s="1738"/>
      <c r="M471" s="1738"/>
      <c r="N471" s="1737" t="s">
        <v>316</v>
      </c>
      <c r="O471" s="1738"/>
      <c r="P471" s="1740"/>
      <c r="Q471" s="1740"/>
      <c r="R471" s="1740"/>
      <c r="S471" s="1737"/>
      <c r="T471" s="1737"/>
      <c r="U471" s="1737"/>
      <c r="V471" s="1741"/>
      <c r="W471" s="1773">
        <f>+AD471*C471*2</f>
        <v>0</v>
      </c>
      <c r="X471" s="1895">
        <f t="shared" si="142"/>
        <v>0</v>
      </c>
      <c r="Y471" s="3758"/>
      <c r="Z471" s="74" t="s">
        <v>23</v>
      </c>
      <c r="AA471" s="3189" t="s">
        <v>339</v>
      </c>
      <c r="AB471" s="2616">
        <v>0.26</v>
      </c>
      <c r="AC471" s="2617">
        <v>624.35</v>
      </c>
      <c r="AD471" s="2617">
        <f t="shared" si="136"/>
        <v>162.33100000000002</v>
      </c>
      <c r="AE471" s="2624">
        <f t="shared" si="141"/>
        <v>-162.33100000000002</v>
      </c>
      <c r="AF471" s="2624" t="e">
        <f t="shared" si="137"/>
        <v>#DIV/0!</v>
      </c>
      <c r="AG471" s="1148"/>
      <c r="AH471" s="199"/>
      <c r="AI471" s="43" t="e">
        <f t="shared" ref="AI471:AI479" si="143">+AH471/X471</f>
        <v>#DIV/0!</v>
      </c>
    </row>
    <row r="472" spans="1:35" s="218" customFormat="1" ht="12.6" customHeight="1" x14ac:dyDescent="0.2">
      <c r="A472" s="48" t="s">
        <v>3673</v>
      </c>
      <c r="B472" s="1370"/>
      <c r="C472" s="1744"/>
      <c r="D472" s="1753" t="s">
        <v>3601</v>
      </c>
      <c r="E472" s="1753" t="s">
        <v>379</v>
      </c>
      <c r="F472" s="1755"/>
      <c r="G472" s="1755"/>
      <c r="H472" s="1755"/>
      <c r="I472" s="1755"/>
      <c r="J472" s="1755"/>
      <c r="K472" s="1754">
        <v>630</v>
      </c>
      <c r="L472" s="1755"/>
      <c r="M472" s="1755"/>
      <c r="N472" s="1753" t="s">
        <v>316</v>
      </c>
      <c r="O472" s="1755"/>
      <c r="P472" s="1753"/>
      <c r="Q472" s="1753"/>
      <c r="R472" s="1753"/>
      <c r="S472" s="1737"/>
      <c r="T472" s="1737"/>
      <c r="U472" s="1737"/>
      <c r="V472" s="1741"/>
      <c r="W472" s="1773">
        <f t="shared" si="139"/>
        <v>0</v>
      </c>
      <c r="X472" s="1893">
        <f t="shared" ref="X472:X473" si="144">+ROUNDUP(W472,0)</f>
        <v>0</v>
      </c>
      <c r="Y472" s="3756"/>
      <c r="Z472" s="74" t="s">
        <v>23</v>
      </c>
      <c r="AA472" s="3186" t="s">
        <v>339</v>
      </c>
      <c r="AB472" s="2616">
        <v>0.26</v>
      </c>
      <c r="AC472" s="2617">
        <v>624.35</v>
      </c>
      <c r="AD472" s="2617">
        <f t="shared" si="136"/>
        <v>162.33100000000002</v>
      </c>
      <c r="AE472" s="2624">
        <f t="shared" si="141"/>
        <v>-162.33100000000002</v>
      </c>
      <c r="AF472" s="2624" t="e">
        <f t="shared" si="137"/>
        <v>#DIV/0!</v>
      </c>
      <c r="AG472" s="1148"/>
      <c r="AH472" s="199"/>
      <c r="AI472" s="43" t="e">
        <f t="shared" si="143"/>
        <v>#DIV/0!</v>
      </c>
    </row>
    <row r="473" spans="1:35" s="218" customFormat="1" ht="12.6" customHeight="1" x14ac:dyDescent="0.2">
      <c r="A473" s="48" t="s">
        <v>3673</v>
      </c>
      <c r="B473" s="1370"/>
      <c r="C473" s="1744"/>
      <c r="D473" s="1753" t="s">
        <v>3602</v>
      </c>
      <c r="E473" s="1753" t="s">
        <v>2977</v>
      </c>
      <c r="F473" s="1753"/>
      <c r="G473" s="1753"/>
      <c r="H473" s="1753"/>
      <c r="I473" s="1753"/>
      <c r="J473" s="1753"/>
      <c r="K473" s="1754">
        <v>630</v>
      </c>
      <c r="L473" s="1753"/>
      <c r="M473" s="1753"/>
      <c r="N473" s="1753"/>
      <c r="O473" s="1754"/>
      <c r="P473" s="1754"/>
      <c r="Q473" s="1754"/>
      <c r="R473" s="1754"/>
      <c r="S473" s="1754"/>
      <c r="T473" s="1737"/>
      <c r="U473" s="1737"/>
      <c r="V473" s="1741"/>
      <c r="W473" s="1827">
        <f>+AD473*1.8*C473</f>
        <v>0</v>
      </c>
      <c r="X473" s="1893">
        <f t="shared" si="144"/>
        <v>0</v>
      </c>
      <c r="Y473" s="3756"/>
      <c r="Z473" s="74" t="s">
        <v>23</v>
      </c>
      <c r="AA473" s="3189" t="s">
        <v>2978</v>
      </c>
      <c r="AB473" s="2635">
        <v>0.26</v>
      </c>
      <c r="AC473" s="2708">
        <v>48.2</v>
      </c>
      <c r="AD473" s="2634">
        <f t="shared" ref="AD473" si="145">+AB473*AC473</f>
        <v>12.532000000000002</v>
      </c>
      <c r="AE473" s="2624"/>
      <c r="AF473" s="2624"/>
      <c r="AG473" s="1148"/>
      <c r="AH473" s="42"/>
      <c r="AI473" s="43"/>
    </row>
    <row r="474" spans="1:35" s="48" customFormat="1" ht="12.6" customHeight="1" thickBot="1" x14ac:dyDescent="0.25">
      <c r="A474" s="48" t="s">
        <v>3673</v>
      </c>
      <c r="B474" s="1370"/>
      <c r="C474" s="2120"/>
      <c r="D474" s="1779" t="s">
        <v>3590</v>
      </c>
      <c r="E474" s="1779" t="s">
        <v>329</v>
      </c>
      <c r="F474" s="1801"/>
      <c r="G474" s="1738"/>
      <c r="H474" s="1801" t="s">
        <v>3241</v>
      </c>
      <c r="I474" s="1801"/>
      <c r="J474" s="1801"/>
      <c r="K474" s="1809">
        <v>630</v>
      </c>
      <c r="L474" s="1801"/>
      <c r="M474" s="1801"/>
      <c r="N474" s="1801" t="s">
        <v>347</v>
      </c>
      <c r="O474" s="1801"/>
      <c r="P474" s="1779"/>
      <c r="Q474" s="1779"/>
      <c r="R474" s="1779"/>
      <c r="S474" s="1779"/>
      <c r="T474" s="1779"/>
      <c r="U474" s="1779"/>
      <c r="V474" s="2015"/>
      <c r="W474" s="2018">
        <f>+AD474*2*C474</f>
        <v>0</v>
      </c>
      <c r="X474" s="2019">
        <f t="shared" ref="X474:X479" si="146">+ROUNDUP(W474,0)</f>
        <v>0</v>
      </c>
      <c r="Y474" s="3756"/>
      <c r="Z474" s="61" t="s">
        <v>355</v>
      </c>
      <c r="AA474" s="3191" t="s">
        <v>335</v>
      </c>
      <c r="AB474" s="2700">
        <v>0.434</v>
      </c>
      <c r="AC474" s="2627">
        <v>452.3</v>
      </c>
      <c r="AD474" s="2654">
        <f t="shared" ref="AD474:AD479" si="147">+AB474*AC474</f>
        <v>196.29820000000001</v>
      </c>
      <c r="AE474" s="2655">
        <f>+AD474*C474</f>
        <v>0</v>
      </c>
      <c r="AF474" s="2655"/>
      <c r="AG474" s="1154"/>
      <c r="AH474" s="188">
        <f t="shared" ref="AH474:AH480" si="148">+W474-AE474</f>
        <v>0</v>
      </c>
      <c r="AI474" s="189" t="e">
        <f t="shared" si="143"/>
        <v>#DIV/0!</v>
      </c>
    </row>
    <row r="475" spans="1:35" s="48" customFormat="1" ht="12.6" customHeight="1" thickBot="1" x14ac:dyDescent="0.25">
      <c r="A475" s="48" t="s">
        <v>3673</v>
      </c>
      <c r="B475" s="1372"/>
      <c r="C475" s="2181"/>
      <c r="D475" s="2029" t="s">
        <v>3589</v>
      </c>
      <c r="E475" s="1779" t="s">
        <v>329</v>
      </c>
      <c r="F475" s="1801"/>
      <c r="G475" s="1738"/>
      <c r="H475" s="1801" t="s">
        <v>316</v>
      </c>
      <c r="I475" s="1801"/>
      <c r="J475" s="1801"/>
      <c r="K475" s="1809">
        <v>630</v>
      </c>
      <c r="L475" s="1738"/>
      <c r="M475" s="1738"/>
      <c r="N475" s="1738" t="s">
        <v>316</v>
      </c>
      <c r="O475" s="1738"/>
      <c r="P475" s="1737"/>
      <c r="Q475" s="1737"/>
      <c r="R475" s="1737"/>
      <c r="S475" s="1737"/>
      <c r="T475" s="1737"/>
      <c r="U475" s="1737"/>
      <c r="V475" s="1741"/>
      <c r="W475" s="2018">
        <f>+AD475*1.8*C475</f>
        <v>0</v>
      </c>
      <c r="X475" s="2019">
        <f t="shared" si="146"/>
        <v>0</v>
      </c>
      <c r="Y475" s="3765"/>
      <c r="Z475" s="61" t="s">
        <v>355</v>
      </c>
      <c r="AA475" s="3214" t="s">
        <v>3288</v>
      </c>
      <c r="AB475" s="2711">
        <v>0.434</v>
      </c>
      <c r="AC475" s="2643">
        <v>515</v>
      </c>
      <c r="AD475" s="2617">
        <f t="shared" si="147"/>
        <v>223.51</v>
      </c>
      <c r="AE475" s="2624">
        <f>+AD475*C475</f>
        <v>0</v>
      </c>
      <c r="AF475" s="2624"/>
      <c r="AG475" s="1148"/>
      <c r="AH475" s="42">
        <f t="shared" si="148"/>
        <v>0</v>
      </c>
      <c r="AI475" s="43" t="e">
        <f t="shared" si="143"/>
        <v>#DIV/0!</v>
      </c>
    </row>
    <row r="476" spans="1:35" s="48" customFormat="1" ht="13.2" customHeight="1" x14ac:dyDescent="0.2">
      <c r="A476" s="48" t="s">
        <v>3673</v>
      </c>
      <c r="B476" s="1372"/>
      <c r="C476" s="2181"/>
      <c r="D476" s="2029" t="s">
        <v>3591</v>
      </c>
      <c r="E476" s="1779" t="s">
        <v>329</v>
      </c>
      <c r="F476" s="1801"/>
      <c r="G476" s="1738"/>
      <c r="H476" s="1801" t="s">
        <v>2460</v>
      </c>
      <c r="I476" s="1801"/>
      <c r="J476" s="1801"/>
      <c r="K476" s="1809">
        <v>630</v>
      </c>
      <c r="L476" s="1801"/>
      <c r="M476" s="1738"/>
      <c r="N476" s="1801" t="s">
        <v>2460</v>
      </c>
      <c r="O476" s="1801"/>
      <c r="P476" s="1737"/>
      <c r="Q476" s="1737"/>
      <c r="R476" s="1737"/>
      <c r="S476" s="1737"/>
      <c r="T476" s="1737"/>
      <c r="U476" s="1737"/>
      <c r="V476" s="1741"/>
      <c r="W476" s="2018">
        <f>+AD476*2*C476</f>
        <v>0</v>
      </c>
      <c r="X476" s="2019">
        <f t="shared" ref="X476:X477" si="149">+ROUNDUP(W476,0)</f>
        <v>0</v>
      </c>
      <c r="Y476" s="3756"/>
      <c r="Z476" s="61" t="s">
        <v>355</v>
      </c>
      <c r="AA476" s="3214" t="s">
        <v>3287</v>
      </c>
      <c r="AB476" s="2711">
        <f>0.43+0.11</f>
        <v>0.54</v>
      </c>
      <c r="AC476" s="2712">
        <v>505</v>
      </c>
      <c r="AD476" s="2617">
        <f t="shared" si="147"/>
        <v>272.70000000000005</v>
      </c>
      <c r="AE476" s="2624"/>
      <c r="AF476" s="2624" t="s">
        <v>3289</v>
      </c>
      <c r="AG476" s="1148"/>
      <c r="AH476" s="42"/>
      <c r="AI476" s="43"/>
    </row>
    <row r="477" spans="1:35" s="779" customFormat="1" ht="12.6" customHeight="1" x14ac:dyDescent="0.2">
      <c r="A477" s="48" t="s">
        <v>3673</v>
      </c>
      <c r="B477" s="2111"/>
      <c r="C477" s="2241"/>
      <c r="D477" s="2242" t="s">
        <v>3592</v>
      </c>
      <c r="E477" s="2243" t="s">
        <v>329</v>
      </c>
      <c r="F477" s="2244"/>
      <c r="G477" s="1738"/>
      <c r="H477" s="2244" t="s">
        <v>3285</v>
      </c>
      <c r="I477" s="2244"/>
      <c r="J477" s="2244"/>
      <c r="K477" s="2245">
        <v>630</v>
      </c>
      <c r="L477" s="1838"/>
      <c r="M477" s="1838"/>
      <c r="N477" s="1838" t="s">
        <v>3286</v>
      </c>
      <c r="O477" s="1838"/>
      <c r="P477" s="1781"/>
      <c r="Q477" s="1781"/>
      <c r="R477" s="1781"/>
      <c r="S477" s="1781"/>
      <c r="T477" s="1781"/>
      <c r="U477" s="1781"/>
      <c r="V477" s="1782"/>
      <c r="W477" s="2203">
        <f>+AD477*1.8*C477</f>
        <v>0</v>
      </c>
      <c r="X477" s="2246">
        <f t="shared" si="149"/>
        <v>0</v>
      </c>
      <c r="Y477" s="3756"/>
      <c r="Z477" s="2197" t="s">
        <v>355</v>
      </c>
      <c r="AA477" s="3226" t="s">
        <v>3287</v>
      </c>
      <c r="AB477" s="2709">
        <f>0.43+0.11</f>
        <v>0.54</v>
      </c>
      <c r="AC477" s="2713">
        <v>505</v>
      </c>
      <c r="AD477" s="2634">
        <f t="shared" si="147"/>
        <v>272.70000000000005</v>
      </c>
      <c r="AE477" s="2710"/>
      <c r="AF477" s="2710"/>
      <c r="AG477" s="2247"/>
      <c r="AH477" s="72"/>
      <c r="AI477" s="2248"/>
    </row>
    <row r="478" spans="1:35" s="244" customFormat="1" ht="12.6" customHeight="1" x14ac:dyDescent="0.2">
      <c r="A478" s="48" t="s">
        <v>3673</v>
      </c>
      <c r="B478" s="1370"/>
      <c r="C478" s="1969"/>
      <c r="D478" s="1740" t="s">
        <v>3590</v>
      </c>
      <c r="E478" s="1737" t="s">
        <v>84</v>
      </c>
      <c r="F478" s="1738"/>
      <c r="G478" s="1738"/>
      <c r="H478" s="1738"/>
      <c r="I478" s="1738"/>
      <c r="J478" s="1738"/>
      <c r="K478" s="1772">
        <v>630</v>
      </c>
      <c r="L478" s="1738"/>
      <c r="M478" s="1738"/>
      <c r="N478" s="1738" t="s">
        <v>347</v>
      </c>
      <c r="O478" s="1738"/>
      <c r="P478" s="1737"/>
      <c r="Q478" s="1737"/>
      <c r="R478" s="1737"/>
      <c r="S478" s="1737"/>
      <c r="T478" s="1737"/>
      <c r="U478" s="1737"/>
      <c r="V478" s="1741"/>
      <c r="W478" s="1742">
        <f>+AD478*1.6*C478</f>
        <v>0</v>
      </c>
      <c r="X478" s="2271">
        <f t="shared" si="146"/>
        <v>0</v>
      </c>
      <c r="Y478" s="3756"/>
      <c r="Z478" s="61" t="s">
        <v>355</v>
      </c>
      <c r="AA478" s="3191" t="s">
        <v>335</v>
      </c>
      <c r="AB478" s="2700">
        <v>0.434</v>
      </c>
      <c r="AC478" s="2627">
        <v>479.86</v>
      </c>
      <c r="AD478" s="2634">
        <f t="shared" si="147"/>
        <v>208.25924000000001</v>
      </c>
      <c r="AE478" s="2624">
        <f t="shared" ref="AE478:AE485" si="150">+AD478*C478</f>
        <v>0</v>
      </c>
      <c r="AF478" s="2624"/>
      <c r="AG478" s="1148"/>
      <c r="AH478" s="44">
        <f t="shared" si="148"/>
        <v>0</v>
      </c>
      <c r="AI478" s="874" t="e">
        <f t="shared" si="143"/>
        <v>#DIV/0!</v>
      </c>
    </row>
    <row r="479" spans="1:35" s="244" customFormat="1" ht="12.6" customHeight="1" x14ac:dyDescent="0.2">
      <c r="A479" s="48" t="s">
        <v>3673</v>
      </c>
      <c r="B479" s="1370"/>
      <c r="C479" s="1744"/>
      <c r="D479" s="1740" t="s">
        <v>3590</v>
      </c>
      <c r="E479" s="1737" t="s">
        <v>84</v>
      </c>
      <c r="F479" s="1738"/>
      <c r="G479" s="1738"/>
      <c r="H479" s="1738"/>
      <c r="I479" s="1738"/>
      <c r="J479" s="1738"/>
      <c r="K479" s="1772">
        <v>630</v>
      </c>
      <c r="L479" s="1738"/>
      <c r="M479" s="1738"/>
      <c r="N479" s="1738" t="s">
        <v>316</v>
      </c>
      <c r="O479" s="1738"/>
      <c r="P479" s="1737"/>
      <c r="Q479" s="1737"/>
      <c r="R479" s="1737"/>
      <c r="S479" s="1737"/>
      <c r="T479" s="1737"/>
      <c r="U479" s="1737"/>
      <c r="V479" s="1741"/>
      <c r="W479" s="1758">
        <f>+AD479*1.6*C479</f>
        <v>0</v>
      </c>
      <c r="X479" s="1895">
        <f t="shared" si="146"/>
        <v>0</v>
      </c>
      <c r="Y479" s="3756"/>
      <c r="Z479" s="61" t="s">
        <v>355</v>
      </c>
      <c r="AA479" s="3202" t="s">
        <v>335</v>
      </c>
      <c r="AB479" s="2700">
        <v>0.434</v>
      </c>
      <c r="AC479" s="2627">
        <v>479.86</v>
      </c>
      <c r="AD479" s="2634">
        <f t="shared" si="147"/>
        <v>208.25924000000001</v>
      </c>
      <c r="AE479" s="2624">
        <f t="shared" si="150"/>
        <v>0</v>
      </c>
      <c r="AF479" s="2624"/>
      <c r="AG479" s="1148"/>
      <c r="AH479" s="42">
        <f t="shared" si="148"/>
        <v>0</v>
      </c>
      <c r="AI479" s="43" t="e">
        <f t="shared" si="143"/>
        <v>#DIV/0!</v>
      </c>
    </row>
    <row r="480" spans="1:35" s="48" customFormat="1" ht="13.8" customHeight="1" x14ac:dyDescent="0.2">
      <c r="A480" s="48" t="s">
        <v>3677</v>
      </c>
      <c r="B480" s="1370"/>
      <c r="C480" s="1954"/>
      <c r="D480" s="1779" t="s">
        <v>3587</v>
      </c>
      <c r="E480" s="1779" t="s">
        <v>98</v>
      </c>
      <c r="F480" s="1801" t="s">
        <v>3697</v>
      </c>
      <c r="G480" s="1738"/>
      <c r="H480" s="1801"/>
      <c r="I480" s="1738"/>
      <c r="J480" s="1801"/>
      <c r="K480" s="1809">
        <v>630</v>
      </c>
      <c r="L480" s="1801"/>
      <c r="M480" s="1801"/>
      <c r="N480" s="1801" t="s">
        <v>316</v>
      </c>
      <c r="O480" s="1738"/>
      <c r="P480" s="1737"/>
      <c r="Q480" s="1737"/>
      <c r="R480" s="1737"/>
      <c r="S480" s="1737"/>
      <c r="T480" s="1737"/>
      <c r="U480" s="1737"/>
      <c r="V480" s="1741"/>
      <c r="W480" s="1790">
        <f>+AD480*1.81*C480*1.05</f>
        <v>0</v>
      </c>
      <c r="X480" s="2271">
        <f t="shared" ref="X480:X484" si="151">+ROUNDUP(W480,0)</f>
        <v>0</v>
      </c>
      <c r="Y480" s="3766"/>
      <c r="Z480" s="61" t="s">
        <v>355</v>
      </c>
      <c r="AA480" s="3214" t="s">
        <v>2644</v>
      </c>
      <c r="AB480" s="2711">
        <v>0.434</v>
      </c>
      <c r="AC480" s="2711">
        <v>656.25</v>
      </c>
      <c r="AD480" s="2637">
        <f>+AC480*AB480*1.1</f>
        <v>313.29375000000005</v>
      </c>
      <c r="AE480" s="2624">
        <f t="shared" si="150"/>
        <v>0</v>
      </c>
      <c r="AF480" s="2624"/>
      <c r="AG480" s="1148"/>
      <c r="AH480" s="42">
        <f t="shared" si="148"/>
        <v>0</v>
      </c>
      <c r="AI480" s="43" t="e">
        <f t="shared" ref="AI480:AI489" si="152">+AH480/X480</f>
        <v>#DIV/0!</v>
      </c>
    </row>
    <row r="481" spans="1:35" s="48" customFormat="1" ht="25.2" customHeight="1" x14ac:dyDescent="0.2">
      <c r="A481" s="48" t="s">
        <v>3677</v>
      </c>
      <c r="B481" s="1370"/>
      <c r="C481" s="1744"/>
      <c r="D481" s="1740" t="s">
        <v>3587</v>
      </c>
      <c r="E481" s="1737" t="s">
        <v>351</v>
      </c>
      <c r="F481" s="1738"/>
      <c r="G481" s="1738"/>
      <c r="H481" s="1738"/>
      <c r="I481" s="1738"/>
      <c r="J481" s="1738"/>
      <c r="K481" s="1772">
        <v>630</v>
      </c>
      <c r="L481" s="1738"/>
      <c r="M481" s="1738"/>
      <c r="N481" s="1738" t="s">
        <v>316</v>
      </c>
      <c r="O481" s="1738"/>
      <c r="P481" s="1737"/>
      <c r="Q481" s="1737"/>
      <c r="R481" s="1737"/>
      <c r="S481" s="1737"/>
      <c r="T481" s="1737"/>
      <c r="U481" s="1737"/>
      <c r="V481" s="1741"/>
      <c r="W481" s="1812">
        <f>+AD481*1.8*C481</f>
        <v>0</v>
      </c>
      <c r="X481" s="2271">
        <f t="shared" si="151"/>
        <v>0</v>
      </c>
      <c r="Y481" s="3756"/>
      <c r="Z481" s="61" t="s">
        <v>355</v>
      </c>
      <c r="AA481" s="3214" t="s">
        <v>2643</v>
      </c>
      <c r="AB481" s="2711">
        <v>0.434</v>
      </c>
      <c r="AC481" s="2711">
        <v>703.5</v>
      </c>
      <c r="AD481" s="2637">
        <f>+AC481*AB481*1.1</f>
        <v>335.85090000000002</v>
      </c>
      <c r="AE481" s="2624">
        <f t="shared" si="150"/>
        <v>0</v>
      </c>
      <c r="AF481" s="2624"/>
      <c r="AG481" s="1148"/>
      <c r="AH481" s="42">
        <f t="shared" ref="AH481:AH484" si="153">+W481-AE481</f>
        <v>0</v>
      </c>
      <c r="AI481" s="43" t="e">
        <f t="shared" si="152"/>
        <v>#DIV/0!</v>
      </c>
    </row>
    <row r="482" spans="1:35" s="48" customFormat="1" ht="25.2" customHeight="1" x14ac:dyDescent="0.2">
      <c r="A482" s="48" t="s">
        <v>3673</v>
      </c>
      <c r="B482" s="1370"/>
      <c r="C482" s="1744"/>
      <c r="D482" s="1737" t="s">
        <v>3588</v>
      </c>
      <c r="E482" s="1737" t="s">
        <v>2479</v>
      </c>
      <c r="F482" s="1738" t="s">
        <v>2930</v>
      </c>
      <c r="G482" s="1738"/>
      <c r="H482" s="1738"/>
      <c r="I482" s="1738"/>
      <c r="J482" s="1738"/>
      <c r="K482" s="1772">
        <v>630</v>
      </c>
      <c r="L482" s="1738"/>
      <c r="M482" s="1738"/>
      <c r="N482" s="1738" t="s">
        <v>316</v>
      </c>
      <c r="O482" s="1738"/>
      <c r="P482" s="1737"/>
      <c r="Q482" s="1737"/>
      <c r="R482" s="1737"/>
      <c r="S482" s="1737"/>
      <c r="T482" s="1737"/>
      <c r="U482" s="1737"/>
      <c r="V482" s="1741">
        <f>+W482/3</f>
        <v>0</v>
      </c>
      <c r="W482" s="1733">
        <f>+AD482*1.9*C482</f>
        <v>0</v>
      </c>
      <c r="X482" s="1895">
        <f t="shared" si="151"/>
        <v>0</v>
      </c>
      <c r="Y482" s="3756"/>
      <c r="Z482" s="61" t="s">
        <v>355</v>
      </c>
      <c r="AA482" s="3188" t="s">
        <v>2645</v>
      </c>
      <c r="AB482" s="2643">
        <v>0.434</v>
      </c>
      <c r="AC482" s="2643">
        <v>500.39</v>
      </c>
      <c r="AD482" s="2634">
        <f t="shared" ref="AD482:AD483" si="154">+AB482*AC482</f>
        <v>217.16925999999998</v>
      </c>
      <c r="AE482" s="2624">
        <f t="shared" si="150"/>
        <v>0</v>
      </c>
      <c r="AF482" s="2624"/>
      <c r="AG482" s="1148"/>
      <c r="AH482" s="42">
        <f t="shared" si="153"/>
        <v>0</v>
      </c>
      <c r="AI482" s="43" t="e">
        <f t="shared" si="152"/>
        <v>#DIV/0!</v>
      </c>
    </row>
    <row r="483" spans="1:35" s="48" customFormat="1" ht="12.6" customHeight="1" x14ac:dyDescent="0.2">
      <c r="A483" s="48" t="s">
        <v>3673</v>
      </c>
      <c r="B483" s="1370"/>
      <c r="C483" s="1744"/>
      <c r="D483" s="1737" t="s">
        <v>3588</v>
      </c>
      <c r="E483" s="1737" t="s">
        <v>329</v>
      </c>
      <c r="F483" s="1738"/>
      <c r="G483" s="1738"/>
      <c r="H483" s="1738"/>
      <c r="I483" s="1738"/>
      <c r="J483" s="1738"/>
      <c r="K483" s="1772">
        <v>630</v>
      </c>
      <c r="L483" s="1738"/>
      <c r="M483" s="1738"/>
      <c r="N483" s="1738" t="s">
        <v>316</v>
      </c>
      <c r="O483" s="1738"/>
      <c r="P483" s="1737"/>
      <c r="Q483" s="1737"/>
      <c r="R483" s="1737"/>
      <c r="S483" s="1737"/>
      <c r="T483" s="1737"/>
      <c r="U483" s="1737"/>
      <c r="V483" s="1741"/>
      <c r="W483" s="1758">
        <f>+AD483*1.8*C483</f>
        <v>0</v>
      </c>
      <c r="X483" s="1895">
        <f t="shared" si="151"/>
        <v>0</v>
      </c>
      <c r="Y483" s="3756"/>
      <c r="Z483" s="61" t="s">
        <v>355</v>
      </c>
      <c r="AA483" s="3214" t="s">
        <v>335</v>
      </c>
      <c r="AB483" s="2711">
        <v>0.434</v>
      </c>
      <c r="AC483" s="2643">
        <v>515</v>
      </c>
      <c r="AD483" s="2634">
        <f t="shared" si="154"/>
        <v>223.51</v>
      </c>
      <c r="AE483" s="2624">
        <f t="shared" si="150"/>
        <v>0</v>
      </c>
      <c r="AF483" s="2624"/>
      <c r="AG483" s="1148"/>
      <c r="AH483" s="42">
        <f t="shared" si="153"/>
        <v>0</v>
      </c>
      <c r="AI483" s="43" t="e">
        <f t="shared" si="152"/>
        <v>#DIV/0!</v>
      </c>
    </row>
    <row r="484" spans="1:35" s="48" customFormat="1" ht="12.6" customHeight="1" x14ac:dyDescent="0.2">
      <c r="A484" s="48" t="s">
        <v>3673</v>
      </c>
      <c r="B484" s="1370"/>
      <c r="C484" s="1821"/>
      <c r="D484" s="1740" t="s">
        <v>3589</v>
      </c>
      <c r="E484" s="1737" t="s">
        <v>2480</v>
      </c>
      <c r="F484" s="1738" t="s">
        <v>2930</v>
      </c>
      <c r="G484" s="1738"/>
      <c r="H484" s="1738"/>
      <c r="I484" s="1738"/>
      <c r="J484" s="1738"/>
      <c r="K484" s="1772">
        <v>630</v>
      </c>
      <c r="L484" s="1738"/>
      <c r="M484" s="1738"/>
      <c r="N484" s="1738" t="s">
        <v>324</v>
      </c>
      <c r="O484" s="1738"/>
      <c r="P484" s="1737"/>
      <c r="Q484" s="1737"/>
      <c r="R484" s="1737"/>
      <c r="S484" s="1737"/>
      <c r="T484" s="1737"/>
      <c r="U484" s="1737"/>
      <c r="V484" s="1741"/>
      <c r="W484" s="1742">
        <f t="shared" ref="W484:W485" si="155">+AD484*1.6*C484</f>
        <v>0</v>
      </c>
      <c r="X484" s="1895">
        <f t="shared" si="151"/>
        <v>0</v>
      </c>
      <c r="Y484" s="3756"/>
      <c r="Z484" s="61" t="s">
        <v>355</v>
      </c>
      <c r="AA484" s="3190" t="s">
        <v>335</v>
      </c>
      <c r="AB484" s="2643">
        <v>0.434</v>
      </c>
      <c r="AC484" s="2617">
        <v>518.66999999999996</v>
      </c>
      <c r="AD484" s="2637">
        <f>+AC484*AB484*1.15</f>
        <v>258.86819699999995</v>
      </c>
      <c r="AE484" s="2624">
        <f t="shared" si="150"/>
        <v>0</v>
      </c>
      <c r="AF484" s="2624"/>
      <c r="AG484" s="1148"/>
      <c r="AH484" s="44">
        <f t="shared" si="153"/>
        <v>0</v>
      </c>
      <c r="AI484" s="874" t="e">
        <f t="shared" si="152"/>
        <v>#DIV/0!</v>
      </c>
    </row>
    <row r="485" spans="1:35" s="48" customFormat="1" ht="12.6" customHeight="1" x14ac:dyDescent="0.2">
      <c r="A485" s="48" t="s">
        <v>3673</v>
      </c>
      <c r="B485" s="1370"/>
      <c r="C485" s="1821"/>
      <c r="D485" s="1740" t="s">
        <v>3589</v>
      </c>
      <c r="E485" s="1737" t="s">
        <v>84</v>
      </c>
      <c r="F485" s="1738"/>
      <c r="G485" s="1738"/>
      <c r="H485" s="1738"/>
      <c r="I485" s="1738"/>
      <c r="J485" s="1738"/>
      <c r="K485" s="1772">
        <v>630</v>
      </c>
      <c r="L485" s="1738"/>
      <c r="M485" s="1738"/>
      <c r="N485" s="1738" t="s">
        <v>324</v>
      </c>
      <c r="O485" s="1738"/>
      <c r="P485" s="1737"/>
      <c r="Q485" s="1737"/>
      <c r="R485" s="1737"/>
      <c r="S485" s="1737"/>
      <c r="T485" s="1737"/>
      <c r="U485" s="1737"/>
      <c r="V485" s="1741"/>
      <c r="W485" s="1758">
        <f t="shared" si="155"/>
        <v>0</v>
      </c>
      <c r="X485" s="1895">
        <f t="shared" ref="X485:X489" si="156">+ROUNDUP(W485,0)</f>
        <v>0</v>
      </c>
      <c r="Y485" s="3756"/>
      <c r="Z485" s="61" t="s">
        <v>355</v>
      </c>
      <c r="AA485" s="3190" t="s">
        <v>335</v>
      </c>
      <c r="AB485" s="2643">
        <v>0.434</v>
      </c>
      <c r="AC485" s="2625">
        <f t="shared" ref="AC485" si="157">2998+391+251</f>
        <v>3640</v>
      </c>
      <c r="AD485" s="2637">
        <f t="shared" ref="AD485:AD491" si="158">+AC485*AB485</f>
        <v>1579.76</v>
      </c>
      <c r="AE485" s="2624">
        <f t="shared" si="150"/>
        <v>0</v>
      </c>
      <c r="AF485" s="2624"/>
      <c r="AG485" s="1148"/>
      <c r="AH485" s="842">
        <f t="shared" ref="AH485:AH486" si="159">+X485-AD485</f>
        <v>-1579.76</v>
      </c>
      <c r="AI485" s="876" t="e">
        <f t="shared" si="152"/>
        <v>#DIV/0!</v>
      </c>
    </row>
    <row r="486" spans="1:35" s="48" customFormat="1" ht="12.6" customHeight="1" x14ac:dyDescent="0.2">
      <c r="A486" s="48" t="s">
        <v>3678</v>
      </c>
      <c r="B486" s="1370"/>
      <c r="C486" s="1821"/>
      <c r="D486" s="1740" t="s">
        <v>3598</v>
      </c>
      <c r="E486" s="1737" t="s">
        <v>331</v>
      </c>
      <c r="F486" s="1738"/>
      <c r="G486" s="1738"/>
      <c r="H486" s="1738"/>
      <c r="I486" s="1738"/>
      <c r="J486" s="1738"/>
      <c r="K486" s="1772">
        <v>630</v>
      </c>
      <c r="L486" s="1738"/>
      <c r="M486" s="1738"/>
      <c r="N486" s="1738" t="s">
        <v>2922</v>
      </c>
      <c r="O486" s="1738"/>
      <c r="P486" s="1737"/>
      <c r="Q486" s="1737"/>
      <c r="R486" s="1737"/>
      <c r="S486" s="1737"/>
      <c r="T486" s="1737"/>
      <c r="U486" s="1737"/>
      <c r="V486" s="1741"/>
      <c r="W486" s="1816">
        <f>+AD486*2*C486</f>
        <v>0</v>
      </c>
      <c r="X486" s="1895">
        <f>+ROUNDUP(W486,0)</f>
        <v>0</v>
      </c>
      <c r="Y486" s="3756"/>
      <c r="Z486" s="61" t="s">
        <v>355</v>
      </c>
      <c r="AA486" s="3220" t="s">
        <v>2923</v>
      </c>
      <c r="AB486" s="2643">
        <v>0.434</v>
      </c>
      <c r="AC486" s="2625">
        <v>570.48</v>
      </c>
      <c r="AD486" s="2637">
        <f>+AC486*AB486</f>
        <v>247.58832000000001</v>
      </c>
      <c r="AE486" s="2624">
        <f t="shared" ref="AE486:AE491" si="160">+AD486*1.15*C486</f>
        <v>0</v>
      </c>
      <c r="AF486" s="2624"/>
      <c r="AG486" s="1148"/>
      <c r="AH486" s="191">
        <f t="shared" si="159"/>
        <v>-247.58832000000001</v>
      </c>
      <c r="AI486" s="192" t="e">
        <f>+AH486/X486</f>
        <v>#DIV/0!</v>
      </c>
    </row>
    <row r="487" spans="1:35" s="48" customFormat="1" ht="12.6" customHeight="1" x14ac:dyDescent="0.2">
      <c r="A487" s="48" t="s">
        <v>3678</v>
      </c>
      <c r="B487" s="1370"/>
      <c r="C487" s="2889"/>
      <c r="D487" s="1779" t="s">
        <v>3594</v>
      </c>
      <c r="E487" s="1779" t="s">
        <v>331</v>
      </c>
      <c r="F487" s="1801"/>
      <c r="G487" s="1738"/>
      <c r="H487" s="1801" t="s">
        <v>3505</v>
      </c>
      <c r="I487" s="1738"/>
      <c r="J487" s="1801"/>
      <c r="K487" s="1809">
        <v>630</v>
      </c>
      <c r="L487" s="1801"/>
      <c r="M487" s="1801"/>
      <c r="N487" s="1801" t="s">
        <v>324</v>
      </c>
      <c r="O487" s="1801"/>
      <c r="P487" s="1737"/>
      <c r="Q487" s="1737"/>
      <c r="R487" s="1737"/>
      <c r="S487" s="1737"/>
      <c r="T487" s="1737"/>
      <c r="U487" s="1737"/>
      <c r="V487" s="1741"/>
      <c r="W487" s="1816">
        <f>+AD487*3*C487</f>
        <v>0</v>
      </c>
      <c r="X487" s="2271">
        <f t="shared" si="156"/>
        <v>0</v>
      </c>
      <c r="Y487" s="3756"/>
      <c r="Z487" s="61" t="s">
        <v>355</v>
      </c>
      <c r="AA487" s="3220" t="s">
        <v>2921</v>
      </c>
      <c r="AB487" s="2643">
        <v>0.43</v>
      </c>
      <c r="AC487" s="2625">
        <v>597.83000000000004</v>
      </c>
      <c r="AD487" s="2637">
        <f t="shared" si="158"/>
        <v>257.06690000000003</v>
      </c>
      <c r="AE487" s="2624">
        <f t="shared" si="160"/>
        <v>0</v>
      </c>
      <c r="AF487" s="2624"/>
      <c r="AG487" s="1148"/>
      <c r="AH487" s="42">
        <f>+W487-AE487</f>
        <v>0</v>
      </c>
      <c r="AI487" s="43" t="e">
        <f t="shared" si="152"/>
        <v>#DIV/0!</v>
      </c>
    </row>
    <row r="488" spans="1:35" s="48" customFormat="1" ht="12.6" customHeight="1" x14ac:dyDescent="0.2">
      <c r="A488" s="48" t="s">
        <v>3678</v>
      </c>
      <c r="B488" s="1370"/>
      <c r="C488" s="1821"/>
      <c r="D488" s="1740" t="s">
        <v>3595</v>
      </c>
      <c r="E488" s="1737" t="s">
        <v>331</v>
      </c>
      <c r="F488" s="1738"/>
      <c r="G488" s="1738"/>
      <c r="H488" s="1738"/>
      <c r="I488" s="1738"/>
      <c r="J488" s="1738"/>
      <c r="K488" s="1772">
        <v>630</v>
      </c>
      <c r="L488" s="1738"/>
      <c r="M488" s="1738"/>
      <c r="N488" s="1738" t="s">
        <v>348</v>
      </c>
      <c r="O488" s="1738"/>
      <c r="P488" s="1737"/>
      <c r="Q488" s="1737"/>
      <c r="R488" s="1737"/>
      <c r="S488" s="1737"/>
      <c r="T488" s="1737"/>
      <c r="U488" s="1737"/>
      <c r="V488" s="1741"/>
      <c r="W488" s="1816">
        <f>+AD488*2*C488</f>
        <v>0</v>
      </c>
      <c r="X488" s="1895">
        <f t="shared" si="156"/>
        <v>0</v>
      </c>
      <c r="Y488" s="3756"/>
      <c r="Z488" s="61" t="s">
        <v>355</v>
      </c>
      <c r="AA488" s="3220" t="s">
        <v>2921</v>
      </c>
      <c r="AB488" s="2643">
        <v>0.434</v>
      </c>
      <c r="AC488" s="2625">
        <v>597.83000000000004</v>
      </c>
      <c r="AD488" s="2637">
        <f t="shared" si="158"/>
        <v>259.45822000000004</v>
      </c>
      <c r="AE488" s="2624">
        <f t="shared" si="160"/>
        <v>0</v>
      </c>
      <c r="AF488" s="2624"/>
      <c r="AG488" s="1148"/>
      <c r="AH488" s="842">
        <f>+X488-AD488</f>
        <v>-259.45822000000004</v>
      </c>
      <c r="AI488" s="876" t="e">
        <f t="shared" si="152"/>
        <v>#DIV/0!</v>
      </c>
    </row>
    <row r="489" spans="1:35" s="48" customFormat="1" ht="12.6" customHeight="1" x14ac:dyDescent="0.2">
      <c r="A489" s="48" t="s">
        <v>3678</v>
      </c>
      <c r="B489" s="1370"/>
      <c r="C489" s="1821"/>
      <c r="D489" s="1740" t="s">
        <v>3596</v>
      </c>
      <c r="E489" s="1737" t="s">
        <v>332</v>
      </c>
      <c r="F489" s="1738"/>
      <c r="G489" s="1738"/>
      <c r="H489" s="1738"/>
      <c r="I489" s="1738"/>
      <c r="J489" s="1738"/>
      <c r="K489" s="1772">
        <v>630</v>
      </c>
      <c r="L489" s="1738"/>
      <c r="M489" s="1738"/>
      <c r="N489" s="1738" t="s">
        <v>2922</v>
      </c>
      <c r="O489" s="1738"/>
      <c r="P489" s="1737"/>
      <c r="Q489" s="1737"/>
      <c r="R489" s="1737"/>
      <c r="S489" s="1737"/>
      <c r="T489" s="1737"/>
      <c r="U489" s="1737"/>
      <c r="V489" s="1741"/>
      <c r="W489" s="1816">
        <f>+AD489*2*C489</f>
        <v>0</v>
      </c>
      <c r="X489" s="2271">
        <f t="shared" si="156"/>
        <v>0</v>
      </c>
      <c r="Y489" s="3756"/>
      <c r="Z489" s="61" t="s">
        <v>355</v>
      </c>
      <c r="AA489" s="3220" t="s">
        <v>2923</v>
      </c>
      <c r="AB489" s="2644">
        <v>0.434</v>
      </c>
      <c r="AC489" s="2625">
        <v>625.25</v>
      </c>
      <c r="AD489" s="2637">
        <f t="shared" si="158"/>
        <v>271.35849999999999</v>
      </c>
      <c r="AE489" s="2624">
        <f t="shared" si="160"/>
        <v>0</v>
      </c>
      <c r="AF489" s="2624"/>
      <c r="AG489" s="1148"/>
      <c r="AH489" s="42">
        <f>+W489-AE489</f>
        <v>0</v>
      </c>
      <c r="AI489" s="43" t="e">
        <f t="shared" si="152"/>
        <v>#DIV/0!</v>
      </c>
    </row>
    <row r="490" spans="1:35" s="48" customFormat="1" ht="12.6" customHeight="1" x14ac:dyDescent="0.2">
      <c r="A490" s="48" t="s">
        <v>3678</v>
      </c>
      <c r="B490" s="1370"/>
      <c r="C490" s="1821"/>
      <c r="D490" s="1740" t="s">
        <v>3594</v>
      </c>
      <c r="E490" s="1737" t="s">
        <v>332</v>
      </c>
      <c r="F490" s="1738"/>
      <c r="G490" s="1738"/>
      <c r="H490" s="1738"/>
      <c r="I490" s="1738"/>
      <c r="J490" s="1738"/>
      <c r="K490" s="1772">
        <v>630</v>
      </c>
      <c r="L490" s="1738"/>
      <c r="M490" s="1738"/>
      <c r="N490" s="1738" t="s">
        <v>324</v>
      </c>
      <c r="O490" s="1738"/>
      <c r="P490" s="1737"/>
      <c r="Q490" s="1737"/>
      <c r="R490" s="1737"/>
      <c r="S490" s="1737"/>
      <c r="T490" s="1737"/>
      <c r="U490" s="1737"/>
      <c r="V490" s="1741"/>
      <c r="W490" s="1816">
        <f>+AD490*2*C490</f>
        <v>0</v>
      </c>
      <c r="X490" s="2271">
        <f t="shared" ref="X490:X497" si="161">+ROUNDUP(W490,0)</f>
        <v>0</v>
      </c>
      <c r="Y490" s="3756"/>
      <c r="Z490" s="61" t="s">
        <v>355</v>
      </c>
      <c r="AA490" s="3220" t="s">
        <v>2924</v>
      </c>
      <c r="AB490" s="2643">
        <v>0.434</v>
      </c>
      <c r="AC490" s="2625">
        <v>25</v>
      </c>
      <c r="AD490" s="2637">
        <f t="shared" si="158"/>
        <v>10.85</v>
      </c>
      <c r="AE490" s="2624">
        <f t="shared" si="160"/>
        <v>0</v>
      </c>
      <c r="AF490" s="2624"/>
      <c r="AG490" s="1148"/>
      <c r="AH490" s="42">
        <f>+W490-AE490</f>
        <v>0</v>
      </c>
      <c r="AI490" s="43" t="e">
        <f t="shared" ref="AI490:AI516" si="162">+AH490/X490</f>
        <v>#DIV/0!</v>
      </c>
    </row>
    <row r="491" spans="1:35" s="48" customFormat="1" ht="12.6" customHeight="1" x14ac:dyDescent="0.2">
      <c r="A491" s="48" t="s">
        <v>3678</v>
      </c>
      <c r="B491" s="1370"/>
      <c r="C491" s="2889"/>
      <c r="D491" s="1779" t="s">
        <v>3597</v>
      </c>
      <c r="E491" s="2845" t="s">
        <v>332</v>
      </c>
      <c r="F491" s="1801" t="s">
        <v>3358</v>
      </c>
      <c r="G491" s="1738"/>
      <c r="H491" s="1801"/>
      <c r="I491" s="1801"/>
      <c r="J491" s="1801"/>
      <c r="K491" s="1809">
        <v>630</v>
      </c>
      <c r="L491" s="1738"/>
      <c r="M491" s="1738"/>
      <c r="N491" s="1738" t="s">
        <v>324</v>
      </c>
      <c r="O491" s="1738"/>
      <c r="P491" s="1737"/>
      <c r="Q491" s="1737"/>
      <c r="R491" s="1737"/>
      <c r="S491" s="1737"/>
      <c r="T491" s="1737"/>
      <c r="U491" s="1737"/>
      <c r="V491" s="1741"/>
      <c r="W491" s="1816">
        <f>+AD491*1.9*C491</f>
        <v>0</v>
      </c>
      <c r="X491" s="1895">
        <f t="shared" si="161"/>
        <v>0</v>
      </c>
      <c r="Y491" s="3756"/>
      <c r="Z491" s="61" t="s">
        <v>355</v>
      </c>
      <c r="AA491" s="3220" t="s">
        <v>2924</v>
      </c>
      <c r="AB491" s="2645">
        <v>0.434</v>
      </c>
      <c r="AC491" s="2625">
        <v>597.83000000000004</v>
      </c>
      <c r="AD491" s="2714">
        <f t="shared" si="158"/>
        <v>259.45822000000004</v>
      </c>
      <c r="AE491" s="2624">
        <f t="shared" si="160"/>
        <v>0</v>
      </c>
      <c r="AF491" s="2624"/>
      <c r="AG491" s="1148"/>
      <c r="AH491" s="842">
        <f>+X491-AD491</f>
        <v>-259.45822000000004</v>
      </c>
      <c r="AI491" s="876" t="e">
        <f t="shared" si="162"/>
        <v>#DIV/0!</v>
      </c>
    </row>
    <row r="492" spans="1:35" s="48" customFormat="1" ht="25.2" customHeight="1" x14ac:dyDescent="0.2">
      <c r="A492" s="48" t="s">
        <v>3678</v>
      </c>
      <c r="C492" s="1821"/>
      <c r="D492" s="1740" t="s">
        <v>2926</v>
      </c>
      <c r="E492" s="1737" t="s">
        <v>331</v>
      </c>
      <c r="F492" s="1738" t="s">
        <v>85</v>
      </c>
      <c r="G492" s="1738"/>
      <c r="H492" s="1738"/>
      <c r="I492" s="1738"/>
      <c r="J492" s="1738"/>
      <c r="K492" s="1772">
        <v>630</v>
      </c>
      <c r="L492" s="1738"/>
      <c r="M492" s="1738"/>
      <c r="N492" s="1738" t="s">
        <v>347</v>
      </c>
      <c r="O492" s="1738"/>
      <c r="P492" s="1737"/>
      <c r="Q492" s="1737"/>
      <c r="R492" s="1737"/>
      <c r="S492" s="1737"/>
      <c r="T492" s="1737"/>
      <c r="U492" s="1737"/>
      <c r="V492" s="1741"/>
      <c r="W492" s="1790">
        <f>+AD492*1.3*C492</f>
        <v>0</v>
      </c>
      <c r="X492" s="2271">
        <f>+ROUNDUP(W492,0)</f>
        <v>0</v>
      </c>
      <c r="Y492" s="3756"/>
      <c r="Z492" s="74" t="s">
        <v>33</v>
      </c>
      <c r="AA492" s="3189" t="s">
        <v>336</v>
      </c>
      <c r="AB492" s="2715">
        <v>0.15</v>
      </c>
      <c r="AC492" s="2617">
        <v>4351</v>
      </c>
      <c r="AD492" s="2634">
        <f>+AB492*AC492</f>
        <v>652.65</v>
      </c>
      <c r="AE492" s="2624">
        <f t="shared" ref="AE492:AE499" si="163">+AD492*C492</f>
        <v>0</v>
      </c>
      <c r="AF492" s="2624"/>
      <c r="AG492" s="1148"/>
      <c r="AH492" s="42">
        <f>+W492-AE492</f>
        <v>0</v>
      </c>
      <c r="AI492" s="43" t="e">
        <f>+AH492/X492</f>
        <v>#DIV/0!</v>
      </c>
    </row>
    <row r="493" spans="1:35" s="218" customFormat="1" ht="25.2" customHeight="1" x14ac:dyDescent="0.2">
      <c r="A493" s="48" t="s">
        <v>3678</v>
      </c>
      <c r="C493" s="1821"/>
      <c r="D493" s="1740" t="s">
        <v>2925</v>
      </c>
      <c r="E493" s="1737" t="s">
        <v>331</v>
      </c>
      <c r="F493" s="1738" t="str">
        <f>+F492</f>
        <v>PRECISION</v>
      </c>
      <c r="G493" s="1738"/>
      <c r="H493" s="1738"/>
      <c r="I493" s="1738"/>
      <c r="J493" s="1738"/>
      <c r="K493" s="1772">
        <v>630</v>
      </c>
      <c r="L493" s="1738"/>
      <c r="M493" s="1738"/>
      <c r="N493" s="1738" t="s">
        <v>316</v>
      </c>
      <c r="O493" s="1738"/>
      <c r="P493" s="1737"/>
      <c r="Q493" s="1737"/>
      <c r="R493" s="1737"/>
      <c r="S493" s="1737"/>
      <c r="T493" s="1737"/>
      <c r="U493" s="1737"/>
      <c r="V493" s="1741"/>
      <c r="W493" s="1742">
        <f>+AD493*1.3*C493</f>
        <v>0</v>
      </c>
      <c r="X493" s="2271">
        <f>+ROUNDUP(W493,0)</f>
        <v>0</v>
      </c>
      <c r="Y493" s="3756"/>
      <c r="Z493" s="74" t="s">
        <v>33</v>
      </c>
      <c r="AA493" s="3189" t="s">
        <v>336</v>
      </c>
      <c r="AB493" s="2715">
        <v>0.15</v>
      </c>
      <c r="AC493" s="2617">
        <f>4351+261</f>
        <v>4612</v>
      </c>
      <c r="AD493" s="2634">
        <f>+AB493*AC493</f>
        <v>691.8</v>
      </c>
      <c r="AE493" s="2624">
        <f t="shared" si="163"/>
        <v>0</v>
      </c>
      <c r="AF493" s="2624"/>
      <c r="AG493" s="1148"/>
      <c r="AH493" s="42">
        <f>+W493-AE493</f>
        <v>0</v>
      </c>
      <c r="AI493" s="43" t="e">
        <f>+AH493/X493</f>
        <v>#DIV/0!</v>
      </c>
    </row>
    <row r="494" spans="1:35" s="48" customFormat="1" ht="25.2" customHeight="1" x14ac:dyDescent="0.2">
      <c r="A494" s="48" t="s">
        <v>3678</v>
      </c>
      <c r="C494" s="2889"/>
      <c r="D494" s="1779" t="s">
        <v>3020</v>
      </c>
      <c r="E494" s="1779" t="s">
        <v>331</v>
      </c>
      <c r="F494" s="1801" t="str">
        <f>+F493</f>
        <v>PRECISION</v>
      </c>
      <c r="G494" s="1772" t="s">
        <v>3022</v>
      </c>
      <c r="H494" s="1809">
        <v>3080</v>
      </c>
      <c r="I494" s="1772"/>
      <c r="J494" s="2906" t="s">
        <v>3021</v>
      </c>
      <c r="K494" s="1809">
        <v>630</v>
      </c>
      <c r="L494" s="1738"/>
      <c r="M494" s="1738"/>
      <c r="N494" s="1738" t="s">
        <v>2460</v>
      </c>
      <c r="O494" s="1738"/>
      <c r="P494" s="1737"/>
      <c r="Q494" s="1737"/>
      <c r="R494" s="1737"/>
      <c r="S494" s="1737"/>
      <c r="T494" s="1737"/>
      <c r="U494" s="1737"/>
      <c r="V494" s="1741"/>
      <c r="W494" s="1751">
        <f>+AD494*1.65*C494</f>
        <v>0</v>
      </c>
      <c r="X494" s="2019">
        <f>+ROUNDUP(W494,0)</f>
        <v>0</v>
      </c>
      <c r="Y494" s="3756"/>
      <c r="Z494" s="61" t="s">
        <v>33</v>
      </c>
      <c r="AA494" s="3190" t="s">
        <v>336</v>
      </c>
      <c r="AB494" s="2715">
        <v>0.15</v>
      </c>
      <c r="AC494" s="2617">
        <f>4351+60</f>
        <v>4411</v>
      </c>
      <c r="AD494" s="2634">
        <f>(+AB494*AC494)*1.07</f>
        <v>707.96550000000002</v>
      </c>
      <c r="AE494" s="2624">
        <f t="shared" si="163"/>
        <v>0</v>
      </c>
      <c r="AF494" s="2624"/>
      <c r="AG494" s="1148"/>
      <c r="AH494" s="44">
        <f>+W494-AE494</f>
        <v>0</v>
      </c>
      <c r="AI494" s="43" t="e">
        <f>+AH494/X494</f>
        <v>#DIV/0!</v>
      </c>
    </row>
    <row r="495" spans="1:35" s="48" customFormat="1" ht="25.2" customHeight="1" x14ac:dyDescent="0.2">
      <c r="A495" s="48" t="s">
        <v>3678</v>
      </c>
      <c r="C495" s="1744"/>
      <c r="D495" s="1759" t="s">
        <v>2973</v>
      </c>
      <c r="E495" s="1759" t="s">
        <v>331</v>
      </c>
      <c r="F495" s="1752" t="str">
        <f>+F494</f>
        <v>PRECISION</v>
      </c>
      <c r="G495" s="1752"/>
      <c r="H495" s="1752"/>
      <c r="I495" s="1752"/>
      <c r="J495" s="1752"/>
      <c r="K495" s="1757">
        <v>630</v>
      </c>
      <c r="L495" s="1752"/>
      <c r="M495" s="1752"/>
      <c r="N495" s="1752" t="s">
        <v>324</v>
      </c>
      <c r="O495" s="1752"/>
      <c r="P495" s="1737"/>
      <c r="Q495" s="1737"/>
      <c r="R495" s="1737"/>
      <c r="S495" s="1737"/>
      <c r="T495" s="1737"/>
      <c r="U495" s="1737"/>
      <c r="V495" s="1741"/>
      <c r="W495" s="1733">
        <f>+AD495*1.6*C495</f>
        <v>0</v>
      </c>
      <c r="X495" s="1893">
        <f>+ROUNDUP(W495,0)</f>
        <v>0</v>
      </c>
      <c r="Y495" s="3756"/>
      <c r="Z495" s="61" t="s">
        <v>33</v>
      </c>
      <c r="AA495" s="3190" t="s">
        <v>336</v>
      </c>
      <c r="AB495" s="2616">
        <v>0.15</v>
      </c>
      <c r="AC495" s="2617">
        <f>4351+60+261</f>
        <v>4672</v>
      </c>
      <c r="AD495" s="2634">
        <f>+AB495*AC495</f>
        <v>700.8</v>
      </c>
      <c r="AE495" s="2624">
        <f t="shared" si="163"/>
        <v>0</v>
      </c>
      <c r="AF495" s="2624"/>
      <c r="AG495" s="1148"/>
      <c r="AH495" s="42">
        <f>+W495-AE495</f>
        <v>0</v>
      </c>
      <c r="AI495" s="43" t="e">
        <f>+AH495/X495</f>
        <v>#DIV/0!</v>
      </c>
    </row>
    <row r="496" spans="1:35" s="48" customFormat="1" ht="25.2" customHeight="1" x14ac:dyDescent="0.2">
      <c r="A496" s="48" t="s">
        <v>3678</v>
      </c>
      <c r="C496" s="1821"/>
      <c r="D496" s="1740" t="s">
        <v>2975</v>
      </c>
      <c r="E496" s="1737" t="s">
        <v>332</v>
      </c>
      <c r="F496" s="1738" t="str">
        <f t="shared" ref="F496:F511" si="164">+F495</f>
        <v>PRECISION</v>
      </c>
      <c r="G496" s="1738"/>
      <c r="H496" s="1738"/>
      <c r="I496" s="1738"/>
      <c r="J496" s="1738"/>
      <c r="K496" s="1772">
        <v>630</v>
      </c>
      <c r="L496" s="1738"/>
      <c r="M496" s="1738"/>
      <c r="N496" s="1738" t="s">
        <v>347</v>
      </c>
      <c r="O496" s="1738"/>
      <c r="P496" s="1737"/>
      <c r="Q496" s="1737"/>
      <c r="R496" s="1737"/>
      <c r="S496" s="1737"/>
      <c r="T496" s="1737"/>
      <c r="U496" s="1737"/>
      <c r="V496" s="1741"/>
      <c r="W496" s="1790">
        <f>+AD496*1.3*C496</f>
        <v>0</v>
      </c>
      <c r="X496" s="2271">
        <f t="shared" si="161"/>
        <v>0</v>
      </c>
      <c r="Y496" s="3756"/>
      <c r="Z496" s="74" t="s">
        <v>33</v>
      </c>
      <c r="AA496" s="3189" t="s">
        <v>336</v>
      </c>
      <c r="AB496" s="2616">
        <v>0.15</v>
      </c>
      <c r="AC496" s="2617">
        <f t="shared" ref="AC496:AC511" si="165">3902+391+251</f>
        <v>4544</v>
      </c>
      <c r="AD496" s="2634">
        <f t="shared" ref="AD496:AD513" si="166">+AB496*AC496</f>
        <v>681.6</v>
      </c>
      <c r="AE496" s="2624">
        <f t="shared" si="163"/>
        <v>0</v>
      </c>
      <c r="AF496" s="2624"/>
      <c r="AG496" s="1148"/>
      <c r="AH496" s="42">
        <f t="shared" ref="AH496:AH511" si="167">+W496-AE496</f>
        <v>0</v>
      </c>
      <c r="AI496" s="43" t="e">
        <f t="shared" si="162"/>
        <v>#DIV/0!</v>
      </c>
    </row>
    <row r="497" spans="1:35" s="218" customFormat="1" ht="25.2" customHeight="1" x14ac:dyDescent="0.2">
      <c r="A497" s="48" t="s">
        <v>3678</v>
      </c>
      <c r="C497" s="1821"/>
      <c r="D497" s="1740" t="s">
        <v>2973</v>
      </c>
      <c r="E497" s="1737" t="s">
        <v>2988</v>
      </c>
      <c r="F497" s="1738" t="s">
        <v>85</v>
      </c>
      <c r="G497" s="1738"/>
      <c r="H497" s="1738"/>
      <c r="I497" s="1738"/>
      <c r="J497" s="1738" t="s">
        <v>2460</v>
      </c>
      <c r="K497" s="1772">
        <v>630</v>
      </c>
      <c r="L497" s="1738"/>
      <c r="M497" s="1738"/>
      <c r="N497" s="1738" t="s">
        <v>316</v>
      </c>
      <c r="O497" s="1738"/>
      <c r="P497" s="1737"/>
      <c r="Q497" s="1737"/>
      <c r="R497" s="1737"/>
      <c r="S497" s="1737"/>
      <c r="T497" s="1737"/>
      <c r="U497" s="1737"/>
      <c r="V497" s="1741"/>
      <c r="W497" s="1742">
        <f>+AD497*1.8*C497</f>
        <v>0</v>
      </c>
      <c r="X497" s="1895">
        <f t="shared" si="161"/>
        <v>0</v>
      </c>
      <c r="Y497" s="3756"/>
      <c r="Z497" s="74" t="s">
        <v>33</v>
      </c>
      <c r="AA497" s="3189" t="s">
        <v>336</v>
      </c>
      <c r="AB497" s="2616">
        <v>0.15</v>
      </c>
      <c r="AC497" s="2617">
        <f t="shared" si="165"/>
        <v>4544</v>
      </c>
      <c r="AD497" s="2634">
        <f t="shared" si="166"/>
        <v>681.6</v>
      </c>
      <c r="AE497" s="2624">
        <f t="shared" si="163"/>
        <v>0</v>
      </c>
      <c r="AF497" s="2618">
        <f>+AE497*C497</f>
        <v>0</v>
      </c>
      <c r="AG497" s="1154">
        <f>+W497-AF497</f>
        <v>0</v>
      </c>
      <c r="AH497" s="76" t="e">
        <f>+AG497/W497</f>
        <v>#DIV/0!</v>
      </c>
      <c r="AI497" s="76"/>
    </row>
    <row r="498" spans="1:35" s="48" customFormat="1" ht="25.2" customHeight="1" x14ac:dyDescent="0.2">
      <c r="A498" s="48" t="s">
        <v>3678</v>
      </c>
      <c r="C498" s="1767"/>
      <c r="D498" s="1753" t="s">
        <v>2974</v>
      </c>
      <c r="E498" s="1753" t="s">
        <v>2988</v>
      </c>
      <c r="F498" s="1755" t="str">
        <f t="shared" si="164"/>
        <v>PRECISION</v>
      </c>
      <c r="G498" s="1755"/>
      <c r="H498" s="1755"/>
      <c r="I498" s="1755"/>
      <c r="J498" s="1755"/>
      <c r="K498" s="1754">
        <v>630</v>
      </c>
      <c r="L498" s="1755"/>
      <c r="M498" s="1755"/>
      <c r="N498" s="1755" t="s">
        <v>2460</v>
      </c>
      <c r="O498" s="1755"/>
      <c r="P498" s="1753"/>
      <c r="Q498" s="1753"/>
      <c r="R498" s="1753"/>
      <c r="S498" s="1753"/>
      <c r="T498" s="1753"/>
      <c r="U498" s="1737"/>
      <c r="V498" s="1741"/>
      <c r="W498" s="1733">
        <f>+AD498*1.3*C498</f>
        <v>0</v>
      </c>
      <c r="X498" s="1893">
        <f t="shared" ref="X498:X515" si="168">+ROUNDUP(W498,0)</f>
        <v>0</v>
      </c>
      <c r="Y498" s="3756"/>
      <c r="Z498" s="61" t="s">
        <v>33</v>
      </c>
      <c r="AA498" s="3190" t="s">
        <v>336</v>
      </c>
      <c r="AB498" s="2616">
        <v>0.15</v>
      </c>
      <c r="AC498" s="2617">
        <f t="shared" si="165"/>
        <v>4544</v>
      </c>
      <c r="AD498" s="2634">
        <f t="shared" si="166"/>
        <v>681.6</v>
      </c>
      <c r="AE498" s="2624">
        <f t="shared" si="163"/>
        <v>0</v>
      </c>
      <c r="AF498" s="2624"/>
      <c r="AG498" s="1148"/>
      <c r="AH498" s="44">
        <f t="shared" si="167"/>
        <v>0</v>
      </c>
      <c r="AI498" s="43" t="e">
        <f t="shared" si="162"/>
        <v>#DIV/0!</v>
      </c>
    </row>
    <row r="499" spans="1:35" s="48" customFormat="1" ht="25.2" customHeight="1" x14ac:dyDescent="0.2">
      <c r="A499" s="48" t="s">
        <v>3678</v>
      </c>
      <c r="C499" s="1821"/>
      <c r="D499" s="1740" t="s">
        <v>2973</v>
      </c>
      <c r="E499" s="1737" t="s">
        <v>332</v>
      </c>
      <c r="F499" s="1738" t="str">
        <f t="shared" si="164"/>
        <v>PRECISION</v>
      </c>
      <c r="G499" s="1738"/>
      <c r="H499" s="1738"/>
      <c r="I499" s="1738"/>
      <c r="J499" s="1738"/>
      <c r="K499" s="1772">
        <v>630</v>
      </c>
      <c r="L499" s="1738"/>
      <c r="M499" s="1738"/>
      <c r="N499" s="1738" t="s">
        <v>324</v>
      </c>
      <c r="O499" s="1738"/>
      <c r="P499" s="1737"/>
      <c r="Q499" s="1737"/>
      <c r="R499" s="1737"/>
      <c r="S499" s="1737"/>
      <c r="T499" s="1737"/>
      <c r="U499" s="1737"/>
      <c r="V499" s="1741"/>
      <c r="W499" s="1773">
        <f>+AD499*1.3*C499</f>
        <v>0</v>
      </c>
      <c r="X499" s="1895">
        <f t="shared" si="168"/>
        <v>0</v>
      </c>
      <c r="Y499" s="3756"/>
      <c r="Z499" s="61" t="s">
        <v>33</v>
      </c>
      <c r="AA499" s="3190" t="s">
        <v>336</v>
      </c>
      <c r="AB499" s="2616">
        <v>0.15</v>
      </c>
      <c r="AC499" s="2625">
        <f t="shared" si="165"/>
        <v>4544</v>
      </c>
      <c r="AD499" s="2634">
        <f t="shared" si="166"/>
        <v>681.6</v>
      </c>
      <c r="AE499" s="2624">
        <f t="shared" si="163"/>
        <v>0</v>
      </c>
      <c r="AF499" s="2624"/>
      <c r="AG499" s="1148"/>
      <c r="AH499" s="42">
        <f t="shared" si="167"/>
        <v>0</v>
      </c>
      <c r="AI499" s="43" t="e">
        <f t="shared" si="162"/>
        <v>#DIV/0!</v>
      </c>
    </row>
    <row r="500" spans="1:35" s="48" customFormat="1" ht="25.2" customHeight="1" x14ac:dyDescent="0.2">
      <c r="A500" s="48" t="s">
        <v>3678</v>
      </c>
      <c r="B500" s="1370"/>
      <c r="C500" s="1821"/>
      <c r="D500" s="1740" t="s">
        <v>2968</v>
      </c>
      <c r="E500" s="1737" t="s">
        <v>332</v>
      </c>
      <c r="F500" s="1738" t="str">
        <f t="shared" si="164"/>
        <v>PRECISION</v>
      </c>
      <c r="G500" s="1738"/>
      <c r="H500" s="1738"/>
      <c r="I500" s="1738"/>
      <c r="J500" s="1738"/>
      <c r="K500" s="1772">
        <v>630</v>
      </c>
      <c r="L500" s="1738"/>
      <c r="M500" s="1738"/>
      <c r="N500" s="1738" t="s">
        <v>324</v>
      </c>
      <c r="O500" s="1738"/>
      <c r="P500" s="1737"/>
      <c r="Q500" s="1737"/>
      <c r="R500" s="1737"/>
      <c r="S500" s="1737"/>
      <c r="T500" s="1737"/>
      <c r="U500" s="1737"/>
      <c r="V500" s="1741"/>
      <c r="W500" s="1758">
        <f>+AD500*2*C500</f>
        <v>0</v>
      </c>
      <c r="X500" s="1895">
        <f t="shared" si="168"/>
        <v>0</v>
      </c>
      <c r="Y500" s="3756"/>
      <c r="Z500" s="61" t="s">
        <v>33</v>
      </c>
      <c r="AA500" s="3190" t="s">
        <v>336</v>
      </c>
      <c r="AB500" s="2616">
        <v>0.15</v>
      </c>
      <c r="AC500" s="2617">
        <f>4052+60</f>
        <v>4112</v>
      </c>
      <c r="AD500" s="2634">
        <f t="shared" si="166"/>
        <v>616.79999999999995</v>
      </c>
      <c r="AE500" s="2624"/>
      <c r="AF500" s="2716">
        <f>+AD500*C500</f>
        <v>0</v>
      </c>
      <c r="AG500" s="1148"/>
      <c r="AH500" s="44">
        <f>+X500-AF500</f>
        <v>0</v>
      </c>
      <c r="AI500" s="43" t="e">
        <f t="shared" si="162"/>
        <v>#DIV/0!</v>
      </c>
    </row>
    <row r="501" spans="1:35" s="48" customFormat="1" ht="25.2" customHeight="1" x14ac:dyDescent="0.2">
      <c r="A501" s="48" t="s">
        <v>3678</v>
      </c>
      <c r="B501" s="1370"/>
      <c r="C501" s="1821"/>
      <c r="D501" s="1740" t="s">
        <v>2968</v>
      </c>
      <c r="E501" s="1737" t="s">
        <v>332</v>
      </c>
      <c r="F501" s="1738" t="str">
        <f t="shared" si="164"/>
        <v>PRECISION</v>
      </c>
      <c r="G501" s="1738"/>
      <c r="H501" s="1738"/>
      <c r="I501" s="1738"/>
      <c r="J501" s="1738"/>
      <c r="K501" s="1772">
        <v>630</v>
      </c>
      <c r="L501" s="1738"/>
      <c r="M501" s="1738"/>
      <c r="N501" s="1738" t="s">
        <v>324</v>
      </c>
      <c r="O501" s="1738"/>
      <c r="P501" s="1737"/>
      <c r="Q501" s="1737"/>
      <c r="R501" s="1737"/>
      <c r="S501" s="1737"/>
      <c r="T501" s="1737"/>
      <c r="U501" s="1737"/>
      <c r="V501" s="1741"/>
      <c r="W501" s="1773">
        <f t="shared" ref="W501:W511" si="169">+AD501*1.3*C501</f>
        <v>0</v>
      </c>
      <c r="X501" s="1895">
        <f t="shared" si="168"/>
        <v>0</v>
      </c>
      <c r="Y501" s="3756"/>
      <c r="Z501" s="61" t="s">
        <v>33</v>
      </c>
      <c r="AA501" s="3190" t="s">
        <v>336</v>
      </c>
      <c r="AB501" s="2616">
        <v>0.15</v>
      </c>
      <c r="AC501" s="2625">
        <f t="shared" si="165"/>
        <v>4544</v>
      </c>
      <c r="AD501" s="2634">
        <f t="shared" si="166"/>
        <v>681.6</v>
      </c>
      <c r="AE501" s="2624">
        <f t="shared" ref="AE501:AE513" si="170">+AD501*C501</f>
        <v>0</v>
      </c>
      <c r="AF501" s="2624"/>
      <c r="AG501" s="1148"/>
      <c r="AH501" s="42">
        <f t="shared" si="167"/>
        <v>0</v>
      </c>
      <c r="AI501" s="43" t="e">
        <f t="shared" si="162"/>
        <v>#DIV/0!</v>
      </c>
    </row>
    <row r="502" spans="1:35" s="48" customFormat="1" ht="25.2" customHeight="1" x14ac:dyDescent="0.2">
      <c r="A502" s="48" t="s">
        <v>3678</v>
      </c>
      <c r="B502" s="1370"/>
      <c r="C502" s="1821"/>
      <c r="D502" s="1740" t="s">
        <v>2968</v>
      </c>
      <c r="E502" s="1737" t="s">
        <v>332</v>
      </c>
      <c r="F502" s="1738" t="str">
        <f t="shared" si="164"/>
        <v>PRECISION</v>
      </c>
      <c r="G502" s="1738"/>
      <c r="H502" s="1738"/>
      <c r="I502" s="1738"/>
      <c r="J502" s="1738"/>
      <c r="K502" s="1772">
        <v>630</v>
      </c>
      <c r="L502" s="1738"/>
      <c r="M502" s="1738"/>
      <c r="N502" s="1738" t="s">
        <v>324</v>
      </c>
      <c r="O502" s="1738"/>
      <c r="P502" s="1737"/>
      <c r="Q502" s="1737"/>
      <c r="R502" s="1737"/>
      <c r="S502" s="1737"/>
      <c r="T502" s="1737"/>
      <c r="U502" s="1737"/>
      <c r="V502" s="1741"/>
      <c r="W502" s="1773">
        <f t="shared" si="169"/>
        <v>0</v>
      </c>
      <c r="X502" s="1895">
        <f t="shared" si="168"/>
        <v>0</v>
      </c>
      <c r="Y502" s="3756"/>
      <c r="Z502" s="61" t="s">
        <v>33</v>
      </c>
      <c r="AA502" s="3190" t="s">
        <v>336</v>
      </c>
      <c r="AB502" s="2616">
        <v>0.15</v>
      </c>
      <c r="AC502" s="2625">
        <f t="shared" si="165"/>
        <v>4544</v>
      </c>
      <c r="AD502" s="2634">
        <f t="shared" si="166"/>
        <v>681.6</v>
      </c>
      <c r="AE502" s="2624">
        <f t="shared" si="170"/>
        <v>0</v>
      </c>
      <c r="AF502" s="2624"/>
      <c r="AG502" s="1148"/>
      <c r="AH502" s="42">
        <f t="shared" si="167"/>
        <v>0</v>
      </c>
      <c r="AI502" s="43" t="e">
        <f t="shared" si="162"/>
        <v>#DIV/0!</v>
      </c>
    </row>
    <row r="503" spans="1:35" s="48" customFormat="1" ht="25.2" customHeight="1" x14ac:dyDescent="0.2">
      <c r="A503" s="48" t="s">
        <v>3678</v>
      </c>
      <c r="B503" s="1370"/>
      <c r="C503" s="1821"/>
      <c r="D503" s="1740" t="s">
        <v>2968</v>
      </c>
      <c r="E503" s="1737" t="s">
        <v>332</v>
      </c>
      <c r="F503" s="1738" t="str">
        <f t="shared" si="164"/>
        <v>PRECISION</v>
      </c>
      <c r="G503" s="1738"/>
      <c r="H503" s="1738"/>
      <c r="I503" s="1738"/>
      <c r="J503" s="1738"/>
      <c r="K503" s="1772">
        <v>630</v>
      </c>
      <c r="L503" s="1738"/>
      <c r="M503" s="1738"/>
      <c r="N503" s="1738" t="s">
        <v>324</v>
      </c>
      <c r="O503" s="1738"/>
      <c r="P503" s="1737"/>
      <c r="Q503" s="1737"/>
      <c r="R503" s="1737"/>
      <c r="S503" s="1737"/>
      <c r="T503" s="1737"/>
      <c r="U503" s="1737"/>
      <c r="V503" s="1741"/>
      <c r="W503" s="1758">
        <f t="shared" si="169"/>
        <v>0</v>
      </c>
      <c r="X503" s="1895">
        <f t="shared" si="168"/>
        <v>0</v>
      </c>
      <c r="Y503" s="3756"/>
      <c r="Z503" s="61" t="s">
        <v>33</v>
      </c>
      <c r="AA503" s="3190" t="s">
        <v>336</v>
      </c>
      <c r="AB503" s="2616">
        <v>0.15</v>
      </c>
      <c r="AC503" s="2625">
        <f t="shared" si="165"/>
        <v>4544</v>
      </c>
      <c r="AD503" s="2634">
        <f t="shared" si="166"/>
        <v>681.6</v>
      </c>
      <c r="AE503" s="2624">
        <f t="shared" si="170"/>
        <v>0</v>
      </c>
      <c r="AF503" s="2624"/>
      <c r="AG503" s="1148"/>
      <c r="AH503" s="42">
        <f t="shared" si="167"/>
        <v>0</v>
      </c>
      <c r="AI503" s="43" t="e">
        <f t="shared" si="162"/>
        <v>#DIV/0!</v>
      </c>
    </row>
    <row r="504" spans="1:35" s="48" customFormat="1" ht="25.2" customHeight="1" x14ac:dyDescent="0.2">
      <c r="A504" s="48" t="s">
        <v>3678</v>
      </c>
      <c r="B504" s="1370"/>
      <c r="C504" s="1821"/>
      <c r="D504" s="1740" t="s">
        <v>2968</v>
      </c>
      <c r="E504" s="1737" t="s">
        <v>332</v>
      </c>
      <c r="F504" s="1738" t="str">
        <f t="shared" si="164"/>
        <v>PRECISION</v>
      </c>
      <c r="G504" s="1738"/>
      <c r="H504" s="1738"/>
      <c r="I504" s="1738"/>
      <c r="J504" s="1738"/>
      <c r="K504" s="1772">
        <v>630</v>
      </c>
      <c r="L504" s="1738"/>
      <c r="M504" s="1738"/>
      <c r="N504" s="1738" t="s">
        <v>324</v>
      </c>
      <c r="O504" s="1738"/>
      <c r="P504" s="1737"/>
      <c r="Q504" s="1737"/>
      <c r="R504" s="1737"/>
      <c r="S504" s="1737"/>
      <c r="T504" s="1737"/>
      <c r="U504" s="1737"/>
      <c r="V504" s="1741"/>
      <c r="W504" s="1773">
        <f t="shared" si="169"/>
        <v>0</v>
      </c>
      <c r="X504" s="1895">
        <f t="shared" si="168"/>
        <v>0</v>
      </c>
      <c r="Y504" s="3756"/>
      <c r="Z504" s="74" t="s">
        <v>33</v>
      </c>
      <c r="AA504" s="3190" t="s">
        <v>336</v>
      </c>
      <c r="AB504" s="2616">
        <v>0.15</v>
      </c>
      <c r="AC504" s="2625">
        <f t="shared" si="165"/>
        <v>4544</v>
      </c>
      <c r="AD504" s="2634">
        <f t="shared" si="166"/>
        <v>681.6</v>
      </c>
      <c r="AE504" s="2624">
        <f t="shared" si="170"/>
        <v>0</v>
      </c>
      <c r="AF504" s="2624"/>
      <c r="AG504" s="1148"/>
      <c r="AH504" s="44">
        <f t="shared" si="167"/>
        <v>0</v>
      </c>
      <c r="AI504" s="874" t="e">
        <f t="shared" si="162"/>
        <v>#DIV/0!</v>
      </c>
    </row>
    <row r="505" spans="1:35" s="48" customFormat="1" ht="25.2" customHeight="1" x14ac:dyDescent="0.2">
      <c r="A505" s="48" t="s">
        <v>3678</v>
      </c>
      <c r="B505" s="1370"/>
      <c r="C505" s="1821"/>
      <c r="D505" s="1740" t="s">
        <v>2968</v>
      </c>
      <c r="E505" s="1737" t="s">
        <v>332</v>
      </c>
      <c r="F505" s="1738" t="str">
        <f t="shared" si="164"/>
        <v>PRECISION</v>
      </c>
      <c r="G505" s="1738"/>
      <c r="H505" s="1738"/>
      <c r="I505" s="1738"/>
      <c r="J505" s="1738"/>
      <c r="K505" s="1772">
        <v>630</v>
      </c>
      <c r="L505" s="1738"/>
      <c r="M505" s="1738"/>
      <c r="N505" s="1738" t="s">
        <v>324</v>
      </c>
      <c r="O505" s="1738"/>
      <c r="P505" s="1737"/>
      <c r="Q505" s="1737"/>
      <c r="R505" s="1737"/>
      <c r="S505" s="1737"/>
      <c r="T505" s="1737"/>
      <c r="U505" s="1737"/>
      <c r="V505" s="1741"/>
      <c r="W505" s="1773">
        <f t="shared" si="169"/>
        <v>0</v>
      </c>
      <c r="X505" s="1895">
        <f t="shared" si="168"/>
        <v>0</v>
      </c>
      <c r="Y505" s="3756"/>
      <c r="Z505" s="74" t="s">
        <v>33</v>
      </c>
      <c r="AA505" s="3190" t="s">
        <v>336</v>
      </c>
      <c r="AB505" s="2616">
        <v>0.15</v>
      </c>
      <c r="AC505" s="2625">
        <f t="shared" si="165"/>
        <v>4544</v>
      </c>
      <c r="AD505" s="2634">
        <f t="shared" si="166"/>
        <v>681.6</v>
      </c>
      <c r="AE505" s="2624">
        <f t="shared" si="170"/>
        <v>0</v>
      </c>
      <c r="AF505" s="2624"/>
      <c r="AG505" s="1148"/>
      <c r="AH505" s="44">
        <f t="shared" si="167"/>
        <v>0</v>
      </c>
      <c r="AI505" s="874" t="e">
        <f t="shared" si="162"/>
        <v>#DIV/0!</v>
      </c>
    </row>
    <row r="506" spans="1:35" s="48" customFormat="1" ht="25.2" customHeight="1" x14ac:dyDescent="0.2">
      <c r="A506" s="48" t="s">
        <v>3678</v>
      </c>
      <c r="B506" s="1370"/>
      <c r="C506" s="1821"/>
      <c r="D506" s="1740" t="s">
        <v>2968</v>
      </c>
      <c r="E506" s="1737" t="s">
        <v>332</v>
      </c>
      <c r="F506" s="1738" t="str">
        <f t="shared" si="164"/>
        <v>PRECISION</v>
      </c>
      <c r="G506" s="1738"/>
      <c r="H506" s="1738"/>
      <c r="I506" s="1738"/>
      <c r="J506" s="1738"/>
      <c r="K506" s="1772">
        <v>630</v>
      </c>
      <c r="L506" s="1738"/>
      <c r="M506" s="1738"/>
      <c r="N506" s="1738" t="s">
        <v>324</v>
      </c>
      <c r="O506" s="1738"/>
      <c r="P506" s="1737"/>
      <c r="Q506" s="1737"/>
      <c r="R506" s="1737"/>
      <c r="S506" s="1737"/>
      <c r="T506" s="1737"/>
      <c r="U506" s="1737"/>
      <c r="V506" s="1741"/>
      <c r="W506" s="1758">
        <f t="shared" si="169"/>
        <v>0</v>
      </c>
      <c r="X506" s="1895">
        <f t="shared" si="168"/>
        <v>0</v>
      </c>
      <c r="Y506" s="3756"/>
      <c r="Z506" s="74" t="s">
        <v>33</v>
      </c>
      <c r="AA506" s="3190" t="s">
        <v>336</v>
      </c>
      <c r="AB506" s="2616">
        <v>0.15</v>
      </c>
      <c r="AC506" s="2625">
        <f t="shared" si="165"/>
        <v>4544</v>
      </c>
      <c r="AD506" s="2634">
        <f t="shared" si="166"/>
        <v>681.6</v>
      </c>
      <c r="AE506" s="2624">
        <f t="shared" si="170"/>
        <v>0</v>
      </c>
      <c r="AF506" s="2624"/>
      <c r="AG506" s="1148"/>
      <c r="AH506" s="44">
        <f t="shared" si="167"/>
        <v>0</v>
      </c>
      <c r="AI506" s="874" t="e">
        <f t="shared" si="162"/>
        <v>#DIV/0!</v>
      </c>
    </row>
    <row r="507" spans="1:35" s="48" customFormat="1" ht="25.2" customHeight="1" x14ac:dyDescent="0.2">
      <c r="A507" s="48" t="s">
        <v>3678</v>
      </c>
      <c r="B507" s="1370"/>
      <c r="C507" s="1821"/>
      <c r="D507" s="1740" t="s">
        <v>2968</v>
      </c>
      <c r="E507" s="1737" t="s">
        <v>332</v>
      </c>
      <c r="F507" s="1738" t="str">
        <f t="shared" si="164"/>
        <v>PRECISION</v>
      </c>
      <c r="G507" s="1738"/>
      <c r="H507" s="1738"/>
      <c r="I507" s="1738"/>
      <c r="J507" s="1738"/>
      <c r="K507" s="1772">
        <v>630</v>
      </c>
      <c r="L507" s="1738"/>
      <c r="M507" s="1738"/>
      <c r="N507" s="1738" t="s">
        <v>324</v>
      </c>
      <c r="O507" s="1738"/>
      <c r="P507" s="1737"/>
      <c r="Q507" s="1737"/>
      <c r="R507" s="1737"/>
      <c r="S507" s="1737"/>
      <c r="T507" s="1737"/>
      <c r="U507" s="1737"/>
      <c r="V507" s="1741"/>
      <c r="W507" s="1773">
        <f t="shared" si="169"/>
        <v>0</v>
      </c>
      <c r="X507" s="1895">
        <f t="shared" si="168"/>
        <v>0</v>
      </c>
      <c r="Y507" s="3756"/>
      <c r="Z507" s="74" t="s">
        <v>33</v>
      </c>
      <c r="AA507" s="3190" t="s">
        <v>336</v>
      </c>
      <c r="AB507" s="2616">
        <v>0.15</v>
      </c>
      <c r="AC507" s="2625">
        <f t="shared" si="165"/>
        <v>4544</v>
      </c>
      <c r="AD507" s="2634">
        <f t="shared" si="166"/>
        <v>681.6</v>
      </c>
      <c r="AE507" s="2624">
        <f t="shared" si="170"/>
        <v>0</v>
      </c>
      <c r="AF507" s="2624"/>
      <c r="AG507" s="1148"/>
      <c r="AH507" s="44">
        <f t="shared" si="167"/>
        <v>0</v>
      </c>
      <c r="AI507" s="874" t="e">
        <f t="shared" si="162"/>
        <v>#DIV/0!</v>
      </c>
    </row>
    <row r="508" spans="1:35" s="48" customFormat="1" ht="25.2" customHeight="1" x14ac:dyDescent="0.2">
      <c r="A508" s="48" t="s">
        <v>3678</v>
      </c>
      <c r="B508" s="1370"/>
      <c r="C508" s="1821"/>
      <c r="D508" s="1740" t="s">
        <v>2968</v>
      </c>
      <c r="E508" s="1737" t="s">
        <v>332</v>
      </c>
      <c r="F508" s="1738" t="str">
        <f t="shared" si="164"/>
        <v>PRECISION</v>
      </c>
      <c r="G508" s="1738"/>
      <c r="H508" s="1738"/>
      <c r="I508" s="1738"/>
      <c r="J508" s="1738"/>
      <c r="K508" s="1772">
        <v>630</v>
      </c>
      <c r="L508" s="1738"/>
      <c r="M508" s="1738"/>
      <c r="N508" s="1738" t="s">
        <v>324</v>
      </c>
      <c r="O508" s="1738"/>
      <c r="P508" s="1737"/>
      <c r="Q508" s="1737"/>
      <c r="R508" s="1737"/>
      <c r="S508" s="1737"/>
      <c r="T508" s="1737"/>
      <c r="U508" s="1737"/>
      <c r="V508" s="1741"/>
      <c r="W508" s="1758">
        <f t="shared" si="169"/>
        <v>0</v>
      </c>
      <c r="X508" s="1895">
        <f t="shared" si="168"/>
        <v>0</v>
      </c>
      <c r="Y508" s="3756"/>
      <c r="Z508" s="74" t="s">
        <v>33</v>
      </c>
      <c r="AA508" s="3190" t="s">
        <v>336</v>
      </c>
      <c r="AB508" s="2616">
        <v>0.15</v>
      </c>
      <c r="AC508" s="2625">
        <f t="shared" si="165"/>
        <v>4544</v>
      </c>
      <c r="AD508" s="2634">
        <f t="shared" si="166"/>
        <v>681.6</v>
      </c>
      <c r="AE508" s="2624">
        <f t="shared" si="170"/>
        <v>0</v>
      </c>
      <c r="AF508" s="2624"/>
      <c r="AG508" s="1148"/>
      <c r="AH508" s="44">
        <f t="shared" si="167"/>
        <v>0</v>
      </c>
      <c r="AI508" s="874" t="e">
        <f t="shared" si="162"/>
        <v>#DIV/0!</v>
      </c>
    </row>
    <row r="509" spans="1:35" s="48" customFormat="1" ht="25.2" customHeight="1" x14ac:dyDescent="0.2">
      <c r="A509" s="48" t="s">
        <v>3678</v>
      </c>
      <c r="B509" s="1370"/>
      <c r="C509" s="1821"/>
      <c r="D509" s="1783" t="s">
        <v>2968</v>
      </c>
      <c r="E509" s="1753" t="s">
        <v>332</v>
      </c>
      <c r="F509" s="1755" t="str">
        <f t="shared" si="164"/>
        <v>PRECISION</v>
      </c>
      <c r="G509" s="1755"/>
      <c r="H509" s="1755"/>
      <c r="I509" s="1755"/>
      <c r="J509" s="1755"/>
      <c r="K509" s="1772">
        <v>630</v>
      </c>
      <c r="L509" s="1755"/>
      <c r="M509" s="1755"/>
      <c r="N509" s="1755" t="s">
        <v>324</v>
      </c>
      <c r="O509" s="1755"/>
      <c r="P509" s="1753"/>
      <c r="Q509" s="1753"/>
      <c r="R509" s="1753"/>
      <c r="S509" s="1753"/>
      <c r="T509" s="1753"/>
      <c r="U509" s="1753"/>
      <c r="V509" s="1756"/>
      <c r="W509" s="1733">
        <f t="shared" si="169"/>
        <v>0</v>
      </c>
      <c r="X509" s="1893">
        <f t="shared" si="168"/>
        <v>0</v>
      </c>
      <c r="Y509" s="3756"/>
      <c r="Z509" s="249" t="s">
        <v>33</v>
      </c>
      <c r="AA509" s="3223" t="s">
        <v>336</v>
      </c>
      <c r="AB509" s="2616">
        <v>0.15</v>
      </c>
      <c r="AC509" s="2629">
        <f t="shared" si="165"/>
        <v>4544</v>
      </c>
      <c r="AD509" s="2629">
        <f t="shared" si="166"/>
        <v>681.6</v>
      </c>
      <c r="AE509" s="2630">
        <f t="shared" si="170"/>
        <v>0</v>
      </c>
      <c r="AF509" s="2630"/>
      <c r="AG509" s="1156"/>
      <c r="AH509" s="248">
        <f t="shared" si="167"/>
        <v>0</v>
      </c>
      <c r="AI509" s="882" t="e">
        <f t="shared" si="162"/>
        <v>#DIV/0!</v>
      </c>
    </row>
    <row r="510" spans="1:35" s="48" customFormat="1" ht="25.2" customHeight="1" x14ac:dyDescent="0.2">
      <c r="A510" s="48" t="s">
        <v>3678</v>
      </c>
      <c r="B510" s="1370"/>
      <c r="C510" s="1821"/>
      <c r="D510" s="1740" t="s">
        <v>2968</v>
      </c>
      <c r="E510" s="1737" t="s">
        <v>332</v>
      </c>
      <c r="F510" s="1738" t="str">
        <f t="shared" si="164"/>
        <v>PRECISION</v>
      </c>
      <c r="G510" s="1738"/>
      <c r="H510" s="1738"/>
      <c r="I510" s="1738"/>
      <c r="J510" s="1738"/>
      <c r="K510" s="1772">
        <v>630</v>
      </c>
      <c r="L510" s="1738"/>
      <c r="M510" s="1738"/>
      <c r="N510" s="1738" t="s">
        <v>324</v>
      </c>
      <c r="O510" s="1738"/>
      <c r="P510" s="1737"/>
      <c r="Q510" s="1737"/>
      <c r="R510" s="1737"/>
      <c r="S510" s="1737"/>
      <c r="T510" s="1737"/>
      <c r="U510" s="1737"/>
      <c r="V510" s="1741"/>
      <c r="W510" s="1758">
        <f t="shared" si="169"/>
        <v>0</v>
      </c>
      <c r="X510" s="1895">
        <f t="shared" si="168"/>
        <v>0</v>
      </c>
      <c r="Y510" s="3756"/>
      <c r="Z510" s="74" t="s">
        <v>33</v>
      </c>
      <c r="AA510" s="3190" t="s">
        <v>336</v>
      </c>
      <c r="AB510" s="2616">
        <v>0.15</v>
      </c>
      <c r="AC510" s="2617">
        <f t="shared" si="165"/>
        <v>4544</v>
      </c>
      <c r="AD510" s="2634">
        <f t="shared" si="166"/>
        <v>681.6</v>
      </c>
      <c r="AE510" s="2624">
        <f t="shared" si="170"/>
        <v>0</v>
      </c>
      <c r="AF510" s="2624"/>
      <c r="AG510" s="1148"/>
      <c r="AH510" s="44">
        <f t="shared" si="167"/>
        <v>0</v>
      </c>
      <c r="AI510" s="874" t="e">
        <f t="shared" si="162"/>
        <v>#DIV/0!</v>
      </c>
    </row>
    <row r="511" spans="1:35" s="207" customFormat="1" ht="25.2" customHeight="1" x14ac:dyDescent="0.2">
      <c r="A511" s="48" t="s">
        <v>3678</v>
      </c>
      <c r="B511" s="1370"/>
      <c r="C511" s="1821"/>
      <c r="D511" s="1740" t="s">
        <v>2968</v>
      </c>
      <c r="E511" s="1737" t="s">
        <v>332</v>
      </c>
      <c r="F511" s="1738" t="str">
        <f t="shared" si="164"/>
        <v>PRECISION</v>
      </c>
      <c r="G511" s="1738"/>
      <c r="H511" s="1738"/>
      <c r="I511" s="1738"/>
      <c r="J511" s="1738"/>
      <c r="K511" s="1772">
        <v>630</v>
      </c>
      <c r="L511" s="1738"/>
      <c r="M511" s="1738"/>
      <c r="N511" s="1738" t="s">
        <v>324</v>
      </c>
      <c r="O511" s="1738"/>
      <c r="P511" s="1737"/>
      <c r="Q511" s="1737"/>
      <c r="R511" s="1737"/>
      <c r="S511" s="1737"/>
      <c r="T511" s="1737"/>
      <c r="U511" s="1737"/>
      <c r="V511" s="1741"/>
      <c r="W511" s="1758">
        <f t="shared" si="169"/>
        <v>0</v>
      </c>
      <c r="X511" s="1895">
        <f t="shared" si="168"/>
        <v>0</v>
      </c>
      <c r="Y511" s="3756"/>
      <c r="Z511" s="61" t="s">
        <v>33</v>
      </c>
      <c r="AA511" s="3190" t="s">
        <v>336</v>
      </c>
      <c r="AB511" s="2616">
        <v>0.15</v>
      </c>
      <c r="AC511" s="2617">
        <f t="shared" si="165"/>
        <v>4544</v>
      </c>
      <c r="AD511" s="2634">
        <f t="shared" si="166"/>
        <v>681.6</v>
      </c>
      <c r="AE511" s="2624">
        <f t="shared" si="170"/>
        <v>0</v>
      </c>
      <c r="AF511" s="2624"/>
      <c r="AG511" s="1148"/>
      <c r="AH511" s="44">
        <f t="shared" si="167"/>
        <v>0</v>
      </c>
      <c r="AI511" s="874" t="e">
        <f t="shared" si="162"/>
        <v>#DIV/0!</v>
      </c>
    </row>
    <row r="512" spans="1:35" s="48" customFormat="1" ht="12.6" customHeight="1" x14ac:dyDescent="0.2">
      <c r="A512" s="48" t="s">
        <v>3676</v>
      </c>
      <c r="B512" s="1370"/>
      <c r="C512" s="1821"/>
      <c r="D512" s="1737" t="s">
        <v>3603</v>
      </c>
      <c r="E512" s="1737" t="s">
        <v>352</v>
      </c>
      <c r="F512" s="1738"/>
      <c r="G512" s="1738"/>
      <c r="H512" s="1738"/>
      <c r="I512" s="1738"/>
      <c r="J512" s="1738"/>
      <c r="K512" s="1737" t="s">
        <v>353</v>
      </c>
      <c r="L512" s="1738"/>
      <c r="M512" s="1738"/>
      <c r="N512" s="1738" t="s">
        <v>342</v>
      </c>
      <c r="O512" s="1738"/>
      <c r="P512" s="1737"/>
      <c r="Q512" s="1737"/>
      <c r="R512" s="1737"/>
      <c r="S512" s="1737"/>
      <c r="T512" s="1737"/>
      <c r="U512" s="1737"/>
      <c r="V512" s="1741"/>
      <c r="W512" s="1790">
        <f>+AD512*1.6*C512</f>
        <v>0</v>
      </c>
      <c r="X512" s="2271">
        <f t="shared" si="168"/>
        <v>0</v>
      </c>
      <c r="Y512" s="3756"/>
      <c r="Z512" s="74" t="s">
        <v>23</v>
      </c>
      <c r="AA512" s="3188" t="s">
        <v>3298</v>
      </c>
      <c r="AB512" s="2616">
        <v>0.26</v>
      </c>
      <c r="AC512" s="2625">
        <v>155.85</v>
      </c>
      <c r="AD512" s="2634">
        <f t="shared" si="166"/>
        <v>40.521000000000001</v>
      </c>
      <c r="AE512" s="2624">
        <f t="shared" si="170"/>
        <v>0</v>
      </c>
      <c r="AF512" s="2624"/>
      <c r="AG512" s="1148"/>
      <c r="AH512" s="42">
        <f>+W512-AE512</f>
        <v>0</v>
      </c>
      <c r="AI512" s="43" t="e">
        <f t="shared" si="162"/>
        <v>#DIV/0!</v>
      </c>
    </row>
    <row r="513" spans="1:35" s="48" customFormat="1" ht="25.2" customHeight="1" x14ac:dyDescent="0.2">
      <c r="A513" s="48" t="s">
        <v>3676</v>
      </c>
      <c r="B513" s="1370"/>
      <c r="C513" s="1821"/>
      <c r="D513" s="1740" t="s">
        <v>3603</v>
      </c>
      <c r="E513" s="1737" t="s">
        <v>352</v>
      </c>
      <c r="F513" s="1738"/>
      <c r="G513" s="1738"/>
      <c r="H513" s="1738"/>
      <c r="I513" s="1738"/>
      <c r="J513" s="1738"/>
      <c r="K513" s="1737" t="s">
        <v>353</v>
      </c>
      <c r="L513" s="1738"/>
      <c r="M513" s="1738"/>
      <c r="N513" s="1738" t="s">
        <v>342</v>
      </c>
      <c r="O513" s="1738"/>
      <c r="P513" s="1737"/>
      <c r="Q513" s="1737"/>
      <c r="R513" s="1737"/>
      <c r="S513" s="1737"/>
      <c r="T513" s="1737"/>
      <c r="U513" s="1737"/>
      <c r="V513" s="1741"/>
      <c r="W513" s="1742">
        <f>+AD513*1.75*C513</f>
        <v>0</v>
      </c>
      <c r="X513" s="2271">
        <f t="shared" si="168"/>
        <v>0</v>
      </c>
      <c r="Y513" s="3756"/>
      <c r="Z513" s="74" t="s">
        <v>23</v>
      </c>
      <c r="AA513" s="3188" t="s">
        <v>3299</v>
      </c>
      <c r="AB513" s="2616">
        <v>0.26</v>
      </c>
      <c r="AC513" s="2625">
        <v>155.85</v>
      </c>
      <c r="AD513" s="2634">
        <f t="shared" si="166"/>
        <v>40.521000000000001</v>
      </c>
      <c r="AE513" s="2624">
        <f t="shared" si="170"/>
        <v>0</v>
      </c>
      <c r="AF513" s="2624"/>
      <c r="AG513" s="1148"/>
      <c r="AH513" s="42">
        <f>+W513-AE513</f>
        <v>0</v>
      </c>
      <c r="AI513" s="43" t="e">
        <f t="shared" si="162"/>
        <v>#DIV/0!</v>
      </c>
    </row>
    <row r="514" spans="1:35" s="48" customFormat="1" ht="12.6" customHeight="1" x14ac:dyDescent="0.2">
      <c r="A514" s="48" t="s">
        <v>3676</v>
      </c>
      <c r="B514" s="1370"/>
      <c r="C514" s="2360"/>
      <c r="D514" s="2253" t="s">
        <v>3603</v>
      </c>
      <c r="E514" s="2253" t="s">
        <v>333</v>
      </c>
      <c r="F514" s="2254"/>
      <c r="G514" s="1738"/>
      <c r="H514" s="2254"/>
      <c r="I514" s="2254"/>
      <c r="J514" s="2254"/>
      <c r="K514" s="2253" t="s">
        <v>380</v>
      </c>
      <c r="L514" s="1738"/>
      <c r="M514" s="1738"/>
      <c r="N514" s="1738" t="s">
        <v>2553</v>
      </c>
      <c r="O514" s="1738"/>
      <c r="P514" s="1737"/>
      <c r="Q514" s="1737"/>
      <c r="R514" s="1737"/>
      <c r="S514" s="1737"/>
      <c r="T514" s="1737"/>
      <c r="U514" s="1737"/>
      <c r="V514" s="1741"/>
      <c r="W514" s="1790">
        <f>+AD514*C514*1.7</f>
        <v>0</v>
      </c>
      <c r="X514" s="2271">
        <f t="shared" si="168"/>
        <v>0</v>
      </c>
      <c r="Y514" s="3756"/>
      <c r="Z514" s="74" t="s">
        <v>23</v>
      </c>
      <c r="AA514" s="3189" t="s">
        <v>377</v>
      </c>
      <c r="AB514" s="2616">
        <v>0.26</v>
      </c>
      <c r="AC514" s="2617">
        <v>251.55</v>
      </c>
      <c r="AD514" s="2617">
        <f>+AB514*AC514</f>
        <v>65.403000000000006</v>
      </c>
      <c r="AE514" s="2624">
        <f>+C514*AD514</f>
        <v>0</v>
      </c>
      <c r="AF514" s="2624"/>
      <c r="AG514" s="1148"/>
      <c r="AH514" s="842">
        <f>+W514-AE514</f>
        <v>0</v>
      </c>
      <c r="AI514" s="43" t="e">
        <f t="shared" si="162"/>
        <v>#DIV/0!</v>
      </c>
    </row>
    <row r="515" spans="1:35" s="48" customFormat="1" ht="12.6" customHeight="1" x14ac:dyDescent="0.2">
      <c r="A515" s="48" t="s">
        <v>3676</v>
      </c>
      <c r="B515" s="1370"/>
      <c r="C515" s="1821"/>
      <c r="D515" s="1771" t="s">
        <v>3603</v>
      </c>
      <c r="E515" s="1771" t="s">
        <v>333</v>
      </c>
      <c r="F515" s="1769"/>
      <c r="G515" s="1769"/>
      <c r="H515" s="1769"/>
      <c r="I515" s="1769"/>
      <c r="J515" s="1769"/>
      <c r="K515" s="1765">
        <v>630</v>
      </c>
      <c r="L515" s="1769"/>
      <c r="M515" s="1769"/>
      <c r="N515" s="1769" t="s">
        <v>2463</v>
      </c>
      <c r="O515" s="1769"/>
      <c r="P515" s="1771"/>
      <c r="Q515" s="1771"/>
      <c r="R515" s="1771"/>
      <c r="S515" s="1737"/>
      <c r="T515" s="1737"/>
      <c r="U515" s="1737"/>
      <c r="V515" s="1741"/>
      <c r="W515" s="1812">
        <f>+AD515*C515*1.7</f>
        <v>0</v>
      </c>
      <c r="X515" s="2379">
        <f t="shared" si="168"/>
        <v>0</v>
      </c>
      <c r="Y515" s="3756"/>
      <c r="Z515" s="74" t="s">
        <v>23</v>
      </c>
      <c r="AA515" s="3189" t="s">
        <v>377</v>
      </c>
      <c r="AB515" s="2616">
        <v>0.26</v>
      </c>
      <c r="AC515" s="2617">
        <v>251.55</v>
      </c>
      <c r="AD515" s="2617">
        <f>+AB515*AC515</f>
        <v>65.403000000000006</v>
      </c>
      <c r="AE515" s="2624">
        <f>+AD515*C515</f>
        <v>0</v>
      </c>
      <c r="AF515" s="2624" t="e">
        <f>+AE515/X515</f>
        <v>#DIV/0!</v>
      </c>
      <c r="AG515" s="1148"/>
      <c r="AH515" s="42">
        <f>+W515-AE515</f>
        <v>0</v>
      </c>
      <c r="AI515" s="43" t="e">
        <f t="shared" si="162"/>
        <v>#DIV/0!</v>
      </c>
    </row>
    <row r="516" spans="1:35" s="196" customFormat="1" ht="13.2" customHeight="1" thickBot="1" x14ac:dyDescent="0.25">
      <c r="A516" s="48" t="s">
        <v>3676</v>
      </c>
      <c r="B516" s="1370"/>
      <c r="C516" s="1821"/>
      <c r="D516" s="1740" t="s">
        <v>3603</v>
      </c>
      <c r="E516" s="1737" t="s">
        <v>333</v>
      </c>
      <c r="F516" s="1738"/>
      <c r="G516" s="1738"/>
      <c r="H516" s="1738"/>
      <c r="I516" s="1738"/>
      <c r="J516" s="1738"/>
      <c r="K516" s="1737" t="s">
        <v>380</v>
      </c>
      <c r="L516" s="1738"/>
      <c r="M516" s="1738"/>
      <c r="N516" s="1738" t="s">
        <v>381</v>
      </c>
      <c r="O516" s="1738"/>
      <c r="P516" s="1737"/>
      <c r="Q516" s="1737"/>
      <c r="R516" s="1737"/>
      <c r="S516" s="1737"/>
      <c r="T516" s="1737"/>
      <c r="U516" s="1737"/>
      <c r="V516" s="1741"/>
      <c r="W516" s="1758">
        <f>+AD516*C516*1.7</f>
        <v>0</v>
      </c>
      <c r="X516" s="1895">
        <f>ROUNDUP(W516,0)</f>
        <v>0</v>
      </c>
      <c r="Y516" s="3756"/>
      <c r="Z516" s="193" t="s">
        <v>23</v>
      </c>
      <c r="AA516" s="3217" t="s">
        <v>377</v>
      </c>
      <c r="AB516" s="2681">
        <v>0.26</v>
      </c>
      <c r="AC516" s="2682">
        <v>251.55</v>
      </c>
      <c r="AD516" s="2682">
        <f>+AB516*AC516</f>
        <v>65.403000000000006</v>
      </c>
      <c r="AE516" s="2698">
        <f>+W516-AD516</f>
        <v>-65.403000000000006</v>
      </c>
      <c r="AF516" s="2698" t="e">
        <f>+AE516/X516</f>
        <v>#DIV/0!</v>
      </c>
      <c r="AG516" s="1163"/>
      <c r="AH516" s="195"/>
      <c r="AI516" s="43" t="e">
        <f t="shared" si="162"/>
        <v>#DIV/0!</v>
      </c>
    </row>
    <row r="517" spans="1:35" s="48" customFormat="1" ht="13.95" customHeight="1" x14ac:dyDescent="0.2">
      <c r="A517" s="48" t="s">
        <v>3676</v>
      </c>
      <c r="B517" s="1726"/>
      <c r="C517" s="1744"/>
      <c r="D517" s="1759" t="s">
        <v>1307</v>
      </c>
      <c r="E517" s="1759" t="s">
        <v>88</v>
      </c>
      <c r="F517" s="1752" t="s">
        <v>85</v>
      </c>
      <c r="G517" s="1752"/>
      <c r="H517" s="1759" t="s">
        <v>1289</v>
      </c>
      <c r="I517" s="1752"/>
      <c r="K517" s="1757">
        <v>630</v>
      </c>
      <c r="L517" s="1759"/>
      <c r="M517" s="1759"/>
      <c r="N517" s="1752" t="s">
        <v>99</v>
      </c>
      <c r="O517" s="1752"/>
      <c r="P517" s="1753"/>
      <c r="Q517" s="1753"/>
      <c r="R517" s="1753"/>
      <c r="S517" s="1746" t="s">
        <v>2581</v>
      </c>
      <c r="T517" s="1734">
        <v>0</v>
      </c>
      <c r="U517" s="1819"/>
      <c r="V517" s="1799"/>
      <c r="W517" s="1733">
        <f>+AD517*C517*1.6</f>
        <v>0</v>
      </c>
      <c r="X517" s="1893">
        <f>+ROUNDUP(W517,0)</f>
        <v>0</v>
      </c>
      <c r="Y517" s="3756"/>
      <c r="Z517" s="1341" t="s">
        <v>33</v>
      </c>
      <c r="AA517" s="2717" t="s">
        <v>2771</v>
      </c>
      <c r="AB517" s="2616">
        <v>0.15</v>
      </c>
      <c r="AC517" s="2617">
        <v>800</v>
      </c>
      <c r="AD517" s="2659">
        <f t="shared" ref="AD517:AD525" si="171">+AC517*AB517</f>
        <v>120</v>
      </c>
      <c r="AE517" s="2718"/>
      <c r="AF517" s="2618">
        <f>+AE517*C517</f>
        <v>0</v>
      </c>
      <c r="AG517" s="1154">
        <f>+W517-AF517</f>
        <v>0</v>
      </c>
      <c r="AH517" s="76" t="e">
        <f>+AG517/W517</f>
        <v>#DIV/0!</v>
      </c>
      <c r="AI517" s="1322"/>
    </row>
    <row r="518" spans="1:35" s="48" customFormat="1" ht="13.95" customHeight="1" x14ac:dyDescent="0.2">
      <c r="A518" s="48" t="s">
        <v>3676</v>
      </c>
      <c r="B518" s="1726"/>
      <c r="C518" s="1744"/>
      <c r="D518" s="1759" t="s">
        <v>1307</v>
      </c>
      <c r="E518" s="1759" t="s">
        <v>88</v>
      </c>
      <c r="F518" s="1752" t="s">
        <v>85</v>
      </c>
      <c r="G518" s="1752"/>
      <c r="H518" s="1759" t="s">
        <v>1289</v>
      </c>
      <c r="I518" s="1752"/>
      <c r="K518" s="1757">
        <v>630</v>
      </c>
      <c r="L518" s="1759"/>
      <c r="M518" s="1759"/>
      <c r="N518" s="1752" t="s">
        <v>99</v>
      </c>
      <c r="O518" s="1752"/>
      <c r="P518" s="1753"/>
      <c r="Q518" s="1753"/>
      <c r="R518" s="1753"/>
      <c r="S518" s="1746" t="s">
        <v>2581</v>
      </c>
      <c r="T518" s="1734">
        <v>0</v>
      </c>
      <c r="U518" s="1819"/>
      <c r="V518" s="1799"/>
      <c r="W518" s="1733">
        <f>+AD518*C518*1.6</f>
        <v>0</v>
      </c>
      <c r="X518" s="1893">
        <f>+ROUNDUP(W518,0)</f>
        <v>0</v>
      </c>
      <c r="Y518" s="3756"/>
      <c r="Z518" s="1341" t="s">
        <v>33</v>
      </c>
      <c r="AA518" s="2717" t="s">
        <v>2771</v>
      </c>
      <c r="AB518" s="2616">
        <v>0.15</v>
      </c>
      <c r="AC518" s="2617">
        <v>800</v>
      </c>
      <c r="AD518" s="2659">
        <f>+AC518*AB518</f>
        <v>120</v>
      </c>
      <c r="AE518" s="2718"/>
      <c r="AF518" s="2618">
        <f>+AE518*C518</f>
        <v>0</v>
      </c>
      <c r="AG518" s="1154">
        <f>+W518-AF518</f>
        <v>0</v>
      </c>
      <c r="AH518" s="76" t="e">
        <f>+AG518/W518</f>
        <v>#DIV/0!</v>
      </c>
      <c r="AI518" s="1322"/>
    </row>
    <row r="519" spans="1:35" s="48" customFormat="1" ht="13.95" customHeight="1" x14ac:dyDescent="0.2">
      <c r="A519" s="48" t="s">
        <v>3676</v>
      </c>
      <c r="B519" s="1726"/>
      <c r="C519" s="1744"/>
      <c r="D519" s="1759" t="s">
        <v>1307</v>
      </c>
      <c r="E519" s="1759" t="s">
        <v>88</v>
      </c>
      <c r="F519" s="1752" t="s">
        <v>85</v>
      </c>
      <c r="G519" s="1752"/>
      <c r="H519" s="1759" t="s">
        <v>1289</v>
      </c>
      <c r="I519" s="1752"/>
      <c r="K519" s="1757">
        <v>630</v>
      </c>
      <c r="L519" s="1759"/>
      <c r="M519" s="1759"/>
      <c r="N519" s="1752" t="s">
        <v>99</v>
      </c>
      <c r="O519" s="1752"/>
      <c r="P519" s="1753"/>
      <c r="Q519" s="1753"/>
      <c r="R519" s="1753"/>
      <c r="S519" s="1746" t="s">
        <v>2581</v>
      </c>
      <c r="T519" s="1734">
        <v>0</v>
      </c>
      <c r="U519" s="1819"/>
      <c r="V519" s="1799"/>
      <c r="W519" s="1733">
        <f>+AD519*C519*1.6</f>
        <v>0</v>
      </c>
      <c r="X519" s="1893">
        <f>+ROUNDUP(W519,0)</f>
        <v>0</v>
      </c>
      <c r="Y519" s="3756"/>
      <c r="Z519" s="1341" t="s">
        <v>33</v>
      </c>
      <c r="AA519" s="2717" t="s">
        <v>2771</v>
      </c>
      <c r="AB519" s="2616">
        <v>0.15</v>
      </c>
      <c r="AC519" s="2617">
        <v>800</v>
      </c>
      <c r="AD519" s="2659">
        <f>+AC519*AB519</f>
        <v>120</v>
      </c>
      <c r="AE519" s="2718"/>
      <c r="AF519" s="2618">
        <f>+AE519*C519</f>
        <v>0</v>
      </c>
      <c r="AG519" s="1154">
        <f>+W519-AF519</f>
        <v>0</v>
      </c>
      <c r="AH519" s="76" t="e">
        <f>+AG519/W519</f>
        <v>#DIV/0!</v>
      </c>
      <c r="AI519" s="1322"/>
    </row>
    <row r="520" spans="1:35" s="48" customFormat="1" ht="22.8" customHeight="1" x14ac:dyDescent="0.2">
      <c r="A520" s="48" t="s">
        <v>3676</v>
      </c>
      <c r="B520" s="1370"/>
      <c r="C520" s="1821"/>
      <c r="D520" s="1791" t="s">
        <v>3084</v>
      </c>
      <c r="E520" s="1791" t="s">
        <v>333</v>
      </c>
      <c r="F520" s="1776"/>
      <c r="G520" s="1776"/>
      <c r="H520" s="1776"/>
      <c r="I520" s="1776"/>
      <c r="J520" s="1776"/>
      <c r="K520" s="1777">
        <v>626</v>
      </c>
      <c r="L520" s="1776"/>
      <c r="M520" s="1776"/>
      <c r="N520" s="1776" t="s">
        <v>402</v>
      </c>
      <c r="O520" s="1776"/>
      <c r="P520" s="1737"/>
      <c r="Q520" s="1737"/>
      <c r="R520" s="1737"/>
      <c r="S520" s="1737"/>
      <c r="T520" s="1737"/>
      <c r="U520" s="1737"/>
      <c r="V520" s="1741"/>
      <c r="W520" s="1758">
        <f>+AD520*C520*1.6</f>
        <v>0</v>
      </c>
      <c r="X520" s="1895">
        <f>ROUNDUP(W520,0)</f>
        <v>0</v>
      </c>
      <c r="Y520" s="3756"/>
      <c r="Z520" s="253" t="s">
        <v>397</v>
      </c>
      <c r="AA520" s="3199" t="s">
        <v>398</v>
      </c>
      <c r="AB520" s="2623">
        <v>1</v>
      </c>
      <c r="AC520" s="2625">
        <v>324.39999999999998</v>
      </c>
      <c r="AD520" s="2617">
        <f t="shared" si="171"/>
        <v>324.39999999999998</v>
      </c>
      <c r="AE520" s="2624">
        <f>+W520-AD520</f>
        <v>-324.39999999999998</v>
      </c>
      <c r="AF520" s="2624" t="e">
        <f>+AE520/X520</f>
        <v>#DIV/0!</v>
      </c>
      <c r="AG520" s="1148"/>
      <c r="AH520" s="199"/>
      <c r="AI520" s="43"/>
    </row>
    <row r="521" spans="1:35" s="48" customFormat="1" ht="22.8" customHeight="1" x14ac:dyDescent="0.2">
      <c r="A521" s="48" t="s">
        <v>3676</v>
      </c>
      <c r="B521" s="1370"/>
      <c r="C521" s="1821"/>
      <c r="D521" s="1791" t="s">
        <v>3084</v>
      </c>
      <c r="E521" s="1737" t="s">
        <v>333</v>
      </c>
      <c r="F521" s="1738"/>
      <c r="G521" s="1738"/>
      <c r="H521" s="1738"/>
      <c r="I521" s="1738"/>
      <c r="J521" s="1738"/>
      <c r="K521" s="1772">
        <v>626</v>
      </c>
      <c r="L521" s="1738"/>
      <c r="M521" s="1738"/>
      <c r="N521" s="1738" t="s">
        <v>402</v>
      </c>
      <c r="O521" s="1738" t="s">
        <v>2850</v>
      </c>
      <c r="P521" s="1737"/>
      <c r="Q521" s="1737"/>
      <c r="R521" s="1737"/>
      <c r="S521" s="1737"/>
      <c r="T521" s="1737"/>
      <c r="U521" s="1737"/>
      <c r="V521" s="1741"/>
      <c r="W521" s="1758">
        <f>+AD521*C521*1.4</f>
        <v>0</v>
      </c>
      <c r="X521" s="1895">
        <f>ROUNDUP(W521,0)</f>
        <v>0</v>
      </c>
      <c r="Y521" s="3756"/>
      <c r="Z521" s="859" t="s">
        <v>397</v>
      </c>
      <c r="AA521" s="3199" t="s">
        <v>398</v>
      </c>
      <c r="AB521" s="2623">
        <v>1</v>
      </c>
      <c r="AC521" s="2625">
        <v>324.39999999999998</v>
      </c>
      <c r="AD521" s="2617">
        <f t="shared" si="171"/>
        <v>324.39999999999998</v>
      </c>
      <c r="AE521" s="2624">
        <f>+W521-AD521</f>
        <v>-324.39999999999998</v>
      </c>
      <c r="AF521" s="2624" t="e">
        <f>+AE521/X521</f>
        <v>#DIV/0!</v>
      </c>
      <c r="AG521" s="1148"/>
      <c r="AH521" s="199"/>
      <c r="AI521" s="43"/>
    </row>
    <row r="522" spans="1:35" s="48" customFormat="1" ht="22.8" customHeight="1" x14ac:dyDescent="0.2">
      <c r="A522" s="48" t="s">
        <v>3676</v>
      </c>
      <c r="B522" s="1370"/>
      <c r="C522" s="1821"/>
      <c r="D522" s="1791" t="s">
        <v>3084</v>
      </c>
      <c r="E522" s="1737" t="s">
        <v>333</v>
      </c>
      <c r="F522" s="1738"/>
      <c r="G522" s="1738"/>
      <c r="H522" s="1738"/>
      <c r="I522" s="1738"/>
      <c r="J522" s="1738"/>
      <c r="K522" s="1772">
        <v>626</v>
      </c>
      <c r="L522" s="1738"/>
      <c r="M522" s="1738"/>
      <c r="N522" s="1738" t="s">
        <v>396</v>
      </c>
      <c r="O522" s="1738"/>
      <c r="P522" s="1737"/>
      <c r="Q522" s="1737"/>
      <c r="R522" s="1737"/>
      <c r="S522" s="1737"/>
      <c r="T522" s="1737"/>
      <c r="U522" s="1737"/>
      <c r="V522" s="1741"/>
      <c r="W522" s="1790">
        <f>+AD522*C522*1.4</f>
        <v>0</v>
      </c>
      <c r="X522" s="2271">
        <f>+ROUNDUP(W522,0)</f>
        <v>0</v>
      </c>
      <c r="Y522" s="3756"/>
      <c r="Z522" s="253" t="s">
        <v>397</v>
      </c>
      <c r="AA522" s="3221" t="s">
        <v>398</v>
      </c>
      <c r="AB522" s="2623">
        <v>1</v>
      </c>
      <c r="AC522" s="2617">
        <v>324.39999999999998</v>
      </c>
      <c r="AD522" s="2617">
        <f t="shared" si="171"/>
        <v>324.39999999999998</v>
      </c>
      <c r="AE522" s="2624"/>
      <c r="AF522" s="2624"/>
      <c r="AG522" s="1148"/>
      <c r="AH522" s="199"/>
      <c r="AI522" s="43"/>
    </row>
    <row r="523" spans="1:35" s="48" customFormat="1" ht="22.8" customHeight="1" x14ac:dyDescent="0.2">
      <c r="A523" s="48" t="s">
        <v>3676</v>
      </c>
      <c r="B523" s="1370"/>
      <c r="C523" s="1821"/>
      <c r="D523" s="1791" t="s">
        <v>3084</v>
      </c>
      <c r="E523" s="1737" t="s">
        <v>333</v>
      </c>
      <c r="F523" s="1738"/>
      <c r="G523" s="1738"/>
      <c r="H523" s="1761"/>
      <c r="I523" s="1738"/>
      <c r="J523" s="1738"/>
      <c r="K523" s="1772">
        <v>626</v>
      </c>
      <c r="L523" s="1738"/>
      <c r="M523" s="1738"/>
      <c r="N523" s="1738" t="s">
        <v>396</v>
      </c>
      <c r="O523" s="1738"/>
      <c r="P523" s="1737"/>
      <c r="Q523" s="1737"/>
      <c r="R523" s="1737"/>
      <c r="S523" s="1737"/>
      <c r="T523" s="1737"/>
      <c r="U523" s="1737"/>
      <c r="V523" s="1741"/>
      <c r="W523" s="1790">
        <f>+AD523*C523*1.4</f>
        <v>0</v>
      </c>
      <c r="X523" s="2271">
        <f>+ROUNDUP(W523,0)</f>
        <v>0</v>
      </c>
      <c r="Y523" s="3756"/>
      <c r="Z523" s="253" t="s">
        <v>397</v>
      </c>
      <c r="AA523" s="3222" t="s">
        <v>398</v>
      </c>
      <c r="AB523" s="2623">
        <v>1</v>
      </c>
      <c r="AC523" s="2617">
        <v>324.39999999999998</v>
      </c>
      <c r="AD523" s="2617">
        <f t="shared" si="171"/>
        <v>324.39999999999998</v>
      </c>
      <c r="AE523" s="2624"/>
      <c r="AF523" s="2624"/>
      <c r="AG523" s="1148"/>
      <c r="AH523" s="199"/>
      <c r="AI523" s="43"/>
    </row>
    <row r="524" spans="1:35" s="48" customFormat="1" ht="22.8" customHeight="1" x14ac:dyDescent="0.2">
      <c r="A524" s="48" t="s">
        <v>3676</v>
      </c>
      <c r="B524" s="1370"/>
      <c r="C524" s="1821"/>
      <c r="D524" s="1791" t="s">
        <v>3084</v>
      </c>
      <c r="E524" s="1737" t="s">
        <v>333</v>
      </c>
      <c r="F524" s="1738"/>
      <c r="G524" s="1738"/>
      <c r="H524" s="1738"/>
      <c r="I524" s="1738"/>
      <c r="J524" s="1738"/>
      <c r="K524" s="1772">
        <v>626</v>
      </c>
      <c r="L524" s="1738"/>
      <c r="M524" s="1738"/>
      <c r="N524" s="1738" t="s">
        <v>402</v>
      </c>
      <c r="O524" s="1738"/>
      <c r="P524" s="1737"/>
      <c r="Q524" s="1737"/>
      <c r="R524" s="1737"/>
      <c r="S524" s="1737"/>
      <c r="T524" s="1737"/>
      <c r="U524" s="1737"/>
      <c r="V524" s="1741"/>
      <c r="W524" s="1758">
        <f>+AD524*C524*1.4</f>
        <v>0</v>
      </c>
      <c r="X524" s="1895">
        <f>ROUNDUP(W524,0)</f>
        <v>0</v>
      </c>
      <c r="Y524" s="3756"/>
      <c r="Z524" s="859" t="s">
        <v>397</v>
      </c>
      <c r="AA524" s="3199" t="s">
        <v>398</v>
      </c>
      <c r="AB524" s="2623">
        <v>1</v>
      </c>
      <c r="AC524" s="2625">
        <v>324.39999999999998</v>
      </c>
      <c r="AD524" s="2617">
        <f t="shared" si="171"/>
        <v>324.39999999999998</v>
      </c>
      <c r="AE524" s="2624">
        <f>+W524-AD524</f>
        <v>-324.39999999999998</v>
      </c>
      <c r="AF524" s="2624" t="e">
        <f>+AE524/X524</f>
        <v>#DIV/0!</v>
      </c>
      <c r="AG524" s="1148"/>
      <c r="AH524" s="199"/>
      <c r="AI524" s="43"/>
    </row>
    <row r="525" spans="1:35" s="48" customFormat="1" ht="22.8" customHeight="1" thickBot="1" x14ac:dyDescent="0.25">
      <c r="A525" s="48" t="s">
        <v>3676</v>
      </c>
      <c r="B525" s="1370"/>
      <c r="C525" s="1821"/>
      <c r="D525" s="1791" t="s">
        <v>3084</v>
      </c>
      <c r="E525" s="1737" t="s">
        <v>333</v>
      </c>
      <c r="F525" s="1738"/>
      <c r="G525" s="1738"/>
      <c r="H525" s="1738"/>
      <c r="I525" s="1738"/>
      <c r="J525" s="1738"/>
      <c r="K525" s="1772">
        <v>626</v>
      </c>
      <c r="L525" s="1738"/>
      <c r="M525" s="1738"/>
      <c r="N525" s="1738" t="s">
        <v>402</v>
      </c>
      <c r="O525" s="1738"/>
      <c r="P525" s="1737"/>
      <c r="Q525" s="1737"/>
      <c r="R525" s="1737"/>
      <c r="S525" s="1737"/>
      <c r="T525" s="1737"/>
      <c r="U525" s="1737"/>
      <c r="V525" s="1741"/>
      <c r="W525" s="1758">
        <f>+AD525*C525*1.4</f>
        <v>0</v>
      </c>
      <c r="X525" s="1895">
        <f>ROUNDUP(W525,0)</f>
        <v>0</v>
      </c>
      <c r="Y525" s="3756"/>
      <c r="Z525" s="859" t="s">
        <v>397</v>
      </c>
      <c r="AA525" s="3199" t="s">
        <v>398</v>
      </c>
      <c r="AB525" s="2623">
        <v>1</v>
      </c>
      <c r="AC525" s="2625">
        <v>324.39999999999998</v>
      </c>
      <c r="AD525" s="2617">
        <f t="shared" si="171"/>
        <v>324.39999999999998</v>
      </c>
      <c r="AE525" s="2624">
        <f>+W525-AD525</f>
        <v>-324.39999999999998</v>
      </c>
      <c r="AF525" s="2624" t="e">
        <f>+AE525/X525</f>
        <v>#DIV/0!</v>
      </c>
      <c r="AG525" s="1148"/>
      <c r="AH525" s="199"/>
      <c r="AI525" s="43"/>
    </row>
    <row r="526" spans="1:35" s="48" customFormat="1" ht="12.6" customHeight="1" thickBot="1" x14ac:dyDescent="0.25">
      <c r="A526" s="48" t="s">
        <v>3676</v>
      </c>
      <c r="B526" s="1370"/>
      <c r="C526" s="2264"/>
      <c r="D526" s="2253" t="s">
        <v>3606</v>
      </c>
      <c r="E526" s="3431" t="s">
        <v>2928</v>
      </c>
      <c r="F526" s="2256"/>
      <c r="G526" s="1755"/>
      <c r="H526" s="2256"/>
      <c r="I526" s="2256"/>
      <c r="J526" s="2256" t="s">
        <v>85</v>
      </c>
      <c r="K526" s="2257">
        <v>630</v>
      </c>
      <c r="L526" s="1755"/>
      <c r="M526" s="1755"/>
      <c r="N526" s="1755"/>
      <c r="O526" s="1755"/>
      <c r="P526" s="1753"/>
      <c r="Q526" s="1753"/>
      <c r="R526" s="1753"/>
      <c r="S526" s="1753"/>
      <c r="T526" s="1753"/>
      <c r="U526" s="1753"/>
      <c r="V526" s="1756"/>
      <c r="W526" s="1733">
        <f>+C526*185</f>
        <v>0</v>
      </c>
      <c r="X526" s="1893">
        <f t="shared" ref="X526:X538" si="172">+ROUNDUP(W526,0)</f>
        <v>0</v>
      </c>
      <c r="Y526" s="3767"/>
      <c r="Z526" s="246" t="s">
        <v>33</v>
      </c>
      <c r="AA526" s="3196"/>
      <c r="AB526" s="2616">
        <v>0.15</v>
      </c>
      <c r="AC526" s="2628"/>
      <c r="AD526" s="2629">
        <v>0</v>
      </c>
      <c r="AE526" s="2630"/>
      <c r="AF526" s="2630"/>
      <c r="AG526" s="1156"/>
      <c r="AH526" s="251"/>
      <c r="AI526" s="216" t="e">
        <f t="shared" ref="AI526:AI538" si="173">+AH526/X526</f>
        <v>#DIV/0!</v>
      </c>
    </row>
    <row r="527" spans="1:35" s="48" customFormat="1" ht="12.6" customHeight="1" thickBot="1" x14ac:dyDescent="0.25">
      <c r="A527" s="48" t="s">
        <v>3676</v>
      </c>
      <c r="B527" s="1370"/>
      <c r="C527" s="1766"/>
      <c r="D527" s="1779" t="s">
        <v>3606</v>
      </c>
      <c r="E527" s="1753" t="s">
        <v>2927</v>
      </c>
      <c r="F527" s="1755"/>
      <c r="G527" s="1755"/>
      <c r="H527" s="1755"/>
      <c r="I527" s="1755"/>
      <c r="J527" s="1755" t="s">
        <v>85</v>
      </c>
      <c r="K527" s="1754">
        <v>630</v>
      </c>
      <c r="L527" s="1755"/>
      <c r="M527" s="1755"/>
      <c r="N527" s="1755"/>
      <c r="O527" s="1755"/>
      <c r="P527" s="1753"/>
      <c r="Q527" s="1753"/>
      <c r="R527" s="1753"/>
      <c r="S527" s="1753"/>
      <c r="T527" s="1753"/>
      <c r="U527" s="1753"/>
      <c r="V527" s="1756"/>
      <c r="W527" s="1733">
        <f>+C527*185</f>
        <v>0</v>
      </c>
      <c r="X527" s="1893">
        <f t="shared" si="172"/>
        <v>0</v>
      </c>
      <c r="Y527" s="3768"/>
      <c r="Z527" s="214" t="s">
        <v>33</v>
      </c>
      <c r="AA527" s="3208"/>
      <c r="AB527" s="2616">
        <v>0.15</v>
      </c>
      <c r="AC527" s="2627"/>
      <c r="AD527" s="2627">
        <v>0</v>
      </c>
      <c r="AE527" s="2655"/>
      <c r="AF527" s="2655"/>
      <c r="AG527" s="1154"/>
      <c r="AH527" s="186"/>
      <c r="AI527" s="189" t="e">
        <f t="shared" si="173"/>
        <v>#DIV/0!</v>
      </c>
    </row>
    <row r="528" spans="1:35" s="221" customFormat="1" ht="12.6" customHeight="1" x14ac:dyDescent="0.2">
      <c r="A528" s="48" t="s">
        <v>3676</v>
      </c>
      <c r="B528" s="1370"/>
      <c r="C528" s="1766"/>
      <c r="D528" s="1779" t="s">
        <v>3606</v>
      </c>
      <c r="E528" s="1737" t="s">
        <v>333</v>
      </c>
      <c r="F528" s="1738"/>
      <c r="G528" s="1738"/>
      <c r="H528" s="1738"/>
      <c r="I528" s="1738"/>
      <c r="J528" s="1755" t="s">
        <v>85</v>
      </c>
      <c r="K528" s="1754">
        <v>630</v>
      </c>
      <c r="L528" s="1738"/>
      <c r="M528" s="1738"/>
      <c r="N528" s="1738"/>
      <c r="O528" s="1738"/>
      <c r="P528" s="1737"/>
      <c r="Q528" s="1737"/>
      <c r="R528" s="1737"/>
      <c r="S528" s="1737"/>
      <c r="T528" s="1737"/>
      <c r="U528" s="1737"/>
      <c r="V528" s="1741"/>
      <c r="W528" s="1758">
        <f>+C528*150</f>
        <v>0</v>
      </c>
      <c r="X528" s="1895">
        <f t="shared" si="172"/>
        <v>0</v>
      </c>
      <c r="Y528" s="3756"/>
      <c r="Z528" s="858" t="s">
        <v>33</v>
      </c>
      <c r="AA528" s="3216"/>
      <c r="AB528" s="2616">
        <v>0.15</v>
      </c>
      <c r="AC528" s="2677"/>
      <c r="AD528" s="2677">
        <v>0</v>
      </c>
      <c r="AE528" s="2696"/>
      <c r="AF528" s="2696"/>
      <c r="AG528" s="1165"/>
      <c r="AH528" s="852"/>
      <c r="AI528" s="884" t="e">
        <f t="shared" si="173"/>
        <v>#DIV/0!</v>
      </c>
    </row>
    <row r="529" spans="1:35" s="48" customFormat="1" ht="12.6" customHeight="1" x14ac:dyDescent="0.2">
      <c r="A529" s="48" t="s">
        <v>3676</v>
      </c>
      <c r="B529" s="1370"/>
      <c r="C529" s="1766"/>
      <c r="D529" s="1779" t="s">
        <v>3606</v>
      </c>
      <c r="E529" s="1787" t="s">
        <v>2724</v>
      </c>
      <c r="F529" s="1793"/>
      <c r="G529" s="1793"/>
      <c r="H529" s="1793"/>
      <c r="I529" s="1793"/>
      <c r="J529" s="1793" t="s">
        <v>2710</v>
      </c>
      <c r="K529" s="1754">
        <v>630</v>
      </c>
      <c r="L529" s="1793"/>
      <c r="M529" s="1793"/>
      <c r="N529" s="1793" t="s">
        <v>2463</v>
      </c>
      <c r="O529" s="1793"/>
      <c r="P529" s="1739"/>
      <c r="Q529" s="1739"/>
      <c r="R529" s="1739"/>
      <c r="S529" s="1787"/>
      <c r="T529" s="1737"/>
      <c r="U529" s="1737"/>
      <c r="V529" s="1741"/>
      <c r="W529" s="1794">
        <f>+AD529*1.6*C529</f>
        <v>0</v>
      </c>
      <c r="X529" s="1923">
        <f t="shared" si="172"/>
        <v>0</v>
      </c>
      <c r="Y529" s="3756"/>
      <c r="Z529" s="61" t="s">
        <v>2512</v>
      </c>
      <c r="AA529" s="3188" t="s">
        <v>2513</v>
      </c>
      <c r="AB529" s="2643">
        <v>0.15</v>
      </c>
      <c r="AC529" s="2643">
        <v>750</v>
      </c>
      <c r="AD529" s="2637">
        <f>+AC529*AB529</f>
        <v>112.5</v>
      </c>
      <c r="AE529" s="2624">
        <f>+AD529*C529</f>
        <v>0</v>
      </c>
      <c r="AF529" s="2624"/>
      <c r="AG529" s="1148"/>
      <c r="AH529" s="42">
        <f>+W529-AE529</f>
        <v>0</v>
      </c>
      <c r="AI529" s="43" t="e">
        <f t="shared" si="173"/>
        <v>#DIV/0!</v>
      </c>
    </row>
    <row r="530" spans="1:35" s="48" customFormat="1" ht="12.6" customHeight="1" x14ac:dyDescent="0.2">
      <c r="A530" s="48" t="s">
        <v>3676</v>
      </c>
      <c r="B530" s="1370"/>
      <c r="C530" s="1766"/>
      <c r="D530" s="1779" t="s">
        <v>3606</v>
      </c>
      <c r="E530" s="1737" t="s">
        <v>2514</v>
      </c>
      <c r="F530" s="1738"/>
      <c r="G530" s="1738"/>
      <c r="H530" s="1738"/>
      <c r="I530" s="1738"/>
      <c r="J530" s="1738" t="s">
        <v>85</v>
      </c>
      <c r="K530" s="1754">
        <v>630</v>
      </c>
      <c r="L530" s="1738"/>
      <c r="M530" s="1738"/>
      <c r="N530" s="1738" t="s">
        <v>410</v>
      </c>
      <c r="O530" s="1738"/>
      <c r="P530" s="1737"/>
      <c r="Q530" s="1737"/>
      <c r="R530" s="1737"/>
      <c r="S530" s="1737"/>
      <c r="T530" s="1737"/>
      <c r="U530" s="1737"/>
      <c r="V530" s="1741"/>
      <c r="W530" s="1773">
        <f>+AD530*1.6*C530</f>
        <v>0</v>
      </c>
      <c r="X530" s="1895">
        <f t="shared" si="172"/>
        <v>0</v>
      </c>
      <c r="Y530" s="3756"/>
      <c r="Z530" s="61" t="s">
        <v>2512</v>
      </c>
      <c r="AA530" s="3188" t="s">
        <v>2515</v>
      </c>
      <c r="AB530" s="2643">
        <v>0.15</v>
      </c>
      <c r="AC530" s="2643">
        <v>320</v>
      </c>
      <c r="AD530" s="2637">
        <f>+AC530*0.5*0.5</f>
        <v>80</v>
      </c>
      <c r="AE530" s="2624">
        <f>+AD530*C530</f>
        <v>0</v>
      </c>
      <c r="AF530" s="2624"/>
      <c r="AG530" s="1148"/>
      <c r="AH530" s="42">
        <f>+W530-AE530</f>
        <v>0</v>
      </c>
      <c r="AI530" s="43" t="e">
        <f t="shared" si="173"/>
        <v>#DIV/0!</v>
      </c>
    </row>
    <row r="531" spans="1:35" s="48" customFormat="1" ht="12.6" customHeight="1" x14ac:dyDescent="0.2">
      <c r="A531" s="48" t="s">
        <v>3676</v>
      </c>
      <c r="B531" s="1370"/>
      <c r="C531" s="1766"/>
      <c r="D531" s="1779" t="s">
        <v>3606</v>
      </c>
      <c r="E531" s="1753" t="s">
        <v>2511</v>
      </c>
      <c r="F531" s="1755"/>
      <c r="G531" s="1755"/>
      <c r="H531" s="1755"/>
      <c r="I531" s="1755"/>
      <c r="J531" s="1755" t="s">
        <v>85</v>
      </c>
      <c r="K531" s="1754">
        <v>630</v>
      </c>
      <c r="L531" s="1755"/>
      <c r="M531" s="1755"/>
      <c r="N531" s="1755" t="s">
        <v>410</v>
      </c>
      <c r="O531" s="1755"/>
      <c r="P531" s="1753"/>
      <c r="Q531" s="1753"/>
      <c r="R531" s="1753"/>
      <c r="S531" s="1737"/>
      <c r="T531" s="1737"/>
      <c r="U531" s="1737"/>
      <c r="V531" s="1741"/>
      <c r="W531" s="1773">
        <f>+AD531*3.5*C531</f>
        <v>0</v>
      </c>
      <c r="X531" s="1893">
        <f t="shared" si="172"/>
        <v>0</v>
      </c>
      <c r="Y531" s="3756"/>
      <c r="Z531" s="61" t="s">
        <v>2512</v>
      </c>
      <c r="AA531" s="3214" t="s">
        <v>2823</v>
      </c>
      <c r="AB531" s="2643">
        <v>0.15</v>
      </c>
      <c r="AC531" s="2643">
        <v>500</v>
      </c>
      <c r="AD531" s="2637">
        <f>+AB531*AC531</f>
        <v>75</v>
      </c>
      <c r="AE531" s="2624">
        <f>+AD531*C531</f>
        <v>0</v>
      </c>
      <c r="AF531" s="2624"/>
      <c r="AG531" s="1148"/>
      <c r="AH531" s="42">
        <f>+W531-AE531</f>
        <v>0</v>
      </c>
      <c r="AI531" s="43" t="e">
        <f t="shared" si="173"/>
        <v>#DIV/0!</v>
      </c>
    </row>
    <row r="532" spans="1:35" s="48" customFormat="1" ht="12.6" customHeight="1" x14ac:dyDescent="0.2">
      <c r="A532" s="48" t="s">
        <v>3676</v>
      </c>
      <c r="B532" s="1370"/>
      <c r="C532" s="1766"/>
      <c r="D532" s="1779" t="s">
        <v>3606</v>
      </c>
      <c r="E532" s="1753" t="s">
        <v>333</v>
      </c>
      <c r="F532" s="1755"/>
      <c r="G532" s="1755"/>
      <c r="H532" s="1755"/>
      <c r="I532" s="1755"/>
      <c r="J532" s="1755" t="s">
        <v>85</v>
      </c>
      <c r="K532" s="1754">
        <v>630</v>
      </c>
      <c r="L532" s="1755"/>
      <c r="M532" s="1755"/>
      <c r="N532" s="1755" t="s">
        <v>338</v>
      </c>
      <c r="O532" s="1755"/>
      <c r="P532" s="1753"/>
      <c r="Q532" s="1753"/>
      <c r="R532" s="1753"/>
      <c r="S532" s="1737"/>
      <c r="T532" s="1737"/>
      <c r="U532" s="1737"/>
      <c r="V532" s="1741">
        <f>+W532/9</f>
        <v>0</v>
      </c>
      <c r="W532" s="1758">
        <f>+AD532*1.6*C532</f>
        <v>0</v>
      </c>
      <c r="X532" s="1893">
        <f t="shared" si="172"/>
        <v>0</v>
      </c>
      <c r="Y532" s="3756"/>
      <c r="Z532" s="61" t="s">
        <v>2824</v>
      </c>
      <c r="AA532" s="3188"/>
      <c r="AB532" s="2711">
        <v>0.15</v>
      </c>
      <c r="AC532" s="2709">
        <v>750</v>
      </c>
      <c r="AD532" s="2637">
        <f>+AC532*AB532</f>
        <v>112.5</v>
      </c>
      <c r="AE532" s="2624">
        <f>+AD532*C532</f>
        <v>0</v>
      </c>
      <c r="AF532" s="2624"/>
      <c r="AG532" s="1148"/>
      <c r="AH532" s="42">
        <f>+W532-AE532</f>
        <v>0</v>
      </c>
      <c r="AI532" s="43" t="e">
        <f t="shared" si="173"/>
        <v>#DIV/0!</v>
      </c>
    </row>
    <row r="533" spans="1:35" s="48" customFormat="1" ht="12.6" customHeight="1" x14ac:dyDescent="0.2">
      <c r="A533" s="48" t="s">
        <v>3676</v>
      </c>
      <c r="B533" s="1370"/>
      <c r="C533" s="1766"/>
      <c r="D533" s="1779" t="s">
        <v>3606</v>
      </c>
      <c r="E533" s="1753" t="s">
        <v>333</v>
      </c>
      <c r="F533" s="1755"/>
      <c r="G533" s="1755"/>
      <c r="H533" s="1755"/>
      <c r="I533" s="1755"/>
      <c r="J533" s="1755"/>
      <c r="K533" s="1754">
        <v>630</v>
      </c>
      <c r="L533" s="1755"/>
      <c r="M533" s="1755"/>
      <c r="N533" s="1755" t="s">
        <v>86</v>
      </c>
      <c r="O533" s="1755"/>
      <c r="P533" s="1753"/>
      <c r="Q533" s="1753"/>
      <c r="R533" s="1753"/>
      <c r="S533" s="1753"/>
      <c r="T533" s="1753"/>
      <c r="U533" s="1753"/>
      <c r="V533" s="1756"/>
      <c r="W533" s="1733">
        <f>+C533*300</f>
        <v>0</v>
      </c>
      <c r="X533" s="1893">
        <f t="shared" si="172"/>
        <v>0</v>
      </c>
      <c r="Y533" s="3756"/>
      <c r="Z533" s="246" t="s">
        <v>33</v>
      </c>
      <c r="AA533" s="3228"/>
      <c r="AB533" s="2616">
        <v>0.15</v>
      </c>
      <c r="AC533" s="2628"/>
      <c r="AD533" s="2637">
        <f t="shared" ref="AD533:AD536" si="174">+AC533*AB533</f>
        <v>0</v>
      </c>
      <c r="AE533" s="2630"/>
      <c r="AF533" s="2630"/>
      <c r="AG533" s="1156"/>
      <c r="AH533" s="251"/>
      <c r="AI533" s="216" t="e">
        <f t="shared" si="173"/>
        <v>#DIV/0!</v>
      </c>
    </row>
    <row r="534" spans="1:35" s="48" customFormat="1" ht="13.2" customHeight="1" thickBot="1" x14ac:dyDescent="0.25">
      <c r="A534" s="48" t="s">
        <v>3676</v>
      </c>
      <c r="B534" s="1370"/>
      <c r="C534" s="1959"/>
      <c r="D534" s="1779" t="s">
        <v>3606</v>
      </c>
      <c r="E534" s="1779" t="s">
        <v>333</v>
      </c>
      <c r="F534" s="1801"/>
      <c r="G534" s="1738"/>
      <c r="H534" s="1801"/>
      <c r="I534" s="2254"/>
      <c r="J534" s="2939"/>
      <c r="K534" s="1804">
        <v>630</v>
      </c>
      <c r="L534" s="2254"/>
      <c r="M534" s="2254"/>
      <c r="N534" s="2254" t="s">
        <v>86</v>
      </c>
      <c r="O534" s="2254"/>
      <c r="P534" s="1737"/>
      <c r="Q534" s="1737"/>
      <c r="R534" s="1737"/>
      <c r="S534" s="1737"/>
      <c r="T534" s="1737"/>
      <c r="U534" s="1737"/>
      <c r="V534" s="1741"/>
      <c r="W534" s="1758">
        <f>+C534*300</f>
        <v>0</v>
      </c>
      <c r="X534" s="1895">
        <f t="shared" si="172"/>
        <v>0</v>
      </c>
      <c r="Y534" s="3756"/>
      <c r="Z534" s="45" t="s">
        <v>33</v>
      </c>
      <c r="AA534" s="3208"/>
      <c r="AB534" s="2616">
        <v>0.15</v>
      </c>
      <c r="AC534" s="2627"/>
      <c r="AD534" s="2637">
        <f t="shared" si="174"/>
        <v>0</v>
      </c>
      <c r="AE534" s="2655"/>
      <c r="AF534" s="2655"/>
      <c r="AG534" s="1154"/>
      <c r="AH534" s="843">
        <f>+X534</f>
        <v>0</v>
      </c>
      <c r="AI534" s="189" t="e">
        <f t="shared" si="173"/>
        <v>#DIV/0!</v>
      </c>
    </row>
    <row r="535" spans="1:35" s="221" customFormat="1" ht="17.399999999999999" customHeight="1" x14ac:dyDescent="0.2">
      <c r="A535" s="48" t="s">
        <v>3676</v>
      </c>
      <c r="B535" s="1370"/>
      <c r="C535" s="2841"/>
      <c r="D535" s="1779" t="s">
        <v>3551</v>
      </c>
      <c r="E535" s="1779" t="s">
        <v>333</v>
      </c>
      <c r="F535" s="1801"/>
      <c r="G535" s="1738"/>
      <c r="H535" s="1801" t="s">
        <v>3406</v>
      </c>
      <c r="I535" s="1801"/>
      <c r="J535" s="1801"/>
      <c r="K535" s="1804">
        <v>630</v>
      </c>
      <c r="L535" s="1738"/>
      <c r="M535" s="1738"/>
      <c r="N535" s="1738" t="s">
        <v>86</v>
      </c>
      <c r="O535" s="1738"/>
      <c r="P535" s="1737"/>
      <c r="Q535" s="1737"/>
      <c r="R535" s="1737"/>
      <c r="S535" s="1737"/>
      <c r="T535" s="1737"/>
      <c r="U535" s="1737"/>
      <c r="V535" s="1741"/>
      <c r="W535" s="1758">
        <f>+C535*AD535*2.8*1.07</f>
        <v>0</v>
      </c>
      <c r="X535" s="2019">
        <f t="shared" si="172"/>
        <v>0</v>
      </c>
      <c r="Y535" s="3769"/>
      <c r="Z535" s="858" t="s">
        <v>33</v>
      </c>
      <c r="AA535" s="3216"/>
      <c r="AB535" s="2616">
        <v>0.15</v>
      </c>
      <c r="AC535" s="2677">
        <v>750</v>
      </c>
      <c r="AD535" s="2637">
        <f t="shared" si="174"/>
        <v>112.5</v>
      </c>
      <c r="AE535" s="2696"/>
      <c r="AF535" s="2696"/>
      <c r="AG535" s="1165"/>
      <c r="AH535" s="852"/>
      <c r="AI535" s="884" t="e">
        <f t="shared" si="173"/>
        <v>#DIV/0!</v>
      </c>
    </row>
    <row r="536" spans="1:35" s="221" customFormat="1" ht="17.399999999999999" customHeight="1" thickBot="1" x14ac:dyDescent="0.25">
      <c r="A536" s="48" t="s">
        <v>3676</v>
      </c>
      <c r="B536" s="1370"/>
      <c r="C536" s="2841"/>
      <c r="D536" s="1779" t="s">
        <v>3552</v>
      </c>
      <c r="E536" s="1779" t="s">
        <v>333</v>
      </c>
      <c r="F536" s="1801"/>
      <c r="G536" s="1738"/>
      <c r="H536" s="1801" t="s">
        <v>3406</v>
      </c>
      <c r="I536" s="1801"/>
      <c r="J536" s="1801"/>
      <c r="K536" s="1804">
        <v>630</v>
      </c>
      <c r="L536" s="1738"/>
      <c r="M536" s="1738"/>
      <c r="N536" s="1738" t="s">
        <v>86</v>
      </c>
      <c r="O536" s="1738"/>
      <c r="P536" s="1737"/>
      <c r="Q536" s="1737"/>
      <c r="R536" s="1737"/>
      <c r="S536" s="1737"/>
      <c r="T536" s="1737"/>
      <c r="U536" s="1737"/>
      <c r="V536" s="1741"/>
      <c r="W536" s="1758">
        <f>+C536*AD536*2.8*1.07</f>
        <v>0</v>
      </c>
      <c r="X536" s="2019">
        <f t="shared" ref="X536" si="175">+ROUNDUP(W536,0)</f>
        <v>0</v>
      </c>
      <c r="Y536" s="3754"/>
      <c r="Z536" s="858" t="s">
        <v>33</v>
      </c>
      <c r="AA536" s="3216"/>
      <c r="AB536" s="2616">
        <v>0.15</v>
      </c>
      <c r="AC536" s="2677">
        <v>750</v>
      </c>
      <c r="AD536" s="2637">
        <f t="shared" si="174"/>
        <v>112.5</v>
      </c>
      <c r="AE536" s="2696"/>
      <c r="AF536" s="2696"/>
      <c r="AG536" s="1165"/>
      <c r="AH536" s="852"/>
      <c r="AI536" s="884" t="e">
        <f t="shared" ref="AI536" si="176">+AH536/X536</f>
        <v>#DIV/0!</v>
      </c>
    </row>
    <row r="537" spans="1:35" s="48" customFormat="1" ht="12.6" customHeight="1" thickBot="1" x14ac:dyDescent="0.25">
      <c r="A537" s="48" t="s">
        <v>3676</v>
      </c>
      <c r="B537" s="1370"/>
      <c r="C537" s="3656">
        <v>1</v>
      </c>
      <c r="D537" s="3657" t="s">
        <v>3593</v>
      </c>
      <c r="E537" s="3658" t="s">
        <v>3744</v>
      </c>
      <c r="F537" s="3659"/>
      <c r="G537" s="1738"/>
      <c r="H537" s="3659"/>
      <c r="I537" s="1801"/>
      <c r="J537" s="3659"/>
      <c r="K537" s="3660">
        <v>630</v>
      </c>
      <c r="L537" s="1801"/>
      <c r="M537" s="1801"/>
      <c r="N537" s="1801" t="s">
        <v>1290</v>
      </c>
      <c r="O537" s="1801"/>
      <c r="P537" s="1779"/>
      <c r="Q537" s="1779"/>
      <c r="R537" s="1779"/>
      <c r="S537" s="1779"/>
      <c r="T537" s="1779"/>
      <c r="U537" s="1779"/>
      <c r="V537" s="2015"/>
      <c r="W537" s="3661">
        <f>+AD537*1.8*C537</f>
        <v>179.418204</v>
      </c>
      <c r="X537" s="3655">
        <f t="shared" si="172"/>
        <v>180</v>
      </c>
      <c r="Y537" s="3769"/>
      <c r="Z537" s="61" t="s">
        <v>355</v>
      </c>
      <c r="AA537" s="3188" t="s">
        <v>356</v>
      </c>
      <c r="AB537" s="2643">
        <v>0.434</v>
      </c>
      <c r="AC537" s="2643">
        <v>229.67</v>
      </c>
      <c r="AD537" s="2637">
        <f>+AC537*AB537</f>
        <v>99.676779999999994</v>
      </c>
      <c r="AE537" s="2624">
        <f>+AD537*C537</f>
        <v>99.676779999999994</v>
      </c>
      <c r="AF537" s="2624"/>
      <c r="AG537" s="1148"/>
      <c r="AH537" s="42">
        <f>+W537-AE537</f>
        <v>79.741424000000009</v>
      </c>
      <c r="AI537" s="43">
        <f t="shared" si="173"/>
        <v>0.44300791111111115</v>
      </c>
    </row>
    <row r="538" spans="1:35" s="48" customFormat="1" ht="13.2" customHeight="1" thickBot="1" x14ac:dyDescent="0.25">
      <c r="A538" s="48" t="s">
        <v>3676</v>
      </c>
      <c r="B538" s="1370"/>
      <c r="C538" s="2226">
        <v>1</v>
      </c>
      <c r="D538" s="3657" t="s">
        <v>3593</v>
      </c>
      <c r="E538" s="2834" t="s">
        <v>3745</v>
      </c>
      <c r="F538" s="2835"/>
      <c r="G538" s="3018"/>
      <c r="H538" s="2835"/>
      <c r="I538" s="3637"/>
      <c r="J538" s="2835"/>
      <c r="K538" s="2838">
        <v>630</v>
      </c>
      <c r="L538" s="2031"/>
      <c r="M538" s="1801"/>
      <c r="N538" s="1801" t="s">
        <v>3506</v>
      </c>
      <c r="O538" s="1801"/>
      <c r="P538" s="1737"/>
      <c r="Q538" s="1737"/>
      <c r="R538" s="1737"/>
      <c r="S538" s="1737"/>
      <c r="T538" s="1737"/>
      <c r="U538" s="1737"/>
      <c r="V538" s="3630"/>
      <c r="W538" s="2082">
        <f>+AD538*1.5*C538</f>
        <v>148.13714999999999</v>
      </c>
      <c r="X538" s="2092">
        <f t="shared" si="172"/>
        <v>149</v>
      </c>
      <c r="Y538" s="3758"/>
      <c r="Z538" s="61" t="s">
        <v>355</v>
      </c>
      <c r="AA538" s="3214" t="s">
        <v>356</v>
      </c>
      <c r="AB538" s="2711">
        <v>0.43</v>
      </c>
      <c r="AC538" s="2711">
        <v>229.67</v>
      </c>
      <c r="AD538" s="2637">
        <f>+AC538*AB538</f>
        <v>98.758099999999999</v>
      </c>
      <c r="AE538" s="2624">
        <f>+AD538*C538</f>
        <v>98.758099999999999</v>
      </c>
      <c r="AF538" s="2624"/>
      <c r="AG538" s="1148"/>
      <c r="AH538" s="42">
        <f>+W538-AE538</f>
        <v>49.379049999999992</v>
      </c>
      <c r="AI538" s="43">
        <f t="shared" si="173"/>
        <v>0.33140302013422812</v>
      </c>
    </row>
    <row r="539" spans="1:35" s="48" customFormat="1" ht="12.6" customHeight="1" thickBot="1" x14ac:dyDescent="0.25">
      <c r="A539" s="48" t="s">
        <v>3676</v>
      </c>
      <c r="B539" s="1370"/>
      <c r="C539" s="2116"/>
      <c r="D539" s="2048" t="s">
        <v>3483</v>
      </c>
      <c r="E539" s="2048" t="s">
        <v>2464</v>
      </c>
      <c r="F539" s="1991" t="s">
        <v>3484</v>
      </c>
      <c r="G539" s="1738"/>
      <c r="H539" s="1991"/>
      <c r="I539" s="1738"/>
      <c r="J539" s="1991"/>
      <c r="K539" s="2050">
        <v>626</v>
      </c>
      <c r="L539" s="1738"/>
      <c r="M539" s="1738"/>
      <c r="N539" s="1738" t="s">
        <v>346</v>
      </c>
      <c r="O539" s="1738"/>
      <c r="P539" s="1737"/>
      <c r="Q539" s="1737"/>
      <c r="R539" s="1737"/>
      <c r="S539" s="1737"/>
      <c r="T539" s="1737"/>
      <c r="U539" s="1737"/>
      <c r="V539" s="1741"/>
      <c r="W539" s="3684">
        <f>+AD539*C539*1.7</f>
        <v>0</v>
      </c>
      <c r="X539" s="3685">
        <f>ROUNDUP(W539,0)</f>
        <v>0</v>
      </c>
      <c r="Y539" s="3756"/>
      <c r="Z539" s="67" t="s">
        <v>390</v>
      </c>
      <c r="AA539" s="3214" t="s">
        <v>3485</v>
      </c>
      <c r="AB539" s="2674">
        <f>1*0.5*0.5</f>
        <v>0.25</v>
      </c>
      <c r="AC539" s="2659">
        <v>501</v>
      </c>
      <c r="AD539" s="2617">
        <f>+AB539*AC539</f>
        <v>125.25</v>
      </c>
      <c r="AE539" s="2624">
        <f>+W539-AD539</f>
        <v>-125.25</v>
      </c>
      <c r="AF539" s="2624" t="e">
        <f>+AE539/X539</f>
        <v>#DIV/0!</v>
      </c>
      <c r="AG539" s="1148"/>
      <c r="AH539" s="199"/>
      <c r="AI539" s="200"/>
    </row>
    <row r="540" spans="1:35" s="48" customFormat="1" ht="12.6" customHeight="1" thickBot="1" x14ac:dyDescent="0.25">
      <c r="A540" s="48" t="s">
        <v>3676</v>
      </c>
      <c r="B540" s="1370"/>
      <c r="C540" s="1959"/>
      <c r="D540" s="1779" t="s">
        <v>1307</v>
      </c>
      <c r="E540" s="1779" t="s">
        <v>2464</v>
      </c>
      <c r="F540" s="1801"/>
      <c r="G540" s="1738"/>
      <c r="H540" s="1779"/>
      <c r="I540" s="1779"/>
      <c r="J540" s="1779"/>
      <c r="K540" s="1779">
        <v>626</v>
      </c>
      <c r="L540" s="1738"/>
      <c r="M540" s="1738"/>
      <c r="N540" s="1738"/>
      <c r="O540" s="1738"/>
      <c r="P540" s="1737"/>
      <c r="Q540" s="1737"/>
      <c r="R540" s="1737"/>
      <c r="S540" s="1737"/>
      <c r="T540" s="1737"/>
      <c r="U540" s="1737"/>
      <c r="V540" s="1741"/>
      <c r="W540" s="1790">
        <f>+AD540*C540*2.2</f>
        <v>0</v>
      </c>
      <c r="X540" s="2019">
        <f t="shared" ref="X540:X551" si="177">+ROUNDUP(W540,0)</f>
        <v>0</v>
      </c>
      <c r="Y540" s="3758"/>
      <c r="Z540" s="67" t="s">
        <v>3539</v>
      </c>
      <c r="AA540" s="3229" t="s">
        <v>3538</v>
      </c>
      <c r="AB540" s="2674">
        <v>0.26</v>
      </c>
      <c r="AC540" s="2659">
        <v>155.85</v>
      </c>
      <c r="AD540" s="2617">
        <f>+AB540*AC540</f>
        <v>40.521000000000001</v>
      </c>
      <c r="AE540" s="2624"/>
      <c r="AF540" s="2624"/>
      <c r="AG540" s="1148"/>
      <c r="AH540" s="3122">
        <f>+X540-(AD540*C540)</f>
        <v>0</v>
      </c>
      <c r="AI540" s="43" t="e">
        <f>+AH540/X540</f>
        <v>#DIV/0!</v>
      </c>
    </row>
    <row r="541" spans="1:35" s="218" customFormat="1" ht="12.6" customHeight="1" x14ac:dyDescent="0.2">
      <c r="A541" s="48" t="s">
        <v>3676</v>
      </c>
      <c r="B541" s="1370"/>
      <c r="C541" s="1766"/>
      <c r="D541" s="1740" t="s">
        <v>3603</v>
      </c>
      <c r="E541" s="1737" t="s">
        <v>2464</v>
      </c>
      <c r="F541" s="1738"/>
      <c r="G541" s="1738"/>
      <c r="H541" s="1738"/>
      <c r="I541" s="1738"/>
      <c r="J541" s="1738"/>
      <c r="K541" s="1772">
        <v>626</v>
      </c>
      <c r="L541" s="1738"/>
      <c r="M541" s="1738"/>
      <c r="N541" s="1738"/>
      <c r="O541" s="1738"/>
      <c r="P541" s="1737"/>
      <c r="Q541" s="1737"/>
      <c r="R541" s="1737"/>
      <c r="S541" s="1737"/>
      <c r="T541" s="1737"/>
      <c r="U541" s="1737"/>
      <c r="V541" s="1741"/>
      <c r="W541" s="1790">
        <f>+AD541*C541*1.7</f>
        <v>0</v>
      </c>
      <c r="X541" s="2271">
        <f t="shared" si="177"/>
        <v>0</v>
      </c>
      <c r="Y541" s="3756"/>
      <c r="Z541" s="67" t="s">
        <v>23</v>
      </c>
      <c r="AA541" s="3214"/>
      <c r="AB541" s="2674">
        <v>0.26</v>
      </c>
      <c r="AC541" s="2659">
        <v>155.85</v>
      </c>
      <c r="AD541" s="2617">
        <f>+AB541*AC541</f>
        <v>40.521000000000001</v>
      </c>
      <c r="AE541" s="2624">
        <f>+W541-(AD541*C541)</f>
        <v>0</v>
      </c>
      <c r="AF541" s="2624" t="e">
        <f>+AE541/X541</f>
        <v>#DIV/0!</v>
      </c>
      <c r="AG541" s="1148"/>
      <c r="AH541" s="42">
        <f>+W541-AE541</f>
        <v>0</v>
      </c>
      <c r="AI541" s="43" t="e">
        <f>+AH541/X541</f>
        <v>#DIV/0!</v>
      </c>
    </row>
    <row r="542" spans="1:35" s="48" customFormat="1" ht="12.6" customHeight="1" x14ac:dyDescent="0.2">
      <c r="A542" s="48" t="s">
        <v>3676</v>
      </c>
      <c r="B542" s="1370"/>
      <c r="C542" s="1766"/>
      <c r="D542" s="1740" t="s">
        <v>1307</v>
      </c>
      <c r="E542" s="1737" t="s">
        <v>88</v>
      </c>
      <c r="F542" s="1738"/>
      <c r="G542" s="1738"/>
      <c r="H542" s="1738"/>
      <c r="I542" s="1738"/>
      <c r="J542" s="1738"/>
      <c r="K542" s="1754">
        <v>630</v>
      </c>
      <c r="L542" s="1738"/>
      <c r="M542" s="1738"/>
      <c r="N542" s="1738" t="s">
        <v>342</v>
      </c>
      <c r="O542" s="1738"/>
      <c r="P542" s="1737"/>
      <c r="Q542" s="1737"/>
      <c r="R542" s="1737"/>
      <c r="S542" s="1737"/>
      <c r="T542" s="1737"/>
      <c r="U542" s="1737"/>
      <c r="V542" s="1741"/>
      <c r="W542" s="1790">
        <f>+AD542*1.6*C542</f>
        <v>0</v>
      </c>
      <c r="X542" s="2271">
        <f t="shared" si="177"/>
        <v>0</v>
      </c>
      <c r="Y542" s="3756"/>
      <c r="Z542" s="67"/>
      <c r="AA542" s="3214"/>
      <c r="AB542" s="2659"/>
      <c r="AC542" s="2659"/>
      <c r="AD542" s="2616"/>
      <c r="AE542" s="2624">
        <f>+AD542*C542</f>
        <v>0</v>
      </c>
      <c r="AF542" s="2624"/>
      <c r="AG542" s="1148"/>
      <c r="AH542" s="42">
        <f>+W542-AE542</f>
        <v>0</v>
      </c>
      <c r="AI542" s="46" t="e">
        <f>+AH542/X542</f>
        <v>#DIV/0!</v>
      </c>
    </row>
    <row r="543" spans="1:35" s="206" customFormat="1" ht="12.6" customHeight="1" x14ac:dyDescent="0.2">
      <c r="A543" s="48" t="s">
        <v>3676</v>
      </c>
      <c r="B543" s="1370"/>
      <c r="C543" s="1766"/>
      <c r="D543" s="1740" t="s">
        <v>1307</v>
      </c>
      <c r="E543" s="1737" t="s">
        <v>88</v>
      </c>
      <c r="F543" s="1738"/>
      <c r="G543" s="1738"/>
      <c r="H543" s="1738"/>
      <c r="I543" s="1738"/>
      <c r="J543" s="1738"/>
      <c r="K543" s="1754">
        <v>630</v>
      </c>
      <c r="L543" s="1738"/>
      <c r="M543" s="1738"/>
      <c r="N543" s="1738" t="s">
        <v>342</v>
      </c>
      <c r="O543" s="1738"/>
      <c r="P543" s="1737"/>
      <c r="Q543" s="1737"/>
      <c r="R543" s="1737"/>
      <c r="S543" s="1737"/>
      <c r="T543" s="1737"/>
      <c r="U543" s="1737"/>
      <c r="V543" s="1741"/>
      <c r="W543" s="1742">
        <f>180*C543</f>
        <v>0</v>
      </c>
      <c r="X543" s="2271">
        <f t="shared" si="177"/>
        <v>0</v>
      </c>
      <c r="Y543" s="3756"/>
      <c r="Z543" s="861"/>
      <c r="AA543" s="3215"/>
      <c r="AB543" s="2632"/>
      <c r="AC543" s="2632"/>
      <c r="AD543" s="2620"/>
      <c r="AE543" s="2621">
        <f>+AD543*C543</f>
        <v>0</v>
      </c>
      <c r="AF543" s="2719"/>
      <c r="AG543" s="1167"/>
      <c r="AH543" s="861">
        <f>+W543-AE543</f>
        <v>0</v>
      </c>
      <c r="AI543" s="260" t="e">
        <f>+AH543/X543</f>
        <v>#DIV/0!</v>
      </c>
    </row>
    <row r="544" spans="1:35" s="48" customFormat="1" ht="12.6" customHeight="1" x14ac:dyDescent="0.2">
      <c r="A544" s="48" t="s">
        <v>3676</v>
      </c>
      <c r="B544" s="1370"/>
      <c r="C544" s="1766"/>
      <c r="D544" s="1740" t="s">
        <v>1307</v>
      </c>
      <c r="E544" s="1737" t="s">
        <v>88</v>
      </c>
      <c r="F544" s="1738"/>
      <c r="G544" s="1738"/>
      <c r="H544" s="1738"/>
      <c r="I544" s="1738"/>
      <c r="J544" s="1738"/>
      <c r="K544" s="1754">
        <v>630</v>
      </c>
      <c r="L544" s="1738"/>
      <c r="M544" s="1738"/>
      <c r="N544" s="1738" t="s">
        <v>342</v>
      </c>
      <c r="O544" s="1738"/>
      <c r="P544" s="1737"/>
      <c r="Q544" s="1737"/>
      <c r="R544" s="1737"/>
      <c r="S544" s="1737"/>
      <c r="T544" s="1737"/>
      <c r="U544" s="1737"/>
      <c r="V544" s="1741"/>
      <c r="W544" s="1758">
        <f>180*C544</f>
        <v>0</v>
      </c>
      <c r="X544" s="1895">
        <f t="shared" si="177"/>
        <v>0</v>
      </c>
      <c r="Y544" s="3756"/>
      <c r="Z544" s="67"/>
      <c r="AA544" s="3214"/>
      <c r="AB544" s="2659"/>
      <c r="AC544" s="2659"/>
      <c r="AD544" s="2616"/>
      <c r="AE544" s="2624"/>
      <c r="AF544" s="2688"/>
      <c r="AG544" s="1164"/>
      <c r="AH544" s="186"/>
      <c r="AI544" s="881"/>
    </row>
    <row r="545" spans="1:35" s="48" customFormat="1" ht="12.6" customHeight="1" x14ac:dyDescent="0.2">
      <c r="A545" s="48" t="s">
        <v>3676</v>
      </c>
      <c r="B545" s="1370"/>
      <c r="C545" s="1766"/>
      <c r="D545" s="1740" t="s">
        <v>1307</v>
      </c>
      <c r="E545" s="1737" t="s">
        <v>88</v>
      </c>
      <c r="F545" s="1738"/>
      <c r="G545" s="1738"/>
      <c r="H545" s="1738"/>
      <c r="I545" s="1738"/>
      <c r="J545" s="1738"/>
      <c r="K545" s="1754">
        <v>630</v>
      </c>
      <c r="L545" s="1738"/>
      <c r="M545" s="1738"/>
      <c r="N545" s="1738" t="s">
        <v>342</v>
      </c>
      <c r="O545" s="1738"/>
      <c r="P545" s="1737"/>
      <c r="Q545" s="1737"/>
      <c r="R545" s="1737"/>
      <c r="S545" s="1737"/>
      <c r="T545" s="1737"/>
      <c r="U545" s="1737"/>
      <c r="V545" s="1741"/>
      <c r="W545" s="1773">
        <f>+AD545*1.6*C545</f>
        <v>0</v>
      </c>
      <c r="X545" s="1895">
        <f t="shared" si="177"/>
        <v>0</v>
      </c>
      <c r="Y545" s="3756"/>
      <c r="Z545" s="67"/>
      <c r="AA545" s="3214"/>
      <c r="AB545" s="2659"/>
      <c r="AC545" s="2659"/>
      <c r="AD545" s="2616"/>
      <c r="AE545" s="2624"/>
      <c r="AF545" s="2624"/>
      <c r="AG545" s="1148"/>
      <c r="AH545" s="186"/>
      <c r="AI545" s="881"/>
    </row>
    <row r="546" spans="1:35" s="48" customFormat="1" ht="12.6" customHeight="1" x14ac:dyDescent="0.2">
      <c r="A546" s="48" t="s">
        <v>3676</v>
      </c>
      <c r="B546" s="1370"/>
      <c r="C546" s="1766"/>
      <c r="D546" s="1740" t="s">
        <v>1307</v>
      </c>
      <c r="E546" s="1737" t="s">
        <v>88</v>
      </c>
      <c r="F546" s="1738"/>
      <c r="G546" s="1738"/>
      <c r="H546" s="1738"/>
      <c r="I546" s="1738"/>
      <c r="J546" s="1738"/>
      <c r="K546" s="1754">
        <v>630</v>
      </c>
      <c r="L546" s="1738"/>
      <c r="M546" s="1738"/>
      <c r="N546" s="1738" t="s">
        <v>342</v>
      </c>
      <c r="O546" s="1738"/>
      <c r="P546" s="1737"/>
      <c r="Q546" s="1737"/>
      <c r="R546" s="1737"/>
      <c r="S546" s="1737"/>
      <c r="T546" s="1737"/>
      <c r="U546" s="1737"/>
      <c r="V546" s="1741"/>
      <c r="W546" s="1758">
        <f>+AD546*1.6*C546</f>
        <v>0</v>
      </c>
      <c r="X546" s="1895">
        <f t="shared" si="177"/>
        <v>0</v>
      </c>
      <c r="Y546" s="3756"/>
      <c r="Z546" s="67"/>
      <c r="AA546" s="3214"/>
      <c r="AB546" s="2659"/>
      <c r="AC546" s="2659"/>
      <c r="AD546" s="2616"/>
      <c r="AE546" s="2624"/>
      <c r="AF546" s="2624"/>
      <c r="AG546" s="1148"/>
      <c r="AH546" s="186"/>
      <c r="AI546" s="881"/>
    </row>
    <row r="547" spans="1:35" s="48" customFormat="1" ht="12.6" customHeight="1" x14ac:dyDescent="0.2">
      <c r="A547" s="48" t="s">
        <v>3676</v>
      </c>
      <c r="B547" s="1370"/>
      <c r="C547" s="1766"/>
      <c r="D547" s="1783" t="s">
        <v>1307</v>
      </c>
      <c r="E547" s="1753" t="s">
        <v>88</v>
      </c>
      <c r="F547" s="1755"/>
      <c r="G547" s="1755"/>
      <c r="H547" s="1755"/>
      <c r="I547" s="1755"/>
      <c r="J547" s="1755"/>
      <c r="K547" s="1754">
        <v>630</v>
      </c>
      <c r="L547" s="1755"/>
      <c r="M547" s="1755"/>
      <c r="N547" s="1755" t="s">
        <v>342</v>
      </c>
      <c r="O547" s="1755"/>
      <c r="P547" s="1753"/>
      <c r="Q547" s="1753"/>
      <c r="R547" s="1753"/>
      <c r="S547" s="1753"/>
      <c r="T547" s="1753"/>
      <c r="U547" s="1753"/>
      <c r="V547" s="1756"/>
      <c r="W547" s="1733">
        <f>+AD547*1.6*C547</f>
        <v>0</v>
      </c>
      <c r="X547" s="1893">
        <f t="shared" si="177"/>
        <v>0</v>
      </c>
      <c r="Y547" s="3756"/>
      <c r="Z547" s="212"/>
      <c r="AA547" s="3227"/>
      <c r="AB547" s="2690"/>
      <c r="AC547" s="2690"/>
      <c r="AD547" s="2691"/>
      <c r="AE547" s="2630"/>
      <c r="AF547" s="2630"/>
      <c r="AG547" s="1156"/>
      <c r="AH547" s="853"/>
      <c r="AI547" s="908"/>
    </row>
    <row r="548" spans="1:35" s="48" customFormat="1" ht="12.6" customHeight="1" x14ac:dyDescent="0.2">
      <c r="A548" s="48" t="s">
        <v>3676</v>
      </c>
      <c r="B548" s="1370"/>
      <c r="C548" s="1766"/>
      <c r="D548" s="1740" t="s">
        <v>1307</v>
      </c>
      <c r="E548" s="1737" t="s">
        <v>88</v>
      </c>
      <c r="F548" s="1738"/>
      <c r="G548" s="1738"/>
      <c r="H548" s="1738"/>
      <c r="I548" s="1738"/>
      <c r="J548" s="1738"/>
      <c r="K548" s="1754">
        <v>630</v>
      </c>
      <c r="L548" s="1738"/>
      <c r="M548" s="1738"/>
      <c r="N548" s="1738" t="s">
        <v>342</v>
      </c>
      <c r="O548" s="1738"/>
      <c r="P548" s="1737"/>
      <c r="Q548" s="1737"/>
      <c r="R548" s="1737"/>
      <c r="S548" s="1737"/>
      <c r="T548" s="1737"/>
      <c r="U548" s="1737"/>
      <c r="V548" s="1741"/>
      <c r="W548" s="1758">
        <f>+AD548*1.6*C548</f>
        <v>0</v>
      </c>
      <c r="X548" s="1895">
        <f t="shared" si="177"/>
        <v>0</v>
      </c>
      <c r="Y548" s="3756"/>
      <c r="Z548" s="67"/>
      <c r="AA548" s="3214"/>
      <c r="AB548" s="2659"/>
      <c r="AC548" s="2659"/>
      <c r="AD548" s="2616"/>
      <c r="AE548" s="2624"/>
      <c r="AF548" s="2624"/>
      <c r="AG548" s="1148"/>
      <c r="AH548" s="186"/>
      <c r="AI548" s="881"/>
    </row>
    <row r="549" spans="1:35" s="222" customFormat="1" ht="12.6" customHeight="1" x14ac:dyDescent="0.2">
      <c r="A549" s="48" t="s">
        <v>3676</v>
      </c>
      <c r="B549" s="1370"/>
      <c r="C549" s="1766"/>
      <c r="D549" s="1740" t="s">
        <v>1307</v>
      </c>
      <c r="E549" s="1737" t="s">
        <v>88</v>
      </c>
      <c r="F549" s="1738"/>
      <c r="G549" s="1738"/>
      <c r="H549" s="1738"/>
      <c r="I549" s="1738"/>
      <c r="J549" s="1738"/>
      <c r="K549" s="1754">
        <v>630</v>
      </c>
      <c r="L549" s="1738"/>
      <c r="M549" s="1738"/>
      <c r="N549" s="1738" t="s">
        <v>342</v>
      </c>
      <c r="O549" s="1738"/>
      <c r="P549" s="1737"/>
      <c r="Q549" s="1737"/>
      <c r="R549" s="1737"/>
      <c r="S549" s="1737"/>
      <c r="T549" s="1737"/>
      <c r="U549" s="1737"/>
      <c r="V549" s="1741"/>
      <c r="W549" s="1758">
        <f>+AD549*1.6*C549</f>
        <v>0</v>
      </c>
      <c r="X549" s="1895">
        <f t="shared" si="177"/>
        <v>0</v>
      </c>
      <c r="Y549" s="3756"/>
      <c r="Z549" s="858"/>
      <c r="AA549" s="3216"/>
      <c r="AB549" s="2677"/>
      <c r="AC549" s="2677"/>
      <c r="AD549" s="2678"/>
      <c r="AE549" s="2720"/>
      <c r="AF549" s="2720"/>
      <c r="AG549" s="1168"/>
      <c r="AH549" s="887"/>
      <c r="AI549" s="892"/>
    </row>
    <row r="550" spans="1:35" s="48" customFormat="1" ht="12.6" customHeight="1" x14ac:dyDescent="0.2">
      <c r="A550" s="48" t="s">
        <v>3676</v>
      </c>
      <c r="B550" s="1370"/>
      <c r="C550" s="1766"/>
      <c r="D550" s="1753" t="s">
        <v>1307</v>
      </c>
      <c r="E550" s="1753" t="s">
        <v>88</v>
      </c>
      <c r="F550" s="1753" t="s">
        <v>1290</v>
      </c>
      <c r="G550" s="1753" t="s">
        <v>85</v>
      </c>
      <c r="H550" s="1753"/>
      <c r="I550" s="1753"/>
      <c r="J550" s="1753" t="s">
        <v>2931</v>
      </c>
      <c r="K550" s="1754">
        <v>630</v>
      </c>
      <c r="L550" s="1753"/>
      <c r="M550" s="1753"/>
      <c r="N550" s="1753" t="s">
        <v>341</v>
      </c>
      <c r="O550" s="1754"/>
      <c r="P550" s="1754"/>
      <c r="Q550" s="1754"/>
      <c r="R550" s="1754"/>
      <c r="S550" s="1754"/>
      <c r="T550" s="1737"/>
      <c r="U550" s="1737"/>
      <c r="V550" s="1741"/>
      <c r="W550" s="1733">
        <f>185*C550</f>
        <v>0</v>
      </c>
      <c r="X550" s="1893">
        <f t="shared" si="177"/>
        <v>0</v>
      </c>
      <c r="Y550" s="3756"/>
      <c r="Z550" s="74" t="s">
        <v>33</v>
      </c>
      <c r="AA550" s="3190"/>
      <c r="AB550" s="2616">
        <v>0.15</v>
      </c>
      <c r="AC550" s="2673">
        <v>0</v>
      </c>
      <c r="AD550" s="2617">
        <v>0</v>
      </c>
      <c r="AE550" s="2624">
        <f>+AD550*C550</f>
        <v>0</v>
      </c>
      <c r="AF550" s="2624"/>
      <c r="AG550" s="1148"/>
      <c r="AH550" s="42">
        <f>+W550-AE550</f>
        <v>0</v>
      </c>
      <c r="AI550" s="874" t="e">
        <f>+AH550/X550</f>
        <v>#DIV/0!</v>
      </c>
    </row>
    <row r="551" spans="1:35" s="48" customFormat="1" ht="12.6" customHeight="1" x14ac:dyDescent="0.2">
      <c r="A551" s="48" t="s">
        <v>3676</v>
      </c>
      <c r="B551" s="1370"/>
      <c r="C551" s="1955"/>
      <c r="D551" s="1779" t="s">
        <v>3365</v>
      </c>
      <c r="E551" s="1779" t="s">
        <v>88</v>
      </c>
      <c r="F551" s="1801" t="s">
        <v>3364</v>
      </c>
      <c r="G551" s="1738" t="s">
        <v>85</v>
      </c>
      <c r="H551" s="1801"/>
      <c r="I551" s="1738"/>
      <c r="J551" s="1801"/>
      <c r="K551" s="1804">
        <v>630</v>
      </c>
      <c r="L551" s="1738"/>
      <c r="M551" s="1738"/>
      <c r="N551" s="1753" t="s">
        <v>341</v>
      </c>
      <c r="O551" s="1738"/>
      <c r="P551" s="1737"/>
      <c r="Q551" s="1737"/>
      <c r="R551" s="1737"/>
      <c r="S551" s="1737"/>
      <c r="T551" s="1737"/>
      <c r="U551" s="1737"/>
      <c r="V551" s="1741"/>
      <c r="W551" s="1733">
        <f>185*C551</f>
        <v>0</v>
      </c>
      <c r="X551" s="2019">
        <f t="shared" si="177"/>
        <v>0</v>
      </c>
      <c r="Y551" s="3756"/>
      <c r="Z551" s="74" t="s">
        <v>33</v>
      </c>
      <c r="AA551" s="3190"/>
      <c r="AB551" s="2616">
        <v>0.15</v>
      </c>
      <c r="AC551" s="2617">
        <v>0</v>
      </c>
      <c r="AD551" s="2617">
        <v>0</v>
      </c>
      <c r="AE551" s="2624"/>
      <c r="AF551" s="2624"/>
      <c r="AG551" s="1148"/>
      <c r="AH551" s="49"/>
      <c r="AI551" s="874" t="e">
        <f>+AH551/X551</f>
        <v>#DIV/0!</v>
      </c>
    </row>
    <row r="552" spans="1:35" s="48" customFormat="1" ht="12.6" customHeight="1" x14ac:dyDescent="0.2">
      <c r="A552" s="48" t="s">
        <v>3676</v>
      </c>
      <c r="B552" s="1370"/>
      <c r="C552" s="1959"/>
      <c r="D552" s="1805" t="s">
        <v>3604</v>
      </c>
      <c r="E552" s="1805" t="s">
        <v>88</v>
      </c>
      <c r="F552" s="1807"/>
      <c r="G552" s="1755" t="s">
        <v>2929</v>
      </c>
      <c r="H552" s="1807" t="s">
        <v>3023</v>
      </c>
      <c r="I552" s="1807"/>
      <c r="J552" s="1805"/>
      <c r="K552" s="1804">
        <v>630</v>
      </c>
      <c r="L552" s="1753"/>
      <c r="M552" s="1753"/>
      <c r="N552" s="1753" t="s">
        <v>3605</v>
      </c>
      <c r="O552" s="1755"/>
      <c r="P552" s="1753"/>
      <c r="Q552" s="1753"/>
      <c r="R552" s="1753"/>
      <c r="S552" s="1737"/>
      <c r="T552" s="1737"/>
      <c r="U552" s="1737"/>
      <c r="V552" s="1741"/>
      <c r="W552" s="1751">
        <f>+AD552*C552*1.8</f>
        <v>0</v>
      </c>
      <c r="X552" s="1893">
        <f>ROUNDUP(W552,0)</f>
        <v>0</v>
      </c>
      <c r="Y552" s="3756"/>
      <c r="Z552" s="1922" t="s">
        <v>3201</v>
      </c>
      <c r="AA552" s="3188">
        <f>+W552/3</f>
        <v>0</v>
      </c>
      <c r="AB552" s="2623">
        <v>0.26</v>
      </c>
      <c r="AC552" s="2625">
        <v>204.55</v>
      </c>
      <c r="AD552" s="2634">
        <f t="shared" ref="AD552:AD572" si="178">+AC552*AB552</f>
        <v>53.183000000000007</v>
      </c>
      <c r="AE552" s="2660">
        <f>+W552-(AD552*C552)</f>
        <v>0</v>
      </c>
      <c r="AF552" s="2721" t="e">
        <f>+AE552/W552</f>
        <v>#DIV/0!</v>
      </c>
      <c r="AG552" s="1148"/>
      <c r="AH552" s="75">
        <f>+W552-AE552</f>
        <v>0</v>
      </c>
      <c r="AI552" s="77" t="e">
        <f>+AH552/X552</f>
        <v>#DIV/0!</v>
      </c>
    </row>
    <row r="553" spans="1:35" s="48" customFormat="1" ht="12.6" customHeight="1" x14ac:dyDescent="0.2">
      <c r="A553" s="48" t="s">
        <v>3676</v>
      </c>
      <c r="B553" s="1370"/>
      <c r="C553" s="1735"/>
      <c r="D553" s="1737" t="s">
        <v>3603</v>
      </c>
      <c r="E553" s="1737" t="s">
        <v>88</v>
      </c>
      <c r="F553" s="1738"/>
      <c r="G553" s="1738" t="s">
        <v>2929</v>
      </c>
      <c r="H553" s="1738"/>
      <c r="I553" s="1738"/>
      <c r="J553" s="1737"/>
      <c r="K553" s="1754">
        <v>630</v>
      </c>
      <c r="L553" s="1737"/>
      <c r="M553" s="1737"/>
      <c r="N553" s="1737" t="s">
        <v>3605</v>
      </c>
      <c r="O553" s="1738"/>
      <c r="P553" s="1737"/>
      <c r="Q553" s="1737"/>
      <c r="R553" s="1737"/>
      <c r="S553" s="1737"/>
      <c r="T553" s="1737"/>
      <c r="U553" s="1737"/>
      <c r="V553" s="1741"/>
      <c r="W553" s="1733">
        <f t="shared" ref="W553:W559" si="179">+AD553*C553*1.7</f>
        <v>0</v>
      </c>
      <c r="X553" s="1893">
        <f>+ROUNDUP(W553,0)</f>
        <v>0</v>
      </c>
      <c r="Y553" s="3756"/>
      <c r="Z553" s="74" t="s">
        <v>23</v>
      </c>
      <c r="AA553" s="3190"/>
      <c r="AB553" s="2623">
        <v>0.26</v>
      </c>
      <c r="AC553" s="2625">
        <v>204.55</v>
      </c>
      <c r="AD553" s="2673">
        <f t="shared" si="178"/>
        <v>53.183000000000007</v>
      </c>
      <c r="AE553" s="2624">
        <f>+AD553*C553</f>
        <v>0</v>
      </c>
      <c r="AF553" s="2624" t="e">
        <f t="shared" ref="AF553:AF559" si="180">+AE553/X553</f>
        <v>#DIV/0!</v>
      </c>
      <c r="AG553" s="1148"/>
      <c r="AH553" s="199"/>
      <c r="AI553" s="43" t="e">
        <f>+AH553/X553</f>
        <v>#DIV/0!</v>
      </c>
    </row>
    <row r="554" spans="1:35" s="196" customFormat="1" ht="13.2" customHeight="1" thickBot="1" x14ac:dyDescent="0.25">
      <c r="A554" s="48" t="s">
        <v>3676</v>
      </c>
      <c r="B554" s="1370"/>
      <c r="C554" s="1735"/>
      <c r="D554" s="1740" t="s">
        <v>3603</v>
      </c>
      <c r="E554" s="1737" t="s">
        <v>88</v>
      </c>
      <c r="F554" s="1738"/>
      <c r="G554" s="1738" t="s">
        <v>2929</v>
      </c>
      <c r="H554" s="1738"/>
      <c r="I554" s="1738"/>
      <c r="J554" s="1737"/>
      <c r="K554" s="1754">
        <v>630</v>
      </c>
      <c r="L554" s="1737"/>
      <c r="M554" s="1737"/>
      <c r="N554" s="1737" t="s">
        <v>3605</v>
      </c>
      <c r="O554" s="1738"/>
      <c r="P554" s="1737"/>
      <c r="Q554" s="1737"/>
      <c r="R554" s="1737"/>
      <c r="S554" s="1737"/>
      <c r="T554" s="1737"/>
      <c r="U554" s="1737"/>
      <c r="V554" s="1741"/>
      <c r="W554" s="1790">
        <f t="shared" si="179"/>
        <v>0</v>
      </c>
      <c r="X554" s="2271">
        <f>+ROUNDUP(W554,0)</f>
        <v>0</v>
      </c>
      <c r="Y554" s="3756"/>
      <c r="Z554" s="201" t="s">
        <v>23</v>
      </c>
      <c r="AA554" s="3217"/>
      <c r="AB554" s="2681">
        <v>0.26</v>
      </c>
      <c r="AC554" s="2682">
        <v>204.55</v>
      </c>
      <c r="AD554" s="2682">
        <f t="shared" si="178"/>
        <v>53.183000000000007</v>
      </c>
      <c r="AE554" s="2698">
        <f>+AD554*C554</f>
        <v>0</v>
      </c>
      <c r="AF554" s="2698" t="e">
        <f t="shared" si="180"/>
        <v>#DIV/0!</v>
      </c>
      <c r="AG554" s="1163"/>
      <c r="AH554" s="194">
        <f>+W554-AE554</f>
        <v>0</v>
      </c>
      <c r="AI554" s="43" t="e">
        <f>+AH554/X554</f>
        <v>#DIV/0!</v>
      </c>
    </row>
    <row r="555" spans="1:35" s="244" customFormat="1" ht="12.6" customHeight="1" x14ac:dyDescent="0.2">
      <c r="A555" s="48" t="s">
        <v>3676</v>
      </c>
      <c r="B555" s="1370"/>
      <c r="C555" s="1766"/>
      <c r="D555" s="1753" t="s">
        <v>3603</v>
      </c>
      <c r="E555" s="1753" t="s">
        <v>88</v>
      </c>
      <c r="F555" s="1755"/>
      <c r="G555" s="1755" t="s">
        <v>2929</v>
      </c>
      <c r="H555" s="1755"/>
      <c r="I555" s="1755"/>
      <c r="J555" s="1753"/>
      <c r="K555" s="1754">
        <v>630</v>
      </c>
      <c r="L555" s="1753"/>
      <c r="M555" s="1753"/>
      <c r="N555" s="1753" t="s">
        <v>3605</v>
      </c>
      <c r="O555" s="1755"/>
      <c r="P555" s="1737"/>
      <c r="Q555" s="1737"/>
      <c r="R555" s="1737"/>
      <c r="S555" s="1737"/>
      <c r="T555" s="1737"/>
      <c r="U555" s="1737"/>
      <c r="V555" s="1741"/>
      <c r="W555" s="1733">
        <f t="shared" si="179"/>
        <v>0</v>
      </c>
      <c r="X555" s="1893">
        <f>ROUNDUP(W555,0)</f>
        <v>0</v>
      </c>
      <c r="Y555" s="3756"/>
      <c r="Z555" s="67" t="s">
        <v>23</v>
      </c>
      <c r="AA555" s="3214"/>
      <c r="AB555" s="2661">
        <v>0.26</v>
      </c>
      <c r="AC555" s="2673">
        <v>204.55</v>
      </c>
      <c r="AD555" s="2673">
        <f t="shared" si="178"/>
        <v>53.183000000000007</v>
      </c>
      <c r="AE555" s="2688">
        <f>+W555-AD555</f>
        <v>-53.183000000000007</v>
      </c>
      <c r="AF555" s="2688" t="e">
        <f t="shared" si="180"/>
        <v>#DIV/0!</v>
      </c>
      <c r="AG555" s="1164"/>
      <c r="AH555" s="186"/>
      <c r="AI555" s="909"/>
    </row>
    <row r="556" spans="1:35" s="48" customFormat="1" ht="12.6" customHeight="1" x14ac:dyDescent="0.2">
      <c r="A556" s="48" t="s">
        <v>3676</v>
      </c>
      <c r="B556" s="1370"/>
      <c r="C556" s="1789"/>
      <c r="D556" s="1740" t="s">
        <v>3603</v>
      </c>
      <c r="E556" s="1737" t="s">
        <v>88</v>
      </c>
      <c r="F556" s="1738"/>
      <c r="G556" s="1738" t="s">
        <v>2929</v>
      </c>
      <c r="H556" s="1738"/>
      <c r="I556" s="1738"/>
      <c r="J556" s="1737"/>
      <c r="K556" s="1754">
        <v>630</v>
      </c>
      <c r="L556" s="1737"/>
      <c r="M556" s="1737"/>
      <c r="N556" s="1737" t="s">
        <v>3605</v>
      </c>
      <c r="O556" s="1738"/>
      <c r="P556" s="1737"/>
      <c r="Q556" s="1737"/>
      <c r="R556" s="1737"/>
      <c r="S556" s="1737"/>
      <c r="T556" s="1737"/>
      <c r="U556" s="1737"/>
      <c r="V556" s="1741"/>
      <c r="W556" s="1790">
        <f t="shared" si="179"/>
        <v>0</v>
      </c>
      <c r="X556" s="1895">
        <f>ROUNDUP(W556,0)</f>
        <v>0</v>
      </c>
      <c r="Y556" s="3756"/>
      <c r="Z556" s="74" t="s">
        <v>23</v>
      </c>
      <c r="AA556" s="3189"/>
      <c r="AB556" s="2616">
        <v>0.26</v>
      </c>
      <c r="AC556" s="2617">
        <v>204.55</v>
      </c>
      <c r="AD556" s="2617">
        <f t="shared" si="178"/>
        <v>53.183000000000007</v>
      </c>
      <c r="AE556" s="2624">
        <f>+W556-AD556</f>
        <v>-53.183000000000007</v>
      </c>
      <c r="AF556" s="2624" t="e">
        <f t="shared" si="180"/>
        <v>#DIV/0!</v>
      </c>
      <c r="AG556" s="1148"/>
      <c r="AH556" s="199"/>
      <c r="AI556" s="43" t="e">
        <f t="shared" ref="AI556:AI580" si="181">+AH556/X556</f>
        <v>#DIV/0!</v>
      </c>
    </row>
    <row r="557" spans="1:35" s="48" customFormat="1" ht="12.6" customHeight="1" x14ac:dyDescent="0.2">
      <c r="A557" s="48" t="s">
        <v>3676</v>
      </c>
      <c r="B557" s="1370"/>
      <c r="C557" s="1808"/>
      <c r="D557" s="1783" t="s">
        <v>3603</v>
      </c>
      <c r="E557" s="1753" t="s">
        <v>88</v>
      </c>
      <c r="F557" s="1755"/>
      <c r="G557" s="1738" t="s">
        <v>2929</v>
      </c>
      <c r="H557" s="1738"/>
      <c r="I557" s="1738"/>
      <c r="J557" s="1753"/>
      <c r="K557" s="1754">
        <v>630</v>
      </c>
      <c r="L557" s="1753"/>
      <c r="M557" s="1753"/>
      <c r="N557" s="1753" t="s">
        <v>3605</v>
      </c>
      <c r="O557" s="1755"/>
      <c r="P557" s="1753"/>
      <c r="Q557" s="1753"/>
      <c r="R557" s="1753"/>
      <c r="S557" s="1753"/>
      <c r="T557" s="1753"/>
      <c r="U557" s="1753"/>
      <c r="V557" s="1756"/>
      <c r="W557" s="1790">
        <f t="shared" si="179"/>
        <v>0</v>
      </c>
      <c r="X557" s="1893">
        <f>ROUNDUP(W557,0)</f>
        <v>0</v>
      </c>
      <c r="Y557" s="3756"/>
      <c r="Z557" s="246" t="s">
        <v>23</v>
      </c>
      <c r="AA557" s="3223"/>
      <c r="AB557" s="2633">
        <v>0.26</v>
      </c>
      <c r="AC557" s="2629">
        <v>204.55</v>
      </c>
      <c r="AD557" s="2629">
        <f t="shared" si="178"/>
        <v>53.183000000000007</v>
      </c>
      <c r="AE557" s="2630">
        <f>+W557-AD557</f>
        <v>-53.183000000000007</v>
      </c>
      <c r="AF557" s="2630" t="e">
        <f t="shared" si="180"/>
        <v>#DIV/0!</v>
      </c>
      <c r="AG557" s="1156"/>
      <c r="AH557" s="250"/>
      <c r="AI557" s="882" t="e">
        <f t="shared" si="181"/>
        <v>#DIV/0!</v>
      </c>
    </row>
    <row r="558" spans="1:35" s="48" customFormat="1" ht="12.6" customHeight="1" x14ac:dyDescent="0.2">
      <c r="A558" s="48" t="s">
        <v>3676</v>
      </c>
      <c r="B558" s="1370"/>
      <c r="C558" s="1789"/>
      <c r="D558" s="1740" t="s">
        <v>3603</v>
      </c>
      <c r="E558" s="1737" t="s">
        <v>88</v>
      </c>
      <c r="F558" s="1738"/>
      <c r="G558" s="1738" t="s">
        <v>2929</v>
      </c>
      <c r="H558" s="1738"/>
      <c r="I558" s="1738"/>
      <c r="J558" s="1737"/>
      <c r="K558" s="1754">
        <v>630</v>
      </c>
      <c r="L558" s="1737"/>
      <c r="M558" s="1737"/>
      <c r="N558" s="1737" t="s">
        <v>3605</v>
      </c>
      <c r="O558" s="1738"/>
      <c r="P558" s="1737"/>
      <c r="Q558" s="1737"/>
      <c r="R558" s="1737"/>
      <c r="S558" s="1737"/>
      <c r="T558" s="1737"/>
      <c r="U558" s="1737"/>
      <c r="V558" s="1741"/>
      <c r="W558" s="1790">
        <f t="shared" si="179"/>
        <v>0</v>
      </c>
      <c r="X558" s="1895">
        <f>ROUNDUP(W558,0)</f>
        <v>0</v>
      </c>
      <c r="Y558" s="3756"/>
      <c r="Z558" s="61" t="s">
        <v>23</v>
      </c>
      <c r="AA558" s="3190"/>
      <c r="AB558" s="2623">
        <v>0.26</v>
      </c>
      <c r="AC558" s="2617">
        <v>204.55</v>
      </c>
      <c r="AD558" s="2617">
        <f t="shared" si="178"/>
        <v>53.183000000000007</v>
      </c>
      <c r="AE558" s="2624">
        <f>+W558-AD558</f>
        <v>-53.183000000000007</v>
      </c>
      <c r="AF558" s="2624" t="e">
        <f t="shared" si="180"/>
        <v>#DIV/0!</v>
      </c>
      <c r="AG558" s="1148"/>
      <c r="AH558" s="49"/>
      <c r="AI558" s="874" t="e">
        <f t="shared" si="181"/>
        <v>#DIV/0!</v>
      </c>
    </row>
    <row r="559" spans="1:35" s="196" customFormat="1" ht="13.2" customHeight="1" thickBot="1" x14ac:dyDescent="0.25">
      <c r="A559" s="48" t="s">
        <v>3676</v>
      </c>
      <c r="B559" s="1370"/>
      <c r="C559" s="1789"/>
      <c r="D559" s="1740" t="s">
        <v>3603</v>
      </c>
      <c r="E559" s="1737" t="s">
        <v>88</v>
      </c>
      <c r="F559" s="1738"/>
      <c r="G559" s="1738" t="s">
        <v>2929</v>
      </c>
      <c r="H559" s="1738"/>
      <c r="I559" s="1738"/>
      <c r="J559" s="1737"/>
      <c r="K559" s="1754">
        <v>630</v>
      </c>
      <c r="L559" s="1737"/>
      <c r="M559" s="1737"/>
      <c r="N559" s="1737" t="s">
        <v>3605</v>
      </c>
      <c r="O559" s="1738"/>
      <c r="P559" s="1737"/>
      <c r="Q559" s="1737"/>
      <c r="R559" s="1737"/>
      <c r="S559" s="1737"/>
      <c r="T559" s="1737"/>
      <c r="U559" s="1737"/>
      <c r="V559" s="1741"/>
      <c r="W559" s="1790">
        <f t="shared" si="179"/>
        <v>0</v>
      </c>
      <c r="X559" s="1895">
        <f>ROUNDUP(W559,0)</f>
        <v>0</v>
      </c>
      <c r="Y559" s="3756"/>
      <c r="Z559" s="193" t="s">
        <v>23</v>
      </c>
      <c r="AA559" s="3217"/>
      <c r="AB559" s="2681">
        <v>0.26</v>
      </c>
      <c r="AC559" s="2682">
        <v>204.55</v>
      </c>
      <c r="AD559" s="2682">
        <f t="shared" si="178"/>
        <v>53.183000000000007</v>
      </c>
      <c r="AE559" s="2698">
        <f>+W559-AD559</f>
        <v>-53.183000000000007</v>
      </c>
      <c r="AF559" s="2698" t="e">
        <f t="shared" si="180"/>
        <v>#DIV/0!</v>
      </c>
      <c r="AG559" s="1163"/>
      <c r="AH559" s="195"/>
      <c r="AI559" s="885" t="e">
        <f t="shared" si="181"/>
        <v>#DIV/0!</v>
      </c>
    </row>
    <row r="560" spans="1:35" s="48" customFormat="1" ht="12.6" customHeight="1" x14ac:dyDescent="0.2">
      <c r="A560" s="48" t="s">
        <v>3676</v>
      </c>
      <c r="B560" s="1370"/>
      <c r="C560" s="1735"/>
      <c r="D560" s="1737" t="s">
        <v>1307</v>
      </c>
      <c r="E560" s="1737" t="s">
        <v>88</v>
      </c>
      <c r="F560" s="1738"/>
      <c r="G560" s="1738" t="s">
        <v>85</v>
      </c>
      <c r="H560" s="1738"/>
      <c r="I560" s="1738"/>
      <c r="J560" s="1738"/>
      <c r="K560" s="1754">
        <v>630</v>
      </c>
      <c r="L560" s="1738"/>
      <c r="M560" s="1738"/>
      <c r="N560" s="1738"/>
      <c r="O560" s="1738"/>
      <c r="P560" s="1737"/>
      <c r="Q560" s="1737"/>
      <c r="R560" s="1737"/>
      <c r="S560" s="1737"/>
      <c r="T560" s="1737"/>
      <c r="U560" s="1737"/>
      <c r="V560" s="1741"/>
      <c r="W560" s="1773">
        <f>180*C560</f>
        <v>0</v>
      </c>
      <c r="X560" s="1895">
        <f t="shared" ref="X560:X586" si="182">+ROUNDUP(W560,0)</f>
        <v>0</v>
      </c>
      <c r="Y560" s="3756"/>
      <c r="Z560" s="74" t="s">
        <v>33</v>
      </c>
      <c r="AA560" s="3189" t="s">
        <v>99</v>
      </c>
      <c r="AB560" s="2644">
        <f>0.5*0.5</f>
        <v>0.25</v>
      </c>
      <c r="AC560" s="2617">
        <v>0</v>
      </c>
      <c r="AD560" s="2637">
        <f t="shared" si="178"/>
        <v>0</v>
      </c>
      <c r="AE560" s="2624">
        <f>+AD560*C560</f>
        <v>0</v>
      </c>
      <c r="AF560" s="2624"/>
      <c r="AG560" s="1148"/>
      <c r="AH560" s="42">
        <f>+W560-AE560</f>
        <v>0</v>
      </c>
      <c r="AI560" s="43" t="e">
        <f t="shared" si="181"/>
        <v>#DIV/0!</v>
      </c>
    </row>
    <row r="561" spans="1:35" s="48" customFormat="1" ht="12.6" customHeight="1" x14ac:dyDescent="0.2">
      <c r="A561" s="48" t="s">
        <v>3676</v>
      </c>
      <c r="B561" s="1370"/>
      <c r="C561" s="1735"/>
      <c r="D561" s="1737" t="s">
        <v>3593</v>
      </c>
      <c r="E561" s="1737" t="s">
        <v>88</v>
      </c>
      <c r="F561" s="1738" t="s">
        <v>2930</v>
      </c>
      <c r="G561" s="1738"/>
      <c r="H561" s="1738"/>
      <c r="I561" s="1738"/>
      <c r="J561" s="1738"/>
      <c r="K561" s="1754">
        <v>630</v>
      </c>
      <c r="L561" s="1738"/>
      <c r="M561" s="1738"/>
      <c r="N561" s="1738"/>
      <c r="O561" s="1738"/>
      <c r="P561" s="1737"/>
      <c r="Q561" s="1737"/>
      <c r="R561" s="1737"/>
      <c r="S561" s="1737"/>
      <c r="T561" s="1737"/>
      <c r="U561" s="1737"/>
      <c r="V561" s="1741"/>
      <c r="W561" s="1742">
        <f>180*C561</f>
        <v>0</v>
      </c>
      <c r="X561" s="1895">
        <f t="shared" si="182"/>
        <v>0</v>
      </c>
      <c r="Y561" s="3756"/>
      <c r="Z561" s="61" t="s">
        <v>355</v>
      </c>
      <c r="AA561" s="3189"/>
      <c r="AB561" s="2644">
        <v>0.434</v>
      </c>
      <c r="AC561" s="2617">
        <v>0</v>
      </c>
      <c r="AD561" s="2637">
        <f t="shared" si="178"/>
        <v>0</v>
      </c>
      <c r="AE561" s="2624">
        <f>+AD561*C561</f>
        <v>0</v>
      </c>
      <c r="AF561" s="2624"/>
      <c r="AG561" s="1148"/>
      <c r="AH561" s="42">
        <f>+W561-AE561</f>
        <v>0</v>
      </c>
      <c r="AI561" s="43" t="e">
        <f t="shared" si="181"/>
        <v>#DIV/0!</v>
      </c>
    </row>
    <row r="562" spans="1:35" s="779" customFormat="1" ht="12.6" customHeight="1" x14ac:dyDescent="0.2">
      <c r="A562" s="48" t="s">
        <v>3676</v>
      </c>
      <c r="B562" s="1370"/>
      <c r="C562" s="1735"/>
      <c r="D562" s="1740" t="s">
        <v>1307</v>
      </c>
      <c r="E562" s="1737" t="s">
        <v>88</v>
      </c>
      <c r="F562" s="1738"/>
      <c r="G562" s="1738" t="s">
        <v>85</v>
      </c>
      <c r="H562" s="1738"/>
      <c r="I562" s="1738"/>
      <c r="J562" s="1738"/>
      <c r="K562" s="1754">
        <v>630</v>
      </c>
      <c r="L562" s="1738"/>
      <c r="M562" s="1738"/>
      <c r="N562" s="1738"/>
      <c r="O562" s="1738"/>
      <c r="P562" s="1737"/>
      <c r="Q562" s="1737"/>
      <c r="R562" s="1737"/>
      <c r="S562" s="1737"/>
      <c r="T562" s="1737"/>
      <c r="U562" s="1737"/>
      <c r="V562" s="1741"/>
      <c r="W562" s="1812">
        <f t="shared" ref="W562:W580" si="183">185*C562</f>
        <v>0</v>
      </c>
      <c r="X562" s="2271">
        <f t="shared" si="182"/>
        <v>0</v>
      </c>
      <c r="Y562" s="3756"/>
      <c r="Z562" s="74" t="s">
        <v>33</v>
      </c>
      <c r="AA562" s="3189" t="s">
        <v>99</v>
      </c>
      <c r="AB562" s="2644">
        <v>0.434</v>
      </c>
      <c r="AC562" s="2617">
        <v>0</v>
      </c>
      <c r="AD562" s="2637">
        <f t="shared" si="178"/>
        <v>0</v>
      </c>
      <c r="AE562" s="2624">
        <f>+AD562*C562</f>
        <v>0</v>
      </c>
      <c r="AF562" s="2624"/>
      <c r="AG562" s="1148"/>
      <c r="AH562" s="42">
        <f>+W562-AE562</f>
        <v>0</v>
      </c>
      <c r="AI562" s="43" t="e">
        <f t="shared" si="181"/>
        <v>#DIV/0!</v>
      </c>
    </row>
    <row r="563" spans="1:35" s="48" customFormat="1" ht="12.6" customHeight="1" x14ac:dyDescent="0.2">
      <c r="A563" s="48" t="s">
        <v>3676</v>
      </c>
      <c r="B563" s="1370"/>
      <c r="C563" s="1789"/>
      <c r="D563" s="1740" t="s">
        <v>1307</v>
      </c>
      <c r="E563" s="1737" t="s">
        <v>88</v>
      </c>
      <c r="F563" s="1738"/>
      <c r="G563" s="1738"/>
      <c r="H563" s="1738"/>
      <c r="I563" s="1738"/>
      <c r="J563" s="1738"/>
      <c r="K563" s="1754">
        <v>630</v>
      </c>
      <c r="L563" s="1738"/>
      <c r="M563" s="1738"/>
      <c r="N563" s="1738"/>
      <c r="O563" s="1738"/>
      <c r="P563" s="1737"/>
      <c r="Q563" s="1737"/>
      <c r="R563" s="1737"/>
      <c r="S563" s="1737"/>
      <c r="T563" s="1737"/>
      <c r="U563" s="1737"/>
      <c r="V563" s="1741"/>
      <c r="W563" s="1812">
        <f t="shared" si="183"/>
        <v>0</v>
      </c>
      <c r="X563" s="1895">
        <f t="shared" si="182"/>
        <v>0</v>
      </c>
      <c r="Y563" s="3756"/>
      <c r="Z563" s="61" t="s">
        <v>33</v>
      </c>
      <c r="AA563" s="3190" t="s">
        <v>99</v>
      </c>
      <c r="AB563" s="2643">
        <v>0.434</v>
      </c>
      <c r="AC563" s="2617">
        <v>0</v>
      </c>
      <c r="AD563" s="2637">
        <f t="shared" si="178"/>
        <v>0</v>
      </c>
      <c r="AE563" s="2624"/>
      <c r="AF563" s="2624"/>
      <c r="AG563" s="1148"/>
      <c r="AH563" s="191">
        <f t="shared" ref="AH563:AH572" si="184">+X563-AD563</f>
        <v>0</v>
      </c>
      <c r="AI563" s="192" t="e">
        <f t="shared" si="181"/>
        <v>#DIV/0!</v>
      </c>
    </row>
    <row r="564" spans="1:35" s="48" customFormat="1" ht="12.6" customHeight="1" x14ac:dyDescent="0.2">
      <c r="A564" s="48" t="s">
        <v>3676</v>
      </c>
      <c r="B564" s="1370"/>
      <c r="C564" s="1735"/>
      <c r="D564" s="1737" t="s">
        <v>3593</v>
      </c>
      <c r="E564" s="1737" t="s">
        <v>88</v>
      </c>
      <c r="F564" s="1738"/>
      <c r="G564" s="1738"/>
      <c r="H564" s="1738"/>
      <c r="I564" s="1738"/>
      <c r="J564" s="1738"/>
      <c r="K564" s="1754">
        <v>630</v>
      </c>
      <c r="L564" s="1738"/>
      <c r="M564" s="1738"/>
      <c r="N564" s="1738"/>
      <c r="O564" s="1738"/>
      <c r="P564" s="1737"/>
      <c r="Q564" s="1737"/>
      <c r="R564" s="1737"/>
      <c r="S564" s="1737"/>
      <c r="T564" s="1737"/>
      <c r="U564" s="1737"/>
      <c r="V564" s="1741"/>
      <c r="W564" s="1812">
        <f t="shared" si="183"/>
        <v>0</v>
      </c>
      <c r="X564" s="1895">
        <f t="shared" si="182"/>
        <v>0</v>
      </c>
      <c r="Y564" s="3766"/>
      <c r="Z564" s="61" t="s">
        <v>2861</v>
      </c>
      <c r="AA564" s="3189"/>
      <c r="AB564" s="2644">
        <v>0.434</v>
      </c>
      <c r="AC564" s="2617">
        <v>0</v>
      </c>
      <c r="AD564" s="2637">
        <f t="shared" si="178"/>
        <v>0</v>
      </c>
      <c r="AE564" s="2624"/>
      <c r="AF564" s="2624"/>
      <c r="AG564" s="1148"/>
      <c r="AH564" s="842">
        <f t="shared" si="184"/>
        <v>0</v>
      </c>
      <c r="AI564" s="876" t="e">
        <f t="shared" si="181"/>
        <v>#DIV/0!</v>
      </c>
    </row>
    <row r="565" spans="1:35" s="48" customFormat="1" ht="12.6" customHeight="1" x14ac:dyDescent="0.2">
      <c r="A565" s="48" t="s">
        <v>3676</v>
      </c>
      <c r="B565" s="1370"/>
      <c r="C565" s="1789"/>
      <c r="D565" s="1740" t="s">
        <v>1307</v>
      </c>
      <c r="E565" s="1737" t="s">
        <v>88</v>
      </c>
      <c r="F565" s="1738"/>
      <c r="G565" s="1738"/>
      <c r="H565" s="1738"/>
      <c r="I565" s="1738"/>
      <c r="J565" s="1738"/>
      <c r="K565" s="1754">
        <v>630</v>
      </c>
      <c r="L565" s="1738"/>
      <c r="M565" s="1738"/>
      <c r="N565" s="1738"/>
      <c r="O565" s="1738"/>
      <c r="P565" s="1737"/>
      <c r="Q565" s="1737"/>
      <c r="R565" s="1737"/>
      <c r="S565" s="1737"/>
      <c r="T565" s="1737"/>
      <c r="U565" s="1737"/>
      <c r="V565" s="1741"/>
      <c r="W565" s="1812">
        <f t="shared" si="183"/>
        <v>0</v>
      </c>
      <c r="X565" s="1895">
        <f t="shared" si="182"/>
        <v>0</v>
      </c>
      <c r="Y565" s="3756"/>
      <c r="Z565" s="74" t="s">
        <v>33</v>
      </c>
      <c r="AA565" s="3189" t="s">
        <v>99</v>
      </c>
      <c r="AB565" s="2644">
        <v>0.434</v>
      </c>
      <c r="AC565" s="2617">
        <v>0</v>
      </c>
      <c r="AD565" s="2637">
        <f t="shared" si="178"/>
        <v>0</v>
      </c>
      <c r="AE565" s="2624"/>
      <c r="AF565" s="2624"/>
      <c r="AG565" s="1148"/>
      <c r="AH565" s="842">
        <f t="shared" si="184"/>
        <v>0</v>
      </c>
      <c r="AI565" s="876" t="e">
        <f t="shared" si="181"/>
        <v>#DIV/0!</v>
      </c>
    </row>
    <row r="566" spans="1:35" s="48" customFormat="1" ht="12.6" customHeight="1" x14ac:dyDescent="0.2">
      <c r="A566" s="48" t="s">
        <v>3676</v>
      </c>
      <c r="B566" s="1370"/>
      <c r="C566" s="1789"/>
      <c r="D566" s="1740" t="s">
        <v>1307</v>
      </c>
      <c r="E566" s="1737" t="s">
        <v>88</v>
      </c>
      <c r="F566" s="1738"/>
      <c r="G566" s="1738"/>
      <c r="H566" s="1738"/>
      <c r="I566" s="1738"/>
      <c r="J566" s="1738"/>
      <c r="K566" s="1754">
        <v>630</v>
      </c>
      <c r="L566" s="1738"/>
      <c r="M566" s="1738"/>
      <c r="N566" s="1738"/>
      <c r="O566" s="1738"/>
      <c r="P566" s="1737"/>
      <c r="Q566" s="1737"/>
      <c r="R566" s="1737"/>
      <c r="S566" s="1737"/>
      <c r="T566" s="1737"/>
      <c r="U566" s="1737"/>
      <c r="V566" s="1741"/>
      <c r="W566" s="1812">
        <f t="shared" si="183"/>
        <v>0</v>
      </c>
      <c r="X566" s="1895">
        <f t="shared" si="182"/>
        <v>0</v>
      </c>
      <c r="Y566" s="3756"/>
      <c r="Z566" s="74" t="s">
        <v>33</v>
      </c>
      <c r="AA566" s="3189" t="s">
        <v>99</v>
      </c>
      <c r="AB566" s="2644">
        <v>0.434</v>
      </c>
      <c r="AC566" s="2617">
        <v>0</v>
      </c>
      <c r="AD566" s="2637">
        <f t="shared" si="178"/>
        <v>0</v>
      </c>
      <c r="AE566" s="2624"/>
      <c r="AF566" s="2624"/>
      <c r="AG566" s="1148"/>
      <c r="AH566" s="842">
        <f t="shared" si="184"/>
        <v>0</v>
      </c>
      <c r="AI566" s="876" t="e">
        <f t="shared" si="181"/>
        <v>#DIV/0!</v>
      </c>
    </row>
    <row r="567" spans="1:35" s="48" customFormat="1" ht="12.6" customHeight="1" x14ac:dyDescent="0.2">
      <c r="A567" s="48" t="s">
        <v>3676</v>
      </c>
      <c r="B567" s="1370"/>
      <c r="C567" s="1789"/>
      <c r="D567" s="1740" t="s">
        <v>3593</v>
      </c>
      <c r="E567" s="1737" t="s">
        <v>88</v>
      </c>
      <c r="F567" s="1738"/>
      <c r="G567" s="1738"/>
      <c r="H567" s="1738"/>
      <c r="I567" s="1738"/>
      <c r="J567" s="1738"/>
      <c r="K567" s="1754">
        <v>630</v>
      </c>
      <c r="L567" s="1738"/>
      <c r="M567" s="1738"/>
      <c r="N567" s="1738"/>
      <c r="O567" s="1738"/>
      <c r="P567" s="1737"/>
      <c r="Q567" s="1737"/>
      <c r="R567" s="1737"/>
      <c r="S567" s="1737"/>
      <c r="T567" s="1737"/>
      <c r="U567" s="1737"/>
      <c r="V567" s="1741"/>
      <c r="W567" s="1812">
        <f t="shared" si="183"/>
        <v>0</v>
      </c>
      <c r="X567" s="1895">
        <f t="shared" si="182"/>
        <v>0</v>
      </c>
      <c r="Y567" s="3756"/>
      <c r="Z567" s="61" t="s">
        <v>355</v>
      </c>
      <c r="AA567" s="3189"/>
      <c r="AB567" s="2644">
        <v>0.434</v>
      </c>
      <c r="AC567" s="2617">
        <v>0</v>
      </c>
      <c r="AD567" s="2637">
        <f t="shared" si="178"/>
        <v>0</v>
      </c>
      <c r="AE567" s="2624"/>
      <c r="AF567" s="2624"/>
      <c r="AG567" s="1148"/>
      <c r="AH567" s="842">
        <f t="shared" si="184"/>
        <v>0</v>
      </c>
      <c r="AI567" s="876" t="e">
        <f t="shared" si="181"/>
        <v>#DIV/0!</v>
      </c>
    </row>
    <row r="568" spans="1:35" s="48" customFormat="1" ht="12.6" customHeight="1" x14ac:dyDescent="0.2">
      <c r="A568" s="48" t="s">
        <v>3676</v>
      </c>
      <c r="B568" s="1370"/>
      <c r="C568" s="1789"/>
      <c r="D568" s="1740" t="s">
        <v>1307</v>
      </c>
      <c r="E568" s="1737" t="s">
        <v>88</v>
      </c>
      <c r="F568" s="1738"/>
      <c r="G568" s="1738"/>
      <c r="H568" s="1738"/>
      <c r="I568" s="1738"/>
      <c r="J568" s="1738"/>
      <c r="K568" s="1754">
        <v>630</v>
      </c>
      <c r="L568" s="1738"/>
      <c r="M568" s="1738"/>
      <c r="N568" s="1738"/>
      <c r="O568" s="1738"/>
      <c r="P568" s="1737"/>
      <c r="Q568" s="1737"/>
      <c r="R568" s="1737"/>
      <c r="S568" s="1737"/>
      <c r="T568" s="1737"/>
      <c r="U568" s="1737"/>
      <c r="V568" s="1741"/>
      <c r="W568" s="1812">
        <f t="shared" si="183"/>
        <v>0</v>
      </c>
      <c r="X568" s="1895">
        <f t="shared" si="182"/>
        <v>0</v>
      </c>
      <c r="Y568" s="3756"/>
      <c r="Z568" s="74" t="s">
        <v>33</v>
      </c>
      <c r="AA568" s="3186" t="s">
        <v>99</v>
      </c>
      <c r="AB568" s="2644">
        <v>0.434</v>
      </c>
      <c r="AC568" s="2617">
        <v>0</v>
      </c>
      <c r="AD568" s="2637">
        <f t="shared" si="178"/>
        <v>0</v>
      </c>
      <c r="AE568" s="2624"/>
      <c r="AF568" s="2624"/>
      <c r="AG568" s="1148"/>
      <c r="AH568" s="842">
        <f t="shared" si="184"/>
        <v>0</v>
      </c>
      <c r="AI568" s="876" t="e">
        <f t="shared" si="181"/>
        <v>#DIV/0!</v>
      </c>
    </row>
    <row r="569" spans="1:35" s="48" customFormat="1" ht="12.6" customHeight="1" x14ac:dyDescent="0.2">
      <c r="A569" s="48" t="s">
        <v>3676</v>
      </c>
      <c r="B569" s="1370"/>
      <c r="C569" s="1789"/>
      <c r="D569" s="1740" t="s">
        <v>1307</v>
      </c>
      <c r="E569" s="1737" t="s">
        <v>88</v>
      </c>
      <c r="F569" s="1738"/>
      <c r="G569" s="1738"/>
      <c r="H569" s="1738"/>
      <c r="I569" s="1738"/>
      <c r="J569" s="1738"/>
      <c r="K569" s="1754">
        <v>630</v>
      </c>
      <c r="L569" s="1738"/>
      <c r="M569" s="1738"/>
      <c r="N569" s="1738"/>
      <c r="O569" s="1738"/>
      <c r="P569" s="1737"/>
      <c r="Q569" s="1737"/>
      <c r="R569" s="1737"/>
      <c r="S569" s="1737"/>
      <c r="T569" s="1737"/>
      <c r="U569" s="1737"/>
      <c r="V569" s="1741"/>
      <c r="W569" s="1812">
        <f t="shared" si="183"/>
        <v>0</v>
      </c>
      <c r="X569" s="1895">
        <f t="shared" si="182"/>
        <v>0</v>
      </c>
      <c r="Y569" s="3756"/>
      <c r="Z569" s="74" t="s">
        <v>33</v>
      </c>
      <c r="AA569" s="3186" t="s">
        <v>99</v>
      </c>
      <c r="AB569" s="2644">
        <v>0.434</v>
      </c>
      <c r="AC569" s="2617">
        <v>0</v>
      </c>
      <c r="AD569" s="2637">
        <f t="shared" si="178"/>
        <v>0</v>
      </c>
      <c r="AE569" s="2624"/>
      <c r="AF569" s="2624"/>
      <c r="AG569" s="1148"/>
      <c r="AH569" s="842">
        <f t="shared" si="184"/>
        <v>0</v>
      </c>
      <c r="AI569" s="876" t="e">
        <f t="shared" si="181"/>
        <v>#DIV/0!</v>
      </c>
    </row>
    <row r="570" spans="1:35" s="48" customFormat="1" ht="12.6" customHeight="1" x14ac:dyDescent="0.2">
      <c r="A570" s="48" t="s">
        <v>3676</v>
      </c>
      <c r="B570" s="1370"/>
      <c r="C570" s="1789"/>
      <c r="D570" s="1740" t="s">
        <v>3593</v>
      </c>
      <c r="E570" s="1737" t="s">
        <v>88</v>
      </c>
      <c r="F570" s="1738"/>
      <c r="G570" s="1738"/>
      <c r="H570" s="1738"/>
      <c r="I570" s="1738"/>
      <c r="J570" s="1738"/>
      <c r="K570" s="1754">
        <v>630</v>
      </c>
      <c r="L570" s="1738"/>
      <c r="M570" s="1738"/>
      <c r="N570" s="1738"/>
      <c r="O570" s="1738"/>
      <c r="P570" s="1737"/>
      <c r="Q570" s="1737"/>
      <c r="R570" s="1737"/>
      <c r="S570" s="1737"/>
      <c r="T570" s="1737"/>
      <c r="U570" s="1737"/>
      <c r="V570" s="1741"/>
      <c r="W570" s="1812">
        <f t="shared" si="183"/>
        <v>0</v>
      </c>
      <c r="X570" s="1895">
        <f t="shared" si="182"/>
        <v>0</v>
      </c>
      <c r="Y570" s="3756"/>
      <c r="Z570" s="61" t="s">
        <v>355</v>
      </c>
      <c r="AA570" s="3186"/>
      <c r="AB570" s="2644">
        <v>0.434</v>
      </c>
      <c r="AC570" s="2617">
        <v>0</v>
      </c>
      <c r="AD570" s="2637">
        <f t="shared" si="178"/>
        <v>0</v>
      </c>
      <c r="AE570" s="2624"/>
      <c r="AF570" s="2624"/>
      <c r="AG570" s="1148"/>
      <c r="AH570" s="842">
        <f t="shared" si="184"/>
        <v>0</v>
      </c>
      <c r="AI570" s="876" t="e">
        <f t="shared" si="181"/>
        <v>#DIV/0!</v>
      </c>
    </row>
    <row r="571" spans="1:35" s="48" customFormat="1" ht="12.6" customHeight="1" x14ac:dyDescent="0.2">
      <c r="A571" s="48" t="s">
        <v>3676</v>
      </c>
      <c r="B571" s="1370"/>
      <c r="C571" s="1789"/>
      <c r="D571" s="1740" t="s">
        <v>1307</v>
      </c>
      <c r="E571" s="1737" t="s">
        <v>88</v>
      </c>
      <c r="F571" s="1738"/>
      <c r="G571" s="1738"/>
      <c r="H571" s="1738"/>
      <c r="I571" s="1738"/>
      <c r="J571" s="1738"/>
      <c r="K571" s="1754">
        <v>630</v>
      </c>
      <c r="L571" s="1738"/>
      <c r="M571" s="1738"/>
      <c r="N571" s="1738"/>
      <c r="O571" s="1738"/>
      <c r="P571" s="1737"/>
      <c r="Q571" s="1737"/>
      <c r="R571" s="1737"/>
      <c r="S571" s="1737"/>
      <c r="T571" s="1737"/>
      <c r="U571" s="1737"/>
      <c r="V571" s="1741"/>
      <c r="W571" s="1812">
        <f t="shared" si="183"/>
        <v>0</v>
      </c>
      <c r="X571" s="1895">
        <f t="shared" si="182"/>
        <v>0</v>
      </c>
      <c r="Y571" s="3756"/>
      <c r="Z571" s="74" t="s">
        <v>33</v>
      </c>
      <c r="AA571" s="3186" t="s">
        <v>99</v>
      </c>
      <c r="AB571" s="2644">
        <v>0.434</v>
      </c>
      <c r="AC571" s="2617">
        <v>0</v>
      </c>
      <c r="AD571" s="2637">
        <f t="shared" si="178"/>
        <v>0</v>
      </c>
      <c r="AE571" s="2624"/>
      <c r="AF571" s="2624"/>
      <c r="AG571" s="1148"/>
      <c r="AH571" s="842">
        <f t="shared" si="184"/>
        <v>0</v>
      </c>
      <c r="AI571" s="876" t="e">
        <f t="shared" si="181"/>
        <v>#DIV/0!</v>
      </c>
    </row>
    <row r="572" spans="1:35" s="48" customFormat="1" ht="12.6" customHeight="1" x14ac:dyDescent="0.2">
      <c r="A572" s="48" t="s">
        <v>3676</v>
      </c>
      <c r="B572" s="1370"/>
      <c r="C572" s="1789"/>
      <c r="D572" s="1740" t="s">
        <v>1307</v>
      </c>
      <c r="E572" s="1737" t="s">
        <v>88</v>
      </c>
      <c r="F572" s="1738"/>
      <c r="G572" s="1738"/>
      <c r="H572" s="1738"/>
      <c r="I572" s="1738"/>
      <c r="J572" s="1738"/>
      <c r="K572" s="1754">
        <v>630</v>
      </c>
      <c r="L572" s="1738"/>
      <c r="M572" s="1738"/>
      <c r="N572" s="1738"/>
      <c r="O572" s="1738"/>
      <c r="P572" s="1737"/>
      <c r="Q572" s="1737"/>
      <c r="R572" s="1737"/>
      <c r="S572" s="1737"/>
      <c r="T572" s="1737"/>
      <c r="U572" s="1737"/>
      <c r="V572" s="1741"/>
      <c r="W572" s="1812">
        <f t="shared" si="183"/>
        <v>0</v>
      </c>
      <c r="X572" s="1895">
        <f t="shared" si="182"/>
        <v>0</v>
      </c>
      <c r="Y572" s="3756"/>
      <c r="Z572" s="74" t="s">
        <v>33</v>
      </c>
      <c r="AA572" s="3189" t="s">
        <v>99</v>
      </c>
      <c r="AB572" s="2644">
        <v>0.434</v>
      </c>
      <c r="AC572" s="2617">
        <v>0</v>
      </c>
      <c r="AD572" s="2637">
        <f t="shared" si="178"/>
        <v>0</v>
      </c>
      <c r="AE572" s="2624"/>
      <c r="AF572" s="2624"/>
      <c r="AG572" s="1148"/>
      <c r="AH572" s="842">
        <f t="shared" si="184"/>
        <v>0</v>
      </c>
      <c r="AI572" s="876" t="e">
        <f t="shared" si="181"/>
        <v>#DIV/0!</v>
      </c>
    </row>
    <row r="573" spans="1:35" s="48" customFormat="1" ht="12.6" customHeight="1" x14ac:dyDescent="0.2">
      <c r="A573" s="48" t="s">
        <v>3676</v>
      </c>
      <c r="B573" s="1370"/>
      <c r="C573" s="1808"/>
      <c r="D573" s="1783" t="s">
        <v>1307</v>
      </c>
      <c r="E573" s="1753" t="s">
        <v>88</v>
      </c>
      <c r="F573" s="1755"/>
      <c r="G573" s="1755"/>
      <c r="H573" s="1755"/>
      <c r="I573" s="1755"/>
      <c r="J573" s="1755"/>
      <c r="K573" s="1754">
        <v>630</v>
      </c>
      <c r="L573" s="1755"/>
      <c r="M573" s="1755"/>
      <c r="N573" s="1755"/>
      <c r="O573" s="1755"/>
      <c r="P573" s="1753"/>
      <c r="Q573" s="1753"/>
      <c r="R573" s="1753"/>
      <c r="S573" s="1753"/>
      <c r="T573" s="1753"/>
      <c r="U573" s="1753"/>
      <c r="V573" s="1756"/>
      <c r="W573" s="1812">
        <f t="shared" si="183"/>
        <v>0</v>
      </c>
      <c r="X573" s="1893">
        <f t="shared" si="182"/>
        <v>0</v>
      </c>
      <c r="Y573" s="3756"/>
      <c r="Z573" s="249" t="s">
        <v>33</v>
      </c>
      <c r="AA573" s="3204"/>
      <c r="AB573" s="2629"/>
      <c r="AC573" s="2629">
        <v>0</v>
      </c>
      <c r="AD573" s="2629">
        <v>0</v>
      </c>
      <c r="AE573" s="2630"/>
      <c r="AF573" s="2630"/>
      <c r="AG573" s="1156"/>
      <c r="AH573" s="251"/>
      <c r="AI573" s="216" t="e">
        <f t="shared" si="181"/>
        <v>#DIV/0!</v>
      </c>
    </row>
    <row r="574" spans="1:35" s="48" customFormat="1" ht="12.6" customHeight="1" x14ac:dyDescent="0.2">
      <c r="A574" s="48" t="s">
        <v>3676</v>
      </c>
      <c r="B574" s="1370"/>
      <c r="C574" s="1808"/>
      <c r="D574" s="1783" t="s">
        <v>1307</v>
      </c>
      <c r="E574" s="1753" t="s">
        <v>88</v>
      </c>
      <c r="F574" s="1755"/>
      <c r="G574" s="1755"/>
      <c r="H574" s="1755"/>
      <c r="I574" s="1755"/>
      <c r="J574" s="1755"/>
      <c r="K574" s="1754">
        <v>630</v>
      </c>
      <c r="L574" s="1755"/>
      <c r="M574" s="1755"/>
      <c r="N574" s="1755"/>
      <c r="O574" s="1755"/>
      <c r="P574" s="1753"/>
      <c r="Q574" s="1753"/>
      <c r="R574" s="1753"/>
      <c r="S574" s="1753"/>
      <c r="T574" s="1753"/>
      <c r="U574" s="1753"/>
      <c r="V574" s="1756"/>
      <c r="W574" s="1812">
        <f t="shared" si="183"/>
        <v>0</v>
      </c>
      <c r="X574" s="1893">
        <f t="shared" si="182"/>
        <v>0</v>
      </c>
      <c r="Y574" s="3756"/>
      <c r="Z574" s="246" t="s">
        <v>33</v>
      </c>
      <c r="AA574" s="3223" t="s">
        <v>99</v>
      </c>
      <c r="AB574" s="2670">
        <v>0.434</v>
      </c>
      <c r="AC574" s="2629">
        <v>0</v>
      </c>
      <c r="AD574" s="2637">
        <f>+AC574*AB574</f>
        <v>0</v>
      </c>
      <c r="AE574" s="2630"/>
      <c r="AF574" s="2630"/>
      <c r="AG574" s="1156"/>
      <c r="AH574" s="252">
        <f>+X574-AD574</f>
        <v>0</v>
      </c>
      <c r="AI574" s="883" t="e">
        <f t="shared" si="181"/>
        <v>#DIV/0!</v>
      </c>
    </row>
    <row r="575" spans="1:35" s="48" customFormat="1" ht="12.6" customHeight="1" x14ac:dyDescent="0.2">
      <c r="A575" s="48" t="s">
        <v>3676</v>
      </c>
      <c r="B575" s="1370"/>
      <c r="C575" s="1789"/>
      <c r="D575" s="1740" t="s">
        <v>1307</v>
      </c>
      <c r="E575" s="1737" t="s">
        <v>88</v>
      </c>
      <c r="F575" s="1738"/>
      <c r="G575" s="1738"/>
      <c r="H575" s="1738"/>
      <c r="I575" s="1738"/>
      <c r="J575" s="1738"/>
      <c r="K575" s="1754">
        <v>630</v>
      </c>
      <c r="L575" s="1738"/>
      <c r="M575" s="1738"/>
      <c r="N575" s="1738"/>
      <c r="O575" s="1738"/>
      <c r="P575" s="1737"/>
      <c r="Q575" s="1737"/>
      <c r="R575" s="1737"/>
      <c r="S575" s="1737"/>
      <c r="T575" s="1737"/>
      <c r="U575" s="1737"/>
      <c r="V575" s="1741"/>
      <c r="W575" s="1812">
        <f t="shared" si="183"/>
        <v>0</v>
      </c>
      <c r="X575" s="1895">
        <f t="shared" si="182"/>
        <v>0</v>
      </c>
      <c r="Y575" s="3756"/>
      <c r="Z575" s="61" t="s">
        <v>33</v>
      </c>
      <c r="AA575" s="3190"/>
      <c r="AB575" s="2625"/>
      <c r="AC575" s="2625">
        <v>0</v>
      </c>
      <c r="AD575" s="2617">
        <v>0</v>
      </c>
      <c r="AE575" s="2624"/>
      <c r="AF575" s="2624"/>
      <c r="AG575" s="1148"/>
      <c r="AH575" s="199"/>
      <c r="AI575" s="43" t="e">
        <f t="shared" si="181"/>
        <v>#DIV/0!</v>
      </c>
    </row>
    <row r="576" spans="1:35" s="48" customFormat="1" ht="12.6" customHeight="1" x14ac:dyDescent="0.2">
      <c r="A576" s="48" t="s">
        <v>3676</v>
      </c>
      <c r="B576" s="1370"/>
      <c r="C576" s="1789"/>
      <c r="D576" s="1740" t="s">
        <v>1307</v>
      </c>
      <c r="E576" s="1737" t="s">
        <v>88</v>
      </c>
      <c r="F576" s="1738"/>
      <c r="G576" s="1738"/>
      <c r="H576" s="1738"/>
      <c r="I576" s="1738"/>
      <c r="J576" s="1738"/>
      <c r="K576" s="1754">
        <v>630</v>
      </c>
      <c r="L576" s="1738"/>
      <c r="M576" s="1738"/>
      <c r="N576" s="1738"/>
      <c r="O576" s="1738"/>
      <c r="P576" s="1737"/>
      <c r="Q576" s="1737"/>
      <c r="R576" s="1737"/>
      <c r="S576" s="1737"/>
      <c r="T576" s="1737"/>
      <c r="U576" s="1737"/>
      <c r="V576" s="1741"/>
      <c r="W576" s="1812">
        <f t="shared" si="183"/>
        <v>0</v>
      </c>
      <c r="X576" s="1895">
        <f t="shared" si="182"/>
        <v>0</v>
      </c>
      <c r="Y576" s="3756"/>
      <c r="Z576" s="61" t="s">
        <v>33</v>
      </c>
      <c r="AA576" s="3190" t="s">
        <v>99</v>
      </c>
      <c r="AB576" s="2643">
        <v>0.434</v>
      </c>
      <c r="AC576" s="2617">
        <v>0</v>
      </c>
      <c r="AD576" s="2637">
        <f>+AC576*AB576</f>
        <v>0</v>
      </c>
      <c r="AE576" s="2624"/>
      <c r="AF576" s="2624"/>
      <c r="AG576" s="1148"/>
      <c r="AH576" s="191">
        <f>+X576-AD576</f>
        <v>0</v>
      </c>
      <c r="AI576" s="876" t="e">
        <f t="shared" si="181"/>
        <v>#DIV/0!</v>
      </c>
    </row>
    <row r="577" spans="1:35" s="196" customFormat="1" ht="13.2" customHeight="1" thickBot="1" x14ac:dyDescent="0.25">
      <c r="A577" s="48" t="s">
        <v>3676</v>
      </c>
      <c r="B577" s="1370"/>
      <c r="C577" s="1789"/>
      <c r="D577" s="1740" t="s">
        <v>1307</v>
      </c>
      <c r="E577" s="1737" t="s">
        <v>88</v>
      </c>
      <c r="F577" s="1738"/>
      <c r="G577" s="1738"/>
      <c r="H577" s="1738"/>
      <c r="I577" s="1738"/>
      <c r="J577" s="1738"/>
      <c r="K577" s="1754">
        <v>630</v>
      </c>
      <c r="L577" s="1738"/>
      <c r="M577" s="1738"/>
      <c r="N577" s="1738"/>
      <c r="O577" s="1738"/>
      <c r="P577" s="1737"/>
      <c r="Q577" s="1737"/>
      <c r="R577" s="1737"/>
      <c r="S577" s="1737"/>
      <c r="T577" s="1737"/>
      <c r="U577" s="1737"/>
      <c r="V577" s="1741"/>
      <c r="W577" s="1758">
        <f t="shared" si="183"/>
        <v>0</v>
      </c>
      <c r="X577" s="1895">
        <f t="shared" si="182"/>
        <v>0</v>
      </c>
      <c r="Y577" s="3756"/>
      <c r="Z577" s="193" t="s">
        <v>33</v>
      </c>
      <c r="AA577" s="3217"/>
      <c r="AB577" s="2680"/>
      <c r="AC577" s="2682">
        <v>0</v>
      </c>
      <c r="AD577" s="2682">
        <v>0</v>
      </c>
      <c r="AE577" s="2698"/>
      <c r="AF577" s="2698"/>
      <c r="AG577" s="1163"/>
      <c r="AH577" s="195"/>
      <c r="AI577" s="43" t="e">
        <f t="shared" si="181"/>
        <v>#DIV/0!</v>
      </c>
    </row>
    <row r="578" spans="1:35" s="48" customFormat="1" ht="12.6" customHeight="1" x14ac:dyDescent="0.2">
      <c r="A578" s="48" t="s">
        <v>3676</v>
      </c>
      <c r="B578" s="1370"/>
      <c r="C578" s="1789"/>
      <c r="D578" s="1740" t="s">
        <v>1307</v>
      </c>
      <c r="E578" s="1737" t="s">
        <v>88</v>
      </c>
      <c r="F578" s="1738"/>
      <c r="G578" s="1738"/>
      <c r="H578" s="1738"/>
      <c r="I578" s="1738"/>
      <c r="J578" s="1738"/>
      <c r="K578" s="1754">
        <v>630</v>
      </c>
      <c r="L578" s="1738"/>
      <c r="M578" s="1738"/>
      <c r="N578" s="1738"/>
      <c r="O578" s="1738"/>
      <c r="P578" s="1737"/>
      <c r="Q578" s="1737"/>
      <c r="R578" s="1737"/>
      <c r="S578" s="1737"/>
      <c r="T578" s="1737"/>
      <c r="U578" s="1737"/>
      <c r="V578" s="1741"/>
      <c r="W578" s="1758">
        <f t="shared" si="183"/>
        <v>0</v>
      </c>
      <c r="X578" s="1895">
        <f t="shared" si="182"/>
        <v>0</v>
      </c>
      <c r="Y578" s="3756"/>
      <c r="Z578" s="74" t="s">
        <v>33</v>
      </c>
      <c r="AA578" s="3190" t="s">
        <v>99</v>
      </c>
      <c r="AB578" s="2643">
        <v>0.434</v>
      </c>
      <c r="AC578" s="2625">
        <v>0</v>
      </c>
      <c r="AD578" s="2637">
        <f>+AC578*AB578</f>
        <v>0</v>
      </c>
      <c r="AE578" s="2624"/>
      <c r="AF578" s="2624"/>
      <c r="AG578" s="1148"/>
      <c r="AH578" s="191">
        <f>+X578-AD578</f>
        <v>0</v>
      </c>
      <c r="AI578" s="192" t="e">
        <f t="shared" si="181"/>
        <v>#DIV/0!</v>
      </c>
    </row>
    <row r="579" spans="1:35" s="48" customFormat="1" ht="12.6" customHeight="1" x14ac:dyDescent="0.2">
      <c r="A579" s="48" t="s">
        <v>3676</v>
      </c>
      <c r="B579" s="1370"/>
      <c r="C579" s="1735"/>
      <c r="D579" s="1740" t="s">
        <v>1307</v>
      </c>
      <c r="E579" s="1737" t="s">
        <v>88</v>
      </c>
      <c r="F579" s="1738"/>
      <c r="G579" s="1738"/>
      <c r="H579" s="1738"/>
      <c r="I579" s="1738"/>
      <c r="J579" s="1738"/>
      <c r="K579" s="1754">
        <v>630</v>
      </c>
      <c r="L579" s="1738"/>
      <c r="M579" s="1738"/>
      <c r="N579" s="1738"/>
      <c r="O579" s="1738"/>
      <c r="P579" s="1737"/>
      <c r="Q579" s="1737"/>
      <c r="R579" s="1737"/>
      <c r="S579" s="1737"/>
      <c r="T579" s="1737"/>
      <c r="U579" s="1737"/>
      <c r="V579" s="1741"/>
      <c r="W579" s="1742">
        <f t="shared" si="183"/>
        <v>0</v>
      </c>
      <c r="X579" s="2271">
        <f t="shared" si="182"/>
        <v>0</v>
      </c>
      <c r="Y579" s="3756"/>
      <c r="Z579" s="197" t="s">
        <v>33</v>
      </c>
      <c r="AA579" s="3191"/>
      <c r="AB579" s="2626"/>
      <c r="AC579" s="2626">
        <v>0</v>
      </c>
      <c r="AD579" s="2627">
        <v>0</v>
      </c>
      <c r="AE579" s="2655">
        <f>+AD579*C579</f>
        <v>0</v>
      </c>
      <c r="AF579" s="2655"/>
      <c r="AG579" s="1154"/>
      <c r="AH579" s="188">
        <f>+W579-AE579</f>
        <v>0</v>
      </c>
      <c r="AI579" s="189" t="e">
        <f t="shared" si="181"/>
        <v>#DIV/0!</v>
      </c>
    </row>
    <row r="580" spans="1:35" s="48" customFormat="1" ht="12.6" customHeight="1" x14ac:dyDescent="0.2">
      <c r="A580" s="48" t="s">
        <v>3676</v>
      </c>
      <c r="B580" s="1370"/>
      <c r="C580" s="1735"/>
      <c r="D580" s="1740" t="s">
        <v>1307</v>
      </c>
      <c r="E580" s="1737" t="s">
        <v>88</v>
      </c>
      <c r="F580" s="1738"/>
      <c r="G580" s="1738"/>
      <c r="H580" s="1738"/>
      <c r="I580" s="1738"/>
      <c r="J580" s="1738"/>
      <c r="K580" s="1754">
        <v>630</v>
      </c>
      <c r="L580" s="1738"/>
      <c r="M580" s="1738"/>
      <c r="N580" s="1738"/>
      <c r="O580" s="1738"/>
      <c r="P580" s="1737"/>
      <c r="Q580" s="1737"/>
      <c r="R580" s="1737"/>
      <c r="S580" s="1737"/>
      <c r="T580" s="1737"/>
      <c r="U580" s="1737"/>
      <c r="V580" s="1741"/>
      <c r="W580" s="1812">
        <f t="shared" si="183"/>
        <v>0</v>
      </c>
      <c r="X580" s="2271">
        <f t="shared" si="182"/>
        <v>0</v>
      </c>
      <c r="Y580" s="3756"/>
      <c r="Z580" s="74" t="s">
        <v>33</v>
      </c>
      <c r="AA580" s="3190"/>
      <c r="AB580" s="2625"/>
      <c r="AC580" s="2625">
        <v>0</v>
      </c>
      <c r="AD580" s="2617">
        <v>0</v>
      </c>
      <c r="AE580" s="2624">
        <f>+AD580*C580</f>
        <v>0</v>
      </c>
      <c r="AF580" s="2624"/>
      <c r="AG580" s="1148"/>
      <c r="AH580" s="44">
        <f>+W580-AE580</f>
        <v>0</v>
      </c>
      <c r="AI580" s="874" t="e">
        <f t="shared" si="181"/>
        <v>#DIV/0!</v>
      </c>
    </row>
    <row r="581" spans="1:35" s="48" customFormat="1" ht="12.6" customHeight="1" x14ac:dyDescent="0.2">
      <c r="A581" s="48" t="s">
        <v>3676</v>
      </c>
      <c r="B581" s="1370"/>
      <c r="C581" s="1735"/>
      <c r="D581" s="1737" t="s">
        <v>1307</v>
      </c>
      <c r="E581" s="1737"/>
      <c r="F581" s="1778" t="s">
        <v>2454</v>
      </c>
      <c r="G581" s="1778"/>
      <c r="H581" s="1778"/>
      <c r="I581" s="1778"/>
      <c r="J581" s="1738"/>
      <c r="K581" s="1737"/>
      <c r="L581" s="1737" t="s">
        <v>2460</v>
      </c>
      <c r="M581" s="1737"/>
      <c r="N581" s="1738" t="s">
        <v>2455</v>
      </c>
      <c r="O581" s="1738"/>
      <c r="P581" s="1738"/>
      <c r="Q581" s="1737"/>
      <c r="R581" s="1737"/>
      <c r="S581" s="1737"/>
      <c r="T581" s="1737"/>
      <c r="U581" s="1737"/>
      <c r="V581" s="1741"/>
      <c r="W581" s="1812">
        <f>+AD581*C581*1.6</f>
        <v>0</v>
      </c>
      <c r="X581" s="2271">
        <f t="shared" si="182"/>
        <v>0</v>
      </c>
      <c r="Y581" s="3756"/>
      <c r="Z581" s="74" t="s">
        <v>397</v>
      </c>
      <c r="AA581" s="3190" t="s">
        <v>2458</v>
      </c>
      <c r="AB581" s="2623">
        <v>1</v>
      </c>
      <c r="AC581" s="2625">
        <v>457.92</v>
      </c>
      <c r="AD581" s="2617">
        <f>+AC581*AB581</f>
        <v>457.92</v>
      </c>
      <c r="AE581" s="2624"/>
      <c r="AF581" s="2624"/>
      <c r="AG581" s="1148"/>
      <c r="AH581" s="191">
        <f t="shared" ref="AH581:AH590" si="185">+W581-AD581</f>
        <v>-457.92</v>
      </c>
      <c r="AI581" s="874" t="e">
        <f t="shared" ref="AI581:AI590" si="186">+AH581/W581</f>
        <v>#DIV/0!</v>
      </c>
    </row>
    <row r="582" spans="1:35" s="48" customFormat="1" ht="12.6" customHeight="1" x14ac:dyDescent="0.2">
      <c r="A582" s="48" t="s">
        <v>3676</v>
      </c>
      <c r="B582" s="1370"/>
      <c r="C582" s="1789"/>
      <c r="D582" s="1737" t="s">
        <v>1307</v>
      </c>
      <c r="E582" s="1737"/>
      <c r="F582" s="1738" t="s">
        <v>2454</v>
      </c>
      <c r="G582" s="1738"/>
      <c r="H582" s="1738"/>
      <c r="I582" s="1738"/>
      <c r="J582" s="1738"/>
      <c r="K582" s="1737"/>
      <c r="L582" s="1738"/>
      <c r="M582" s="1738"/>
      <c r="N582" s="1738" t="s">
        <v>2455</v>
      </c>
      <c r="O582" s="1738"/>
      <c r="P582" s="1737"/>
      <c r="Q582" s="1737"/>
      <c r="R582" s="1737"/>
      <c r="S582" s="1737"/>
      <c r="T582" s="1737"/>
      <c r="U582" s="1737"/>
      <c r="V582" s="1741"/>
      <c r="W582" s="1773">
        <f>+AD582*C582*1.6</f>
        <v>0</v>
      </c>
      <c r="X582" s="1895">
        <f t="shared" si="182"/>
        <v>0</v>
      </c>
      <c r="Y582" s="3756"/>
      <c r="Z582" s="74" t="s">
        <v>397</v>
      </c>
      <c r="AA582" s="3190" t="s">
        <v>2458</v>
      </c>
      <c r="AB582" s="2623">
        <v>1</v>
      </c>
      <c r="AC582" s="2625">
        <v>457.92</v>
      </c>
      <c r="AD582" s="2617">
        <f>+AC582*AB582</f>
        <v>457.92</v>
      </c>
      <c r="AE582" s="2624"/>
      <c r="AF582" s="2624"/>
      <c r="AG582" s="1148"/>
      <c r="AH582" s="191">
        <f t="shared" si="185"/>
        <v>-457.92</v>
      </c>
      <c r="AI582" s="874" t="e">
        <f t="shared" si="186"/>
        <v>#DIV/0!</v>
      </c>
    </row>
    <row r="583" spans="1:35" s="48" customFormat="1" ht="12.6" customHeight="1" x14ac:dyDescent="0.2">
      <c r="A583" s="48" t="s">
        <v>3677</v>
      </c>
      <c r="B583" s="1370"/>
      <c r="C583" s="1735"/>
      <c r="D583" s="1737" t="s">
        <v>423</v>
      </c>
      <c r="E583" s="1738" t="s">
        <v>2497</v>
      </c>
      <c r="F583" s="1738" t="s">
        <v>316</v>
      </c>
      <c r="G583" s="1738"/>
      <c r="H583" s="1738"/>
      <c r="I583" s="1738"/>
      <c r="J583" s="1738"/>
      <c r="K583" s="1772">
        <v>630</v>
      </c>
      <c r="L583" s="1738"/>
      <c r="M583" s="1738"/>
      <c r="N583" s="1738" t="s">
        <v>2499</v>
      </c>
      <c r="O583" s="1738"/>
      <c r="P583" s="1737"/>
      <c r="Q583" s="1737"/>
      <c r="R583" s="1737"/>
      <c r="S583" s="1737"/>
      <c r="T583" s="1737"/>
      <c r="U583" s="1737"/>
      <c r="V583" s="1741"/>
      <c r="W583" s="1773">
        <f>+AD583*1.5*C583</f>
        <v>0</v>
      </c>
      <c r="X583" s="1895">
        <f t="shared" si="182"/>
        <v>0</v>
      </c>
      <c r="Y583" s="3756"/>
      <c r="Z583" s="74" t="s">
        <v>397</v>
      </c>
      <c r="AA583" s="3230" t="s">
        <v>2498</v>
      </c>
      <c r="AB583" s="2623">
        <v>1</v>
      </c>
      <c r="AC583" s="2625">
        <v>1800</v>
      </c>
      <c r="AD583" s="2617">
        <f t="shared" ref="AD583:AD590" si="187">+AC583</f>
        <v>1800</v>
      </c>
      <c r="AE583" s="2624"/>
      <c r="AF583" s="2624"/>
      <c r="AG583" s="1148"/>
      <c r="AH583" s="191">
        <f t="shared" si="185"/>
        <v>-1800</v>
      </c>
      <c r="AI583" s="874" t="e">
        <f t="shared" si="186"/>
        <v>#DIV/0!</v>
      </c>
    </row>
    <row r="584" spans="1:35" s="48" customFormat="1" ht="12.6" customHeight="1" x14ac:dyDescent="0.2">
      <c r="A584" s="48" t="s">
        <v>3676</v>
      </c>
      <c r="B584" s="1370"/>
      <c r="C584" s="1735"/>
      <c r="D584" s="1737" t="s">
        <v>1307</v>
      </c>
      <c r="E584" s="1737" t="s">
        <v>2497</v>
      </c>
      <c r="F584" s="1738" t="s">
        <v>2500</v>
      </c>
      <c r="G584" s="1738"/>
      <c r="H584" s="1738"/>
      <c r="I584" s="1738"/>
      <c r="J584" s="1738"/>
      <c r="K584" s="1772">
        <v>630</v>
      </c>
      <c r="L584" s="1738"/>
      <c r="M584" s="1738"/>
      <c r="N584" s="1738" t="s">
        <v>2501</v>
      </c>
      <c r="O584" s="1738"/>
      <c r="P584" s="1737"/>
      <c r="Q584" s="1737"/>
      <c r="R584" s="1737"/>
      <c r="S584" s="1737"/>
      <c r="T584" s="1737"/>
      <c r="U584" s="1737"/>
      <c r="V584" s="1741"/>
      <c r="W584" s="1773">
        <f>+AD584*1.65*C584</f>
        <v>0</v>
      </c>
      <c r="X584" s="1895">
        <f t="shared" si="182"/>
        <v>0</v>
      </c>
      <c r="Y584" s="3756"/>
      <c r="Z584" s="74" t="s">
        <v>397</v>
      </c>
      <c r="AA584" s="3230" t="s">
        <v>2502</v>
      </c>
      <c r="AB584" s="2623">
        <v>1</v>
      </c>
      <c r="AC584" s="2625">
        <v>288</v>
      </c>
      <c r="AD584" s="2617">
        <f t="shared" si="187"/>
        <v>288</v>
      </c>
      <c r="AE584" s="2624"/>
      <c r="AF584" s="2624"/>
      <c r="AG584" s="1148"/>
      <c r="AH584" s="191">
        <f t="shared" si="185"/>
        <v>-288</v>
      </c>
      <c r="AI584" s="874" t="e">
        <f t="shared" si="186"/>
        <v>#DIV/0!</v>
      </c>
    </row>
    <row r="585" spans="1:35" s="48" customFormat="1" ht="12.6" customHeight="1" x14ac:dyDescent="0.2">
      <c r="A585" s="48" t="s">
        <v>3673</v>
      </c>
      <c r="B585" s="1370"/>
      <c r="C585" s="1735"/>
      <c r="D585" s="1740" t="s">
        <v>2453</v>
      </c>
      <c r="E585" s="1737" t="s">
        <v>2983</v>
      </c>
      <c r="F585" s="1778" t="s">
        <v>2984</v>
      </c>
      <c r="G585" s="1778"/>
      <c r="H585" s="1778"/>
      <c r="I585" s="1778"/>
      <c r="J585" s="1738"/>
      <c r="K585" s="1772">
        <v>630</v>
      </c>
      <c r="L585" s="1738"/>
      <c r="M585" s="1738"/>
      <c r="N585" s="1738" t="s">
        <v>2457</v>
      </c>
      <c r="O585" s="1738"/>
      <c r="P585" s="1737"/>
      <c r="Q585" s="1737"/>
      <c r="R585" s="1737"/>
      <c r="S585" s="1737"/>
      <c r="T585" s="1737"/>
      <c r="U585" s="1737"/>
      <c r="V585" s="1741"/>
      <c r="W585" s="1812">
        <f>+AD585*C585*1.55</f>
        <v>0</v>
      </c>
      <c r="X585" s="2271">
        <f t="shared" si="182"/>
        <v>0</v>
      </c>
      <c r="Y585" s="3756"/>
      <c r="Z585" s="67" t="s">
        <v>397</v>
      </c>
      <c r="AA585" s="3214" t="s">
        <v>2457</v>
      </c>
      <c r="AB585" s="2674">
        <v>1</v>
      </c>
      <c r="AC585" s="2659">
        <v>1121.28</v>
      </c>
      <c r="AD585" s="2617">
        <f>+AC585*AB585</f>
        <v>1121.28</v>
      </c>
      <c r="AE585" s="2624"/>
      <c r="AF585" s="2624"/>
      <c r="AG585" s="1148"/>
      <c r="AH585" s="842">
        <f>+W585-AD585</f>
        <v>-1121.28</v>
      </c>
      <c r="AI585" s="43" t="e">
        <f>+AH585/W585</f>
        <v>#DIV/0!</v>
      </c>
    </row>
    <row r="586" spans="1:35" s="48" customFormat="1" ht="12.6" customHeight="1" x14ac:dyDescent="0.2">
      <c r="A586" s="48" t="s">
        <v>3673</v>
      </c>
      <c r="B586" s="1370"/>
      <c r="C586" s="1735"/>
      <c r="D586" s="1740" t="s">
        <v>2453</v>
      </c>
      <c r="E586" s="1737" t="s">
        <v>2983</v>
      </c>
      <c r="F586" s="1738" t="s">
        <v>316</v>
      </c>
      <c r="G586" s="1738"/>
      <c r="H586" s="1738"/>
      <c r="I586" s="1738"/>
      <c r="J586" s="1738"/>
      <c r="K586" s="1772">
        <v>630</v>
      </c>
      <c r="L586" s="1738"/>
      <c r="M586" s="1738"/>
      <c r="N586" s="1738"/>
      <c r="O586" s="1738"/>
      <c r="P586" s="1737"/>
      <c r="Q586" s="1737"/>
      <c r="R586" s="1737"/>
      <c r="S586" s="1737"/>
      <c r="T586" s="1737"/>
      <c r="U586" s="1737"/>
      <c r="V586" s="1741"/>
      <c r="W586" s="1773">
        <f>+AD586*C586*1.55</f>
        <v>0</v>
      </c>
      <c r="X586" s="1895">
        <f t="shared" si="182"/>
        <v>0</v>
      </c>
      <c r="Y586" s="3756"/>
      <c r="Z586" s="67" t="s">
        <v>397</v>
      </c>
      <c r="AA586" s="3214" t="s">
        <v>2457</v>
      </c>
      <c r="AB586" s="2674">
        <v>1</v>
      </c>
      <c r="AC586" s="2659">
        <v>1121.28</v>
      </c>
      <c r="AD586" s="2659">
        <f>+AC586*AB586</f>
        <v>1121.28</v>
      </c>
      <c r="AE586" s="2624"/>
      <c r="AF586" s="2688"/>
      <c r="AG586" s="1164"/>
      <c r="AH586" s="843">
        <f>+W586-AD586</f>
        <v>-1121.28</v>
      </c>
      <c r="AI586" s="46" t="e">
        <f>+AH586/W586</f>
        <v>#DIV/0!</v>
      </c>
    </row>
    <row r="587" spans="1:35" s="998" customFormat="1" ht="12.6" customHeight="1" x14ac:dyDescent="0.2">
      <c r="A587" s="998" t="s">
        <v>3677</v>
      </c>
      <c r="B587" s="1375"/>
      <c r="C587" s="1829"/>
      <c r="D587" s="1740" t="s">
        <v>423</v>
      </c>
      <c r="E587" s="1830" t="s">
        <v>2560</v>
      </c>
      <c r="F587" s="1778" t="s">
        <v>316</v>
      </c>
      <c r="G587" s="1778"/>
      <c r="H587" s="1778"/>
      <c r="I587" s="1778"/>
      <c r="J587" s="1778"/>
      <c r="K587" s="1772">
        <v>630</v>
      </c>
      <c r="L587" s="1778"/>
      <c r="M587" s="1778"/>
      <c r="N587" s="1778" t="s">
        <v>2499</v>
      </c>
      <c r="O587" s="1778"/>
      <c r="P587" s="1740"/>
      <c r="Q587" s="1740"/>
      <c r="R587" s="1740"/>
      <c r="S587" s="1740"/>
      <c r="T587" s="1740"/>
      <c r="U587" s="1740"/>
      <c r="V587" s="1831"/>
      <c r="W587" s="1790">
        <f>+AD587*1.6*C587</f>
        <v>0</v>
      </c>
      <c r="X587" s="2271">
        <f t="shared" ref="X587:X594" si="188">+ROUNDUP(W587,0)</f>
        <v>0</v>
      </c>
      <c r="Y587" s="3756"/>
      <c r="Z587" s="999" t="s">
        <v>2564</v>
      </c>
      <c r="AA587" s="3231"/>
      <c r="AB587" s="2722">
        <v>1</v>
      </c>
      <c r="AC587" s="2723">
        <v>1449</v>
      </c>
      <c r="AD587" s="2641">
        <f t="shared" si="187"/>
        <v>1449</v>
      </c>
      <c r="AE587" s="2724"/>
      <c r="AF587" s="2724"/>
      <c r="AG587" s="1169"/>
      <c r="AH587" s="1001">
        <f t="shared" si="185"/>
        <v>-1449</v>
      </c>
      <c r="AI587" s="1002" t="e">
        <f t="shared" si="186"/>
        <v>#DIV/0!</v>
      </c>
    </row>
    <row r="588" spans="1:35" s="998" customFormat="1" ht="12.6" customHeight="1" x14ac:dyDescent="0.2">
      <c r="A588" s="998" t="s">
        <v>3676</v>
      </c>
      <c r="B588" s="1375"/>
      <c r="C588" s="1829"/>
      <c r="D588" s="1740" t="s">
        <v>2562</v>
      </c>
      <c r="E588" s="1830" t="s">
        <v>2561</v>
      </c>
      <c r="F588" s="1778" t="s">
        <v>2477</v>
      </c>
      <c r="G588" s="1778"/>
      <c r="H588" s="1778"/>
      <c r="I588" s="1778"/>
      <c r="J588" s="1778"/>
      <c r="K588" s="1772">
        <v>630</v>
      </c>
      <c r="L588" s="1778"/>
      <c r="M588" s="1778"/>
      <c r="N588" s="1778" t="s">
        <v>2501</v>
      </c>
      <c r="O588" s="1778"/>
      <c r="P588" s="1740"/>
      <c r="Q588" s="1740"/>
      <c r="R588" s="1740"/>
      <c r="S588" s="1740"/>
      <c r="T588" s="1740"/>
      <c r="U588" s="1740"/>
      <c r="V588" s="1831"/>
      <c r="W588" s="1790">
        <f>+AD588*1.6*C588</f>
        <v>0</v>
      </c>
      <c r="X588" s="2271">
        <f t="shared" si="188"/>
        <v>0</v>
      </c>
      <c r="Y588" s="3756"/>
      <c r="Z588" s="999" t="s">
        <v>2564</v>
      </c>
      <c r="AA588" s="3231"/>
      <c r="AB588" s="2722">
        <v>1</v>
      </c>
      <c r="AC588" s="2723">
        <v>230.85</v>
      </c>
      <c r="AD588" s="2641">
        <f t="shared" si="187"/>
        <v>230.85</v>
      </c>
      <c r="AE588" s="2724"/>
      <c r="AF588" s="2724"/>
      <c r="AG588" s="1169"/>
      <c r="AH588" s="1001">
        <f t="shared" si="185"/>
        <v>-230.85</v>
      </c>
      <c r="AI588" s="1002" t="e">
        <f t="shared" si="186"/>
        <v>#DIV/0!</v>
      </c>
    </row>
    <row r="589" spans="1:35" s="998" customFormat="1" ht="12.6" customHeight="1" x14ac:dyDescent="0.2">
      <c r="A589" s="998" t="s">
        <v>3676</v>
      </c>
      <c r="B589" s="1375"/>
      <c r="C589" s="1829"/>
      <c r="D589" s="1740" t="s">
        <v>376</v>
      </c>
      <c r="E589" s="1830" t="s">
        <v>2559</v>
      </c>
      <c r="F589" s="1778" t="s">
        <v>316</v>
      </c>
      <c r="G589" s="1778"/>
      <c r="H589" s="1778"/>
      <c r="I589" s="1778"/>
      <c r="J589" s="1778"/>
      <c r="K589" s="1772">
        <v>630</v>
      </c>
      <c r="L589" s="1778"/>
      <c r="M589" s="1778"/>
      <c r="N589" s="1778" t="s">
        <v>2563</v>
      </c>
      <c r="O589" s="1778"/>
      <c r="P589" s="1740"/>
      <c r="Q589" s="1740"/>
      <c r="R589" s="1740"/>
      <c r="S589" s="1740"/>
      <c r="T589" s="1740"/>
      <c r="U589" s="1740"/>
      <c r="V589" s="1831"/>
      <c r="W589" s="1790">
        <f>+AD589*1.6*C589</f>
        <v>0</v>
      </c>
      <c r="X589" s="2271">
        <f t="shared" si="188"/>
        <v>0</v>
      </c>
      <c r="Y589" s="3756"/>
      <c r="Z589" s="999" t="s">
        <v>2564</v>
      </c>
      <c r="AA589" s="3231"/>
      <c r="AB589" s="2722">
        <v>1</v>
      </c>
      <c r="AC589" s="2723">
        <v>1120</v>
      </c>
      <c r="AD589" s="2641">
        <f t="shared" si="187"/>
        <v>1120</v>
      </c>
      <c r="AE589" s="2724"/>
      <c r="AF589" s="2724"/>
      <c r="AG589" s="1169"/>
      <c r="AH589" s="1001">
        <f t="shared" si="185"/>
        <v>-1120</v>
      </c>
      <c r="AI589" s="1002" t="e">
        <f t="shared" si="186"/>
        <v>#DIV/0!</v>
      </c>
    </row>
    <row r="590" spans="1:35" s="998" customFormat="1" ht="12.6" customHeight="1" x14ac:dyDescent="0.2">
      <c r="A590" s="998" t="s">
        <v>3676</v>
      </c>
      <c r="B590" s="1375"/>
      <c r="C590" s="1829"/>
      <c r="D590" s="1740" t="s">
        <v>2562</v>
      </c>
      <c r="E590" s="1830" t="s">
        <v>2561</v>
      </c>
      <c r="F590" s="1778" t="s">
        <v>2477</v>
      </c>
      <c r="G590" s="1778"/>
      <c r="H590" s="1778"/>
      <c r="I590" s="1778"/>
      <c r="J590" s="1778"/>
      <c r="K590" s="1772">
        <v>630</v>
      </c>
      <c r="L590" s="1778"/>
      <c r="M590" s="1778"/>
      <c r="N590" s="1778" t="s">
        <v>2501</v>
      </c>
      <c r="O590" s="1778"/>
      <c r="P590" s="1740"/>
      <c r="Q590" s="1740"/>
      <c r="R590" s="1740"/>
      <c r="S590" s="1740"/>
      <c r="T590" s="1740"/>
      <c r="U590" s="1740"/>
      <c r="V590" s="1831"/>
      <c r="W590" s="1790">
        <f>+AD590*1.6*C590</f>
        <v>0</v>
      </c>
      <c r="X590" s="2271">
        <f t="shared" si="188"/>
        <v>0</v>
      </c>
      <c r="Y590" s="3756"/>
      <c r="Z590" s="999" t="s">
        <v>2564</v>
      </c>
      <c r="AA590" s="3232"/>
      <c r="AB590" s="2722">
        <v>1</v>
      </c>
      <c r="AC590" s="2723">
        <v>230.85</v>
      </c>
      <c r="AD590" s="2641">
        <f t="shared" si="187"/>
        <v>230.85</v>
      </c>
      <c r="AE590" s="2724"/>
      <c r="AF590" s="2724"/>
      <c r="AG590" s="1169"/>
      <c r="AH590" s="1001">
        <f t="shared" si="185"/>
        <v>-230.85</v>
      </c>
      <c r="AI590" s="1002" t="e">
        <f t="shared" si="186"/>
        <v>#DIV/0!</v>
      </c>
    </row>
    <row r="591" spans="1:35" s="998" customFormat="1" ht="12.6" customHeight="1" x14ac:dyDescent="0.2">
      <c r="A591" s="998" t="s">
        <v>3677</v>
      </c>
      <c r="B591" s="1375"/>
      <c r="C591" s="1735"/>
      <c r="D591" s="1737" t="s">
        <v>423</v>
      </c>
      <c r="E591" s="1832" t="s">
        <v>2865</v>
      </c>
      <c r="F591" s="1738" t="s">
        <v>316</v>
      </c>
      <c r="G591" s="1738"/>
      <c r="H591" s="1738"/>
      <c r="I591" s="1738"/>
      <c r="J591" s="1738"/>
      <c r="K591" s="1772">
        <v>630</v>
      </c>
      <c r="L591" s="1738"/>
      <c r="M591" s="1738"/>
      <c r="N591" s="1738" t="s">
        <v>2563</v>
      </c>
      <c r="O591" s="1738" t="s">
        <v>2866</v>
      </c>
      <c r="P591" s="1737"/>
      <c r="Q591" s="1737"/>
      <c r="R591" s="1737"/>
      <c r="S591" s="1740"/>
      <c r="T591" s="1740"/>
      <c r="U591" s="1740"/>
      <c r="V591" s="1831"/>
      <c r="W591" s="1790">
        <f>+AD591*1.4*C591</f>
        <v>0</v>
      </c>
      <c r="X591" s="1895">
        <f t="shared" si="188"/>
        <v>0</v>
      </c>
      <c r="Y591" s="3756"/>
      <c r="Z591" s="999" t="s">
        <v>2564</v>
      </c>
      <c r="AA591" s="3231"/>
      <c r="AB591" s="2722">
        <v>1</v>
      </c>
      <c r="AC591" s="2723">
        <v>2245</v>
      </c>
      <c r="AD591" s="2641">
        <f>+AC591</f>
        <v>2245</v>
      </c>
      <c r="AE591" s="2724"/>
      <c r="AF591" s="2724"/>
      <c r="AG591" s="1169"/>
      <c r="AH591" s="1001">
        <f>+W591-AD591</f>
        <v>-2245</v>
      </c>
      <c r="AI591" s="1002" t="e">
        <f>+AH591/W591</f>
        <v>#DIV/0!</v>
      </c>
    </row>
    <row r="592" spans="1:35" s="998" customFormat="1" ht="12.6" customHeight="1" thickBot="1" x14ac:dyDescent="0.25">
      <c r="A592" s="998" t="s">
        <v>3677</v>
      </c>
      <c r="B592" s="1375"/>
      <c r="C592" s="2042"/>
      <c r="D592" s="2037" t="s">
        <v>423</v>
      </c>
      <c r="E592" s="2043" t="s">
        <v>2865</v>
      </c>
      <c r="F592" s="2040" t="s">
        <v>316</v>
      </c>
      <c r="G592" s="2040"/>
      <c r="H592" s="2040"/>
      <c r="I592" s="2040"/>
      <c r="J592" s="2040"/>
      <c r="K592" s="2044">
        <v>630</v>
      </c>
      <c r="L592" s="1738"/>
      <c r="M592" s="1738"/>
      <c r="N592" s="1738" t="s">
        <v>2499</v>
      </c>
      <c r="O592" s="1738" t="s">
        <v>2866</v>
      </c>
      <c r="P592" s="1737"/>
      <c r="Q592" s="1737"/>
      <c r="R592" s="1737"/>
      <c r="S592" s="1740"/>
      <c r="T592" s="1740"/>
      <c r="U592" s="1740"/>
      <c r="V592" s="1831"/>
      <c r="W592" s="3662">
        <f>+AD592*1.4*C592</f>
        <v>0</v>
      </c>
      <c r="X592" s="3032">
        <f t="shared" si="188"/>
        <v>0</v>
      </c>
      <c r="Y592" s="3756"/>
      <c r="Z592" s="999" t="s">
        <v>2564</v>
      </c>
      <c r="AA592" s="3231"/>
      <c r="AB592" s="2722">
        <v>1</v>
      </c>
      <c r="AC592" s="2723">
        <v>2291</v>
      </c>
      <c r="AD592" s="2641">
        <f>+AC592</f>
        <v>2291</v>
      </c>
      <c r="AE592" s="2724"/>
      <c r="AF592" s="2724"/>
      <c r="AG592" s="1169"/>
      <c r="AH592" s="1001">
        <f>+W592-AD592</f>
        <v>-2291</v>
      </c>
      <c r="AI592" s="1002" t="e">
        <f>+AH592/W592</f>
        <v>#DIV/0!</v>
      </c>
    </row>
    <row r="593" spans="1:36" s="48" customFormat="1" ht="12.6" customHeight="1" thickBot="1" x14ac:dyDescent="0.25">
      <c r="A593" s="48" t="s">
        <v>3679</v>
      </c>
      <c r="B593" s="2113"/>
      <c r="C593" s="2134">
        <v>1</v>
      </c>
      <c r="D593" s="2064" t="s">
        <v>3194</v>
      </c>
      <c r="E593" s="3112" t="s">
        <v>89</v>
      </c>
      <c r="F593" s="3701" t="s">
        <v>3607</v>
      </c>
      <c r="G593" s="3638"/>
      <c r="H593" s="2842"/>
      <c r="I593" s="3639" t="s">
        <v>553</v>
      </c>
      <c r="J593" s="3697">
        <v>40</v>
      </c>
      <c r="K593" s="3699" t="s">
        <v>2674</v>
      </c>
      <c r="L593" s="2031"/>
      <c r="M593" s="1801"/>
      <c r="N593" s="1786">
        <f>+J593</f>
        <v>40</v>
      </c>
      <c r="O593" s="1834" t="s">
        <v>42</v>
      </c>
      <c r="P593" s="1786"/>
      <c r="Q593" s="1786"/>
      <c r="R593" s="1786"/>
      <c r="S593" s="1834"/>
      <c r="T593" s="1847"/>
      <c r="U593" s="1847"/>
      <c r="V593" s="3631"/>
      <c r="W593" s="3703">
        <f>+AE593*1.65*C593</f>
        <v>18.700000000000003</v>
      </c>
      <c r="X593" s="3706">
        <f t="shared" si="188"/>
        <v>19</v>
      </c>
      <c r="Y593" s="3762"/>
      <c r="Z593" s="74" t="s">
        <v>43</v>
      </c>
      <c r="AA593" s="3228" t="s">
        <v>553</v>
      </c>
      <c r="AB593" s="2725">
        <v>0.4</v>
      </c>
      <c r="AC593" s="2726">
        <v>8.5</v>
      </c>
      <c r="AD593" s="2727">
        <f t="shared" ref="AD593:AD594" si="189">+AC593/12*N593</f>
        <v>28.333333333333336</v>
      </c>
      <c r="AE593" s="2727">
        <f>+AD593*AB593*C593</f>
        <v>11.333333333333336</v>
      </c>
      <c r="AF593" s="2660"/>
      <c r="AG593" s="1142"/>
      <c r="AH593" s="241">
        <f>+W593-AE593</f>
        <v>7.3666666666666671</v>
      </c>
      <c r="AI593" s="242">
        <f>+AH593/W593</f>
        <v>0.39393939393939392</v>
      </c>
    </row>
    <row r="594" spans="1:36" s="48" customFormat="1" ht="12.6" customHeight="1" thickBot="1" x14ac:dyDescent="0.25">
      <c r="A594" s="48" t="s">
        <v>3679</v>
      </c>
      <c r="B594" s="1725"/>
      <c r="C594" s="1927"/>
      <c r="D594" s="2219" t="s">
        <v>3194</v>
      </c>
      <c r="E594" s="2054" t="s">
        <v>89</v>
      </c>
      <c r="F594" s="2204" t="s">
        <v>3608</v>
      </c>
      <c r="G594" s="2055"/>
      <c r="H594" s="3088"/>
      <c r="I594" s="2056" t="s">
        <v>553</v>
      </c>
      <c r="J594" s="3124">
        <v>52</v>
      </c>
      <c r="K594" s="2057" t="s">
        <v>2674</v>
      </c>
      <c r="L594" s="1801"/>
      <c r="M594" s="1801"/>
      <c r="N594" s="1846">
        <f>+J594</f>
        <v>52</v>
      </c>
      <c r="O594" s="1847" t="s">
        <v>42</v>
      </c>
      <c r="P594" s="1914"/>
      <c r="Q594" s="1914"/>
      <c r="R594" s="1914"/>
      <c r="S594" s="1847"/>
      <c r="T594" s="1759"/>
      <c r="U594" s="1759"/>
      <c r="V594" s="1788"/>
      <c r="W594" s="3677">
        <f t="shared" ref="W594:W595" si="190">+AE594*1.65*C594</f>
        <v>0</v>
      </c>
      <c r="X594" s="2905">
        <f t="shared" si="188"/>
        <v>0</v>
      </c>
      <c r="Y594" s="3754"/>
      <c r="Z594" s="74" t="s">
        <v>43</v>
      </c>
      <c r="AA594" s="3228" t="s">
        <v>553</v>
      </c>
      <c r="AB594" s="2728">
        <v>0.4</v>
      </c>
      <c r="AC594" s="2727">
        <v>8.5</v>
      </c>
      <c r="AD594" s="2727">
        <f t="shared" si="189"/>
        <v>36.833333333333336</v>
      </c>
      <c r="AE594" s="2727">
        <f>+AD594*AB594*C594</f>
        <v>0</v>
      </c>
      <c r="AF594" s="2729">
        <f>+W594-AE594</f>
        <v>0</v>
      </c>
      <c r="AG594" s="1142"/>
      <c r="AH594" s="254" t="e">
        <f>+AF594/W594</f>
        <v>#DIV/0!</v>
      </c>
      <c r="AI594" s="255"/>
      <c r="AJ594" s="255"/>
    </row>
    <row r="595" spans="1:36" s="48" customFormat="1" ht="12.6" customHeight="1" thickBot="1" x14ac:dyDescent="0.25">
      <c r="A595" s="48" t="s">
        <v>3679</v>
      </c>
      <c r="B595" s="1725"/>
      <c r="C595" s="2083">
        <v>1</v>
      </c>
      <c r="D595" s="2219" t="s">
        <v>3194</v>
      </c>
      <c r="E595" s="1834" t="s">
        <v>89</v>
      </c>
      <c r="F595" s="2842" t="s">
        <v>3706</v>
      </c>
      <c r="G595" s="2302"/>
      <c r="H595" s="2836"/>
      <c r="I595" s="2884" t="s">
        <v>553</v>
      </c>
      <c r="J595" s="2836">
        <v>76</v>
      </c>
      <c r="K595" s="2084" t="s">
        <v>2674</v>
      </c>
      <c r="L595" s="2031"/>
      <c r="M595" s="1801"/>
      <c r="N595" s="1914">
        <f>+J595</f>
        <v>76</v>
      </c>
      <c r="O595" s="1847" t="s">
        <v>42</v>
      </c>
      <c r="P595" s="1914"/>
      <c r="Q595" s="1914"/>
      <c r="R595" s="1914"/>
      <c r="S595" s="1847"/>
      <c r="T595" s="1847"/>
      <c r="U595" s="1847"/>
      <c r="V595" s="2020"/>
      <c r="W595" s="1751">
        <f t="shared" si="190"/>
        <v>35.53</v>
      </c>
      <c r="X595" s="2840">
        <f>+ROUNDUP(W595,0)</f>
        <v>36</v>
      </c>
      <c r="Y595" s="3753"/>
      <c r="Z595" s="74" t="s">
        <v>43</v>
      </c>
      <c r="AA595" s="3228" t="s">
        <v>553</v>
      </c>
      <c r="AB595" s="2728">
        <v>0.4</v>
      </c>
      <c r="AC595" s="2727">
        <v>8.5</v>
      </c>
      <c r="AD595" s="2727">
        <f>+AC595/12*N595</f>
        <v>53.833333333333336</v>
      </c>
      <c r="AE595" s="2727">
        <f>+AD595*AB595*C595</f>
        <v>21.533333333333335</v>
      </c>
      <c r="AF595" s="2729">
        <f>+W595-AE595</f>
        <v>13.996666666666666</v>
      </c>
      <c r="AG595" s="1142"/>
      <c r="AH595" s="254">
        <f>+AF595/W595</f>
        <v>0.39393939393939392</v>
      </c>
      <c r="AI595" s="255"/>
      <c r="AJ595" s="255"/>
    </row>
    <row r="596" spans="1:36" s="48" customFormat="1" ht="12.6" customHeight="1" x14ac:dyDescent="0.2">
      <c r="A596" s="48" t="s">
        <v>3679</v>
      </c>
      <c r="B596" s="1357"/>
      <c r="C596" s="1749"/>
      <c r="D596" s="1759" t="s">
        <v>3085</v>
      </c>
      <c r="E596" s="1752" t="s">
        <v>3122</v>
      </c>
      <c r="F596" s="1752"/>
      <c r="G596" s="1757" t="s">
        <v>3095</v>
      </c>
      <c r="H596" s="1757"/>
      <c r="I596" s="1752" t="s">
        <v>3124</v>
      </c>
      <c r="J596" s="1752"/>
      <c r="K596" s="1752"/>
      <c r="L596" s="1833"/>
      <c r="M596" s="1833"/>
      <c r="N596" s="1746">
        <v>48</v>
      </c>
      <c r="O596" s="1745" t="s">
        <v>3129</v>
      </c>
      <c r="P596" s="1738"/>
      <c r="Q596" s="1738"/>
      <c r="R596" s="1738"/>
      <c r="S596" s="1759"/>
      <c r="T596" s="1759"/>
      <c r="U596" s="1759"/>
      <c r="V596" s="1788"/>
      <c r="W596" s="1751">
        <f>+AD596*1.65</f>
        <v>0</v>
      </c>
      <c r="X596" s="1895">
        <f t="shared" ref="X596:X606" si="191">+ROUNDUP(W596,0)</f>
        <v>0</v>
      </c>
      <c r="Y596" s="3756"/>
      <c r="Z596" s="1694" t="s">
        <v>407</v>
      </c>
      <c r="AA596" s="3233">
        <v>1</v>
      </c>
      <c r="AB596" s="2727">
        <v>6.05</v>
      </c>
      <c r="AC596" s="2727">
        <f>+AB596/12*N596</f>
        <v>24.2</v>
      </c>
      <c r="AD596" s="2727">
        <f>+AC596*AA596*C596</f>
        <v>0</v>
      </c>
      <c r="AE596" s="2729"/>
      <c r="AF596" s="2729"/>
      <c r="AG596" s="1171"/>
      <c r="AH596" s="254"/>
      <c r="AI596" s="255"/>
      <c r="AJ596" s="255"/>
    </row>
    <row r="597" spans="1:36" s="48" customFormat="1" ht="12.6" customHeight="1" x14ac:dyDescent="0.2">
      <c r="A597" s="48" t="s">
        <v>3679</v>
      </c>
      <c r="B597" s="1357"/>
      <c r="C597" s="1749"/>
      <c r="D597" s="1759" t="s">
        <v>3086</v>
      </c>
      <c r="E597" s="1752" t="s">
        <v>3122</v>
      </c>
      <c r="F597" s="1752"/>
      <c r="G597" s="1757" t="s">
        <v>3097</v>
      </c>
      <c r="H597" s="1757"/>
      <c r="I597" s="1752" t="s">
        <v>3124</v>
      </c>
      <c r="J597" s="1752"/>
      <c r="K597" s="1752"/>
      <c r="L597" s="1833"/>
      <c r="M597" s="1833"/>
      <c r="N597" s="1746">
        <v>36</v>
      </c>
      <c r="O597" s="1745" t="s">
        <v>3129</v>
      </c>
      <c r="P597" s="1738"/>
      <c r="Q597" s="1738"/>
      <c r="R597" s="1738"/>
      <c r="S597" s="1759"/>
      <c r="T597" s="1759"/>
      <c r="U597" s="1759"/>
      <c r="V597" s="1788"/>
      <c r="W597" s="1751">
        <f>+AD597*1.65</f>
        <v>0</v>
      </c>
      <c r="X597" s="1895">
        <f t="shared" si="191"/>
        <v>0</v>
      </c>
      <c r="Y597" s="3756"/>
      <c r="Z597" s="1694" t="s">
        <v>407</v>
      </c>
      <c r="AA597" s="3234">
        <v>1</v>
      </c>
      <c r="AB597" s="2726">
        <v>6.05</v>
      </c>
      <c r="AC597" s="2726">
        <f>+AB597/12*N597</f>
        <v>18.149999999999999</v>
      </c>
      <c r="AD597" s="2727">
        <f>+AC597*AA597*C597</f>
        <v>0</v>
      </c>
      <c r="AE597" s="2729"/>
      <c r="AF597" s="2729"/>
      <c r="AG597" s="1171"/>
      <c r="AH597" s="254"/>
      <c r="AI597" s="255"/>
      <c r="AJ597" s="243"/>
    </row>
    <row r="598" spans="1:36" s="48" customFormat="1" ht="12.6" customHeight="1" x14ac:dyDescent="0.2">
      <c r="A598" s="48" t="s">
        <v>3679</v>
      </c>
      <c r="B598" s="1357"/>
      <c r="C598" s="1749"/>
      <c r="D598" s="1759" t="s">
        <v>3087</v>
      </c>
      <c r="E598" s="1752" t="s">
        <v>3123</v>
      </c>
      <c r="F598" s="1752"/>
      <c r="G598" s="1757" t="s">
        <v>3096</v>
      </c>
      <c r="H598" s="1757"/>
      <c r="I598" s="1752" t="s">
        <v>3125</v>
      </c>
      <c r="J598" s="1752"/>
      <c r="K598" s="1752"/>
      <c r="L598" s="1833"/>
      <c r="M598" s="1833"/>
      <c r="N598" s="1746">
        <v>48</v>
      </c>
      <c r="O598" s="1745" t="s">
        <v>3129</v>
      </c>
      <c r="P598" s="1738"/>
      <c r="Q598" s="1738"/>
      <c r="R598" s="1738"/>
      <c r="S598" s="1759"/>
      <c r="T598" s="1759"/>
      <c r="U598" s="1759"/>
      <c r="V598" s="1788"/>
      <c r="W598" s="1751">
        <f>+AD598*1.65</f>
        <v>0</v>
      </c>
      <c r="X598" s="1895">
        <f t="shared" si="191"/>
        <v>0</v>
      </c>
      <c r="Y598" s="3756"/>
      <c r="Z598" s="1694" t="s">
        <v>408</v>
      </c>
      <c r="AA598" s="3234">
        <v>1</v>
      </c>
      <c r="AB598" s="2726">
        <v>5.89</v>
      </c>
      <c r="AC598" s="2726">
        <f>+AB598/12*N598</f>
        <v>23.56</v>
      </c>
      <c r="AD598" s="2727">
        <f>+AC598*AA598*C598</f>
        <v>0</v>
      </c>
      <c r="AE598" s="2729"/>
      <c r="AF598" s="2729"/>
      <c r="AG598" s="1171"/>
      <c r="AH598" s="254"/>
      <c r="AI598" s="255"/>
      <c r="AJ598" s="243"/>
    </row>
    <row r="599" spans="1:36" s="48" customFormat="1" ht="12.6" customHeight="1" x14ac:dyDescent="0.2">
      <c r="A599" s="48" t="s">
        <v>3679</v>
      </c>
      <c r="B599" s="1357"/>
      <c r="C599" s="1749"/>
      <c r="D599" s="1759" t="s">
        <v>3087</v>
      </c>
      <c r="E599" s="1752" t="s">
        <v>3123</v>
      </c>
      <c r="F599" s="1752"/>
      <c r="G599" s="1757" t="s">
        <v>3098</v>
      </c>
      <c r="H599" s="1757"/>
      <c r="I599" s="1752" t="s">
        <v>3125</v>
      </c>
      <c r="J599" s="1752"/>
      <c r="K599" s="1752"/>
      <c r="L599" s="1833"/>
      <c r="M599" s="1833"/>
      <c r="N599" s="1746">
        <v>36</v>
      </c>
      <c r="O599" s="1745" t="s">
        <v>3129</v>
      </c>
      <c r="P599" s="1738"/>
      <c r="Q599" s="1738"/>
      <c r="R599" s="1738"/>
      <c r="S599" s="1759"/>
      <c r="T599" s="1759"/>
      <c r="U599" s="1759"/>
      <c r="V599" s="1788"/>
      <c r="W599" s="1751">
        <f>+AD599*1.65</f>
        <v>0</v>
      </c>
      <c r="X599" s="1895">
        <f t="shared" si="191"/>
        <v>0</v>
      </c>
      <c r="Y599" s="3756"/>
      <c r="Z599" s="1694" t="s">
        <v>408</v>
      </c>
      <c r="AA599" s="3234">
        <v>1</v>
      </c>
      <c r="AB599" s="2726">
        <v>5.89</v>
      </c>
      <c r="AC599" s="2726">
        <f>+AB599/12*N599</f>
        <v>17.669999999999998</v>
      </c>
      <c r="AD599" s="2727">
        <f>+AC599*AA599*C599</f>
        <v>0</v>
      </c>
      <c r="AE599" s="2729"/>
      <c r="AF599" s="2729"/>
      <c r="AG599" s="1171"/>
      <c r="AH599" s="242"/>
      <c r="AI599" s="243"/>
      <c r="AJ599" s="243"/>
    </row>
    <row r="600" spans="1:36" s="48" customFormat="1" ht="12.6" customHeight="1" thickBot="1" x14ac:dyDescent="0.25">
      <c r="A600" s="48" t="s">
        <v>3680</v>
      </c>
      <c r="B600" s="1357"/>
      <c r="C600" s="2221"/>
      <c r="D600" s="1961" t="s">
        <v>2982</v>
      </c>
      <c r="E600" s="1963" t="s">
        <v>2707</v>
      </c>
      <c r="F600" s="1963" t="s">
        <v>2708</v>
      </c>
      <c r="G600" s="1752"/>
      <c r="H600" s="1963"/>
      <c r="I600" s="1752"/>
      <c r="J600" s="1963"/>
      <c r="K600" s="3663" t="s">
        <v>2674</v>
      </c>
      <c r="L600" s="1738"/>
      <c r="M600" s="1738"/>
      <c r="N600" s="1752">
        <v>8</v>
      </c>
      <c r="O600" s="1752" t="s">
        <v>56</v>
      </c>
      <c r="P600" s="1834"/>
      <c r="Q600" s="1834"/>
      <c r="R600" s="1834"/>
      <c r="S600" s="1759"/>
      <c r="T600" s="1759"/>
      <c r="U600" s="1759"/>
      <c r="V600" s="1788"/>
      <c r="W600" s="3664">
        <f>+AE600*1.65*C600</f>
        <v>0</v>
      </c>
      <c r="X600" s="3043">
        <f t="shared" si="191"/>
        <v>0</v>
      </c>
      <c r="Y600" s="3756"/>
      <c r="Z600" s="1083" t="s">
        <v>2704</v>
      </c>
      <c r="AA600" s="3235" t="s">
        <v>2709</v>
      </c>
      <c r="AB600" s="2725">
        <v>0.49</v>
      </c>
      <c r="AC600" s="2730">
        <f>81.64/8</f>
        <v>10.205</v>
      </c>
      <c r="AD600" s="2727">
        <f>+AC600*N600</f>
        <v>81.64</v>
      </c>
      <c r="AE600" s="2729">
        <f>+AD600*AB600</f>
        <v>40.003599999999999</v>
      </c>
      <c r="AF600" s="2729"/>
      <c r="AG600" s="1171"/>
      <c r="AH600" s="254"/>
      <c r="AI600" s="243"/>
      <c r="AJ600" s="243"/>
    </row>
    <row r="601" spans="1:36" s="888" customFormat="1" ht="13.2" thickBot="1" x14ac:dyDescent="0.25">
      <c r="A601" s="3505" t="s">
        <v>3681</v>
      </c>
      <c r="B601" s="2112"/>
      <c r="C601" s="2134">
        <v>1</v>
      </c>
      <c r="D601" s="3112" t="s">
        <v>3088</v>
      </c>
      <c r="E601" s="3112" t="s">
        <v>3410</v>
      </c>
      <c r="F601" s="2842"/>
      <c r="G601" s="3640" t="s">
        <v>3104</v>
      </c>
      <c r="H601" s="3699"/>
      <c r="I601" s="3641"/>
      <c r="J601" s="2842">
        <v>17</v>
      </c>
      <c r="K601" s="3699" t="s">
        <v>3256</v>
      </c>
      <c r="L601" s="3642"/>
      <c r="M601" s="1918"/>
      <c r="N601" s="1786">
        <f>+J601</f>
        <v>17</v>
      </c>
      <c r="O601" s="1834" t="s">
        <v>56</v>
      </c>
      <c r="P601" s="1835"/>
      <c r="Q601" s="1835"/>
      <c r="R601" s="1835"/>
      <c r="S601" s="1737"/>
      <c r="T601" s="1737"/>
      <c r="U601" s="1737"/>
      <c r="V601" s="3630"/>
      <c r="W601" s="2082">
        <f>C601*1.6*AD601</f>
        <v>24.588799999999999</v>
      </c>
      <c r="X601" s="2840">
        <f t="shared" si="191"/>
        <v>25</v>
      </c>
      <c r="Y601" s="3755"/>
      <c r="Z601" s="1101" t="s">
        <v>43</v>
      </c>
      <c r="AA601" s="3236" t="s">
        <v>57</v>
      </c>
      <c r="AB601" s="2663">
        <v>0.4</v>
      </c>
      <c r="AC601" s="2665">
        <v>2.2599999999999998</v>
      </c>
      <c r="AD601" s="2727">
        <f t="shared" ref="AD601:AD602" si="192">+AC601*N601*AB601</f>
        <v>15.367999999999999</v>
      </c>
      <c r="AE601" s="2727">
        <f>+AD601*AB601*C601</f>
        <v>6.1471999999999998</v>
      </c>
      <c r="AF601" s="2617"/>
      <c r="AG601" s="1141"/>
      <c r="AH601" s="42">
        <f t="shared" ref="AH601:AH610" si="193">+X601-AE601</f>
        <v>18.852800000000002</v>
      </c>
      <c r="AI601" s="874">
        <f>+AE601/W601</f>
        <v>0.25</v>
      </c>
      <c r="AJ601" s="874"/>
    </row>
    <row r="602" spans="1:36" s="48" customFormat="1" ht="12.6" x14ac:dyDescent="0.2">
      <c r="A602" s="3505" t="s">
        <v>3681</v>
      </c>
      <c r="B602" s="1727"/>
      <c r="C602" s="1927"/>
      <c r="D602" s="3686" t="s">
        <v>3088</v>
      </c>
      <c r="E602" s="3687" t="s">
        <v>3573</v>
      </c>
      <c r="F602" s="3688"/>
      <c r="G602" s="2047" t="s">
        <v>3104</v>
      </c>
      <c r="H602" s="3687"/>
      <c r="I602" s="2910"/>
      <c r="J602" s="3687"/>
      <c r="K602" s="3689" t="s">
        <v>3256</v>
      </c>
      <c r="L602" s="2164"/>
      <c r="M602" s="2164"/>
      <c r="N602" s="1846">
        <f>+J602</f>
        <v>0</v>
      </c>
      <c r="O602" s="2165" t="s">
        <v>56</v>
      </c>
      <c r="P602" s="1755"/>
      <c r="Q602" s="1755"/>
      <c r="R602" s="1755"/>
      <c r="S602" s="1755"/>
      <c r="T602" s="1753"/>
      <c r="U602" s="1737"/>
      <c r="V602" s="1761"/>
      <c r="W602" s="3690">
        <f>C602*1.6*AD602</f>
        <v>0</v>
      </c>
      <c r="X602" s="3691">
        <f t="shared" si="191"/>
        <v>0</v>
      </c>
      <c r="Y602" s="3754"/>
      <c r="Z602" s="1101" t="s">
        <v>43</v>
      </c>
      <c r="AA602" s="3237" t="s">
        <v>57</v>
      </c>
      <c r="AB602" s="2663">
        <v>0.4</v>
      </c>
      <c r="AC602" s="2731">
        <v>2.2599999999999998</v>
      </c>
      <c r="AD602" s="2727">
        <f t="shared" si="192"/>
        <v>0</v>
      </c>
      <c r="AE602" s="2727">
        <f>+AD602*AB602*C602</f>
        <v>0</v>
      </c>
      <c r="AF602" s="2618">
        <f>+AE602*C602</f>
        <v>0</v>
      </c>
      <c r="AG602" s="1154">
        <f>+W602-AF602</f>
        <v>0</v>
      </c>
      <c r="AH602" s="76" t="e">
        <f>+AG602/W602</f>
        <v>#DIV/0!</v>
      </c>
      <c r="AI602" s="187"/>
      <c r="AJ602" s="189"/>
    </row>
    <row r="603" spans="1:36" s="48" customFormat="1" ht="13.2" customHeight="1" thickBot="1" x14ac:dyDescent="0.25">
      <c r="A603" s="3505" t="s">
        <v>3681</v>
      </c>
      <c r="B603" s="2111"/>
      <c r="C603" s="3425"/>
      <c r="D603" s="2262" t="s">
        <v>3088</v>
      </c>
      <c r="E603" s="2260" t="s">
        <v>3698</v>
      </c>
      <c r="F603" s="2255"/>
      <c r="G603" s="1846"/>
      <c r="H603" s="2255"/>
      <c r="I603" s="3036"/>
      <c r="J603" s="2255">
        <v>24</v>
      </c>
      <c r="K603" s="3041" t="s">
        <v>3256</v>
      </c>
      <c r="L603" s="2031"/>
      <c r="M603" s="1801"/>
      <c r="N603" s="2239">
        <f>+J603</f>
        <v>24</v>
      </c>
      <c r="O603" s="2023" t="s">
        <v>56</v>
      </c>
      <c r="P603" s="1807"/>
      <c r="Q603" s="1807"/>
      <c r="R603" s="1807"/>
      <c r="S603" s="1805"/>
      <c r="T603" s="1805"/>
      <c r="U603" s="1779"/>
      <c r="V603" s="2015"/>
      <c r="W603" s="2098">
        <f>C603*1.6*AD603</f>
        <v>0</v>
      </c>
      <c r="X603" s="2017">
        <f t="shared" si="191"/>
        <v>0</v>
      </c>
      <c r="Y603" s="3770"/>
      <c r="Z603" s="894" t="s">
        <v>43</v>
      </c>
      <c r="AA603" s="3238" t="s">
        <v>57</v>
      </c>
      <c r="AB603" s="2663">
        <v>0.4</v>
      </c>
      <c r="AC603" s="2664">
        <v>2.2599999999999998</v>
      </c>
      <c r="AD603" s="2727">
        <f>+AC603*N603*AB603</f>
        <v>21.695999999999998</v>
      </c>
      <c r="AE603" s="2617"/>
      <c r="AF603" s="2617">
        <f>+AE603*C603</f>
        <v>0</v>
      </c>
      <c r="AG603" s="1141"/>
      <c r="AH603" s="44">
        <f>+W603-AF603</f>
        <v>0</v>
      </c>
      <c r="AI603" s="874" t="e">
        <f>+AH603/W603</f>
        <v>#DIV/0!</v>
      </c>
      <c r="AJ603" s="874"/>
    </row>
    <row r="604" spans="1:36" s="2108" customFormat="1" ht="13.2" customHeight="1" thickBot="1" x14ac:dyDescent="0.25">
      <c r="A604" s="3505" t="s">
        <v>3681</v>
      </c>
      <c r="B604" s="2099"/>
      <c r="C604" s="3111">
        <v>1</v>
      </c>
      <c r="D604" s="3112" t="s">
        <v>3088</v>
      </c>
      <c r="E604" s="3326" t="s">
        <v>3290</v>
      </c>
      <c r="F604" s="3113"/>
      <c r="G604" s="2303"/>
      <c r="H604" s="3113"/>
      <c r="I604" s="2309"/>
      <c r="J604" s="3113">
        <v>20</v>
      </c>
      <c r="K604" s="2084" t="s">
        <v>3256</v>
      </c>
      <c r="L604" s="3114"/>
      <c r="M604" s="2100"/>
      <c r="N604" s="2331">
        <f>+J604</f>
        <v>20</v>
      </c>
      <c r="O604" s="2101" t="s">
        <v>56</v>
      </c>
      <c r="P604" s="1769"/>
      <c r="Q604" s="1769"/>
      <c r="R604" s="1769"/>
      <c r="S604" s="1771"/>
      <c r="T604" s="1771"/>
      <c r="U604" s="1771"/>
      <c r="V604" s="2102"/>
      <c r="W604" s="2294">
        <f>C604*1.6*AD604</f>
        <v>28.927999999999997</v>
      </c>
      <c r="X604" s="2380">
        <f t="shared" si="191"/>
        <v>29</v>
      </c>
      <c r="Y604" s="3758"/>
      <c r="Z604" s="2103" t="s">
        <v>43</v>
      </c>
      <c r="AA604" s="3239" t="s">
        <v>327</v>
      </c>
      <c r="AB604" s="2732">
        <v>0.4</v>
      </c>
      <c r="AC604" s="2733">
        <v>2.2599999999999998</v>
      </c>
      <c r="AD604" s="2727">
        <f>+AC604*N604*AB604</f>
        <v>18.079999999999998</v>
      </c>
      <c r="AE604" s="2735">
        <f>+AD604*C6826</f>
        <v>0</v>
      </c>
      <c r="AF604" s="2736"/>
      <c r="AG604" s="2104"/>
      <c r="AH604" s="2105">
        <f>+X604-AE604</f>
        <v>29</v>
      </c>
      <c r="AI604" s="2106">
        <f>+AH604/X604</f>
        <v>1</v>
      </c>
      <c r="AJ604" s="2107"/>
    </row>
    <row r="605" spans="1:36" s="779" customFormat="1" ht="13.2" customHeight="1" x14ac:dyDescent="0.2">
      <c r="A605" s="3505" t="s">
        <v>3681</v>
      </c>
      <c r="B605" s="1370"/>
      <c r="C605" s="2116"/>
      <c r="D605" s="2058" t="s">
        <v>3088</v>
      </c>
      <c r="E605" s="2051" t="s">
        <v>2949</v>
      </c>
      <c r="F605" s="1970"/>
      <c r="G605" s="1752"/>
      <c r="H605" s="1970"/>
      <c r="I605" s="1970"/>
      <c r="J605" s="1970"/>
      <c r="K605" s="1970"/>
      <c r="L605" s="1838"/>
      <c r="M605" s="1838"/>
      <c r="N605" s="1752">
        <v>22</v>
      </c>
      <c r="O605" s="1770" t="s">
        <v>56</v>
      </c>
      <c r="P605" s="1755"/>
      <c r="Q605" s="1755"/>
      <c r="R605" s="1755"/>
      <c r="S605" s="1753"/>
      <c r="T605" s="1753"/>
      <c r="U605" s="1753"/>
      <c r="V605" s="1756"/>
      <c r="W605" s="1733">
        <f>+AD605*1.6*C605</f>
        <v>0</v>
      </c>
      <c r="X605" s="2372">
        <f t="shared" si="191"/>
        <v>0</v>
      </c>
      <c r="Y605" s="3756"/>
      <c r="Z605" s="1080" t="s">
        <v>43</v>
      </c>
      <c r="AA605" s="3240" t="s">
        <v>425</v>
      </c>
      <c r="AB605" s="2738">
        <v>0.4</v>
      </c>
      <c r="AC605" s="2737">
        <v>3.65</v>
      </c>
      <c r="AD605" s="2644">
        <f>+AB605*AC605*N605</f>
        <v>32.119999999999997</v>
      </c>
      <c r="AE605" s="2644">
        <f>+(AC605*AB605)*N605/12</f>
        <v>2.6766666666666663</v>
      </c>
      <c r="AF605" s="2644"/>
      <c r="AG605" s="1155"/>
      <c r="AH605" s="871">
        <f t="shared" si="193"/>
        <v>-2.6766666666666663</v>
      </c>
      <c r="AI605" s="878" t="e">
        <f t="shared" ref="AI605:AI610" si="194">+AH605/X605</f>
        <v>#DIV/0!</v>
      </c>
      <c r="AJ605" s="43"/>
    </row>
    <row r="606" spans="1:36" s="48" customFormat="1" ht="13.2" customHeight="1" x14ac:dyDescent="0.2">
      <c r="A606" s="3505" t="s">
        <v>3681</v>
      </c>
      <c r="B606" s="1370"/>
      <c r="C606" s="1744"/>
      <c r="D606" s="1745" t="s">
        <v>3088</v>
      </c>
      <c r="E606" s="1759" t="s">
        <v>2945</v>
      </c>
      <c r="F606" s="1752"/>
      <c r="G606" s="1752"/>
      <c r="H606" s="1752"/>
      <c r="I606" s="1752"/>
      <c r="J606" s="1752"/>
      <c r="K606" s="1752"/>
      <c r="L606" s="1738"/>
      <c r="M606" s="1738"/>
      <c r="N606" s="1836">
        <v>18</v>
      </c>
      <c r="O606" s="1770" t="s">
        <v>56</v>
      </c>
      <c r="P606" s="1752"/>
      <c r="Q606" s="1752"/>
      <c r="R606" s="1752"/>
      <c r="S606" s="1759"/>
      <c r="T606" s="1753"/>
      <c r="U606" s="1753"/>
      <c r="V606" s="1756"/>
      <c r="W606" s="1733">
        <f>+AD606*1.6*C606</f>
        <v>0</v>
      </c>
      <c r="X606" s="1893">
        <f t="shared" si="191"/>
        <v>0</v>
      </c>
      <c r="Y606" s="3756"/>
      <c r="Z606" s="1081" t="s">
        <v>43</v>
      </c>
      <c r="AA606" s="3241" t="s">
        <v>425</v>
      </c>
      <c r="AB606" s="2738">
        <v>0.4</v>
      </c>
      <c r="AC606" s="2737">
        <v>3.65</v>
      </c>
      <c r="AD606" s="2644">
        <f>+AB606*AC606*N606</f>
        <v>26.28</v>
      </c>
      <c r="AE606" s="2644">
        <f>+(AC606*AB606)*N606/12</f>
        <v>2.19</v>
      </c>
      <c r="AF606" s="2644"/>
      <c r="AG606" s="1155"/>
      <c r="AH606" s="870">
        <f t="shared" si="193"/>
        <v>-2.19</v>
      </c>
      <c r="AI606" s="878" t="e">
        <f t="shared" si="194"/>
        <v>#DIV/0!</v>
      </c>
      <c r="AJ606" s="874"/>
    </row>
    <row r="607" spans="1:36" s="206" customFormat="1" ht="13.2" customHeight="1" x14ac:dyDescent="0.2">
      <c r="A607" s="3505" t="s">
        <v>3681</v>
      </c>
      <c r="B607" s="1370"/>
      <c r="C607" s="1735"/>
      <c r="D607" s="1745" t="s">
        <v>3088</v>
      </c>
      <c r="E607" s="1737" t="s">
        <v>2858</v>
      </c>
      <c r="F607" s="1738"/>
      <c r="G607" s="1738" t="s">
        <v>2860</v>
      </c>
      <c r="H607" s="1738"/>
      <c r="I607" s="1738"/>
      <c r="J607" s="1738"/>
      <c r="K607" s="1772" t="s">
        <v>2752</v>
      </c>
      <c r="L607" s="1738"/>
      <c r="M607" s="1738"/>
      <c r="N607" s="1839">
        <f>17*12</f>
        <v>204</v>
      </c>
      <c r="O607" s="1797" t="s">
        <v>42</v>
      </c>
      <c r="P607" s="1738"/>
      <c r="Q607" s="1738"/>
      <c r="R607" s="1738"/>
      <c r="S607" s="1737"/>
      <c r="T607" s="1737"/>
      <c r="U607" s="1737"/>
      <c r="V607" s="1741"/>
      <c r="W607" s="1758">
        <f>+AE607*1.6*C607</f>
        <v>0</v>
      </c>
      <c r="X607" s="1895">
        <f t="shared" ref="X607:X624" si="195">+ROUNDUP(W607,0)</f>
        <v>0</v>
      </c>
      <c r="Y607" s="3756"/>
      <c r="Z607" s="897" t="s">
        <v>43</v>
      </c>
      <c r="AA607" s="3242" t="s">
        <v>58</v>
      </c>
      <c r="AB607" s="2740">
        <v>0.4</v>
      </c>
      <c r="AC607" s="2741">
        <v>2.15</v>
      </c>
      <c r="AD607" s="2742">
        <f>(+N607/12)*AC607*AB607</f>
        <v>14.62</v>
      </c>
      <c r="AE607" s="2671">
        <f t="shared" ref="AE607:AE616" si="196">+AD607</f>
        <v>14.62</v>
      </c>
      <c r="AF607" s="2671"/>
      <c r="AG607" s="1158"/>
      <c r="AH607" s="904">
        <f t="shared" si="193"/>
        <v>-14.62</v>
      </c>
      <c r="AI607" s="910" t="e">
        <f t="shared" si="194"/>
        <v>#DIV/0!</v>
      </c>
      <c r="AJ607" s="877"/>
    </row>
    <row r="608" spans="1:36" s="48" customFormat="1" ht="13.2" customHeight="1" x14ac:dyDescent="0.2">
      <c r="A608" s="3505" t="s">
        <v>3681</v>
      </c>
      <c r="B608" s="1370"/>
      <c r="C608" s="1735"/>
      <c r="D608" s="1745" t="s">
        <v>3088</v>
      </c>
      <c r="E608" s="1737" t="s">
        <v>2859</v>
      </c>
      <c r="F608" s="1738"/>
      <c r="G608" s="1738" t="s">
        <v>2860</v>
      </c>
      <c r="H608" s="1738"/>
      <c r="I608" s="1738"/>
      <c r="J608" s="1738"/>
      <c r="K608" s="1772" t="s">
        <v>2752</v>
      </c>
      <c r="L608" s="1738"/>
      <c r="M608" s="1738"/>
      <c r="N608" s="1839">
        <f>20*12</f>
        <v>240</v>
      </c>
      <c r="O608" s="1797" t="s">
        <v>42</v>
      </c>
      <c r="P608" s="1738"/>
      <c r="Q608" s="1738"/>
      <c r="R608" s="1738"/>
      <c r="S608" s="1737"/>
      <c r="T608" s="1737"/>
      <c r="U608" s="1737"/>
      <c r="V608" s="1741"/>
      <c r="W608" s="1758">
        <f>+AE608*1.6*C608</f>
        <v>0</v>
      </c>
      <c r="X608" s="1895">
        <f t="shared" si="195"/>
        <v>0</v>
      </c>
      <c r="Y608" s="3756"/>
      <c r="Z608" s="895" t="s">
        <v>43</v>
      </c>
      <c r="AA608" s="3241" t="s">
        <v>58</v>
      </c>
      <c r="AB608" s="2738">
        <v>0.4</v>
      </c>
      <c r="AC608" s="2739">
        <v>2.15</v>
      </c>
      <c r="AD608" s="2629">
        <f>(+N608/12)*AC608*AB608</f>
        <v>17.2</v>
      </c>
      <c r="AE608" s="2644">
        <f t="shared" si="196"/>
        <v>17.2</v>
      </c>
      <c r="AF608" s="2644"/>
      <c r="AG608" s="1155"/>
      <c r="AH608" s="871">
        <f t="shared" si="193"/>
        <v>-17.2</v>
      </c>
      <c r="AI608" s="878" t="e">
        <f t="shared" si="194"/>
        <v>#DIV/0!</v>
      </c>
      <c r="AJ608" s="874"/>
    </row>
    <row r="609" spans="1:37" s="48" customFormat="1" ht="13.2" customHeight="1" x14ac:dyDescent="0.2">
      <c r="A609" s="3505" t="s">
        <v>3681</v>
      </c>
      <c r="B609" s="1370"/>
      <c r="C609" s="1789"/>
      <c r="D609" s="1745" t="s">
        <v>3088</v>
      </c>
      <c r="E609" s="1737" t="s">
        <v>431</v>
      </c>
      <c r="F609" s="1738"/>
      <c r="G609" s="1738"/>
      <c r="H609" s="1738"/>
      <c r="I609" s="1738"/>
      <c r="J609" s="1738"/>
      <c r="K609" s="1738"/>
      <c r="L609" s="1738"/>
      <c r="M609" s="1738"/>
      <c r="N609" s="1839">
        <f>20*12</f>
        <v>240</v>
      </c>
      <c r="O609" s="1797" t="s">
        <v>42</v>
      </c>
      <c r="P609" s="1738"/>
      <c r="Q609" s="1738"/>
      <c r="R609" s="1738"/>
      <c r="S609" s="1737"/>
      <c r="T609" s="1737"/>
      <c r="U609" s="1737"/>
      <c r="V609" s="1741"/>
      <c r="W609" s="1758">
        <f>+AE609*1.6*C609</f>
        <v>0</v>
      </c>
      <c r="X609" s="1895">
        <f t="shared" si="195"/>
        <v>0</v>
      </c>
      <c r="Y609" s="3756"/>
      <c r="Z609" s="895" t="s">
        <v>43</v>
      </c>
      <c r="AA609" s="3241" t="s">
        <v>58</v>
      </c>
      <c r="AB609" s="2738">
        <v>0.4</v>
      </c>
      <c r="AC609" s="2739">
        <v>2.15</v>
      </c>
      <c r="AD609" s="2629">
        <f>(+N609/12)*AC609*AB609</f>
        <v>17.2</v>
      </c>
      <c r="AE609" s="2644">
        <f t="shared" si="196"/>
        <v>17.2</v>
      </c>
      <c r="AF609" s="2644"/>
      <c r="AG609" s="1155"/>
      <c r="AH609" s="871">
        <f t="shared" si="193"/>
        <v>-17.2</v>
      </c>
      <c r="AI609" s="878" t="e">
        <f t="shared" si="194"/>
        <v>#DIV/0!</v>
      </c>
      <c r="AJ609" s="874"/>
    </row>
    <row r="610" spans="1:37" s="206" customFormat="1" ht="13.2" customHeight="1" x14ac:dyDescent="0.2">
      <c r="A610" s="3505" t="s">
        <v>3681</v>
      </c>
      <c r="B610" s="1370"/>
      <c r="C610" s="1789"/>
      <c r="D610" s="1745" t="s">
        <v>3088</v>
      </c>
      <c r="E610" s="1737" t="s">
        <v>431</v>
      </c>
      <c r="F610" s="1738"/>
      <c r="G610" s="1738"/>
      <c r="H610" s="1738"/>
      <c r="I610" s="1738"/>
      <c r="J610" s="1738"/>
      <c r="K610" s="1738"/>
      <c r="L610" s="1738"/>
      <c r="M610" s="1738"/>
      <c r="N610" s="1839">
        <f>20*12</f>
        <v>240</v>
      </c>
      <c r="O610" s="1797" t="s">
        <v>42</v>
      </c>
      <c r="P610" s="1738"/>
      <c r="Q610" s="1738"/>
      <c r="R610" s="1738"/>
      <c r="S610" s="1737"/>
      <c r="T610" s="1737"/>
      <c r="U610" s="1737"/>
      <c r="V610" s="1741"/>
      <c r="W610" s="1758">
        <f>+AE610*1.6*C610</f>
        <v>0</v>
      </c>
      <c r="X610" s="1895">
        <f t="shared" si="195"/>
        <v>0</v>
      </c>
      <c r="Y610" s="3756"/>
      <c r="Z610" s="897" t="s">
        <v>43</v>
      </c>
      <c r="AA610" s="3242" t="s">
        <v>58</v>
      </c>
      <c r="AB610" s="2740">
        <v>0.4</v>
      </c>
      <c r="AC610" s="2741">
        <v>2.15</v>
      </c>
      <c r="AD610" s="2742">
        <f>(+N610/12)*AC610*AB610</f>
        <v>17.2</v>
      </c>
      <c r="AE610" s="2671">
        <f t="shared" si="196"/>
        <v>17.2</v>
      </c>
      <c r="AF610" s="2671"/>
      <c r="AG610" s="1158"/>
      <c r="AH610" s="904">
        <f t="shared" si="193"/>
        <v>-17.2</v>
      </c>
      <c r="AI610" s="910" t="e">
        <f t="shared" si="194"/>
        <v>#DIV/0!</v>
      </c>
      <c r="AJ610" s="877"/>
    </row>
    <row r="611" spans="1:37" s="48" customFormat="1" ht="13.2" customHeight="1" x14ac:dyDescent="0.2">
      <c r="A611" s="3505" t="s">
        <v>3681</v>
      </c>
      <c r="B611" s="1370"/>
      <c r="C611" s="1789"/>
      <c r="D611" s="3033" t="s">
        <v>3088</v>
      </c>
      <c r="E611" s="2037" t="s">
        <v>431</v>
      </c>
      <c r="F611" s="2040"/>
      <c r="G611" s="1738"/>
      <c r="H611" s="2040"/>
      <c r="I611" s="1738"/>
      <c r="J611" s="2040"/>
      <c r="K611" s="2040"/>
      <c r="L611" s="1738"/>
      <c r="M611" s="1738"/>
      <c r="N611" s="3034">
        <f>20*12</f>
        <v>240</v>
      </c>
      <c r="O611" s="3035" t="s">
        <v>42</v>
      </c>
      <c r="P611" s="1738"/>
      <c r="Q611" s="1738"/>
      <c r="R611" s="1738"/>
      <c r="S611" s="1737"/>
      <c r="T611" s="1737"/>
      <c r="U611" s="1737"/>
      <c r="V611" s="1741"/>
      <c r="W611" s="1758">
        <f>+AE611*1.6*C611</f>
        <v>0</v>
      </c>
      <c r="X611" s="3032">
        <f t="shared" ref="X611:X612" si="197">+ROUNDUP(W611,0)</f>
        <v>0</v>
      </c>
      <c r="Y611" s="3756"/>
      <c r="Z611" s="895" t="s">
        <v>43</v>
      </c>
      <c r="AA611" s="3241" t="s">
        <v>58</v>
      </c>
      <c r="AB611" s="2738">
        <v>0.4</v>
      </c>
      <c r="AC611" s="2739">
        <v>2.15</v>
      </c>
      <c r="AD611" s="2629">
        <f>(+N611/12)*AC611*AB611</f>
        <v>17.2</v>
      </c>
      <c r="AE611" s="2644">
        <f t="shared" ref="AE611" si="198">+AD611</f>
        <v>17.2</v>
      </c>
      <c r="AF611" s="2644"/>
      <c r="AG611" s="1155"/>
      <c r="AH611" s="871">
        <f t="shared" ref="AH611" si="199">+X611-AE611</f>
        <v>-17.2</v>
      </c>
      <c r="AI611" s="878" t="e">
        <f t="shared" ref="AI611" si="200">+AH611/X611</f>
        <v>#DIV/0!</v>
      </c>
      <c r="AJ611" s="874"/>
      <c r="AK611" s="862"/>
    </row>
    <row r="612" spans="1:37" s="1348" customFormat="1" ht="13.2" customHeight="1" x14ac:dyDescent="0.2">
      <c r="A612" s="3505" t="s">
        <v>3681</v>
      </c>
      <c r="B612" s="1371"/>
      <c r="C612" s="3070"/>
      <c r="D612" s="1924" t="s">
        <v>3088</v>
      </c>
      <c r="E612" s="1924" t="s">
        <v>3434</v>
      </c>
      <c r="F612" s="2942"/>
      <c r="G612" s="2306"/>
      <c r="H612" s="2942" t="s">
        <v>3440</v>
      </c>
      <c r="I612" s="3026" t="s">
        <v>3255</v>
      </c>
      <c r="J612" s="1980">
        <v>17</v>
      </c>
      <c r="K612" s="3066" t="s">
        <v>2674</v>
      </c>
      <c r="L612" s="2266"/>
      <c r="M612" s="3017"/>
      <c r="N612" s="1980">
        <f>+J612</f>
        <v>17</v>
      </c>
      <c r="O612" s="2237" t="s">
        <v>56</v>
      </c>
      <c r="P612" s="2966"/>
      <c r="Q612" s="1757"/>
      <c r="R612" s="1757"/>
      <c r="S612" s="1746" t="s">
        <v>3435</v>
      </c>
      <c r="T612" s="1753"/>
      <c r="U612" s="1753"/>
      <c r="V612" s="1756"/>
      <c r="W612" s="2270">
        <f>+AE612*1.5*C612</f>
        <v>0</v>
      </c>
      <c r="X612" s="2385">
        <f t="shared" si="197"/>
        <v>0</v>
      </c>
      <c r="Y612" s="3756"/>
      <c r="Z612" s="3002" t="s">
        <v>43</v>
      </c>
      <c r="AA612" s="3243" t="s">
        <v>3435</v>
      </c>
      <c r="AB612" s="3003">
        <v>0.4</v>
      </c>
      <c r="AC612" s="3004">
        <v>3.15</v>
      </c>
      <c r="AD612" s="3005">
        <f>+AB612*AC612</f>
        <v>1.26</v>
      </c>
      <c r="AE612" s="2991">
        <f>+AD612*N612</f>
        <v>21.42</v>
      </c>
      <c r="AF612" s="3006">
        <f>+AE612*C612</f>
        <v>0</v>
      </c>
      <c r="AG612" s="3007">
        <f>+W612-AF612</f>
        <v>0</v>
      </c>
      <c r="AH612" s="2993">
        <f>+X612-AE612</f>
        <v>-21.42</v>
      </c>
      <c r="AI612" s="3008" t="e">
        <f>+AH612/W612</f>
        <v>#DIV/0!</v>
      </c>
      <c r="AJ612" s="3009"/>
    </row>
    <row r="613" spans="1:37" s="48" customFormat="1" ht="13.2" customHeight="1" x14ac:dyDescent="0.2">
      <c r="A613" s="3505" t="s">
        <v>3681</v>
      </c>
      <c r="B613" s="1370"/>
      <c r="C613" s="1861"/>
      <c r="D613" s="3088" t="s">
        <v>3088</v>
      </c>
      <c r="E613" s="3090" t="s">
        <v>2843</v>
      </c>
      <c r="F613" s="3088"/>
      <c r="G613" s="1745"/>
      <c r="H613" s="3088">
        <v>4080</v>
      </c>
      <c r="I613" s="1745"/>
      <c r="J613" s="2055"/>
      <c r="K613" s="3091" t="s">
        <v>2966</v>
      </c>
      <c r="L613" s="1738"/>
      <c r="M613" s="1738"/>
      <c r="N613" s="3054">
        <v>20</v>
      </c>
      <c r="O613" s="3055" t="s">
        <v>56</v>
      </c>
      <c r="P613" s="1739"/>
      <c r="Q613" s="1739"/>
      <c r="R613" s="1739"/>
      <c r="S613" s="1787" t="s">
        <v>838</v>
      </c>
      <c r="T613" s="1737"/>
      <c r="U613" s="1737"/>
      <c r="V613" s="1741"/>
      <c r="W613" s="1748">
        <f t="shared" ref="W613:W623" si="201">+AE613*1.6*C613</f>
        <v>0</v>
      </c>
      <c r="X613" s="2376">
        <f t="shared" si="195"/>
        <v>0</v>
      </c>
      <c r="Y613" s="3756"/>
      <c r="Z613" s="895" t="s">
        <v>3478</v>
      </c>
      <c r="AA613" s="3241" t="s">
        <v>838</v>
      </c>
      <c r="AB613" s="2738">
        <v>0.4</v>
      </c>
      <c r="AC613" s="2739">
        <v>4.8</v>
      </c>
      <c r="AD613" s="2629">
        <f t="shared" ref="AD613:AD621" si="202">+N613*AC613*AB613</f>
        <v>38.400000000000006</v>
      </c>
      <c r="AE613" s="2644">
        <f t="shared" si="196"/>
        <v>38.400000000000006</v>
      </c>
      <c r="AF613" s="2644"/>
      <c r="AG613" s="1155"/>
      <c r="AH613" s="871">
        <f>+X613-(AE613*C613)</f>
        <v>0</v>
      </c>
      <c r="AI613" s="878" t="e">
        <f>+AH613/W613</f>
        <v>#DIV/0!</v>
      </c>
      <c r="AJ613" s="43"/>
    </row>
    <row r="614" spans="1:37" s="48" customFormat="1" ht="13.2" customHeight="1" x14ac:dyDescent="0.2">
      <c r="A614" s="3505" t="s">
        <v>3681</v>
      </c>
      <c r="B614" s="1370"/>
      <c r="C614" s="1767"/>
      <c r="D614" s="1745" t="s">
        <v>3088</v>
      </c>
      <c r="E614" s="1745" t="s">
        <v>2843</v>
      </c>
      <c r="F614" s="1745"/>
      <c r="G614" s="1745"/>
      <c r="H614" s="1745">
        <v>3070</v>
      </c>
      <c r="I614" s="1745"/>
      <c r="J614" s="2255"/>
      <c r="K614" s="1739" t="s">
        <v>2966</v>
      </c>
      <c r="L614" s="1738"/>
      <c r="M614" s="1738"/>
      <c r="N614" s="2255">
        <f>+J614</f>
        <v>0</v>
      </c>
      <c r="O614" s="1840" t="s">
        <v>56</v>
      </c>
      <c r="P614" s="1739"/>
      <c r="Q614" s="1739"/>
      <c r="R614" s="1739"/>
      <c r="S614" s="1739" t="s">
        <v>838</v>
      </c>
      <c r="T614" s="1737"/>
      <c r="U614" s="1737"/>
      <c r="V614" s="1741"/>
      <c r="W614" s="1748">
        <f t="shared" si="201"/>
        <v>0</v>
      </c>
      <c r="X614" s="1894">
        <f t="shared" si="195"/>
        <v>0</v>
      </c>
      <c r="Y614" s="3756"/>
      <c r="Z614" s="895" t="s">
        <v>43</v>
      </c>
      <c r="AA614" s="3241" t="s">
        <v>838</v>
      </c>
      <c r="AB614" s="2738">
        <v>0.4</v>
      </c>
      <c r="AC614" s="2739">
        <v>4.8</v>
      </c>
      <c r="AD614" s="2629">
        <f t="shared" si="202"/>
        <v>0</v>
      </c>
      <c r="AE614" s="2644">
        <f t="shared" si="196"/>
        <v>0</v>
      </c>
      <c r="AF614" s="2644"/>
      <c r="AG614" s="1155"/>
      <c r="AH614" s="871"/>
      <c r="AI614" s="878"/>
      <c r="AJ614" s="43"/>
    </row>
    <row r="615" spans="1:37" s="48" customFormat="1" ht="13.2" customHeight="1" x14ac:dyDescent="0.2">
      <c r="A615" s="3505" t="s">
        <v>3681</v>
      </c>
      <c r="B615" s="1370"/>
      <c r="C615" s="1766"/>
      <c r="D615" s="1745" t="s">
        <v>3088</v>
      </c>
      <c r="E615" s="1753" t="s">
        <v>2843</v>
      </c>
      <c r="F615" s="1753"/>
      <c r="G615" s="1753"/>
      <c r="H615" s="1753">
        <v>6070</v>
      </c>
      <c r="I615" s="1753"/>
      <c r="J615" s="2255"/>
      <c r="K615" s="1739" t="s">
        <v>2840</v>
      </c>
      <c r="L615" s="1738"/>
      <c r="M615" s="1738"/>
      <c r="N615" s="2255"/>
      <c r="O615" s="1840" t="s">
        <v>56</v>
      </c>
      <c r="P615" s="1754"/>
      <c r="Q615" s="1754"/>
      <c r="R615" s="1754"/>
      <c r="S615" s="1754" t="s">
        <v>826</v>
      </c>
      <c r="T615" s="1737"/>
      <c r="U615" s="1737"/>
      <c r="V615" s="1741"/>
      <c r="W615" s="1794">
        <f t="shared" si="201"/>
        <v>0</v>
      </c>
      <c r="X615" s="1893">
        <f t="shared" si="195"/>
        <v>0</v>
      </c>
      <c r="Y615" s="3756"/>
      <c r="Z615" s="895" t="s">
        <v>43</v>
      </c>
      <c r="AA615" s="3241" t="s">
        <v>826</v>
      </c>
      <c r="AB615" s="2738">
        <v>0.4</v>
      </c>
      <c r="AC615" s="2739">
        <v>13.4</v>
      </c>
      <c r="AD615" s="2629">
        <f t="shared" si="202"/>
        <v>0</v>
      </c>
      <c r="AE615" s="2644">
        <f t="shared" si="196"/>
        <v>0</v>
      </c>
      <c r="AF615" s="2644"/>
      <c r="AG615" s="1155"/>
      <c r="AH615" s="871"/>
      <c r="AI615" s="878"/>
      <c r="AJ615" s="43"/>
    </row>
    <row r="616" spans="1:37" s="48" customFormat="1" ht="13.2" customHeight="1" x14ac:dyDescent="0.2">
      <c r="A616" s="3505" t="s">
        <v>3681</v>
      </c>
      <c r="B616" s="1370"/>
      <c r="C616" s="1766"/>
      <c r="D616" s="1745" t="s">
        <v>3088</v>
      </c>
      <c r="E616" s="1753" t="s">
        <v>2843</v>
      </c>
      <c r="F616" s="1753"/>
      <c r="G616" s="1753"/>
      <c r="H616" s="1753" t="s">
        <v>2841</v>
      </c>
      <c r="I616" s="1753"/>
      <c r="J616" s="2255"/>
      <c r="K616" s="1739" t="s">
        <v>2840</v>
      </c>
      <c r="L616" s="1738"/>
      <c r="M616" s="1738"/>
      <c r="N616" s="2255">
        <f>+J616</f>
        <v>0</v>
      </c>
      <c r="O616" s="1840" t="s">
        <v>56</v>
      </c>
      <c r="P616" s="1738"/>
      <c r="Q616" s="1738"/>
      <c r="R616" s="1738"/>
      <c r="S616" s="1737" t="s">
        <v>826</v>
      </c>
      <c r="T616" s="1737"/>
      <c r="U616" s="1737"/>
      <c r="V616" s="1741"/>
      <c r="W616" s="1758">
        <f t="shared" si="201"/>
        <v>0</v>
      </c>
      <c r="X616" s="1895">
        <f t="shared" si="195"/>
        <v>0</v>
      </c>
      <c r="Y616" s="3756"/>
      <c r="Z616" s="895" t="s">
        <v>43</v>
      </c>
      <c r="AA616" s="3241" t="s">
        <v>826</v>
      </c>
      <c r="AB616" s="2738">
        <v>0.4</v>
      </c>
      <c r="AC616" s="2739">
        <v>13.4</v>
      </c>
      <c r="AD616" s="2629">
        <f t="shared" si="202"/>
        <v>0</v>
      </c>
      <c r="AE616" s="2644">
        <f t="shared" si="196"/>
        <v>0</v>
      </c>
      <c r="AF616" s="2644"/>
      <c r="AG616" s="1155"/>
      <c r="AH616" s="871"/>
      <c r="AI616" s="878"/>
      <c r="AJ616" s="43"/>
    </row>
    <row r="617" spans="1:37" s="48" customFormat="1" ht="25.8" customHeight="1" thickBot="1" x14ac:dyDescent="0.25">
      <c r="A617" s="3505" t="s">
        <v>3681</v>
      </c>
      <c r="B617" s="1370"/>
      <c r="C617" s="1767"/>
      <c r="D617" s="1745" t="s">
        <v>3088</v>
      </c>
      <c r="E617" s="1745" t="s">
        <v>2756</v>
      </c>
      <c r="F617" s="1745"/>
      <c r="G617" s="1745"/>
      <c r="H617" s="1745">
        <v>8072</v>
      </c>
      <c r="I617" s="1745"/>
      <c r="J617" s="2255"/>
      <c r="K617" s="1739" t="s">
        <v>2757</v>
      </c>
      <c r="L617" s="1738"/>
      <c r="M617" s="1738"/>
      <c r="N617" s="2255">
        <f>+J617</f>
        <v>0</v>
      </c>
      <c r="O617" s="1840" t="s">
        <v>56</v>
      </c>
      <c r="P617" s="1739"/>
      <c r="Q617" s="1739"/>
      <c r="R617" s="1738"/>
      <c r="S617" s="1787"/>
      <c r="T617" s="1737"/>
      <c r="U617" s="1737"/>
      <c r="V617" s="1741"/>
      <c r="W617" s="1748">
        <f t="shared" si="201"/>
        <v>0</v>
      </c>
      <c r="X617" s="1894">
        <f t="shared" ref="X617:X623" si="203">+ROUNDUP(W617,0)</f>
        <v>0</v>
      </c>
      <c r="Y617" s="3756"/>
      <c r="Z617" s="895" t="s">
        <v>43</v>
      </c>
      <c r="AA617" s="3241" t="s">
        <v>2755</v>
      </c>
      <c r="AB617" s="2738">
        <v>0.4</v>
      </c>
      <c r="AC617" s="2739">
        <v>9.85</v>
      </c>
      <c r="AD617" s="2629">
        <f t="shared" si="202"/>
        <v>0</v>
      </c>
      <c r="AE617" s="2644">
        <f t="shared" ref="AE617:AE623" si="204">+AD617</f>
        <v>0</v>
      </c>
      <c r="AF617" s="2644"/>
      <c r="AG617" s="1155"/>
      <c r="AH617" s="871">
        <f>+X617-AE617</f>
        <v>0</v>
      </c>
      <c r="AI617" s="878" t="e">
        <f>+AH617/X617</f>
        <v>#DIV/0!</v>
      </c>
      <c r="AJ617" s="874" t="e">
        <f>+AH617/X617</f>
        <v>#DIV/0!</v>
      </c>
    </row>
    <row r="618" spans="1:37" s="48" customFormat="1" ht="13.2" customHeight="1" x14ac:dyDescent="0.2">
      <c r="A618" s="3505" t="s">
        <v>3681</v>
      </c>
      <c r="B618" s="1370"/>
      <c r="C618" s="3437"/>
      <c r="D618" s="2262" t="s">
        <v>3088</v>
      </c>
      <c r="E618" s="2262" t="s">
        <v>3625</v>
      </c>
      <c r="F618" s="2262"/>
      <c r="G618" s="1745"/>
      <c r="H618" s="2262">
        <v>4080</v>
      </c>
      <c r="I618" s="2262"/>
      <c r="J618" s="2255">
        <v>24</v>
      </c>
      <c r="K618" s="3436" t="s">
        <v>2757</v>
      </c>
      <c r="L618" s="1738"/>
      <c r="M618" s="1738"/>
      <c r="N618" s="2255">
        <f>+J618</f>
        <v>24</v>
      </c>
      <c r="O618" s="1840" t="s">
        <v>56</v>
      </c>
      <c r="P618" s="1739"/>
      <c r="Q618" s="1739"/>
      <c r="R618" s="1738"/>
      <c r="S618" s="1787" t="s">
        <v>820</v>
      </c>
      <c r="T618" s="1737"/>
      <c r="U618" s="1737"/>
      <c r="V618" s="1741"/>
      <c r="W618" s="1748">
        <f t="shared" si="201"/>
        <v>0</v>
      </c>
      <c r="X618" s="1894">
        <f t="shared" si="203"/>
        <v>0</v>
      </c>
      <c r="Y618" s="3771"/>
      <c r="Z618" s="895" t="s">
        <v>43</v>
      </c>
      <c r="AA618" s="3241" t="s">
        <v>820</v>
      </c>
      <c r="AB618" s="2738">
        <v>0.4</v>
      </c>
      <c r="AC618" s="2739">
        <v>9.85</v>
      </c>
      <c r="AD618" s="2629">
        <f t="shared" si="202"/>
        <v>94.56</v>
      </c>
      <c r="AE618" s="2644">
        <f t="shared" si="204"/>
        <v>94.56</v>
      </c>
      <c r="AF618" s="2644"/>
      <c r="AG618" s="1155"/>
      <c r="AH618" s="871"/>
      <c r="AI618" s="878"/>
      <c r="AJ618" s="43"/>
    </row>
    <row r="619" spans="1:37" s="48" customFormat="1" ht="13.2" customHeight="1" x14ac:dyDescent="0.2">
      <c r="A619" s="3505" t="s">
        <v>3681</v>
      </c>
      <c r="B619" s="1370"/>
      <c r="C619" s="3437"/>
      <c r="D619" s="2262" t="s">
        <v>3088</v>
      </c>
      <c r="E619" s="2262" t="s">
        <v>3625</v>
      </c>
      <c r="F619" s="2262"/>
      <c r="G619" s="1745"/>
      <c r="H619" s="2262">
        <v>3070</v>
      </c>
      <c r="I619" s="2262"/>
      <c r="J619" s="2255">
        <v>21</v>
      </c>
      <c r="K619" s="3436" t="s">
        <v>2757</v>
      </c>
      <c r="L619" s="1738"/>
      <c r="M619" s="1738"/>
      <c r="N619" s="2255">
        <f>+J619</f>
        <v>21</v>
      </c>
      <c r="O619" s="1840" t="s">
        <v>56</v>
      </c>
      <c r="P619" s="1739"/>
      <c r="Q619" s="1739"/>
      <c r="R619" s="1738"/>
      <c r="S619" s="1787" t="s">
        <v>820</v>
      </c>
      <c r="T619" s="1737"/>
      <c r="U619" s="1737"/>
      <c r="V619" s="1741"/>
      <c r="W619" s="1748">
        <f t="shared" si="201"/>
        <v>0</v>
      </c>
      <c r="X619" s="1894">
        <f t="shared" si="203"/>
        <v>0</v>
      </c>
      <c r="Y619" s="3772"/>
      <c r="Z619" s="895" t="s">
        <v>43</v>
      </c>
      <c r="AA619" s="3241" t="s">
        <v>820</v>
      </c>
      <c r="AB619" s="2738">
        <v>0.4</v>
      </c>
      <c r="AC619" s="2739">
        <v>9.85</v>
      </c>
      <c r="AD619" s="2629">
        <f t="shared" si="202"/>
        <v>82.740000000000009</v>
      </c>
      <c r="AE619" s="2644">
        <f t="shared" si="204"/>
        <v>82.740000000000009</v>
      </c>
      <c r="AF619" s="2644"/>
      <c r="AG619" s="1155"/>
      <c r="AH619" s="871"/>
      <c r="AI619" s="878"/>
      <c r="AJ619" s="43"/>
    </row>
    <row r="620" spans="1:37" s="48" customFormat="1" ht="13.2" customHeight="1" thickBot="1" x14ac:dyDescent="0.25">
      <c r="A620" s="3505" t="s">
        <v>3681</v>
      </c>
      <c r="B620" s="1370"/>
      <c r="C620" s="3437"/>
      <c r="D620" s="2262" t="s">
        <v>3088</v>
      </c>
      <c r="E620" s="2262" t="s">
        <v>3625</v>
      </c>
      <c r="F620" s="2262"/>
      <c r="G620" s="1745"/>
      <c r="H620" s="2262">
        <v>2460</v>
      </c>
      <c r="I620" s="2262"/>
      <c r="J620" s="2255">
        <v>17</v>
      </c>
      <c r="K620" s="3436" t="s">
        <v>2757</v>
      </c>
      <c r="L620" s="1738"/>
      <c r="M620" s="1738"/>
      <c r="N620" s="2255">
        <f>+J620</f>
        <v>17</v>
      </c>
      <c r="O620" s="1840" t="s">
        <v>56</v>
      </c>
      <c r="P620" s="1739"/>
      <c r="Q620" s="1739"/>
      <c r="R620" s="1738"/>
      <c r="S620" s="1787" t="s">
        <v>820</v>
      </c>
      <c r="T620" s="1737"/>
      <c r="U620" s="1737"/>
      <c r="V620" s="1741"/>
      <c r="W620" s="1748">
        <f t="shared" si="201"/>
        <v>0</v>
      </c>
      <c r="X620" s="1894">
        <f t="shared" si="203"/>
        <v>0</v>
      </c>
      <c r="Y620" s="3773"/>
      <c r="Z620" s="895" t="s">
        <v>43</v>
      </c>
      <c r="AA620" s="3241" t="s">
        <v>820</v>
      </c>
      <c r="AB620" s="2738">
        <v>0.4</v>
      </c>
      <c r="AC620" s="2739">
        <v>9.85</v>
      </c>
      <c r="AD620" s="2629">
        <f t="shared" si="202"/>
        <v>66.98</v>
      </c>
      <c r="AE620" s="2644">
        <f t="shared" si="204"/>
        <v>66.98</v>
      </c>
      <c r="AF620" s="2644"/>
      <c r="AG620" s="1155"/>
      <c r="AH620" s="871"/>
      <c r="AI620" s="878"/>
      <c r="AJ620" s="43"/>
    </row>
    <row r="621" spans="1:37" s="48" customFormat="1" ht="13.2" customHeight="1" x14ac:dyDescent="0.2">
      <c r="A621" s="3505" t="s">
        <v>3681</v>
      </c>
      <c r="B621" s="1370"/>
      <c r="C621" s="1789"/>
      <c r="D621" s="1745" t="s">
        <v>3088</v>
      </c>
      <c r="E621" s="1737" t="s">
        <v>2756</v>
      </c>
      <c r="F621" s="1738"/>
      <c r="G621" s="1738"/>
      <c r="H621" s="1738" t="s">
        <v>3439</v>
      </c>
      <c r="I621" s="1738"/>
      <c r="J621" s="1738"/>
      <c r="K621" s="1738"/>
      <c r="L621" s="1738"/>
      <c r="M621" s="1738"/>
      <c r="N621" s="2255"/>
      <c r="O621" s="1840" t="s">
        <v>56</v>
      </c>
      <c r="P621" s="1738"/>
      <c r="Q621" s="1738"/>
      <c r="R621" s="1738"/>
      <c r="S621" s="1737" t="s">
        <v>752</v>
      </c>
      <c r="T621" s="1737"/>
      <c r="U621" s="1737"/>
      <c r="V621" s="1741"/>
      <c r="W621" s="1758">
        <f t="shared" si="201"/>
        <v>0</v>
      </c>
      <c r="X621" s="1895">
        <f t="shared" si="203"/>
        <v>0</v>
      </c>
      <c r="Y621" s="3756"/>
      <c r="Z621" s="895" t="s">
        <v>43</v>
      </c>
      <c r="AA621" s="3241" t="s">
        <v>752</v>
      </c>
      <c r="AB621" s="2738">
        <v>0.4</v>
      </c>
      <c r="AC621" s="2739">
        <v>6.5</v>
      </c>
      <c r="AD621" s="2629">
        <f t="shared" si="202"/>
        <v>0</v>
      </c>
      <c r="AE621" s="2644">
        <f t="shared" si="204"/>
        <v>0</v>
      </c>
      <c r="AF621" s="2644"/>
      <c r="AG621" s="1155"/>
      <c r="AH621" s="871"/>
      <c r="AI621" s="878"/>
      <c r="AJ621" s="43"/>
    </row>
    <row r="622" spans="1:37" s="48" customFormat="1" ht="13.2" customHeight="1" x14ac:dyDescent="0.2">
      <c r="A622" s="3505" t="s">
        <v>3681</v>
      </c>
      <c r="B622" s="1370"/>
      <c r="C622" s="1789"/>
      <c r="D622" s="1745" t="s">
        <v>3088</v>
      </c>
      <c r="E622" s="1737" t="s">
        <v>2756</v>
      </c>
      <c r="F622" s="1738"/>
      <c r="G622" s="1738"/>
      <c r="H622" s="1738" t="s">
        <v>3439</v>
      </c>
      <c r="I622" s="1738"/>
      <c r="J622" s="1738"/>
      <c r="K622" s="1738"/>
      <c r="L622" s="1738"/>
      <c r="M622" s="1738"/>
      <c r="N622" s="2255"/>
      <c r="O622" s="1840" t="s">
        <v>56</v>
      </c>
      <c r="P622" s="1738"/>
      <c r="Q622" s="1738"/>
      <c r="R622" s="1738"/>
      <c r="S622" s="1737" t="s">
        <v>752</v>
      </c>
      <c r="T622" s="1737"/>
      <c r="U622" s="1737"/>
      <c r="V622" s="1741"/>
      <c r="W622" s="1758">
        <f t="shared" si="201"/>
        <v>0</v>
      </c>
      <c r="X622" s="1895">
        <f t="shared" si="203"/>
        <v>0</v>
      </c>
      <c r="Y622" s="3756"/>
      <c r="Z622" s="895" t="s">
        <v>43</v>
      </c>
      <c r="AA622" s="3241" t="s">
        <v>752</v>
      </c>
      <c r="AB622" s="2738">
        <v>0.4</v>
      </c>
      <c r="AC622" s="2739">
        <v>6.5</v>
      </c>
      <c r="AD622" s="2644">
        <f>+AB622*AC622*N622</f>
        <v>0</v>
      </c>
      <c r="AE622" s="2644">
        <f t="shared" si="204"/>
        <v>0</v>
      </c>
      <c r="AF622" s="2644"/>
      <c r="AG622" s="1155"/>
      <c r="AH622" s="871"/>
      <c r="AI622" s="878"/>
      <c r="AJ622" s="43"/>
    </row>
    <row r="623" spans="1:37" s="218" customFormat="1" ht="13.2" customHeight="1" x14ac:dyDescent="0.2">
      <c r="A623" s="3505" t="s">
        <v>3681</v>
      </c>
      <c r="B623" s="1370"/>
      <c r="C623" s="1766"/>
      <c r="D623" s="1745" t="s">
        <v>3088</v>
      </c>
      <c r="E623" s="1753" t="s">
        <v>2756</v>
      </c>
      <c r="F623" s="1755"/>
      <c r="G623" s="1755"/>
      <c r="H623" s="1755" t="s">
        <v>537</v>
      </c>
      <c r="I623" s="1755"/>
      <c r="J623" s="1755"/>
      <c r="K623" s="1755"/>
      <c r="L623" s="1755"/>
      <c r="M623" s="1755"/>
      <c r="N623" s="2255">
        <f>+J623</f>
        <v>0</v>
      </c>
      <c r="O623" s="1840" t="s">
        <v>56</v>
      </c>
      <c r="P623" s="1755"/>
      <c r="Q623" s="1755"/>
      <c r="R623" s="1755"/>
      <c r="S623" s="1753" t="s">
        <v>2852</v>
      </c>
      <c r="T623" s="1753"/>
      <c r="U623" s="1753"/>
      <c r="V623" s="1756"/>
      <c r="W623" s="1733">
        <f t="shared" si="201"/>
        <v>0</v>
      </c>
      <c r="X623" s="1893">
        <f t="shared" si="203"/>
        <v>0</v>
      </c>
      <c r="Y623" s="3756"/>
      <c r="Z623" s="1195" t="s">
        <v>43</v>
      </c>
      <c r="AA623" s="3244" t="s">
        <v>2852</v>
      </c>
      <c r="AB623" s="2744">
        <v>0.4</v>
      </c>
      <c r="AC623" s="2743">
        <v>12.2</v>
      </c>
      <c r="AD623" s="2637">
        <f>+AC623*19*AB623</f>
        <v>92.72</v>
      </c>
      <c r="AE623" s="2637">
        <f t="shared" si="204"/>
        <v>92.72</v>
      </c>
      <c r="AF623" s="2637"/>
      <c r="AG623" s="1159"/>
      <c r="AH623" s="1078"/>
      <c r="AI623" s="1075"/>
      <c r="AJ623" s="216"/>
    </row>
    <row r="624" spans="1:37" s="779" customFormat="1" ht="13.2" customHeight="1" x14ac:dyDescent="0.2">
      <c r="A624" s="3505" t="s">
        <v>3681</v>
      </c>
      <c r="B624" s="1370"/>
      <c r="C624" s="1842"/>
      <c r="D624" s="1745" t="s">
        <v>3088</v>
      </c>
      <c r="E624" s="1737" t="s">
        <v>2691</v>
      </c>
      <c r="F624" s="1764"/>
      <c r="G624" s="1764" t="s">
        <v>891</v>
      </c>
      <c r="H624" s="1764"/>
      <c r="I624" s="1764"/>
      <c r="J624" s="1764">
        <v>4070</v>
      </c>
      <c r="K624" s="1780" t="s">
        <v>2674</v>
      </c>
      <c r="L624" s="1755"/>
      <c r="M624" s="1755"/>
      <c r="N624" s="2255">
        <f>+J624</f>
        <v>4070</v>
      </c>
      <c r="O624" s="1759" t="s">
        <v>56</v>
      </c>
      <c r="P624" s="1738"/>
      <c r="Q624" s="1738"/>
      <c r="R624" s="1738"/>
      <c r="S624" s="1737" t="s">
        <v>891</v>
      </c>
      <c r="T624" s="1737"/>
      <c r="U624" s="1737"/>
      <c r="V624" s="1741"/>
      <c r="W624" s="1758">
        <f>+AD624*1.5*C624</f>
        <v>0</v>
      </c>
      <c r="X624" s="1981">
        <f t="shared" si="195"/>
        <v>0</v>
      </c>
      <c r="Y624" s="3756"/>
      <c r="Z624" s="898" t="s">
        <v>43</v>
      </c>
      <c r="AA624" s="3240" t="s">
        <v>891</v>
      </c>
      <c r="AB624" s="2738">
        <v>0.4</v>
      </c>
      <c r="AC624" s="2737">
        <v>13.6</v>
      </c>
      <c r="AD624" s="2644">
        <f t="shared" ref="AD624:AD635" si="205">+AB624*AC624*N624</f>
        <v>22140.800000000003</v>
      </c>
      <c r="AE624" s="2644">
        <f>+(AC624*AB624)*N624/12</f>
        <v>1845.0666666666668</v>
      </c>
      <c r="AF624" s="2644"/>
      <c r="AG624" s="1155"/>
      <c r="AH624" s="871">
        <f>+X624-AE624</f>
        <v>-1845.0666666666668</v>
      </c>
      <c r="AI624" s="878" t="e">
        <f>+AH624/X624</f>
        <v>#DIV/0!</v>
      </c>
      <c r="AJ624" s="43"/>
    </row>
    <row r="625" spans="1:38" s="779" customFormat="1" ht="13.2" customHeight="1" x14ac:dyDescent="0.2">
      <c r="A625" s="3505" t="s">
        <v>3681</v>
      </c>
      <c r="B625" s="1370"/>
      <c r="C625" s="1842"/>
      <c r="D625" s="1745" t="s">
        <v>3088</v>
      </c>
      <c r="E625" s="1737" t="s">
        <v>2691</v>
      </c>
      <c r="F625" s="1989"/>
      <c r="G625" s="1764" t="s">
        <v>3120</v>
      </c>
      <c r="H625" s="1764"/>
      <c r="I625" s="1764"/>
      <c r="J625" s="1764">
        <v>3070</v>
      </c>
      <c r="K625" s="1780" t="s">
        <v>2674</v>
      </c>
      <c r="L625" s="1755"/>
      <c r="M625" s="1755"/>
      <c r="N625" s="2255">
        <f>+J625</f>
        <v>3070</v>
      </c>
      <c r="O625" s="1843" t="s">
        <v>56</v>
      </c>
      <c r="P625" s="1776"/>
      <c r="Q625" s="1776"/>
      <c r="R625" s="1776"/>
      <c r="S625" s="1737" t="s">
        <v>891</v>
      </c>
      <c r="T625" s="1737"/>
      <c r="U625" s="1737"/>
      <c r="V625" s="1741"/>
      <c r="W625" s="1758">
        <f>+AD625*1.5*C625</f>
        <v>0</v>
      </c>
      <c r="X625" s="2377">
        <f t="shared" ref="X625:X631" si="206">+ROUNDUP(W625,0)</f>
        <v>0</v>
      </c>
      <c r="Y625" s="3756"/>
      <c r="Z625" s="898" t="s">
        <v>43</v>
      </c>
      <c r="AA625" s="3240" t="s">
        <v>891</v>
      </c>
      <c r="AB625" s="2738">
        <v>0.4</v>
      </c>
      <c r="AC625" s="2737">
        <v>13.6</v>
      </c>
      <c r="AD625" s="2644">
        <f t="shared" si="205"/>
        <v>16700.800000000003</v>
      </c>
      <c r="AE625" s="2644">
        <f>+(AC625*AB625)*N625/12</f>
        <v>1391.7333333333336</v>
      </c>
      <c r="AF625" s="2644"/>
      <c r="AG625" s="1155"/>
      <c r="AH625" s="871">
        <f>+X625-AE625</f>
        <v>-1391.7333333333336</v>
      </c>
      <c r="AI625" s="878" t="e">
        <f>+AH625/X625</f>
        <v>#DIV/0!</v>
      </c>
      <c r="AJ625" s="43"/>
    </row>
    <row r="626" spans="1:38" s="779" customFormat="1" ht="13.2" customHeight="1" thickBot="1" x14ac:dyDescent="0.25">
      <c r="A626" s="3505" t="s">
        <v>3682</v>
      </c>
      <c r="B626" s="2111"/>
      <c r="C626" s="2980"/>
      <c r="D626" s="1745" t="s">
        <v>3446</v>
      </c>
      <c r="E626" s="2975" t="s">
        <v>3447</v>
      </c>
      <c r="F626" s="1348"/>
      <c r="G626" s="2976"/>
      <c r="H626" s="1755" t="s">
        <v>54</v>
      </c>
      <c r="I626" s="1764"/>
      <c r="J626" s="1764"/>
      <c r="K626" s="1780"/>
      <c r="L626" s="1755"/>
      <c r="M626" s="1755"/>
      <c r="N626" s="2255"/>
      <c r="O626" s="1843"/>
      <c r="P626" s="1776"/>
      <c r="Q626" s="1776"/>
      <c r="R626" s="1776"/>
      <c r="S626" s="1737"/>
      <c r="T626" s="1737"/>
      <c r="U626" s="1737"/>
      <c r="V626" s="1741"/>
      <c r="W626" s="1758"/>
      <c r="X626" s="2377"/>
      <c r="Y626" s="3756"/>
      <c r="Z626" s="2977"/>
      <c r="AA626" s="3245"/>
      <c r="AB626" s="2978"/>
      <c r="AC626" s="2979"/>
      <c r="AD626" s="2644"/>
      <c r="AE626" s="2644"/>
      <c r="AF626" s="2644"/>
      <c r="AG626" s="1155"/>
      <c r="AH626" s="871"/>
      <c r="AI626" s="878"/>
      <c r="AJ626" s="46"/>
    </row>
    <row r="627" spans="1:38" s="48" customFormat="1" ht="13.2" customHeight="1" thickBot="1" x14ac:dyDescent="0.25">
      <c r="A627" s="48" t="s">
        <v>3683</v>
      </c>
      <c r="B627" s="1370"/>
      <c r="C627" s="1955"/>
      <c r="D627" s="1779" t="s">
        <v>3089</v>
      </c>
      <c r="E627" s="1987" t="s">
        <v>62</v>
      </c>
      <c r="F627" s="1992"/>
      <c r="G627" s="1988" t="s">
        <v>3105</v>
      </c>
      <c r="H627" s="1755" t="s">
        <v>54</v>
      </c>
      <c r="I627" s="1801" t="s">
        <v>3126</v>
      </c>
      <c r="J627" s="1801"/>
      <c r="K627" s="1801"/>
      <c r="L627" s="1801"/>
      <c r="M627" s="1801"/>
      <c r="N627" s="1982">
        <f t="shared" ref="N627:N638" si="207">+J627</f>
        <v>0</v>
      </c>
      <c r="O627" s="1791" t="s">
        <v>56</v>
      </c>
      <c r="P627" s="1776"/>
      <c r="Q627" s="1776"/>
      <c r="R627" s="1776"/>
      <c r="S627" s="1738"/>
      <c r="T627" s="1737"/>
      <c r="U627" s="1737"/>
      <c r="V627" s="1741"/>
      <c r="W627" s="1758">
        <f>+AE627*1.6*C627</f>
        <v>0</v>
      </c>
      <c r="X627" s="1895">
        <f t="shared" si="206"/>
        <v>0</v>
      </c>
      <c r="Y627" s="3756"/>
      <c r="Z627" s="67" t="s">
        <v>43</v>
      </c>
      <c r="AA627" s="3214" t="s">
        <v>59</v>
      </c>
      <c r="AB627" s="2674">
        <v>0.4</v>
      </c>
      <c r="AC627" s="2659">
        <v>9.75</v>
      </c>
      <c r="AD627" s="2617">
        <f t="shared" si="205"/>
        <v>0</v>
      </c>
      <c r="AE627" s="2617">
        <f>+(AC627*AB627)*N627</f>
        <v>0</v>
      </c>
      <c r="AF627" s="2617"/>
      <c r="AG627" s="1141"/>
      <c r="AH627" s="42">
        <f t="shared" ref="AH627:AH635" si="208">+X627-AE627</f>
        <v>0</v>
      </c>
      <c r="AI627" s="43" t="e">
        <f t="shared" ref="AI627:AI633" si="209">+AE627/W627</f>
        <v>#DIV/0!</v>
      </c>
      <c r="AJ627" s="46"/>
    </row>
    <row r="628" spans="1:38" s="211" customFormat="1" ht="13.2" customHeight="1" x14ac:dyDescent="0.2">
      <c r="A628" s="48" t="s">
        <v>3683</v>
      </c>
      <c r="B628" s="1370"/>
      <c r="C628" s="1735"/>
      <c r="D628" s="1737" t="s">
        <v>3089</v>
      </c>
      <c r="E628" s="1737" t="s">
        <v>62</v>
      </c>
      <c r="F628" s="1991"/>
      <c r="G628" s="1772" t="s">
        <v>3093</v>
      </c>
      <c r="H628" s="1755" t="s">
        <v>54</v>
      </c>
      <c r="I628" s="1738" t="s">
        <v>3126</v>
      </c>
      <c r="J628" s="1738"/>
      <c r="K628" s="1738"/>
      <c r="L628" s="1833"/>
      <c r="M628" s="1833"/>
      <c r="N628" s="1776">
        <f t="shared" si="207"/>
        <v>0</v>
      </c>
      <c r="O628" s="1791" t="s">
        <v>56</v>
      </c>
      <c r="P628" s="1752"/>
      <c r="Q628" s="1752"/>
      <c r="R628" s="1752"/>
      <c r="S628" s="1752"/>
      <c r="T628" s="1737"/>
      <c r="U628" s="1737"/>
      <c r="V628" s="1741"/>
      <c r="W628" s="1758">
        <f>+AE628*1.6*C628</f>
        <v>0</v>
      </c>
      <c r="X628" s="1895">
        <f t="shared" si="206"/>
        <v>0</v>
      </c>
      <c r="Y628" s="3756"/>
      <c r="Z628" s="854" t="s">
        <v>43</v>
      </c>
      <c r="AA628" s="3224" t="s">
        <v>59</v>
      </c>
      <c r="AB628" s="2702">
        <v>0.4</v>
      </c>
      <c r="AC628" s="2701">
        <v>9.75</v>
      </c>
      <c r="AD628" s="2617">
        <f t="shared" si="205"/>
        <v>0</v>
      </c>
      <c r="AE628" s="2617">
        <f>+(AC628*AB628)*N628</f>
        <v>0</v>
      </c>
      <c r="AF628" s="2617"/>
      <c r="AG628" s="1141"/>
      <c r="AH628" s="44">
        <f t="shared" si="208"/>
        <v>0</v>
      </c>
      <c r="AI628" s="874" t="e">
        <f t="shared" si="209"/>
        <v>#DIV/0!</v>
      </c>
      <c r="AJ628" s="874"/>
      <c r="AK628" s="862"/>
    </row>
    <row r="629" spans="1:38" s="48" customFormat="1" ht="13.2" customHeight="1" x14ac:dyDescent="0.2">
      <c r="A629" s="48" t="s">
        <v>3683</v>
      </c>
      <c r="B629" s="1370"/>
      <c r="C629" s="2222"/>
      <c r="D629" s="1737" t="s">
        <v>3089</v>
      </c>
      <c r="E629" s="1737" t="s">
        <v>62</v>
      </c>
      <c r="F629" s="1738"/>
      <c r="G629" s="1738"/>
      <c r="H629" s="1755" t="s">
        <v>54</v>
      </c>
      <c r="I629" s="1738"/>
      <c r="J629" s="1738"/>
      <c r="K629" s="1780" t="s">
        <v>2674</v>
      </c>
      <c r="L629" s="1738"/>
      <c r="M629" s="1738"/>
      <c r="N629" s="1776">
        <f t="shared" si="207"/>
        <v>0</v>
      </c>
      <c r="O629" s="1791" t="s">
        <v>56</v>
      </c>
      <c r="P629" s="1776"/>
      <c r="Q629" s="1776"/>
      <c r="R629" s="1776"/>
      <c r="S629" s="1738"/>
      <c r="T629" s="1737"/>
      <c r="U629" s="1737"/>
      <c r="V629" s="1741"/>
      <c r="W629" s="1758">
        <f>+AE629*1.6*C629</f>
        <v>0</v>
      </c>
      <c r="X629" s="1895">
        <f t="shared" si="206"/>
        <v>0</v>
      </c>
      <c r="Y629" s="3756"/>
      <c r="Z629" s="67" t="s">
        <v>43</v>
      </c>
      <c r="AA629" s="3214" t="s">
        <v>59</v>
      </c>
      <c r="AB629" s="2674">
        <v>0.4</v>
      </c>
      <c r="AC629" s="2659">
        <v>9.75</v>
      </c>
      <c r="AD629" s="2659">
        <f t="shared" si="205"/>
        <v>0</v>
      </c>
      <c r="AE629" s="2617">
        <f>+(AC629*AB629)*N629</f>
        <v>0</v>
      </c>
      <c r="AF629" s="2673"/>
      <c r="AG629" s="1172"/>
      <c r="AH629" s="67">
        <f t="shared" si="208"/>
        <v>0</v>
      </c>
      <c r="AI629" s="46" t="e">
        <f t="shared" si="209"/>
        <v>#DIV/0!</v>
      </c>
      <c r="AJ629" s="844"/>
    </row>
    <row r="630" spans="1:38" s="48" customFormat="1" ht="12.6" x14ac:dyDescent="0.2">
      <c r="A630" s="48" t="s">
        <v>3683</v>
      </c>
      <c r="B630" s="1370"/>
      <c r="C630" s="2134"/>
      <c r="D630" s="2029" t="s">
        <v>3089</v>
      </c>
      <c r="E630" s="1805" t="s">
        <v>2745</v>
      </c>
      <c r="F630" s="1878"/>
      <c r="G630" s="1746"/>
      <c r="H630" s="1805" t="s">
        <v>54</v>
      </c>
      <c r="I630" s="1834" t="s">
        <v>3255</v>
      </c>
      <c r="J630" s="1846">
        <v>4</v>
      </c>
      <c r="K630" s="3066" t="s">
        <v>2674</v>
      </c>
      <c r="L630" s="1801"/>
      <c r="M630" s="1801"/>
      <c r="N630" s="1846">
        <f t="shared" si="207"/>
        <v>4</v>
      </c>
      <c r="O630" s="1847" t="s">
        <v>56</v>
      </c>
      <c r="P630" s="1757"/>
      <c r="Q630" s="1757"/>
      <c r="R630" s="1757"/>
      <c r="S630" s="1746" t="s">
        <v>55</v>
      </c>
      <c r="T630" s="1753"/>
      <c r="U630" s="1753"/>
      <c r="V630" s="1756"/>
      <c r="W630" s="1733">
        <f t="shared" ref="W630:W635" si="210">+AE630*1.5*C630</f>
        <v>0</v>
      </c>
      <c r="X630" s="2017">
        <f t="shared" si="206"/>
        <v>0</v>
      </c>
      <c r="Y630" s="3757"/>
      <c r="Z630" s="212" t="s">
        <v>43</v>
      </c>
      <c r="AA630" s="3227" t="s">
        <v>55</v>
      </c>
      <c r="AB630" s="2745">
        <v>0.4</v>
      </c>
      <c r="AC630" s="2690">
        <v>14.3</v>
      </c>
      <c r="AD630" s="2644">
        <f t="shared" si="205"/>
        <v>22.880000000000003</v>
      </c>
      <c r="AE630" s="2629">
        <f>+AD630</f>
        <v>22.880000000000003</v>
      </c>
      <c r="AF630" s="2618">
        <f>+AE630*C630</f>
        <v>0</v>
      </c>
      <c r="AG630" s="1154">
        <f>+W630-AF630</f>
        <v>0</v>
      </c>
      <c r="AH630" s="76" t="e">
        <f>+AG630/W630</f>
        <v>#DIV/0!</v>
      </c>
      <c r="AI630" s="213"/>
      <c r="AJ630" s="879"/>
      <c r="AK630" s="218"/>
    </row>
    <row r="631" spans="1:38" s="48" customFormat="1" ht="12.6" customHeight="1" thickBot="1" x14ac:dyDescent="0.25">
      <c r="A631" s="48" t="s">
        <v>3683</v>
      </c>
      <c r="B631" s="1370"/>
      <c r="C631" s="2223"/>
      <c r="D631" s="1779" t="s">
        <v>3089</v>
      </c>
      <c r="E631" s="1805" t="s">
        <v>2745</v>
      </c>
      <c r="F631" s="1878"/>
      <c r="G631" s="1746"/>
      <c r="H631" s="1755" t="s">
        <v>54</v>
      </c>
      <c r="I631" s="1746"/>
      <c r="J631" s="1846">
        <v>4</v>
      </c>
      <c r="K631" s="1914" t="s">
        <v>2674</v>
      </c>
      <c r="L631" s="1801"/>
      <c r="M631" s="1801"/>
      <c r="N631" s="2255">
        <f t="shared" si="207"/>
        <v>4</v>
      </c>
      <c r="O631" s="1847" t="s">
        <v>56</v>
      </c>
      <c r="P631" s="1752"/>
      <c r="Q631" s="1752"/>
      <c r="R631" s="1752"/>
      <c r="S631" s="1738" t="s">
        <v>55</v>
      </c>
      <c r="T631" s="1753"/>
      <c r="U631" s="1753"/>
      <c r="V631" s="1756"/>
      <c r="W631" s="2021">
        <f t="shared" si="210"/>
        <v>0</v>
      </c>
      <c r="X631" s="2022">
        <f t="shared" si="206"/>
        <v>0</v>
      </c>
      <c r="Y631" s="3759"/>
      <c r="Z631" s="212" t="s">
        <v>43</v>
      </c>
      <c r="AA631" s="3227" t="s">
        <v>55</v>
      </c>
      <c r="AB631" s="2745">
        <v>0.4</v>
      </c>
      <c r="AC631" s="2690">
        <v>14.3</v>
      </c>
      <c r="AD631" s="2644">
        <f t="shared" si="205"/>
        <v>22.880000000000003</v>
      </c>
      <c r="AE631" s="2629">
        <f>+AD631</f>
        <v>22.880000000000003</v>
      </c>
      <c r="AF631" s="2689"/>
      <c r="AG631" s="1173"/>
      <c r="AH631" s="212">
        <f t="shared" si="208"/>
        <v>-22.880000000000003</v>
      </c>
      <c r="AI631" s="217" t="e">
        <f t="shared" si="209"/>
        <v>#DIV/0!</v>
      </c>
      <c r="AJ631" s="879"/>
      <c r="AK631" s="218"/>
    </row>
    <row r="632" spans="1:38" s="48" customFormat="1" ht="12.6" customHeight="1" thickBot="1" x14ac:dyDescent="0.25">
      <c r="A632" s="48" t="s">
        <v>3683</v>
      </c>
      <c r="B632" s="1370"/>
      <c r="C632" s="2220"/>
      <c r="D632" s="2037" t="s">
        <v>3089</v>
      </c>
      <c r="E632" s="2037" t="s">
        <v>2745</v>
      </c>
      <c r="F632" s="3647"/>
      <c r="G632" s="1755"/>
      <c r="H632" s="3647" t="s">
        <v>54</v>
      </c>
      <c r="I632" s="1755"/>
      <c r="J632" s="3036">
        <v>6</v>
      </c>
      <c r="K632" s="2041" t="s">
        <v>2674</v>
      </c>
      <c r="L632" s="1738"/>
      <c r="M632" s="1738"/>
      <c r="N632" s="2255">
        <f t="shared" si="207"/>
        <v>6</v>
      </c>
      <c r="O632" s="1759" t="s">
        <v>56</v>
      </c>
      <c r="P632" s="1776"/>
      <c r="Q632" s="1776"/>
      <c r="R632" s="1776"/>
      <c r="S632" s="1738"/>
      <c r="T632" s="1753"/>
      <c r="U632" s="1753"/>
      <c r="V632" s="1756"/>
      <c r="W632" s="3664">
        <f t="shared" si="210"/>
        <v>0</v>
      </c>
      <c r="X632" s="3032"/>
      <c r="Y632" s="3756"/>
      <c r="Z632" s="212" t="s">
        <v>43</v>
      </c>
      <c r="AA632" s="3227" t="s">
        <v>55</v>
      </c>
      <c r="AB632" s="2745">
        <v>0.4</v>
      </c>
      <c r="AC632" s="2690">
        <v>15.3</v>
      </c>
      <c r="AD632" s="2644">
        <f t="shared" si="205"/>
        <v>36.720000000000006</v>
      </c>
      <c r="AE632" s="2629">
        <f>+AD632</f>
        <v>36.720000000000006</v>
      </c>
      <c r="AF632" s="2689"/>
      <c r="AG632" s="1173"/>
      <c r="AH632" s="212">
        <f t="shared" si="208"/>
        <v>-36.720000000000006</v>
      </c>
      <c r="AI632" s="217" t="e">
        <f t="shared" si="209"/>
        <v>#DIV/0!</v>
      </c>
      <c r="AJ632" s="879"/>
      <c r="AK632" s="218"/>
    </row>
    <row r="633" spans="1:38" s="48" customFormat="1" ht="12.6" customHeight="1" thickBot="1" x14ac:dyDescent="0.25">
      <c r="A633" s="48" t="s">
        <v>3683</v>
      </c>
      <c r="B633" s="1370"/>
      <c r="C633" s="2226"/>
      <c r="D633" s="2834" t="s">
        <v>3089</v>
      </c>
      <c r="E633" s="3123" t="s">
        <v>60</v>
      </c>
      <c r="F633" s="2837"/>
      <c r="G633" s="2298"/>
      <c r="H633" s="2837" t="s">
        <v>54</v>
      </c>
      <c r="I633" s="2298"/>
      <c r="J633" s="2836">
        <v>3</v>
      </c>
      <c r="K633" s="2084" t="s">
        <v>2674</v>
      </c>
      <c r="L633" s="3019"/>
      <c r="M633" s="1738"/>
      <c r="N633" s="2255">
        <f t="shared" si="207"/>
        <v>3</v>
      </c>
      <c r="O633" s="1759" t="s">
        <v>56</v>
      </c>
      <c r="P633" s="1752"/>
      <c r="Q633" s="1752"/>
      <c r="R633" s="1752"/>
      <c r="S633" s="1755"/>
      <c r="T633" s="1753"/>
      <c r="U633" s="1753"/>
      <c r="V633" s="3632"/>
      <c r="W633" s="3704">
        <f t="shared" si="210"/>
        <v>0</v>
      </c>
      <c r="X633" s="2840">
        <f>ROUNDUP(W633,0)</f>
        <v>0</v>
      </c>
      <c r="Y633" s="3758"/>
      <c r="Z633" s="889" t="s">
        <v>43</v>
      </c>
      <c r="AA633" s="3214" t="s">
        <v>61</v>
      </c>
      <c r="AB633" s="2674">
        <v>0.4</v>
      </c>
      <c r="AC633" s="2659">
        <v>7.8</v>
      </c>
      <c r="AD633" s="2659">
        <f t="shared" si="205"/>
        <v>9.36</v>
      </c>
      <c r="AE633" s="2627">
        <f>+(AC633*AB633)*N633</f>
        <v>9.36</v>
      </c>
      <c r="AF633" s="2673"/>
      <c r="AG633" s="1172"/>
      <c r="AH633" s="67">
        <f t="shared" si="208"/>
        <v>-9.36</v>
      </c>
      <c r="AI633" s="46" t="e">
        <f t="shared" si="209"/>
        <v>#DIV/0!</v>
      </c>
      <c r="AJ633" s="844"/>
    </row>
    <row r="634" spans="1:38" s="48" customFormat="1" ht="12.6" customHeight="1" x14ac:dyDescent="0.2">
      <c r="A634" s="48" t="s">
        <v>3683</v>
      </c>
      <c r="B634" s="1370"/>
      <c r="C634" s="2116"/>
      <c r="D634" s="2048" t="s">
        <v>3089</v>
      </c>
      <c r="E634" s="3312" t="s">
        <v>60</v>
      </c>
      <c r="F634" s="2324"/>
      <c r="G634" s="1755"/>
      <c r="H634" s="2324" t="s">
        <v>54</v>
      </c>
      <c r="I634" s="1755"/>
      <c r="J634" s="3054"/>
      <c r="K634" s="2049" t="s">
        <v>2674</v>
      </c>
      <c r="L634" s="1738"/>
      <c r="M634" s="1738"/>
      <c r="N634" s="2255">
        <f t="shared" si="207"/>
        <v>0</v>
      </c>
      <c r="O634" s="1759" t="s">
        <v>56</v>
      </c>
      <c r="P634" s="1752"/>
      <c r="Q634" s="1752"/>
      <c r="R634" s="1752"/>
      <c r="S634" s="1755"/>
      <c r="T634" s="1753"/>
      <c r="U634" s="1753"/>
      <c r="V634" s="1756"/>
      <c r="W634" s="2026">
        <f t="shared" si="210"/>
        <v>0</v>
      </c>
      <c r="X634" s="2372">
        <f>ROUNDUP(W634,0)</f>
        <v>0</v>
      </c>
      <c r="Y634" s="3756"/>
      <c r="Z634" s="889" t="s">
        <v>43</v>
      </c>
      <c r="AA634" s="3214" t="s">
        <v>61</v>
      </c>
      <c r="AB634" s="2674">
        <v>0.4</v>
      </c>
      <c r="AC634" s="2659">
        <v>7.8</v>
      </c>
      <c r="AD634" s="2659">
        <f t="shared" si="205"/>
        <v>0</v>
      </c>
      <c r="AE634" s="2627">
        <f>+(AC634*AB634)*N634</f>
        <v>0</v>
      </c>
      <c r="AF634" s="2673"/>
      <c r="AG634" s="1172"/>
      <c r="AH634" s="67">
        <f t="shared" si="208"/>
        <v>0</v>
      </c>
      <c r="AI634" s="43" t="e">
        <f t="shared" ref="AI634:AI645" si="211">+AH634/X634</f>
        <v>#DIV/0!</v>
      </c>
      <c r="AJ634" s="844"/>
    </row>
    <row r="635" spans="1:38" s="48" customFormat="1" ht="12.6" customHeight="1" x14ac:dyDescent="0.2">
      <c r="A635" s="48" t="s">
        <v>3683</v>
      </c>
      <c r="B635" s="1370"/>
      <c r="C635" s="1735"/>
      <c r="D635" s="1737" t="s">
        <v>3089</v>
      </c>
      <c r="E635" s="1737" t="s">
        <v>60</v>
      </c>
      <c r="F635" s="1738"/>
      <c r="G635" s="1738"/>
      <c r="H635" s="1738" t="s">
        <v>54</v>
      </c>
      <c r="I635" s="1738"/>
      <c r="J635" s="2255"/>
      <c r="K635" s="1757" t="s">
        <v>2674</v>
      </c>
      <c r="L635" s="1738"/>
      <c r="M635" s="1738"/>
      <c r="N635" s="2255">
        <f t="shared" si="207"/>
        <v>0</v>
      </c>
      <c r="O635" s="1791" t="s">
        <v>56</v>
      </c>
      <c r="P635" s="1776"/>
      <c r="Q635" s="1776"/>
      <c r="R635" s="1776"/>
      <c r="S635" s="1738"/>
      <c r="T635" s="1737"/>
      <c r="U635" s="1737"/>
      <c r="V635" s="1741"/>
      <c r="W635" s="1748">
        <f t="shared" si="210"/>
        <v>0</v>
      </c>
      <c r="X635" s="1895">
        <f>ROUNDUP(W635,0)</f>
        <v>0</v>
      </c>
      <c r="Y635" s="3756"/>
      <c r="Z635" s="858" t="s">
        <v>43</v>
      </c>
      <c r="AA635" s="3186" t="s">
        <v>61</v>
      </c>
      <c r="AB635" s="2616">
        <v>0.4</v>
      </c>
      <c r="AC635" s="2617">
        <v>7.35</v>
      </c>
      <c r="AD635" s="2617">
        <f t="shared" si="205"/>
        <v>0</v>
      </c>
      <c r="AE635" s="2617">
        <f>+(AC635*AB635)*N635</f>
        <v>0</v>
      </c>
      <c r="AF635" s="2617"/>
      <c r="AG635" s="1141"/>
      <c r="AH635" s="42">
        <f t="shared" si="208"/>
        <v>0</v>
      </c>
      <c r="AI635" s="43" t="e">
        <f t="shared" si="211"/>
        <v>#DIV/0!</v>
      </c>
      <c r="AJ635" s="43"/>
      <c r="AK635" s="865"/>
    </row>
    <row r="636" spans="1:38" s="48" customFormat="1" ht="12.6" customHeight="1" x14ac:dyDescent="0.2">
      <c r="A636" s="48" t="s">
        <v>3683</v>
      </c>
      <c r="B636" s="1372"/>
      <c r="C636" s="1735"/>
      <c r="D636" s="1737" t="s">
        <v>3089</v>
      </c>
      <c r="E636" s="1737" t="s">
        <v>60</v>
      </c>
      <c r="F636" s="1738" t="s">
        <v>340</v>
      </c>
      <c r="G636" s="1738"/>
      <c r="H636" s="1738" t="s">
        <v>54</v>
      </c>
      <c r="I636" s="1738"/>
      <c r="J636" s="2255"/>
      <c r="K636" s="1757" t="s">
        <v>2674</v>
      </c>
      <c r="L636" s="1738"/>
      <c r="M636" s="1738"/>
      <c r="N636" s="2255">
        <f t="shared" si="207"/>
        <v>0</v>
      </c>
      <c r="O636" s="1791" t="s">
        <v>56</v>
      </c>
      <c r="P636" s="1777">
        <v>630</v>
      </c>
      <c r="Q636" s="1777"/>
      <c r="R636" s="1777"/>
      <c r="S636" s="1737"/>
      <c r="T636" s="1737"/>
      <c r="U636" s="1737"/>
      <c r="V636" s="1741"/>
      <c r="W636" s="1758">
        <f>+AE636*1.6*C636</f>
        <v>0</v>
      </c>
      <c r="X636" s="1895">
        <f>ROUNDUP(W636,0)</f>
        <v>0</v>
      </c>
      <c r="Y636" s="3756"/>
      <c r="Z636" s="67" t="s">
        <v>43</v>
      </c>
      <c r="AA636" s="3214" t="s">
        <v>2764</v>
      </c>
      <c r="AB636" s="2674">
        <v>0.4</v>
      </c>
      <c r="AC636" s="2659">
        <v>47.7</v>
      </c>
      <c r="AD636" s="2644">
        <f>+AB636*AC636</f>
        <v>19.080000000000002</v>
      </c>
      <c r="AE636" s="2644">
        <f>+AD636*N636</f>
        <v>0</v>
      </c>
      <c r="AF636" s="2673">
        <f>+AC636*6*0.4</f>
        <v>114.48000000000002</v>
      </c>
      <c r="AG636" s="1172"/>
      <c r="AH636" s="67">
        <f>+X636-AE636</f>
        <v>0</v>
      </c>
      <c r="AI636" s="43" t="e">
        <f t="shared" si="211"/>
        <v>#DIV/0!</v>
      </c>
      <c r="AJ636" s="844"/>
    </row>
    <row r="637" spans="1:38" s="48" customFormat="1" ht="12.6" customHeight="1" x14ac:dyDescent="0.2">
      <c r="A637" s="48" t="s">
        <v>3683</v>
      </c>
      <c r="B637" s="1372"/>
      <c r="C637" s="2042"/>
      <c r="D637" s="2037" t="s">
        <v>3089</v>
      </c>
      <c r="E637" s="2037" t="s">
        <v>60</v>
      </c>
      <c r="F637" s="2040" t="s">
        <v>340</v>
      </c>
      <c r="G637" s="1738"/>
      <c r="H637" s="2040" t="s">
        <v>54</v>
      </c>
      <c r="I637" s="1738"/>
      <c r="J637" s="3036"/>
      <c r="K637" s="2041" t="s">
        <v>2674</v>
      </c>
      <c r="L637" s="1738"/>
      <c r="M637" s="1738"/>
      <c r="N637" s="3036">
        <f t="shared" si="207"/>
        <v>0</v>
      </c>
      <c r="O637" s="3037" t="s">
        <v>56</v>
      </c>
      <c r="P637" s="1777">
        <v>630</v>
      </c>
      <c r="Q637" s="1777"/>
      <c r="R637" s="1777"/>
      <c r="S637" s="1737"/>
      <c r="T637" s="1737"/>
      <c r="U637" s="1737"/>
      <c r="V637" s="1741"/>
      <c r="W637" s="1758">
        <f>+AE637*1.6*C637</f>
        <v>0</v>
      </c>
      <c r="X637" s="3032">
        <f>ROUNDUP(W637,0)</f>
        <v>0</v>
      </c>
      <c r="Y637" s="3756"/>
      <c r="Z637" s="74" t="s">
        <v>43</v>
      </c>
      <c r="AA637" s="3189" t="s">
        <v>2764</v>
      </c>
      <c r="AB637" s="2616">
        <v>0.4</v>
      </c>
      <c r="AC637" s="2617">
        <v>45</v>
      </c>
      <c r="AD637" s="2644">
        <f>+AB637*AC637</f>
        <v>18</v>
      </c>
      <c r="AE637" s="2644">
        <f>+AD637*N637</f>
        <v>0</v>
      </c>
      <c r="AF637" s="2673">
        <f>+AC637*6*0.4</f>
        <v>108</v>
      </c>
      <c r="AG637" s="1141"/>
      <c r="AH637" s="42">
        <f>+X637-AE637</f>
        <v>0</v>
      </c>
      <c r="AI637" s="43" t="e">
        <f t="shared" si="211"/>
        <v>#DIV/0!</v>
      </c>
      <c r="AJ637" s="43"/>
      <c r="AK637" s="865"/>
      <c r="AL637" s="865"/>
    </row>
    <row r="638" spans="1:38" s="1348" customFormat="1" ht="12.6" customHeight="1" x14ac:dyDescent="0.2">
      <c r="A638" s="1348" t="s">
        <v>3682</v>
      </c>
      <c r="B638" s="1371"/>
      <c r="C638" s="3070"/>
      <c r="D638" s="1924" t="s">
        <v>3463</v>
      </c>
      <c r="E638" s="1924" t="s">
        <v>3465</v>
      </c>
      <c r="F638" s="2942"/>
      <c r="G638" s="2306"/>
      <c r="H638" s="2942" t="s">
        <v>3467</v>
      </c>
      <c r="I638" s="3027" t="s">
        <v>53</v>
      </c>
      <c r="J638" s="3068">
        <v>3</v>
      </c>
      <c r="K638" s="3067" t="s">
        <v>2674</v>
      </c>
      <c r="L638" s="2266"/>
      <c r="M638" s="3017"/>
      <c r="N638" s="1980">
        <f t="shared" si="207"/>
        <v>3</v>
      </c>
      <c r="O638" s="2237" t="s">
        <v>56</v>
      </c>
      <c r="P638" s="2969"/>
      <c r="Q638" s="1752"/>
      <c r="R638" s="1752"/>
      <c r="S638" s="1737"/>
      <c r="T638" s="1737"/>
      <c r="U638" s="1737"/>
      <c r="V638" s="1741"/>
      <c r="W638" s="2296">
        <f>+AD638*1.6*C638</f>
        <v>0</v>
      </c>
      <c r="X638" s="3078">
        <f>+ROUNDUP(W638,0)</f>
        <v>0</v>
      </c>
      <c r="Y638" s="3756"/>
      <c r="Z638" s="3010" t="s">
        <v>43</v>
      </c>
      <c r="AA638" s="3246" t="s">
        <v>3466</v>
      </c>
      <c r="AB638" s="2984">
        <v>0.4</v>
      </c>
      <c r="AC638" s="2991">
        <v>10.3</v>
      </c>
      <c r="AD638" s="3005">
        <f>+AC638*AB638*N638</f>
        <v>12.36</v>
      </c>
      <c r="AE638" s="2991">
        <f>+AD638</f>
        <v>12.36</v>
      </c>
      <c r="AF638" s="2991"/>
      <c r="AG638" s="2992"/>
      <c r="AH638" s="2993">
        <f t="shared" ref="AH638" si="212">+X638-AE638</f>
        <v>-12.36</v>
      </c>
      <c r="AI638" s="2994" t="e">
        <f t="shared" ref="AI638" si="213">+AH638/X638</f>
        <v>#DIV/0!</v>
      </c>
      <c r="AJ638" s="2994"/>
    </row>
    <row r="639" spans="1:38" s="48" customFormat="1" ht="12.6" customHeight="1" x14ac:dyDescent="0.2">
      <c r="A639" s="48" t="s">
        <v>3682</v>
      </c>
      <c r="B639" s="1370"/>
      <c r="C639" s="2265"/>
      <c r="D639" s="3056" t="s">
        <v>3464</v>
      </c>
      <c r="E639" s="3057" t="s">
        <v>3465</v>
      </c>
      <c r="F639" s="3058"/>
      <c r="G639" s="1746"/>
      <c r="H639" s="3058"/>
      <c r="I639" s="2268"/>
      <c r="K639" s="3059"/>
      <c r="L639" s="2254"/>
      <c r="M639" s="2254"/>
      <c r="N639" s="3054"/>
      <c r="O639" s="3060"/>
      <c r="P639" s="1752"/>
      <c r="Q639" s="1752"/>
      <c r="R639" s="1752"/>
      <c r="S639" s="1737"/>
      <c r="T639" s="1737"/>
      <c r="U639" s="1737"/>
      <c r="V639" s="1741"/>
      <c r="W639" s="1748"/>
      <c r="X639" s="2376"/>
      <c r="Y639" s="3756"/>
      <c r="Z639" s="74"/>
      <c r="AA639" s="3247"/>
      <c r="AB639" s="2616"/>
      <c r="AC639" s="2617"/>
      <c r="AD639" s="2644"/>
      <c r="AE639" s="2617"/>
      <c r="AF639" s="2617"/>
      <c r="AG639" s="1141"/>
      <c r="AH639" s="42"/>
      <c r="AI639" s="43"/>
      <c r="AJ639" s="43"/>
    </row>
    <row r="640" spans="1:38" s="48" customFormat="1" ht="12.6" customHeight="1" x14ac:dyDescent="0.2">
      <c r="A640" s="48" t="s">
        <v>3684</v>
      </c>
      <c r="B640" s="1370"/>
      <c r="C640" s="2265"/>
      <c r="D640" s="3038" t="s">
        <v>3090</v>
      </c>
      <c r="E640" s="3039" t="s">
        <v>3433</v>
      </c>
      <c r="F640" s="3040"/>
      <c r="G640" s="1746"/>
      <c r="H640" s="3040" t="s">
        <v>54</v>
      </c>
      <c r="I640" s="2268" t="s">
        <v>53</v>
      </c>
      <c r="J640" s="48">
        <v>3</v>
      </c>
      <c r="K640" s="3041" t="s">
        <v>2674</v>
      </c>
      <c r="L640" s="2254"/>
      <c r="M640" s="2254"/>
      <c r="N640" s="3036">
        <f t="shared" ref="N640:N650" si="214">+J640</f>
        <v>3</v>
      </c>
      <c r="O640" s="3042" t="s">
        <v>56</v>
      </c>
      <c r="P640" s="1752"/>
      <c r="Q640" s="1752"/>
      <c r="R640" s="1752"/>
      <c r="S640" s="1737"/>
      <c r="T640" s="1737"/>
      <c r="U640" s="1737"/>
      <c r="V640" s="1741"/>
      <c r="W640" s="1748">
        <f>+AD640*1.5*C640</f>
        <v>0</v>
      </c>
      <c r="X640" s="3043">
        <f>+ROUNDUP(W640,0)</f>
        <v>0</v>
      </c>
      <c r="Y640" s="3756"/>
      <c r="Z640" s="74" t="s">
        <v>43</v>
      </c>
      <c r="AA640" s="3247" t="s">
        <v>3436</v>
      </c>
      <c r="AB640" s="2616">
        <v>0.4</v>
      </c>
      <c r="AC640" s="2617">
        <v>18.3</v>
      </c>
      <c r="AD640" s="2644">
        <f>+AB640*AC640*J640</f>
        <v>21.96</v>
      </c>
      <c r="AE640" s="2617">
        <f>+AD640</f>
        <v>21.96</v>
      </c>
      <c r="AF640" s="2617"/>
      <c r="AG640" s="1141"/>
      <c r="AH640" s="42">
        <f t="shared" ref="AH640:AH657" si="215">+X640-AE640</f>
        <v>-21.96</v>
      </c>
      <c r="AI640" s="43" t="e">
        <f t="shared" si="211"/>
        <v>#DIV/0!</v>
      </c>
      <c r="AJ640" s="43"/>
    </row>
    <row r="641" spans="1:41" s="1348" customFormat="1" ht="12.6" customHeight="1" x14ac:dyDescent="0.2">
      <c r="A641" s="48" t="s">
        <v>3684</v>
      </c>
      <c r="B641" s="1371"/>
      <c r="C641" s="3070"/>
      <c r="D641" s="1924" t="s">
        <v>3451</v>
      </c>
      <c r="E641" s="1924" t="s">
        <v>3433</v>
      </c>
      <c r="F641" s="2942"/>
      <c r="G641" s="2306"/>
      <c r="H641" s="2942"/>
      <c r="I641" s="3027" t="s">
        <v>53</v>
      </c>
      <c r="J641" s="3068">
        <v>1</v>
      </c>
      <c r="K641" s="3067" t="s">
        <v>2674</v>
      </c>
      <c r="L641" s="2266"/>
      <c r="M641" s="3017"/>
      <c r="N641" s="1980">
        <f t="shared" si="214"/>
        <v>1</v>
      </c>
      <c r="O641" s="2237" t="s">
        <v>56</v>
      </c>
      <c r="P641" s="2969"/>
      <c r="Q641" s="1752"/>
      <c r="R641" s="1752"/>
      <c r="S641" s="1737"/>
      <c r="T641" s="1737"/>
      <c r="U641" s="1737"/>
      <c r="V641" s="1741"/>
      <c r="W641" s="2296">
        <f>+AD641*1.6*C641</f>
        <v>0</v>
      </c>
      <c r="X641" s="3078">
        <f>+ROUNDUP(W641,0)</f>
        <v>0</v>
      </c>
      <c r="Y641" s="3756"/>
      <c r="Z641" s="3010" t="s">
        <v>3449</v>
      </c>
      <c r="AA641" s="3248" t="s">
        <v>3450</v>
      </c>
      <c r="AB641" s="2984">
        <v>0.26</v>
      </c>
      <c r="AC641" s="2991">
        <v>55.55</v>
      </c>
      <c r="AD641" s="3005">
        <f>+AB641*AC641*J641</f>
        <v>14.443</v>
      </c>
      <c r="AE641" s="2991">
        <f>+AD641</f>
        <v>14.443</v>
      </c>
      <c r="AF641" s="2991"/>
      <c r="AG641" s="2992"/>
      <c r="AH641" s="2993">
        <f t="shared" ref="AH641" si="216">+X641-AE641</f>
        <v>-14.443</v>
      </c>
      <c r="AI641" s="2994" t="e">
        <f t="shared" ref="AI641" si="217">+AH641/X641</f>
        <v>#DIV/0!</v>
      </c>
      <c r="AJ641" s="3743" t="s">
        <v>3448</v>
      </c>
      <c r="AK641" s="3744"/>
      <c r="AL641" s="3744"/>
      <c r="AM641" s="3744"/>
      <c r="AN641" s="3744"/>
      <c r="AO641" s="3745"/>
    </row>
    <row r="642" spans="1:41" s="48" customFormat="1" ht="13.2" customHeight="1" x14ac:dyDescent="0.2">
      <c r="A642" s="48" t="s">
        <v>3684</v>
      </c>
      <c r="B642" s="1370"/>
      <c r="C642" s="2265"/>
      <c r="D642" s="3056" t="s">
        <v>3090</v>
      </c>
      <c r="E642" s="3088" t="s">
        <v>2516</v>
      </c>
      <c r="F642" s="3058"/>
      <c r="G642" s="1746"/>
      <c r="H642" s="3058"/>
      <c r="I642" s="2960" t="s">
        <v>53</v>
      </c>
      <c r="J642" s="3061">
        <v>4</v>
      </c>
      <c r="K642" s="3137" t="s">
        <v>2674</v>
      </c>
      <c r="L642" s="2254"/>
      <c r="M642" s="2254"/>
      <c r="N642" s="3054">
        <f t="shared" si="214"/>
        <v>4</v>
      </c>
      <c r="O642" s="3060" t="s">
        <v>56</v>
      </c>
      <c r="P642" s="1747"/>
      <c r="Q642" s="1747"/>
      <c r="R642" s="1747"/>
      <c r="S642" s="1737"/>
      <c r="T642" s="1737"/>
      <c r="U642" s="1737"/>
      <c r="V642" s="1741"/>
      <c r="W642" s="1733">
        <f>+AD642*1.6*C642</f>
        <v>0</v>
      </c>
      <c r="X642" s="3062">
        <f>+ROUNDUP(W642,0)</f>
        <v>0</v>
      </c>
      <c r="Y642" s="3756"/>
      <c r="Z642" s="61" t="s">
        <v>43</v>
      </c>
      <c r="AA642" s="3188" t="s">
        <v>52</v>
      </c>
      <c r="AB642" s="2623">
        <v>0.4</v>
      </c>
      <c r="AC642" s="2625">
        <v>13.15</v>
      </c>
      <c r="AD642" s="2644">
        <f>+AB642*AC642*J642</f>
        <v>21.040000000000003</v>
      </c>
      <c r="AE642" s="2617">
        <f>+AD642</f>
        <v>21.040000000000003</v>
      </c>
      <c r="AF642" s="2617"/>
      <c r="AG642" s="1141"/>
      <c r="AH642" s="42">
        <f t="shared" si="215"/>
        <v>-21.040000000000003</v>
      </c>
      <c r="AI642" s="43" t="e">
        <f t="shared" si="211"/>
        <v>#DIV/0!</v>
      </c>
      <c r="AJ642" s="43"/>
    </row>
    <row r="643" spans="1:41" s="48" customFormat="1" ht="12.6" customHeight="1" x14ac:dyDescent="0.2">
      <c r="A643" s="48" t="s">
        <v>3684</v>
      </c>
      <c r="B643" s="1370"/>
      <c r="C643" s="2059"/>
      <c r="D643" s="1745" t="s">
        <v>3090</v>
      </c>
      <c r="E643" s="1745" t="s">
        <v>3033</v>
      </c>
      <c r="F643" s="1746"/>
      <c r="G643" s="1746"/>
      <c r="H643" s="1738" t="s">
        <v>3034</v>
      </c>
      <c r="I643" s="2961"/>
      <c r="J643" s="2254"/>
      <c r="K643" s="2966" t="s">
        <v>2674</v>
      </c>
      <c r="L643" s="1738"/>
      <c r="M643" s="1738"/>
      <c r="N643" s="2255">
        <f t="shared" si="214"/>
        <v>0</v>
      </c>
      <c r="O643" s="1759" t="s">
        <v>56</v>
      </c>
      <c r="P643" s="1747"/>
      <c r="Q643" s="1747"/>
      <c r="R643" s="1747"/>
      <c r="S643" s="1737"/>
      <c r="T643" s="1737"/>
      <c r="U643" s="1737"/>
      <c r="V643" s="1741"/>
      <c r="W643" s="1733">
        <f>+AD643*1.6*C643</f>
        <v>0</v>
      </c>
      <c r="X643" s="1894">
        <f>+ROUNDUP(W643,0)</f>
        <v>0</v>
      </c>
      <c r="Y643" s="3756"/>
      <c r="Z643" s="61" t="s">
        <v>43</v>
      </c>
      <c r="AA643" s="3188" t="s">
        <v>3035</v>
      </c>
      <c r="AB643" s="2623">
        <v>0.4</v>
      </c>
      <c r="AC643" s="2625">
        <v>37.4</v>
      </c>
      <c r="AD643" s="2617">
        <f t="shared" ref="AD643:AD659" si="218">+AB643*AC643*N643</f>
        <v>0</v>
      </c>
      <c r="AE643" s="2617">
        <f t="shared" ref="AE643:AE656" si="219">+AD643*C643</f>
        <v>0</v>
      </c>
      <c r="AF643" s="2617"/>
      <c r="AG643" s="1141"/>
      <c r="AH643" s="42">
        <f>+X643-AE643</f>
        <v>0</v>
      </c>
      <c r="AI643" s="43" t="e">
        <f>+AH643/X643</f>
        <v>#DIV/0!</v>
      </c>
      <c r="AJ643" s="43"/>
    </row>
    <row r="644" spans="1:41" s="48" customFormat="1" ht="12.6" customHeight="1" x14ac:dyDescent="0.2">
      <c r="A644" s="48" t="s">
        <v>3684</v>
      </c>
      <c r="B644" s="1370"/>
      <c r="C644" s="1767"/>
      <c r="D644" s="1745" t="s">
        <v>3090</v>
      </c>
      <c r="E644" s="1745" t="s">
        <v>3033</v>
      </c>
      <c r="F644" s="1746"/>
      <c r="G644" s="1746"/>
      <c r="H644" s="1738" t="s">
        <v>3034</v>
      </c>
      <c r="I644" s="2961"/>
      <c r="J644" s="2254"/>
      <c r="K644" s="2966" t="s">
        <v>2674</v>
      </c>
      <c r="L644" s="1738"/>
      <c r="M644" s="1738"/>
      <c r="N644" s="2255">
        <f t="shared" si="214"/>
        <v>0</v>
      </c>
      <c r="O644" s="1759" t="s">
        <v>56</v>
      </c>
      <c r="P644" s="1747"/>
      <c r="Q644" s="1747"/>
      <c r="R644" s="1747"/>
      <c r="S644" s="1737"/>
      <c r="T644" s="1737"/>
      <c r="U644" s="1737"/>
      <c r="V644" s="1741"/>
      <c r="W644" s="1733">
        <f>+AD644*1.6*C644</f>
        <v>0</v>
      </c>
      <c r="X644" s="1894">
        <f>+ROUNDUP(W644,0)</f>
        <v>0</v>
      </c>
      <c r="Y644" s="3756"/>
      <c r="Z644" s="61" t="s">
        <v>43</v>
      </c>
      <c r="AA644" s="3188" t="s">
        <v>3035</v>
      </c>
      <c r="AB644" s="2623">
        <v>0.4</v>
      </c>
      <c r="AC644" s="2625">
        <v>37.4</v>
      </c>
      <c r="AD644" s="2617">
        <f t="shared" si="218"/>
        <v>0</v>
      </c>
      <c r="AE644" s="2617">
        <f t="shared" si="219"/>
        <v>0</v>
      </c>
      <c r="AF644" s="2617"/>
      <c r="AG644" s="1141"/>
      <c r="AH644" s="42">
        <f>+X644-AE644</f>
        <v>0</v>
      </c>
      <c r="AI644" s="43" t="e">
        <f>+AH644/X644</f>
        <v>#DIV/0!</v>
      </c>
      <c r="AJ644" s="43"/>
    </row>
    <row r="645" spans="1:41" s="48" customFormat="1" ht="12.6" customHeight="1" x14ac:dyDescent="0.2">
      <c r="A645" s="48" t="s">
        <v>3684</v>
      </c>
      <c r="B645" s="1370"/>
      <c r="C645" s="1735"/>
      <c r="D645" s="1745" t="s">
        <v>3090</v>
      </c>
      <c r="E645" s="1737" t="s">
        <v>49</v>
      </c>
      <c r="F645" s="1738"/>
      <c r="G645" s="1738"/>
      <c r="H645" s="1738" t="s">
        <v>53</v>
      </c>
      <c r="I645" s="3357" t="s">
        <v>940</v>
      </c>
      <c r="J645" s="2254">
        <v>8</v>
      </c>
      <c r="K645" s="2966" t="s">
        <v>2674</v>
      </c>
      <c r="L645" s="1738"/>
      <c r="M645" s="1738"/>
      <c r="N645" s="2255">
        <f t="shared" si="214"/>
        <v>8</v>
      </c>
      <c r="O645" s="1791" t="s">
        <v>56</v>
      </c>
      <c r="P645" s="1747"/>
      <c r="Q645" s="1747"/>
      <c r="R645" s="1747"/>
      <c r="S645" s="1737"/>
      <c r="T645" s="1737"/>
      <c r="U645" s="1737"/>
      <c r="V645" s="1741"/>
      <c r="W645" s="1758">
        <f>+AE645*1.6*C645</f>
        <v>0</v>
      </c>
      <c r="X645" s="1895">
        <f t="shared" ref="X645:X677" si="220">+ROUNDUP(W645,0)</f>
        <v>0</v>
      </c>
      <c r="Y645" s="3757"/>
      <c r="Z645" s="61" t="s">
        <v>43</v>
      </c>
      <c r="AA645" s="3188" t="s">
        <v>940</v>
      </c>
      <c r="AB645" s="2623">
        <v>0.4</v>
      </c>
      <c r="AC645" s="2625">
        <v>13.15</v>
      </c>
      <c r="AD645" s="2617">
        <f t="shared" si="218"/>
        <v>42.080000000000005</v>
      </c>
      <c r="AE645" s="2617">
        <f t="shared" si="219"/>
        <v>0</v>
      </c>
      <c r="AF645" s="2617"/>
      <c r="AG645" s="1141"/>
      <c r="AH645" s="42">
        <f t="shared" si="215"/>
        <v>0</v>
      </c>
      <c r="AI645" s="43" t="e">
        <f t="shared" si="211"/>
        <v>#DIV/0!</v>
      </c>
      <c r="AJ645" s="43"/>
    </row>
    <row r="646" spans="1:41" s="48" customFormat="1" ht="12.6" customHeight="1" thickBot="1" x14ac:dyDescent="0.25">
      <c r="A646" s="48" t="s">
        <v>3684</v>
      </c>
      <c r="B646" s="1370"/>
      <c r="C646" s="1766"/>
      <c r="D646" s="1745" t="s">
        <v>3090</v>
      </c>
      <c r="E646" s="1753" t="s">
        <v>49</v>
      </c>
      <c r="F646" s="1755"/>
      <c r="G646" s="1755"/>
      <c r="H646" s="1755" t="s">
        <v>53</v>
      </c>
      <c r="I646" s="3358" t="s">
        <v>940</v>
      </c>
      <c r="J646" s="2254">
        <v>3</v>
      </c>
      <c r="K646" s="2966" t="s">
        <v>2674</v>
      </c>
      <c r="L646" s="1738"/>
      <c r="M646" s="1738"/>
      <c r="N646" s="2255">
        <f t="shared" si="214"/>
        <v>3</v>
      </c>
      <c r="O646" s="1759" t="s">
        <v>56</v>
      </c>
      <c r="P646" s="1747"/>
      <c r="Q646" s="1747"/>
      <c r="R646" s="1747"/>
      <c r="S646" s="1737"/>
      <c r="T646" s="1737"/>
      <c r="U646" s="1737"/>
      <c r="V646" s="1741"/>
      <c r="W646" s="1758">
        <f>+AD646*2*C646</f>
        <v>0</v>
      </c>
      <c r="X646" s="1893">
        <f t="shared" si="220"/>
        <v>0</v>
      </c>
      <c r="Y646" s="3768"/>
      <c r="Z646" s="61" t="s">
        <v>43</v>
      </c>
      <c r="AA646" s="3188" t="s">
        <v>940</v>
      </c>
      <c r="AB646" s="2661">
        <v>0.4</v>
      </c>
      <c r="AC646" s="2673">
        <v>13.15</v>
      </c>
      <c r="AD646" s="2673">
        <f t="shared" si="218"/>
        <v>15.780000000000001</v>
      </c>
      <c r="AE646" s="2617">
        <f t="shared" si="219"/>
        <v>0</v>
      </c>
      <c r="AF646" s="2617"/>
      <c r="AG646" s="1141"/>
      <c r="AH646" s="42">
        <f t="shared" si="215"/>
        <v>0</v>
      </c>
      <c r="AI646" s="43" t="e">
        <f>+AH646/X646</f>
        <v>#DIV/0!</v>
      </c>
      <c r="AJ646" s="43"/>
    </row>
    <row r="647" spans="1:41" s="48" customFormat="1" ht="12.6" customHeight="1" thickBot="1" x14ac:dyDescent="0.25">
      <c r="A647" s="48" t="s">
        <v>3684</v>
      </c>
      <c r="B647" s="1370"/>
      <c r="C647" s="1955"/>
      <c r="D647" s="1834" t="s">
        <v>3090</v>
      </c>
      <c r="E647" s="1779" t="s">
        <v>49</v>
      </c>
      <c r="F647" s="1801"/>
      <c r="G647" s="1738"/>
      <c r="H647" s="1801" t="s">
        <v>53</v>
      </c>
      <c r="I647" s="2963" t="s">
        <v>940</v>
      </c>
      <c r="J647" s="2254">
        <v>3</v>
      </c>
      <c r="K647" s="2967" t="s">
        <v>2674</v>
      </c>
      <c r="L647" s="1801">
        <v>424</v>
      </c>
      <c r="M647" s="1801"/>
      <c r="N647" s="2255">
        <f t="shared" si="214"/>
        <v>3</v>
      </c>
      <c r="O647" s="1791" t="s">
        <v>56</v>
      </c>
      <c r="P647" s="1747"/>
      <c r="Q647" s="1747"/>
      <c r="R647" s="1747"/>
      <c r="S647" s="1737"/>
      <c r="T647" s="1737"/>
      <c r="U647" s="1737"/>
      <c r="V647" s="1741"/>
      <c r="W647" s="1758">
        <f>+AD647*1.6*C647</f>
        <v>0</v>
      </c>
      <c r="X647" s="1895">
        <f t="shared" si="220"/>
        <v>0</v>
      </c>
      <c r="Y647" s="3759"/>
      <c r="Z647" s="61" t="s">
        <v>43</v>
      </c>
      <c r="AA647" s="3188" t="s">
        <v>940</v>
      </c>
      <c r="AB647" s="2623">
        <v>0.4</v>
      </c>
      <c r="AC647" s="2625">
        <v>13.15</v>
      </c>
      <c r="AD647" s="2617">
        <f t="shared" si="218"/>
        <v>15.780000000000001</v>
      </c>
      <c r="AE647" s="2617">
        <f t="shared" si="219"/>
        <v>0</v>
      </c>
      <c r="AF647" s="2617"/>
      <c r="AG647" s="1141"/>
      <c r="AH647" s="42">
        <f>+W647-AE647</f>
        <v>0</v>
      </c>
      <c r="AI647" s="43" t="e">
        <f>+AH647/W647</f>
        <v>#DIV/0!</v>
      </c>
      <c r="AJ647" s="43"/>
    </row>
    <row r="648" spans="1:41" s="48" customFormat="1" ht="12.6" customHeight="1" thickBot="1" x14ac:dyDescent="0.25">
      <c r="A648" s="48" t="s">
        <v>3684</v>
      </c>
      <c r="B648" s="1370"/>
      <c r="C648" s="1955"/>
      <c r="D648" s="1834" t="s">
        <v>3090</v>
      </c>
      <c r="E648" s="1779" t="s">
        <v>49</v>
      </c>
      <c r="F648" s="1801"/>
      <c r="G648" s="1738"/>
      <c r="H648" s="1801" t="s">
        <v>3357</v>
      </c>
      <c r="I648" s="2963">
        <v>424</v>
      </c>
      <c r="J648" s="2254">
        <v>3</v>
      </c>
      <c r="K648" s="2967" t="s">
        <v>2674</v>
      </c>
      <c r="L648" s="1801">
        <v>425</v>
      </c>
      <c r="M648" s="1801"/>
      <c r="N648" s="2255">
        <f t="shared" si="214"/>
        <v>3</v>
      </c>
      <c r="O648" s="1791" t="s">
        <v>56</v>
      </c>
      <c r="P648" s="1747"/>
      <c r="Q648" s="1747"/>
      <c r="R648" s="1747"/>
      <c r="S648" s="1737"/>
      <c r="T648" s="1737"/>
      <c r="U648" s="1737"/>
      <c r="V648" s="1741"/>
      <c r="W648" s="1758"/>
      <c r="X648" s="1895"/>
      <c r="Y648" s="3756"/>
      <c r="Z648" s="61" t="s">
        <v>43</v>
      </c>
      <c r="AA648" s="3188" t="s">
        <v>3436</v>
      </c>
      <c r="AB648" s="2623">
        <v>0.4</v>
      </c>
      <c r="AC648" s="2625">
        <v>18.3</v>
      </c>
      <c r="AD648" s="2617">
        <f>+AB648*AC648*N648</f>
        <v>21.96</v>
      </c>
      <c r="AE648" s="2617">
        <f t="shared" si="219"/>
        <v>0</v>
      </c>
      <c r="AF648" s="2617"/>
      <c r="AG648" s="1141"/>
      <c r="AH648" s="42">
        <f>+W648-AE648</f>
        <v>0</v>
      </c>
      <c r="AI648" s="43" t="e">
        <f>+AH648/W648</f>
        <v>#DIV/0!</v>
      </c>
      <c r="AJ648" s="43"/>
    </row>
    <row r="649" spans="1:41" s="1067" customFormat="1" ht="12.6" customHeight="1" thickBot="1" x14ac:dyDescent="0.25">
      <c r="A649" s="48" t="s">
        <v>3684</v>
      </c>
      <c r="B649" s="2114"/>
      <c r="C649" s="2120">
        <v>1</v>
      </c>
      <c r="D649" s="2045" t="s">
        <v>3090</v>
      </c>
      <c r="E649" s="2910" t="s">
        <v>2744</v>
      </c>
      <c r="F649" s="2046"/>
      <c r="G649" s="2046"/>
      <c r="H649" s="2046" t="s">
        <v>53</v>
      </c>
      <c r="I649" s="2964">
        <v>897</v>
      </c>
      <c r="J649" s="3659">
        <v>3</v>
      </c>
      <c r="K649" s="2968" t="s">
        <v>2674</v>
      </c>
      <c r="L649" s="1846">
        <v>897</v>
      </c>
      <c r="M649" s="1846"/>
      <c r="N649" s="2255">
        <f t="shared" si="214"/>
        <v>3</v>
      </c>
      <c r="O649" s="1847" t="s">
        <v>56</v>
      </c>
      <c r="P649" s="1846"/>
      <c r="Q649" s="1846"/>
      <c r="R649" s="1846"/>
      <c r="S649" s="1847"/>
      <c r="T649" s="2843"/>
      <c r="U649" s="2843"/>
      <c r="V649" s="2844"/>
      <c r="W649" s="3665">
        <f t="shared" ref="W649:W659" si="221">+AE649*1.6*C649</f>
        <v>56.236800000000009</v>
      </c>
      <c r="X649" s="3666">
        <f t="shared" si="220"/>
        <v>57</v>
      </c>
      <c r="Y649" s="3769"/>
      <c r="Z649" s="1068" t="s">
        <v>43</v>
      </c>
      <c r="AA649" s="3249" t="s">
        <v>2769</v>
      </c>
      <c r="AB649" s="2746">
        <v>0.4</v>
      </c>
      <c r="AC649" s="2747">
        <v>29.29</v>
      </c>
      <c r="AD649" s="2512">
        <f t="shared" si="218"/>
        <v>35.148000000000003</v>
      </c>
      <c r="AE649" s="2512">
        <f t="shared" si="219"/>
        <v>35.148000000000003</v>
      </c>
      <c r="AF649" s="2512"/>
      <c r="AG649" s="1174"/>
      <c r="AH649" s="1069">
        <f t="shared" si="215"/>
        <v>21.851999999999997</v>
      </c>
      <c r="AI649" s="1070">
        <f t="shared" ref="AI649:AI657" si="222">+AE649/W649</f>
        <v>0.625</v>
      </c>
      <c r="AJ649" s="1070"/>
    </row>
    <row r="650" spans="1:41" s="1071" customFormat="1" ht="12.6" customHeight="1" thickBot="1" x14ac:dyDescent="0.25">
      <c r="A650" s="48" t="s">
        <v>3684</v>
      </c>
      <c r="B650" s="1357"/>
      <c r="C650" s="2181">
        <v>1</v>
      </c>
      <c r="D650" s="3112" t="s">
        <v>3090</v>
      </c>
      <c r="E650" s="1699" t="s">
        <v>2744</v>
      </c>
      <c r="F650" s="1911"/>
      <c r="G650" s="3488"/>
      <c r="H650" s="1911" t="s">
        <v>53</v>
      </c>
      <c r="I650" s="3643">
        <v>897</v>
      </c>
      <c r="J650" s="2835">
        <v>6</v>
      </c>
      <c r="K650" s="2084" t="s">
        <v>2674</v>
      </c>
      <c r="L650" s="2028">
        <v>897</v>
      </c>
      <c r="M650" s="1846"/>
      <c r="N650" s="2255">
        <f t="shared" si="214"/>
        <v>6</v>
      </c>
      <c r="O650" s="1917" t="s">
        <v>56</v>
      </c>
      <c r="P650" s="1980"/>
      <c r="Q650" s="1980"/>
      <c r="R650" s="1980"/>
      <c r="S650" s="1917"/>
      <c r="T650" s="1917"/>
      <c r="U650" s="1917"/>
      <c r="V650" s="3633"/>
      <c r="W650" s="2082">
        <f>+AD650*1.6*C650</f>
        <v>112.47360000000002</v>
      </c>
      <c r="X650" s="2092">
        <f t="shared" si="220"/>
        <v>113</v>
      </c>
      <c r="Y650" s="3758"/>
      <c r="Z650" s="1326" t="s">
        <v>43</v>
      </c>
      <c r="AA650" s="3250" t="s">
        <v>2769</v>
      </c>
      <c r="AB650" s="2748">
        <v>0.4</v>
      </c>
      <c r="AC650" s="2527">
        <v>29.29</v>
      </c>
      <c r="AD650" s="2513">
        <f t="shared" si="218"/>
        <v>70.296000000000006</v>
      </c>
      <c r="AE650" s="2513">
        <f t="shared" si="219"/>
        <v>70.296000000000006</v>
      </c>
      <c r="AF650" s="2513"/>
      <c r="AG650" s="1327"/>
      <c r="AH650" s="232">
        <f t="shared" si="215"/>
        <v>42.703999999999994</v>
      </c>
      <c r="AI650" s="233">
        <f t="shared" si="222"/>
        <v>0.625</v>
      </c>
      <c r="AJ650" s="233"/>
    </row>
    <row r="651" spans="1:41" s="1067" customFormat="1" ht="12.6" x14ac:dyDescent="0.2">
      <c r="A651" s="48" t="s">
        <v>3684</v>
      </c>
      <c r="B651" s="1725"/>
      <c r="C651" s="2119"/>
      <c r="D651" s="3088" t="s">
        <v>3090</v>
      </c>
      <c r="E651" s="2055" t="s">
        <v>3127</v>
      </c>
      <c r="F651" s="2055"/>
      <c r="G651" s="2049" t="s">
        <v>3106</v>
      </c>
      <c r="H651" s="2055"/>
      <c r="I651" s="3318" t="s">
        <v>3128</v>
      </c>
      <c r="J651" s="2814"/>
      <c r="K651" s="3319"/>
      <c r="L651" s="1833"/>
      <c r="M651" s="1833"/>
      <c r="N651" s="2255">
        <v>6</v>
      </c>
      <c r="O651" s="1759" t="s">
        <v>56</v>
      </c>
      <c r="P651" s="1752"/>
      <c r="Q651" s="1752"/>
      <c r="R651" s="1752"/>
      <c r="S651" s="1815"/>
      <c r="T651" s="1815"/>
      <c r="U651" s="1815"/>
      <c r="V651" s="1844"/>
      <c r="W651" s="1972">
        <f t="shared" si="221"/>
        <v>0</v>
      </c>
      <c r="X651" s="2905">
        <f t="shared" si="220"/>
        <v>0</v>
      </c>
      <c r="Y651" s="3754"/>
      <c r="Z651" s="1068" t="s">
        <v>43</v>
      </c>
      <c r="AA651" s="3249" t="s">
        <v>2742</v>
      </c>
      <c r="AB651" s="2746">
        <v>0.4</v>
      </c>
      <c r="AC651" s="2747">
        <v>18.600000000000001</v>
      </c>
      <c r="AD651" s="2512">
        <f t="shared" si="218"/>
        <v>44.640000000000008</v>
      </c>
      <c r="AE651" s="2512">
        <f t="shared" si="219"/>
        <v>0</v>
      </c>
      <c r="AF651" s="2512"/>
      <c r="AG651" s="1174"/>
      <c r="AH651" s="1069">
        <f t="shared" si="215"/>
        <v>0</v>
      </c>
      <c r="AI651" s="1070" t="e">
        <f t="shared" si="222"/>
        <v>#DIV/0!</v>
      </c>
      <c r="AJ651" s="1070"/>
    </row>
    <row r="652" spans="1:41" s="1067" customFormat="1" ht="13.2" thickBot="1" x14ac:dyDescent="0.25">
      <c r="A652" s="48" t="s">
        <v>3684</v>
      </c>
      <c r="B652" s="1725"/>
      <c r="C652" s="1954"/>
      <c r="D652" s="1834" t="s">
        <v>3090</v>
      </c>
      <c r="E652" s="1846" t="s">
        <v>3127</v>
      </c>
      <c r="F652" s="1846"/>
      <c r="G652" s="1757" t="s">
        <v>3094</v>
      </c>
      <c r="H652" s="1846"/>
      <c r="I652" s="3320" t="s">
        <v>3128</v>
      </c>
      <c r="J652" s="1801"/>
      <c r="K652" s="2028"/>
      <c r="L652" s="1833"/>
      <c r="M652" s="1833"/>
      <c r="N652" s="2255">
        <v>3</v>
      </c>
      <c r="O652" s="1759" t="s">
        <v>56</v>
      </c>
      <c r="P652" s="1752"/>
      <c r="Q652" s="1752"/>
      <c r="R652" s="1752"/>
      <c r="S652" s="1815"/>
      <c r="T652" s="1815"/>
      <c r="U652" s="1815"/>
      <c r="V652" s="1844"/>
      <c r="W652" s="1733">
        <f t="shared" si="221"/>
        <v>0</v>
      </c>
      <c r="X652" s="2017">
        <f t="shared" si="220"/>
        <v>0</v>
      </c>
      <c r="Y652" s="3759"/>
      <c r="Z652" s="1068" t="s">
        <v>43</v>
      </c>
      <c r="AA652" s="3249" t="s">
        <v>2742</v>
      </c>
      <c r="AB652" s="2746">
        <v>0.4</v>
      </c>
      <c r="AC652" s="2747">
        <v>18.600000000000001</v>
      </c>
      <c r="AD652" s="2512">
        <f t="shared" si="218"/>
        <v>22.320000000000004</v>
      </c>
      <c r="AE652" s="2512">
        <f t="shared" si="219"/>
        <v>0</v>
      </c>
      <c r="AF652" s="2512"/>
      <c r="AG652" s="1174"/>
      <c r="AH652" s="1069">
        <f t="shared" si="215"/>
        <v>0</v>
      </c>
      <c r="AI652" s="1070" t="e">
        <f t="shared" si="222"/>
        <v>#DIV/0!</v>
      </c>
      <c r="AJ652" s="1070"/>
    </row>
    <row r="653" spans="1:41" s="1067" customFormat="1" ht="12.6" customHeight="1" x14ac:dyDescent="0.2">
      <c r="A653" s="48" t="s">
        <v>3684</v>
      </c>
      <c r="B653" s="1725"/>
      <c r="C653" s="1744"/>
      <c r="D653" s="1745" t="s">
        <v>3090</v>
      </c>
      <c r="E653" s="1759" t="s">
        <v>2743</v>
      </c>
      <c r="F653" s="1752"/>
      <c r="G653" s="1752"/>
      <c r="H653" s="1752" t="s">
        <v>2740</v>
      </c>
      <c r="I653" s="2965"/>
      <c r="J653" s="2254"/>
      <c r="K653" s="2966" t="s">
        <v>2674</v>
      </c>
      <c r="L653" s="1752">
        <v>8135</v>
      </c>
      <c r="M653" s="1752"/>
      <c r="N653" s="2255">
        <f>+J653</f>
        <v>0</v>
      </c>
      <c r="O653" s="1759" t="s">
        <v>56</v>
      </c>
      <c r="P653" s="1752"/>
      <c r="Q653" s="1752"/>
      <c r="R653" s="1752"/>
      <c r="S653" s="1815"/>
      <c r="T653" s="1815"/>
      <c r="U653" s="1815"/>
      <c r="V653" s="1844"/>
      <c r="W653" s="1733">
        <f t="shared" si="221"/>
        <v>0</v>
      </c>
      <c r="X653" s="1893">
        <f t="shared" ref="X653:X659" si="223">+ROUNDUP(W653,0)</f>
        <v>0</v>
      </c>
      <c r="Y653" s="3756"/>
      <c r="Z653" s="1068" t="s">
        <v>43</v>
      </c>
      <c r="AA653" s="3249" t="s">
        <v>2742</v>
      </c>
      <c r="AB653" s="2746">
        <v>0.4</v>
      </c>
      <c r="AC653" s="2747">
        <v>18.600000000000001</v>
      </c>
      <c r="AD653" s="2512">
        <f t="shared" si="218"/>
        <v>0</v>
      </c>
      <c r="AE653" s="2512">
        <f t="shared" si="219"/>
        <v>0</v>
      </c>
      <c r="AF653" s="2512"/>
      <c r="AG653" s="1174"/>
      <c r="AH653" s="1069">
        <f>+X653-AE653</f>
        <v>0</v>
      </c>
      <c r="AI653" s="1070" t="e">
        <f>+AE653/W653</f>
        <v>#DIV/0!</v>
      </c>
      <c r="AJ653" s="1070"/>
    </row>
    <row r="654" spans="1:41" s="1067" customFormat="1" ht="12.6" customHeight="1" x14ac:dyDescent="0.2">
      <c r="A654" s="48" t="s">
        <v>3684</v>
      </c>
      <c r="B654" s="1725"/>
      <c r="C654" s="1954"/>
      <c r="D654" s="1834" t="s">
        <v>3090</v>
      </c>
      <c r="E654" s="2846" t="s">
        <v>3356</v>
      </c>
      <c r="F654" s="1846"/>
      <c r="G654" s="1752"/>
      <c r="H654" s="1847" t="s">
        <v>3357</v>
      </c>
      <c r="I654" s="3127"/>
      <c r="J654" s="1779"/>
      <c r="K654" s="2030" t="s">
        <v>2674</v>
      </c>
      <c r="L654" s="1846">
        <v>890</v>
      </c>
      <c r="M654" s="1846"/>
      <c r="N654" s="1846">
        <v>6</v>
      </c>
      <c r="O654" s="1847" t="s">
        <v>56</v>
      </c>
      <c r="P654" s="1752"/>
      <c r="Q654" s="1752"/>
      <c r="R654" s="1752"/>
      <c r="S654" s="1815"/>
      <c r="T654" s="1815"/>
      <c r="U654" s="1815"/>
      <c r="V654" s="1844"/>
      <c r="W654" s="1733">
        <f t="shared" si="221"/>
        <v>0</v>
      </c>
      <c r="X654" s="2017">
        <f t="shared" ref="X654" si="224">+ROUNDUP(W654,0)</f>
        <v>0</v>
      </c>
      <c r="Y654" s="3756"/>
      <c r="Z654" s="1068" t="s">
        <v>43</v>
      </c>
      <c r="AA654" s="3251" t="s">
        <v>3504</v>
      </c>
      <c r="AB654" s="2746">
        <v>0.4</v>
      </c>
      <c r="AC654" s="2747">
        <v>26.4</v>
      </c>
      <c r="AD654" s="2512">
        <f t="shared" ref="AD654" si="225">+AB654*AC654*N654</f>
        <v>63.36</v>
      </c>
      <c r="AE654" s="2512">
        <f t="shared" si="219"/>
        <v>0</v>
      </c>
      <c r="AF654" s="2512"/>
      <c r="AG654" s="1174"/>
      <c r="AH654" s="1069">
        <f>+X654-AE654</f>
        <v>0</v>
      </c>
      <c r="AI654" s="1070" t="e">
        <f>+AE654/W654</f>
        <v>#DIV/0!</v>
      </c>
      <c r="AJ654" s="1070"/>
    </row>
    <row r="655" spans="1:41" s="1067" customFormat="1" ht="12.6" customHeight="1" x14ac:dyDescent="0.2">
      <c r="A655" s="48" t="s">
        <v>3684</v>
      </c>
      <c r="B655" s="1376"/>
      <c r="C655" s="1767"/>
      <c r="D655" s="1759" t="s">
        <v>3091</v>
      </c>
      <c r="E655" s="1759" t="s">
        <v>2855</v>
      </c>
      <c r="F655" s="1752"/>
      <c r="G655" s="1752">
        <v>248</v>
      </c>
      <c r="H655" s="1752" t="s">
        <v>2856</v>
      </c>
      <c r="I655" s="1752"/>
      <c r="J655" s="2254"/>
      <c r="K655" s="1739" t="s">
        <v>2674</v>
      </c>
      <c r="L655" s="1752"/>
      <c r="M655" s="1752"/>
      <c r="N655" s="2255">
        <f>+J655</f>
        <v>0</v>
      </c>
      <c r="O655" s="1847" t="s">
        <v>56</v>
      </c>
      <c r="P655" s="1848"/>
      <c r="Q655" s="1848"/>
      <c r="R655" s="1848"/>
      <c r="S655" s="1815"/>
      <c r="T655" s="1815"/>
      <c r="U655" s="1815"/>
      <c r="V655" s="1844"/>
      <c r="W655" s="1733">
        <f t="shared" si="221"/>
        <v>0</v>
      </c>
      <c r="X655" s="1893">
        <f t="shared" si="223"/>
        <v>0</v>
      </c>
      <c r="Y655" s="3756"/>
      <c r="Z655" s="1200" t="s">
        <v>2854</v>
      </c>
      <c r="AA655" s="3252" t="s">
        <v>2871</v>
      </c>
      <c r="AB655" s="2749">
        <v>0.45</v>
      </c>
      <c r="AC655" s="2750">
        <v>16.61</v>
      </c>
      <c r="AD655" s="2750">
        <f t="shared" si="218"/>
        <v>0</v>
      </c>
      <c r="AE655" s="2750">
        <f t="shared" si="219"/>
        <v>0</v>
      </c>
      <c r="AF655" s="2750"/>
      <c r="AG655" s="1202"/>
      <c r="AH655" s="1201">
        <f t="shared" si="215"/>
        <v>0</v>
      </c>
      <c r="AI655" s="1203" t="e">
        <f t="shared" si="222"/>
        <v>#DIV/0!</v>
      </c>
      <c r="AJ655" s="1203"/>
    </row>
    <row r="656" spans="1:41" s="1067" customFormat="1" ht="12.6" customHeight="1" x14ac:dyDescent="0.2">
      <c r="A656" s="48" t="s">
        <v>3684</v>
      </c>
      <c r="B656" s="1376"/>
      <c r="C656" s="1767"/>
      <c r="D656" s="1759" t="s">
        <v>3091</v>
      </c>
      <c r="E656" s="1759" t="s">
        <v>2855</v>
      </c>
      <c r="F656" s="1752"/>
      <c r="G656" s="1752">
        <v>248</v>
      </c>
      <c r="H656" s="1752" t="s">
        <v>2856</v>
      </c>
      <c r="I656" s="1752"/>
      <c r="J656" s="2254"/>
      <c r="K656" s="1739" t="s">
        <v>2674</v>
      </c>
      <c r="L656" s="1752"/>
      <c r="M656" s="1752"/>
      <c r="N656" s="2255">
        <f>+J656</f>
        <v>0</v>
      </c>
      <c r="O656" s="1847" t="s">
        <v>56</v>
      </c>
      <c r="P656" s="1848"/>
      <c r="Q656" s="1848"/>
      <c r="R656" s="1848"/>
      <c r="S656" s="1815"/>
      <c r="T656" s="1815"/>
      <c r="U656" s="1815"/>
      <c r="V656" s="1844"/>
      <c r="W656" s="1733">
        <f t="shared" si="221"/>
        <v>0</v>
      </c>
      <c r="X656" s="1893">
        <f t="shared" si="223"/>
        <v>0</v>
      </c>
      <c r="Y656" s="3756"/>
      <c r="Z656" s="1200" t="s">
        <v>2854</v>
      </c>
      <c r="AA656" s="3252" t="s">
        <v>2871</v>
      </c>
      <c r="AB656" s="2749">
        <v>0.45</v>
      </c>
      <c r="AC656" s="2750">
        <v>16.61</v>
      </c>
      <c r="AD656" s="2750">
        <f t="shared" si="218"/>
        <v>0</v>
      </c>
      <c r="AE656" s="2750">
        <f t="shared" si="219"/>
        <v>0</v>
      </c>
      <c r="AF656" s="2750"/>
      <c r="AG656" s="1202"/>
      <c r="AH656" s="1201">
        <f t="shared" si="215"/>
        <v>0</v>
      </c>
      <c r="AI656" s="1203" t="e">
        <f t="shared" si="222"/>
        <v>#DIV/0!</v>
      </c>
      <c r="AJ656" s="1203"/>
    </row>
    <row r="657" spans="1:37" s="1067" customFormat="1" ht="12.6" customHeight="1" x14ac:dyDescent="0.2">
      <c r="A657" s="48" t="s">
        <v>3684</v>
      </c>
      <c r="B657" s="1376"/>
      <c r="C657" s="1767"/>
      <c r="D657" s="1759" t="s">
        <v>3091</v>
      </c>
      <c r="E657" s="1759" t="s">
        <v>2857</v>
      </c>
      <c r="F657" s="1752"/>
      <c r="G657" s="1752">
        <v>484</v>
      </c>
      <c r="H657" s="1752" t="s">
        <v>2856</v>
      </c>
      <c r="I657" s="1752"/>
      <c r="J657" s="2254"/>
      <c r="K657" s="1739" t="s">
        <v>2674</v>
      </c>
      <c r="L657" s="1752"/>
      <c r="M657" s="1752"/>
      <c r="N657" s="2255">
        <v>6</v>
      </c>
      <c r="O657" s="1759" t="s">
        <v>56</v>
      </c>
      <c r="P657" s="1848"/>
      <c r="Q657" s="1848"/>
      <c r="R657" s="1848"/>
      <c r="S657" s="1815"/>
      <c r="T657" s="1815"/>
      <c r="U657" s="1815"/>
      <c r="V657" s="1844"/>
      <c r="W657" s="1733"/>
      <c r="X657" s="1893">
        <f t="shared" si="223"/>
        <v>0</v>
      </c>
      <c r="Y657" s="3756"/>
      <c r="Z657" s="1200" t="s">
        <v>2854</v>
      </c>
      <c r="AA657" s="3252" t="s">
        <v>2872</v>
      </c>
      <c r="AB657" s="2749">
        <v>0.45</v>
      </c>
      <c r="AC657" s="2750">
        <v>18.579999999999998</v>
      </c>
      <c r="AD657" s="2750">
        <f t="shared" si="218"/>
        <v>50.165999999999997</v>
      </c>
      <c r="AE657" s="2750">
        <f>+AD657</f>
        <v>50.165999999999997</v>
      </c>
      <c r="AF657" s="2750"/>
      <c r="AG657" s="1202"/>
      <c r="AH657" s="1201">
        <f t="shared" si="215"/>
        <v>-50.165999999999997</v>
      </c>
      <c r="AI657" s="1203" t="e">
        <f t="shared" si="222"/>
        <v>#DIV/0!</v>
      </c>
      <c r="AJ657" s="1203"/>
    </row>
    <row r="658" spans="1:37" s="1067" customFormat="1" ht="12.6" customHeight="1" x14ac:dyDescent="0.2">
      <c r="A658" s="48" t="s">
        <v>3684</v>
      </c>
      <c r="B658" s="1376"/>
      <c r="C658" s="1767"/>
      <c r="D658" s="1759" t="s">
        <v>3091</v>
      </c>
      <c r="E658" s="1759" t="s">
        <v>2857</v>
      </c>
      <c r="F658" s="1752"/>
      <c r="G658" s="1752">
        <v>484</v>
      </c>
      <c r="H658" s="1759" t="s">
        <v>2856</v>
      </c>
      <c r="I658" s="1752"/>
      <c r="J658" s="2254"/>
      <c r="K658" s="1739" t="s">
        <v>2674</v>
      </c>
      <c r="L658" s="1752"/>
      <c r="M658" s="1752"/>
      <c r="N658" s="2255">
        <f>+J658</f>
        <v>0</v>
      </c>
      <c r="O658" s="1752" t="s">
        <v>56</v>
      </c>
      <c r="P658" s="1848"/>
      <c r="Q658" s="1848"/>
      <c r="R658" s="1848"/>
      <c r="S658" s="1760"/>
      <c r="T658" s="1760"/>
      <c r="U658" s="1815"/>
      <c r="V658" s="1844"/>
      <c r="W658" s="1733">
        <f t="shared" si="221"/>
        <v>0</v>
      </c>
      <c r="X658" s="1893">
        <f t="shared" si="223"/>
        <v>0</v>
      </c>
      <c r="Y658" s="3756"/>
      <c r="Z658" s="2384" t="s">
        <v>2854</v>
      </c>
      <c r="AA658" s="3253" t="s">
        <v>2873</v>
      </c>
      <c r="AB658" s="2752">
        <v>0.45</v>
      </c>
      <c r="AC658" s="2751">
        <v>18.579999999999998</v>
      </c>
      <c r="AD658" s="2751">
        <f t="shared" si="218"/>
        <v>0</v>
      </c>
      <c r="AE658" s="2751">
        <f>+AD658</f>
        <v>0</v>
      </c>
      <c r="AF658" s="2753">
        <f>+AE658*C658</f>
        <v>0</v>
      </c>
      <c r="AG658" s="1165">
        <f>+W658-AF658</f>
        <v>0</v>
      </c>
      <c r="AH658" s="864" t="e">
        <f>+AG658/W658</f>
        <v>#DIV/0!</v>
      </c>
      <c r="AI658" s="1203"/>
      <c r="AJ658" s="1203"/>
    </row>
    <row r="659" spans="1:37" s="1223" customFormat="1" ht="13.2" customHeight="1" thickBot="1" x14ac:dyDescent="0.25">
      <c r="A659" s="48" t="s">
        <v>3684</v>
      </c>
      <c r="B659" s="1377"/>
      <c r="C659" s="1767"/>
      <c r="D659" s="1759" t="s">
        <v>3092</v>
      </c>
      <c r="E659" s="1759" t="s">
        <v>2857</v>
      </c>
      <c r="F659" s="1752"/>
      <c r="G659" s="1752">
        <v>484</v>
      </c>
      <c r="H659" s="1759" t="s">
        <v>2856</v>
      </c>
      <c r="I659" s="1752"/>
      <c r="J659" s="2254"/>
      <c r="K659" s="1739" t="s">
        <v>2674</v>
      </c>
      <c r="L659" s="1752"/>
      <c r="M659" s="1752"/>
      <c r="N659" s="2255">
        <f>+J659</f>
        <v>0</v>
      </c>
      <c r="O659" s="1752" t="s">
        <v>56</v>
      </c>
      <c r="P659" s="1848"/>
      <c r="Q659" s="1848"/>
      <c r="R659" s="1848"/>
      <c r="S659" s="1760"/>
      <c r="T659" s="1760"/>
      <c r="U659" s="1815"/>
      <c r="V659" s="1844"/>
      <c r="W659" s="1733">
        <f t="shared" si="221"/>
        <v>0</v>
      </c>
      <c r="X659" s="1893">
        <f t="shared" si="223"/>
        <v>0</v>
      </c>
      <c r="Y659" s="3756"/>
      <c r="Z659" s="1224" t="s">
        <v>2854</v>
      </c>
      <c r="AA659" s="3254" t="s">
        <v>2873</v>
      </c>
      <c r="AB659" s="2754">
        <v>0.45</v>
      </c>
      <c r="AC659" s="2755">
        <v>18.579999999999998</v>
      </c>
      <c r="AD659" s="2755">
        <f t="shared" si="218"/>
        <v>0</v>
      </c>
      <c r="AE659" s="2755">
        <f>+AD659</f>
        <v>0</v>
      </c>
      <c r="AF659" s="2755"/>
      <c r="AG659" s="1226"/>
      <c r="AH659" s="1225">
        <f>+X659-AE659</f>
        <v>0</v>
      </c>
      <c r="AI659" s="1227" t="e">
        <f>+AE659/W659</f>
        <v>#DIV/0!</v>
      </c>
      <c r="AJ659" s="1227"/>
    </row>
    <row r="660" spans="1:37" s="48" customFormat="1" ht="12.6" customHeight="1" thickBot="1" x14ac:dyDescent="0.25">
      <c r="A660" s="48" t="s">
        <v>3684</v>
      </c>
      <c r="B660" s="1370"/>
      <c r="C660" s="1954"/>
      <c r="D660" s="1847" t="s">
        <v>3092</v>
      </c>
      <c r="E660" s="1953" t="s">
        <v>3438</v>
      </c>
      <c r="F660" s="1846" t="s">
        <v>3362</v>
      </c>
      <c r="G660" s="1849">
        <v>185</v>
      </c>
      <c r="H660" s="1846" t="s">
        <v>2712</v>
      </c>
      <c r="I660" s="1849"/>
      <c r="J660" s="1801"/>
      <c r="K660" s="1914" t="s">
        <v>2674</v>
      </c>
      <c r="L660" s="1752"/>
      <c r="M660" s="1752"/>
      <c r="N660" s="2255">
        <v>4</v>
      </c>
      <c r="O660" s="1759" t="s">
        <v>56</v>
      </c>
      <c r="P660" s="1764" t="s">
        <v>1222</v>
      </c>
      <c r="Q660" s="1764"/>
      <c r="R660" s="1764"/>
      <c r="S660" s="1737"/>
      <c r="T660" s="1737"/>
      <c r="U660" s="1737"/>
      <c r="V660" s="1741"/>
      <c r="W660" s="1733">
        <f>+AD660*1.5*C660</f>
        <v>0</v>
      </c>
      <c r="X660" s="1893">
        <f t="shared" si="220"/>
        <v>0</v>
      </c>
      <c r="Y660" s="3756"/>
      <c r="Z660" s="868" t="s">
        <v>2704</v>
      </c>
      <c r="AA660" s="3255" t="s">
        <v>2706</v>
      </c>
      <c r="AB660" s="2756">
        <v>1</v>
      </c>
      <c r="AC660" s="2757">
        <v>10.75</v>
      </c>
      <c r="AD660" s="2654">
        <f>+AC660*N660</f>
        <v>43</v>
      </c>
      <c r="AE660" s="2654">
        <f>+AD660*C660</f>
        <v>0</v>
      </c>
      <c r="AF660" s="2654"/>
      <c r="AG660" s="1175"/>
      <c r="AH660" s="220">
        <f>+X660-AE660</f>
        <v>0</v>
      </c>
      <c r="AI660" s="920" t="e">
        <f t="shared" ref="AI660:AI665" si="226">+AH660/W660</f>
        <v>#DIV/0!</v>
      </c>
      <c r="AJ660" s="1104" t="s">
        <v>2719</v>
      </c>
      <c r="AK660" s="48" t="s">
        <v>3362</v>
      </c>
    </row>
    <row r="661" spans="1:37" s="48" customFormat="1" ht="12.6" customHeight="1" thickBot="1" x14ac:dyDescent="0.25">
      <c r="A661" s="48" t="s">
        <v>3684</v>
      </c>
      <c r="B661" s="1370"/>
      <c r="C661" s="1954"/>
      <c r="D661" s="1847" t="s">
        <v>3092</v>
      </c>
      <c r="E661" s="1834" t="s">
        <v>3438</v>
      </c>
      <c r="F661" s="1846" t="s">
        <v>3362</v>
      </c>
      <c r="G661" s="1849">
        <v>185</v>
      </c>
      <c r="H661" s="1846" t="s">
        <v>2712</v>
      </c>
      <c r="I661" s="1752" t="s">
        <v>2712</v>
      </c>
      <c r="J661" s="1801"/>
      <c r="K661" s="1914" t="s">
        <v>2674</v>
      </c>
      <c r="L661" s="1846"/>
      <c r="M661" s="1846"/>
      <c r="N661" s="1846">
        <v>6</v>
      </c>
      <c r="O661" s="1759" t="s">
        <v>56</v>
      </c>
      <c r="P661" s="1764" t="s">
        <v>1222</v>
      </c>
      <c r="Q661" s="1764"/>
      <c r="R661" s="1764"/>
      <c r="S661" s="1737"/>
      <c r="T661" s="1737"/>
      <c r="U661" s="1737"/>
      <c r="V661" s="1741"/>
      <c r="W661" s="1733">
        <f>+AD661*1.4*C661</f>
        <v>0</v>
      </c>
      <c r="X661" s="1893">
        <f t="shared" si="220"/>
        <v>0</v>
      </c>
      <c r="Y661" s="3758"/>
      <c r="Z661" s="919" t="s">
        <v>2704</v>
      </c>
      <c r="AA661" s="3256" t="s">
        <v>2706</v>
      </c>
      <c r="AB661" s="2758">
        <v>1</v>
      </c>
      <c r="AC661" s="2757">
        <v>10.75</v>
      </c>
      <c r="AD661" s="2654">
        <f>+AB661*AC661*N661</f>
        <v>64.5</v>
      </c>
      <c r="AE661" s="2654">
        <f t="shared" ref="AE661:AE667" si="227">+AD661</f>
        <v>64.5</v>
      </c>
      <c r="AF661" s="2654"/>
      <c r="AG661" s="1175">
        <f>+AE661*C661</f>
        <v>0</v>
      </c>
      <c r="AH661" s="220">
        <f t="shared" ref="AH661:AH665" si="228">+W661-AG661</f>
        <v>0</v>
      </c>
      <c r="AI661" s="920" t="e">
        <f t="shared" si="226"/>
        <v>#DIV/0!</v>
      </c>
      <c r="AJ661" s="921" t="s">
        <v>2713</v>
      </c>
      <c r="AK661" s="48" t="s">
        <v>3362</v>
      </c>
    </row>
    <row r="662" spans="1:37" s="48" customFormat="1" ht="12.6" customHeight="1" x14ac:dyDescent="0.2">
      <c r="A662" s="48" t="s">
        <v>3684</v>
      </c>
      <c r="B662" s="1370"/>
      <c r="C662" s="1789"/>
      <c r="D662" s="1759" t="s">
        <v>3092</v>
      </c>
      <c r="E662" s="1834" t="s">
        <v>3438</v>
      </c>
      <c r="F662" s="1752" t="s">
        <v>3362</v>
      </c>
      <c r="G662" s="1850">
        <v>185</v>
      </c>
      <c r="H662" s="1738" t="s">
        <v>2712</v>
      </c>
      <c r="I662" s="1738" t="s">
        <v>2712</v>
      </c>
      <c r="J662" s="2254"/>
      <c r="K662" s="1739" t="s">
        <v>2674</v>
      </c>
      <c r="L662" s="1738"/>
      <c r="M662" s="1738"/>
      <c r="N662" s="2255">
        <f>+J662</f>
        <v>0</v>
      </c>
      <c r="O662" s="1779" t="s">
        <v>56</v>
      </c>
      <c r="P662" s="1764" t="s">
        <v>1222</v>
      </c>
      <c r="Q662" s="1764"/>
      <c r="R662" s="1764"/>
      <c r="S662" s="1737"/>
      <c r="T662" s="1737"/>
      <c r="U662" s="1737"/>
      <c r="V662" s="1741"/>
      <c r="W662" s="1758">
        <f>+AD662*1.4*C662</f>
        <v>0</v>
      </c>
      <c r="X662" s="1895">
        <f t="shared" si="220"/>
        <v>0</v>
      </c>
      <c r="Y662" s="3756"/>
      <c r="Z662" s="919" t="s">
        <v>2704</v>
      </c>
      <c r="AA662" s="3257" t="s">
        <v>2706</v>
      </c>
      <c r="AB662" s="2758">
        <v>1</v>
      </c>
      <c r="AC662" s="2757">
        <v>10.75</v>
      </c>
      <c r="AD662" s="2634">
        <f>+AB662*AC662*N662</f>
        <v>0</v>
      </c>
      <c r="AE662" s="2654">
        <f t="shared" si="227"/>
        <v>0</v>
      </c>
      <c r="AF662" s="2634"/>
      <c r="AG662" s="1175">
        <f>+AE662*C662</f>
        <v>0</v>
      </c>
      <c r="AH662" s="220">
        <f t="shared" si="228"/>
        <v>0</v>
      </c>
      <c r="AI662" s="920" t="e">
        <f t="shared" si="226"/>
        <v>#DIV/0!</v>
      </c>
      <c r="AJ662" s="921" t="s">
        <v>2713</v>
      </c>
      <c r="AK662" s="48" t="s">
        <v>3362</v>
      </c>
    </row>
    <row r="663" spans="1:37" s="48" customFormat="1" ht="12.6" customHeight="1" x14ac:dyDescent="0.2">
      <c r="A663" s="48" t="s">
        <v>3684</v>
      </c>
      <c r="B663" s="1370"/>
      <c r="C663" s="1861"/>
      <c r="D663" s="1847" t="s">
        <v>3092</v>
      </c>
      <c r="E663" s="1834" t="s">
        <v>2746</v>
      </c>
      <c r="F663" s="1834" t="s">
        <v>3437</v>
      </c>
      <c r="G663" s="1851">
        <v>1855</v>
      </c>
      <c r="H663" s="1834" t="s">
        <v>2712</v>
      </c>
      <c r="I663" s="1834" t="s">
        <v>2712</v>
      </c>
      <c r="J663" s="2254"/>
      <c r="K663" s="1786" t="s">
        <v>2674</v>
      </c>
      <c r="L663" s="2262"/>
      <c r="M663" s="1745"/>
      <c r="N663" s="2255"/>
      <c r="O663" s="1834" t="s">
        <v>56</v>
      </c>
      <c r="P663" s="1739"/>
      <c r="Q663" s="1739"/>
      <c r="R663" s="1739"/>
      <c r="S663" s="1739"/>
      <c r="T663" s="1753"/>
      <c r="U663" s="1753"/>
      <c r="V663" s="1784"/>
      <c r="W663" s="1853">
        <f>+AD663*1.4*C663</f>
        <v>0</v>
      </c>
      <c r="X663" s="2200">
        <f t="shared" si="220"/>
        <v>0</v>
      </c>
      <c r="Y663" s="3756"/>
      <c r="Z663" s="889" t="s">
        <v>2704</v>
      </c>
      <c r="AA663" s="3226" t="s">
        <v>2741</v>
      </c>
      <c r="AB663" s="2758">
        <v>1</v>
      </c>
      <c r="AC663" s="2757">
        <v>10.75</v>
      </c>
      <c r="AD663" s="2634">
        <f>+AB663*AC663*N663</f>
        <v>0</v>
      </c>
      <c r="AE663" s="2654">
        <f t="shared" si="227"/>
        <v>0</v>
      </c>
      <c r="AF663" s="2662"/>
      <c r="AG663" s="1175">
        <f>+AE663*C663</f>
        <v>0</v>
      </c>
      <c r="AH663" s="220">
        <f t="shared" si="228"/>
        <v>0</v>
      </c>
      <c r="AI663" s="920" t="e">
        <f t="shared" si="226"/>
        <v>#DIV/0!</v>
      </c>
      <c r="AJ663" s="921" t="s">
        <v>2713</v>
      </c>
      <c r="AK663" s="48" t="s">
        <v>3360</v>
      </c>
    </row>
    <row r="664" spans="1:37" s="206" customFormat="1" ht="12.6" customHeight="1" x14ac:dyDescent="0.2">
      <c r="A664" s="48" t="s">
        <v>3684</v>
      </c>
      <c r="B664" s="1378"/>
      <c r="C664" s="2252"/>
      <c r="D664" s="1759" t="s">
        <v>3092</v>
      </c>
      <c r="E664" s="1834" t="s">
        <v>2746</v>
      </c>
      <c r="F664" s="1834" t="s">
        <v>3437</v>
      </c>
      <c r="G664" s="2304">
        <v>1855</v>
      </c>
      <c r="H664" s="1834" t="s">
        <v>2712</v>
      </c>
      <c r="I664" s="2314" t="s">
        <v>2712</v>
      </c>
      <c r="J664" s="2254"/>
      <c r="K664" s="2315" t="s">
        <v>2674</v>
      </c>
      <c r="L664" s="2305"/>
      <c r="M664" s="1759"/>
      <c r="N664" s="2255">
        <f>+J664</f>
        <v>0</v>
      </c>
      <c r="O664" s="1847" t="s">
        <v>56</v>
      </c>
      <c r="P664" s="1739"/>
      <c r="Q664" s="1739"/>
      <c r="R664" s="1739"/>
      <c r="S664" s="1739"/>
      <c r="T664" s="1753"/>
      <c r="U664" s="1753"/>
      <c r="V664" s="1784"/>
      <c r="W664" s="2295">
        <f>+AD664*1.4*C664</f>
        <v>0</v>
      </c>
      <c r="X664" s="2381">
        <f t="shared" si="220"/>
        <v>0</v>
      </c>
      <c r="Y664" s="3756"/>
      <c r="Z664" s="889" t="s">
        <v>2704</v>
      </c>
      <c r="AA664" s="3258" t="s">
        <v>2741</v>
      </c>
      <c r="AB664" s="2759">
        <v>1</v>
      </c>
      <c r="AC664" s="2760">
        <v>10.75</v>
      </c>
      <c r="AD664" s="2638">
        <f>+AB664*AC664*N664</f>
        <v>0</v>
      </c>
      <c r="AE664" s="2638">
        <f t="shared" si="227"/>
        <v>0</v>
      </c>
      <c r="AF664" s="2638"/>
      <c r="AG664" s="1176">
        <f>+AE664*C664</f>
        <v>0</v>
      </c>
      <c r="AH664" s="869">
        <f t="shared" si="228"/>
        <v>0</v>
      </c>
      <c r="AI664" s="1105" t="e">
        <f t="shared" si="226"/>
        <v>#DIV/0!</v>
      </c>
      <c r="AJ664" s="1106" t="s">
        <v>2713</v>
      </c>
      <c r="AK664" s="206" t="s">
        <v>3361</v>
      </c>
    </row>
    <row r="665" spans="1:37" s="48" customFormat="1" ht="12.6" customHeight="1" x14ac:dyDescent="0.2">
      <c r="A665" s="48" t="s">
        <v>3684</v>
      </c>
      <c r="B665" s="1370"/>
      <c r="C665" s="2116"/>
      <c r="D665" s="1759" t="s">
        <v>3092</v>
      </c>
      <c r="E665" s="1834" t="s">
        <v>2746</v>
      </c>
      <c r="F665" s="1834" t="s">
        <v>3437</v>
      </c>
      <c r="G665" s="1854">
        <v>1855</v>
      </c>
      <c r="H665" s="1834" t="s">
        <v>2712</v>
      </c>
      <c r="I665" s="2324" t="s">
        <v>2712</v>
      </c>
      <c r="J665" s="2254"/>
      <c r="K665" s="2117" t="s">
        <v>2674</v>
      </c>
      <c r="L665" s="1755"/>
      <c r="M665" s="1755"/>
      <c r="N665" s="2255">
        <f>+J665</f>
        <v>0</v>
      </c>
      <c r="O665" s="1805" t="s">
        <v>56</v>
      </c>
      <c r="P665" s="1755"/>
      <c r="Q665" s="1755"/>
      <c r="R665" s="1755"/>
      <c r="S665" s="1737"/>
      <c r="T665" s="1737"/>
      <c r="U665" s="1737"/>
      <c r="V665" s="1741"/>
      <c r="W665" s="1758">
        <f>+AD665*1.4*C665</f>
        <v>0</v>
      </c>
      <c r="X665" s="2372">
        <f t="shared" si="220"/>
        <v>0</v>
      </c>
      <c r="Y665" s="3756"/>
      <c r="Z665" s="868" t="s">
        <v>2704</v>
      </c>
      <c r="AA665" s="3226" t="s">
        <v>2741</v>
      </c>
      <c r="AB665" s="2756">
        <v>1</v>
      </c>
      <c r="AC665" s="2757">
        <v>10.75</v>
      </c>
      <c r="AD665" s="2634">
        <f>+AB665*AC665*N665</f>
        <v>0</v>
      </c>
      <c r="AE665" s="2654">
        <f t="shared" si="227"/>
        <v>0</v>
      </c>
      <c r="AF665" s="2634"/>
      <c r="AG665" s="1175">
        <f>+AE665*C665</f>
        <v>0</v>
      </c>
      <c r="AH665" s="220">
        <f t="shared" si="228"/>
        <v>0</v>
      </c>
      <c r="AI665" s="920" t="e">
        <f t="shared" si="226"/>
        <v>#DIV/0!</v>
      </c>
      <c r="AJ665" s="1104" t="s">
        <v>2713</v>
      </c>
      <c r="AK665" s="48" t="s">
        <v>3360</v>
      </c>
    </row>
    <row r="666" spans="1:37" s="48" customFormat="1" ht="25.2" customHeight="1" x14ac:dyDescent="0.2">
      <c r="A666" s="48" t="s">
        <v>3684</v>
      </c>
      <c r="B666" s="1370"/>
      <c r="C666" s="2311"/>
      <c r="D666" s="1759" t="s">
        <v>3092</v>
      </c>
      <c r="E666" s="2959" t="s">
        <v>2705</v>
      </c>
      <c r="F666" s="2310"/>
      <c r="G666" s="2298"/>
      <c r="H666" s="2310"/>
      <c r="I666" s="2310"/>
      <c r="J666" s="2254"/>
      <c r="K666" s="2312" t="s">
        <v>2718</v>
      </c>
      <c r="L666" s="2299"/>
      <c r="M666" s="1755"/>
      <c r="N666" s="1841" t="s">
        <v>2717</v>
      </c>
      <c r="O666" s="1805"/>
      <c r="P666" s="1755"/>
      <c r="Q666" s="1755"/>
      <c r="R666" s="1755"/>
      <c r="S666" s="1737"/>
      <c r="T666" s="1737"/>
      <c r="U666" s="1737"/>
      <c r="V666" s="1741"/>
      <c r="W666" s="2296">
        <f>+AE666*1.4*C666</f>
        <v>0</v>
      </c>
      <c r="X666" s="2361">
        <f>+ROUNDUP(W666,0)</f>
        <v>0</v>
      </c>
      <c r="Y666" s="3756"/>
      <c r="Z666" s="919" t="s">
        <v>2704</v>
      </c>
      <c r="AA666" s="3226" t="s">
        <v>2714</v>
      </c>
      <c r="AB666" s="2758">
        <v>0.51</v>
      </c>
      <c r="AC666" s="2757">
        <v>12.18</v>
      </c>
      <c r="AD666" s="2634">
        <f>+AB666*AC666</f>
        <v>6.2118000000000002</v>
      </c>
      <c r="AE666" s="2654">
        <f t="shared" si="227"/>
        <v>6.2118000000000002</v>
      </c>
      <c r="AF666" s="2634"/>
      <c r="AG666" s="1177"/>
      <c r="AH666" s="220">
        <f>+W666-AE666</f>
        <v>-6.2118000000000002</v>
      </c>
      <c r="AI666" s="920" t="e">
        <f>+AH666/W666</f>
        <v>#DIV/0!</v>
      </c>
      <c r="AJ666" s="921" t="s">
        <v>2719</v>
      </c>
    </row>
    <row r="667" spans="1:37" s="48" customFormat="1" ht="25.2" customHeight="1" thickBot="1" x14ac:dyDescent="0.25">
      <c r="A667" s="48" t="s">
        <v>3684</v>
      </c>
      <c r="B667" s="1370"/>
      <c r="C667" s="2325"/>
      <c r="D667" s="1759" t="s">
        <v>3092</v>
      </c>
      <c r="E667" s="2048" t="s">
        <v>2715</v>
      </c>
      <c r="F667" s="1991"/>
      <c r="G667" s="1738"/>
      <c r="H667" s="1991"/>
      <c r="I667" s="1991"/>
      <c r="J667" s="2254"/>
      <c r="K667" s="2117"/>
      <c r="L667" s="1738"/>
      <c r="M667" s="1738"/>
      <c r="N667" s="1801" t="s">
        <v>2717</v>
      </c>
      <c r="O667" s="1779"/>
      <c r="P667" s="1764"/>
      <c r="Q667" s="1764"/>
      <c r="R667" s="1764"/>
      <c r="S667" s="1737"/>
      <c r="T667" s="1737"/>
      <c r="U667" s="1737"/>
      <c r="V667" s="1741"/>
      <c r="W667" s="1758">
        <f>+AD667*1.8*C667</f>
        <v>0</v>
      </c>
      <c r="X667" s="2375">
        <f>+ROUNDUP(W667,0)</f>
        <v>0</v>
      </c>
      <c r="Y667" s="3756"/>
      <c r="Z667" s="868" t="s">
        <v>2704</v>
      </c>
      <c r="AA667" s="3226" t="s">
        <v>2716</v>
      </c>
      <c r="AB667" s="2756">
        <v>0.51</v>
      </c>
      <c r="AC667" s="2757">
        <v>24.37</v>
      </c>
      <c r="AD667" s="2654">
        <f>+AB667*AC667</f>
        <v>12.428700000000001</v>
      </c>
      <c r="AE667" s="2654">
        <f t="shared" si="227"/>
        <v>12.428700000000001</v>
      </c>
      <c r="AF667" s="2654"/>
      <c r="AG667" s="1178"/>
      <c r="AH667" s="220"/>
      <c r="AI667" s="920"/>
      <c r="AJ667" s="1058"/>
      <c r="AK667" s="779"/>
    </row>
    <row r="668" spans="1:37" s="3366" customFormat="1" ht="13.2" thickBot="1" x14ac:dyDescent="0.25">
      <c r="A668" s="3366" t="s">
        <v>3685</v>
      </c>
      <c r="B668" s="3367"/>
      <c r="C668" s="3438">
        <v>2</v>
      </c>
      <c r="D668" s="3439" t="s">
        <v>3411</v>
      </c>
      <c r="E668" s="3465" t="s">
        <v>3638</v>
      </c>
      <c r="F668" s="3440"/>
      <c r="G668" s="2306"/>
      <c r="H668" s="3440"/>
      <c r="I668" s="3441"/>
      <c r="J668" s="3440"/>
      <c r="K668" s="3442"/>
      <c r="L668" s="2216"/>
      <c r="M668" s="1878"/>
      <c r="N668" s="1878"/>
      <c r="O668" s="1878"/>
      <c r="P668" s="1878"/>
      <c r="Q668" s="1855"/>
      <c r="R668" s="1855"/>
      <c r="S668" s="1856"/>
      <c r="T668" s="1856"/>
      <c r="U668" s="1857"/>
      <c r="V668" s="1858"/>
      <c r="W668" s="3418">
        <f>+C668*35</f>
        <v>70</v>
      </c>
      <c r="X668" s="3466">
        <f t="shared" si="220"/>
        <v>70</v>
      </c>
      <c r="Y668" s="3774"/>
      <c r="Z668" s="3368"/>
      <c r="AA668" s="3369"/>
      <c r="AB668" s="3370"/>
      <c r="AC668" s="3370"/>
      <c r="AD668" s="3370"/>
      <c r="AE668" s="3371"/>
      <c r="AF668" s="3372"/>
      <c r="AG668" s="3373"/>
      <c r="AH668" s="3374"/>
      <c r="AI668" s="3375"/>
    </row>
    <row r="669" spans="1:37" s="190" customFormat="1" ht="12.6" customHeight="1" thickBot="1" x14ac:dyDescent="0.25">
      <c r="A669" s="3366" t="s">
        <v>3685</v>
      </c>
      <c r="B669" s="1379"/>
      <c r="C669" s="3071"/>
      <c r="D669" s="2054" t="s">
        <v>40</v>
      </c>
      <c r="E669" s="3090" t="s">
        <v>2517</v>
      </c>
      <c r="F669" s="2054"/>
      <c r="G669" s="2306"/>
      <c r="H669" s="2054"/>
      <c r="I669" s="3028"/>
      <c r="J669" s="2054"/>
      <c r="K669" s="3361"/>
      <c r="L669" s="3029"/>
      <c r="M669" s="2961"/>
      <c r="N669" s="2250"/>
      <c r="O669" s="2250"/>
      <c r="P669" s="3030"/>
      <c r="Q669" s="1855"/>
      <c r="R669" s="1855"/>
      <c r="S669" s="1856"/>
      <c r="T669" s="1856"/>
      <c r="U669" s="1857"/>
      <c r="V669" s="1858"/>
      <c r="W669" s="3417">
        <f>+C669*35</f>
        <v>0</v>
      </c>
      <c r="X669" s="2905">
        <f>+ROUNDUP(W669,0)</f>
        <v>0</v>
      </c>
      <c r="Y669" s="3756"/>
      <c r="Z669" s="3362"/>
      <c r="AA669" s="3363"/>
      <c r="AB669" s="3364"/>
      <c r="AC669" s="3364"/>
      <c r="AD669" s="3364"/>
      <c r="AE669" s="3365"/>
      <c r="AF669" s="2761"/>
      <c r="AG669" s="1179"/>
      <c r="AH669" s="59"/>
      <c r="AI669" s="60"/>
    </row>
    <row r="670" spans="1:37" s="2212" customFormat="1" ht="12.6" customHeight="1" thickBot="1" x14ac:dyDescent="0.25">
      <c r="A670" s="3366" t="s">
        <v>3685</v>
      </c>
      <c r="B670" s="1379"/>
      <c r="C670" s="2042"/>
      <c r="D670" s="3063" t="s">
        <v>40</v>
      </c>
      <c r="E670" s="3138" t="s">
        <v>2517</v>
      </c>
      <c r="F670" s="3063"/>
      <c r="G670" s="1746"/>
      <c r="H670" s="3063"/>
      <c r="I670" s="2206"/>
      <c r="J670" s="3063"/>
      <c r="K670" s="3064"/>
      <c r="L670" s="2206" t="s">
        <v>3004</v>
      </c>
      <c r="M670" s="1746"/>
      <c r="N670" s="3064"/>
      <c r="O670" s="3064"/>
      <c r="P670" s="1855"/>
      <c r="Q670" s="1855"/>
      <c r="R670" s="1855"/>
      <c r="S670" s="1856"/>
      <c r="T670" s="1856"/>
      <c r="U670" s="1857"/>
      <c r="V670" s="1858"/>
      <c r="W670" s="2207">
        <f>+C670*30</f>
        <v>0</v>
      </c>
      <c r="X670" s="3065">
        <f>+ROUNDUP(W670,0)</f>
        <v>0</v>
      </c>
      <c r="Y670" s="3756"/>
      <c r="Z670" s="2208"/>
      <c r="AA670" s="2762"/>
      <c r="AB670" s="2763"/>
      <c r="AC670" s="2763"/>
      <c r="AD670" s="2763"/>
      <c r="AE670" s="2764"/>
      <c r="AF670" s="2765"/>
      <c r="AG670" s="2209"/>
      <c r="AH670" s="2210"/>
      <c r="AI670" s="2211"/>
    </row>
    <row r="671" spans="1:37" s="2833" customFormat="1" ht="13.2" customHeight="1" thickBot="1" x14ac:dyDescent="0.25">
      <c r="A671" s="3366" t="s">
        <v>3685</v>
      </c>
      <c r="B671" s="2816"/>
      <c r="C671" s="2252"/>
      <c r="D671" s="2817" t="s">
        <v>32</v>
      </c>
      <c r="E671" s="2818" t="s">
        <v>2490</v>
      </c>
      <c r="F671" s="2818"/>
      <c r="G671" s="2110"/>
      <c r="H671" s="2818" t="s">
        <v>3264</v>
      </c>
      <c r="I671" s="2818"/>
      <c r="J671" s="2819"/>
      <c r="K671" s="2818"/>
      <c r="L671" s="2818"/>
      <c r="M671" s="2820"/>
      <c r="N671" s="2818"/>
      <c r="O671" s="2818"/>
      <c r="P671" s="2821"/>
      <c r="Q671" s="2821"/>
      <c r="R671" s="2821"/>
      <c r="S671" s="2821"/>
      <c r="T671" s="2110"/>
      <c r="U671" s="2822"/>
      <c r="V671" s="2823"/>
      <c r="W671" s="2824">
        <f>40*C671</f>
        <v>0</v>
      </c>
      <c r="X671" s="2825">
        <f t="shared" si="220"/>
        <v>0</v>
      </c>
      <c r="Y671" s="3756"/>
      <c r="Z671" s="2826"/>
      <c r="AA671" s="2827"/>
      <c r="AB671" s="2828"/>
      <c r="AC671" s="2827"/>
      <c r="AD671" s="2827"/>
      <c r="AE671" s="2829"/>
      <c r="AF671" s="2827"/>
      <c r="AG671" s="2830"/>
      <c r="AH671" s="2831"/>
      <c r="AI671" s="2832"/>
    </row>
    <row r="672" spans="1:37" s="226" customFormat="1" ht="13.2" customHeight="1" thickBot="1" x14ac:dyDescent="0.25">
      <c r="A672" s="3366" t="s">
        <v>3685</v>
      </c>
      <c r="B672" s="2115"/>
      <c r="C672" s="2213"/>
      <c r="D672" s="2214" t="s">
        <v>3222</v>
      </c>
      <c r="E672" s="2109" t="s">
        <v>2490</v>
      </c>
      <c r="F672" s="2109"/>
      <c r="G672" s="2813"/>
      <c r="H672" s="2215"/>
      <c r="I672" s="2215"/>
      <c r="J672" s="2109" t="s">
        <v>2900</v>
      </c>
      <c r="K672" s="2054"/>
      <c r="L672" s="2054"/>
      <c r="M672" s="2814"/>
      <c r="N672" s="2054"/>
      <c r="O672" s="2054"/>
      <c r="P672" s="2055"/>
      <c r="Q672" s="2055"/>
      <c r="R672" s="2055"/>
      <c r="S672" s="2055"/>
      <c r="T672" s="2055"/>
      <c r="U672" s="2815"/>
      <c r="V672" s="2053"/>
      <c r="W672" s="2873">
        <f>40*C672</f>
        <v>0</v>
      </c>
      <c r="X672" s="2874">
        <f>+ROUNDUP(W672,0)</f>
        <v>0</v>
      </c>
      <c r="Y672" s="3756"/>
      <c r="Z672" s="223"/>
      <c r="AA672" s="2766"/>
      <c r="AB672" s="2767"/>
      <c r="AC672" s="2766"/>
      <c r="AD672" s="2766"/>
      <c r="AE672" s="2768"/>
      <c r="AF672" s="2766"/>
      <c r="AG672" s="1180"/>
      <c r="AH672" s="224"/>
      <c r="AI672" s="225"/>
    </row>
    <row r="673" spans="1:36" s="226" customFormat="1" ht="13.2" customHeight="1" thickBot="1" x14ac:dyDescent="0.25">
      <c r="A673" s="3366" t="s">
        <v>3685</v>
      </c>
      <c r="B673" s="2115"/>
      <c r="C673" s="2213"/>
      <c r="D673" s="2214" t="s">
        <v>3373</v>
      </c>
      <c r="E673" s="2109" t="s">
        <v>3374</v>
      </c>
      <c r="F673" s="2109" t="s">
        <v>2463</v>
      </c>
      <c r="G673" s="2813"/>
      <c r="H673" s="2215"/>
      <c r="I673" s="2215"/>
      <c r="J673" s="2109"/>
      <c r="K673" s="2054"/>
      <c r="L673" s="2054"/>
      <c r="M673" s="2814"/>
      <c r="N673" s="2054"/>
      <c r="O673" s="2054"/>
      <c r="P673" s="2055"/>
      <c r="Q673" s="2055"/>
      <c r="R673" s="2055"/>
      <c r="S673" s="2055"/>
      <c r="T673" s="2055"/>
      <c r="U673" s="2815"/>
      <c r="V673" s="2053"/>
      <c r="W673" s="2873">
        <f>40*C673</f>
        <v>0</v>
      </c>
      <c r="X673" s="2874">
        <f>+ROUNDUP(W673,0)</f>
        <v>0</v>
      </c>
      <c r="Y673" s="3756"/>
      <c r="Z673" s="223"/>
      <c r="AA673" s="2766"/>
      <c r="AB673" s="2767"/>
      <c r="AC673" s="2766"/>
      <c r="AD673" s="2766"/>
      <c r="AE673" s="2768"/>
      <c r="AF673" s="2766"/>
      <c r="AG673" s="1180"/>
      <c r="AH673" s="224"/>
      <c r="AI673" s="225"/>
    </row>
    <row r="674" spans="1:36" s="226" customFormat="1" ht="12.6" customHeight="1" thickBot="1" x14ac:dyDescent="0.25">
      <c r="A674" s="3366" t="s">
        <v>3685</v>
      </c>
      <c r="B674" s="1380"/>
      <c r="C674" s="2059"/>
      <c r="D674" s="2024" t="s">
        <v>32</v>
      </c>
      <c r="E674" s="2024" t="s">
        <v>2819</v>
      </c>
      <c r="F674" s="2024"/>
      <c r="G674" s="2024"/>
      <c r="H674" s="2024"/>
      <c r="I674" s="2024"/>
      <c r="J674" s="2060" t="s">
        <v>2817</v>
      </c>
      <c r="K674" s="2024"/>
      <c r="L674" s="1746"/>
      <c r="M674" s="1746"/>
      <c r="N674" s="1746" t="s">
        <v>2497</v>
      </c>
      <c r="O674" s="1746"/>
      <c r="P674" s="1752"/>
      <c r="Q674" s="1752"/>
      <c r="R674" s="1752"/>
      <c r="S674" s="1752"/>
      <c r="T674" s="1752"/>
      <c r="U674" s="1859"/>
      <c r="V674" s="1759"/>
      <c r="W674" s="2025">
        <f>140*C674</f>
        <v>0</v>
      </c>
      <c r="X674" s="2383">
        <f>+ROUNDUP(W674,0)</f>
        <v>0</v>
      </c>
      <c r="Y674" s="3756"/>
      <c r="Z674" s="223"/>
      <c r="AA674" s="2766"/>
      <c r="AB674" s="2767"/>
      <c r="AC674" s="2766"/>
      <c r="AD674" s="2766"/>
      <c r="AE674" s="2768"/>
      <c r="AF674" s="2766"/>
      <c r="AG674" s="1180"/>
      <c r="AH674" s="224"/>
      <c r="AI674" s="225"/>
    </row>
    <row r="675" spans="1:36" s="226" customFormat="1" ht="12.6" customHeight="1" thickBot="1" x14ac:dyDescent="0.25">
      <c r="A675" s="3366" t="s">
        <v>3685</v>
      </c>
      <c r="B675" s="1380"/>
      <c r="C675" s="1861"/>
      <c r="D675" s="1746" t="s">
        <v>32</v>
      </c>
      <c r="E675" s="1746" t="s">
        <v>2816</v>
      </c>
      <c r="F675" s="1746"/>
      <c r="G675" s="1746"/>
      <c r="H675" s="1746"/>
      <c r="I675" s="1746"/>
      <c r="J675" s="1746" t="s">
        <v>2817</v>
      </c>
      <c r="K675" s="1746"/>
      <c r="L675" s="1746"/>
      <c r="M675" s="1746"/>
      <c r="N675" s="1746"/>
      <c r="O675" s="1746"/>
      <c r="P675" s="1752"/>
      <c r="Q675" s="1752"/>
      <c r="R675" s="1752"/>
      <c r="S675" s="1752"/>
      <c r="T675" s="1752"/>
      <c r="U675" s="1859"/>
      <c r="V675" s="1759"/>
      <c r="W675" s="1860">
        <f>40*C675</f>
        <v>0</v>
      </c>
      <c r="X675" s="2296">
        <f>+ROUNDUP(W675,0)</f>
        <v>0</v>
      </c>
      <c r="Y675" s="3756"/>
      <c r="Z675" s="223"/>
      <c r="AA675" s="2766"/>
      <c r="AB675" s="2767"/>
      <c r="AC675" s="2766"/>
      <c r="AD675" s="2766"/>
      <c r="AE675" s="2768"/>
      <c r="AF675" s="2766"/>
      <c r="AG675" s="1180"/>
      <c r="AH675" s="224"/>
      <c r="AI675" s="225"/>
    </row>
    <row r="676" spans="1:36" s="226" customFormat="1" ht="12.6" customHeight="1" thickBot="1" x14ac:dyDescent="0.25">
      <c r="A676" s="3366" t="s">
        <v>3685</v>
      </c>
      <c r="B676" s="1380"/>
      <c r="C676" s="1862"/>
      <c r="D676" s="1747" t="s">
        <v>32</v>
      </c>
      <c r="E676" s="1747" t="s">
        <v>2456</v>
      </c>
      <c r="F676" s="1747"/>
      <c r="G676" s="1747"/>
      <c r="H676" s="1747"/>
      <c r="I676" s="1747"/>
      <c r="J676" s="1747"/>
      <c r="K676" s="1747"/>
      <c r="L676" s="1747"/>
      <c r="M676" s="1747"/>
      <c r="N676" s="1750"/>
      <c r="O676" s="1863"/>
      <c r="P676" s="1747"/>
      <c r="Q676" s="1747"/>
      <c r="R676" s="1747"/>
      <c r="S676" s="1752"/>
      <c r="T676" s="1752"/>
      <c r="U676" s="1859"/>
      <c r="V676" s="1759"/>
      <c r="W676" s="1758">
        <f>+C676*55.2*1.7</f>
        <v>0</v>
      </c>
      <c r="X676" s="2240">
        <f t="shared" si="220"/>
        <v>0</v>
      </c>
      <c r="Y676" s="3756"/>
      <c r="Z676" s="223"/>
      <c r="AA676" s="2766"/>
      <c r="AB676" s="2767"/>
      <c r="AC676" s="2766"/>
      <c r="AD676" s="2766"/>
      <c r="AE676" s="2768"/>
      <c r="AF676" s="2766"/>
      <c r="AG676" s="1180"/>
      <c r="AH676" s="224"/>
      <c r="AI676" s="225"/>
    </row>
    <row r="677" spans="1:36" s="226" customFormat="1" ht="12.6" customHeight="1" thickBot="1" x14ac:dyDescent="0.25">
      <c r="A677" s="3366" t="s">
        <v>3685</v>
      </c>
      <c r="B677" s="1380"/>
      <c r="C677" s="3667"/>
      <c r="D677" s="3668" t="s">
        <v>3131</v>
      </c>
      <c r="E677" s="3668" t="s">
        <v>3117</v>
      </c>
      <c r="F677" s="3668"/>
      <c r="G677" s="1757" t="s">
        <v>3107</v>
      </c>
      <c r="H677" s="2047"/>
      <c r="I677" s="1980" t="s">
        <v>3130</v>
      </c>
      <c r="J677" s="3668"/>
      <c r="K677" s="3668"/>
      <c r="L677" s="1801"/>
      <c r="M677" s="1801"/>
      <c r="N677" s="1747"/>
      <c r="O677" s="1747"/>
      <c r="P677" s="1747"/>
      <c r="Q677" s="1747"/>
      <c r="R677" s="1747"/>
      <c r="S677" s="1752"/>
      <c r="T677" s="1752"/>
      <c r="U677" s="1859"/>
      <c r="V677" s="1759"/>
      <c r="W677" s="3654">
        <f>+AE677*1.6*C677</f>
        <v>0</v>
      </c>
      <c r="X677" s="3669">
        <f t="shared" si="220"/>
        <v>0</v>
      </c>
      <c r="Y677" s="3756"/>
      <c r="Z677" s="1663" t="s">
        <v>422</v>
      </c>
      <c r="AA677" s="2766" t="s">
        <v>3135</v>
      </c>
      <c r="AB677" s="2767">
        <v>1</v>
      </c>
      <c r="AC677" s="2766">
        <v>16.39</v>
      </c>
      <c r="AD677" s="2766">
        <f t="shared" ref="AD677:AD689" si="229">+AC677*AB677</f>
        <v>16.39</v>
      </c>
      <c r="AE677" s="2768">
        <f>+AD677</f>
        <v>16.39</v>
      </c>
      <c r="AF677" s="2766"/>
      <c r="AG677" s="1180"/>
      <c r="AH677" s="224"/>
      <c r="AI677" s="225"/>
    </row>
    <row r="678" spans="1:36" s="36" customFormat="1" ht="12.6" customHeight="1" thickBot="1" x14ac:dyDescent="0.25">
      <c r="A678" s="3366" t="s">
        <v>3685</v>
      </c>
      <c r="B678" s="1370"/>
      <c r="C678" s="2083"/>
      <c r="D678" s="2064" t="s">
        <v>32</v>
      </c>
      <c r="E678" s="2064" t="s">
        <v>47</v>
      </c>
      <c r="F678" s="2836"/>
      <c r="G678" s="2302"/>
      <c r="H678" s="2836"/>
      <c r="I678" s="2302"/>
      <c r="J678" s="2836"/>
      <c r="K678" s="2084" t="s">
        <v>2801</v>
      </c>
      <c r="L678" s="2028"/>
      <c r="M678" s="1846"/>
      <c r="N678" s="1846"/>
      <c r="O678" s="1846"/>
      <c r="P678" s="1736"/>
      <c r="Q678" s="1736"/>
      <c r="R678" s="1736"/>
      <c r="S678" s="1737"/>
      <c r="T678" s="1737"/>
      <c r="U678" s="1737"/>
      <c r="V678" s="3630"/>
      <c r="W678" s="3702">
        <v>80</v>
      </c>
      <c r="X678" s="3707">
        <f>ROUNDUP(W678,0)</f>
        <v>80</v>
      </c>
      <c r="Y678" s="3758"/>
      <c r="AA678" s="3259"/>
      <c r="AB678" s="2770">
        <v>0.43</v>
      </c>
      <c r="AC678" s="2769">
        <v>40</v>
      </c>
      <c r="AD678" s="2769">
        <f t="shared" si="229"/>
        <v>17.2</v>
      </c>
      <c r="AE678" s="2627">
        <f>+AC678*AB678</f>
        <v>17.2</v>
      </c>
      <c r="AF678" s="2673"/>
      <c r="AG678" s="1172"/>
      <c r="AH678" s="73">
        <f>+W678-AE678</f>
        <v>62.8</v>
      </c>
      <c r="AI678" s="47">
        <f>+AH678/W678</f>
        <v>0.78499999999999992</v>
      </c>
    </row>
    <row r="679" spans="1:36" s="36" customFormat="1" ht="25.2" customHeight="1" thickBot="1" x14ac:dyDescent="0.25">
      <c r="A679" s="3366" t="s">
        <v>3685</v>
      </c>
      <c r="B679" s="1370"/>
      <c r="C679" s="3692"/>
      <c r="D679" s="3693" t="s">
        <v>32</v>
      </c>
      <c r="E679" s="3693" t="s">
        <v>2572</v>
      </c>
      <c r="F679" s="3694"/>
      <c r="G679" s="1747"/>
      <c r="H679" s="3694"/>
      <c r="I679" s="1747"/>
      <c r="J679" s="3694" t="s">
        <v>2573</v>
      </c>
      <c r="K679" s="3694"/>
      <c r="L679" s="1747"/>
      <c r="M679" s="1747"/>
      <c r="N679" s="1747"/>
      <c r="O679" s="1747"/>
      <c r="P679" s="1736"/>
      <c r="Q679" s="1736"/>
      <c r="R679" s="1736"/>
      <c r="S679" s="1737"/>
      <c r="T679" s="1737"/>
      <c r="U679" s="1737"/>
      <c r="V679" s="1741"/>
      <c r="W679" s="3683">
        <f>+AE679*1.7*C679</f>
        <v>0</v>
      </c>
      <c r="X679" s="3695">
        <f>ROUNDUP(W679,0)</f>
        <v>0</v>
      </c>
      <c r="Y679" s="3756"/>
      <c r="Z679" s="223" t="s">
        <v>2564</v>
      </c>
      <c r="AA679" s="2766" t="s">
        <v>2574</v>
      </c>
      <c r="AB679" s="2770">
        <v>1</v>
      </c>
      <c r="AC679" s="2769">
        <v>35</v>
      </c>
      <c r="AD679" s="2769">
        <f t="shared" si="229"/>
        <v>35</v>
      </c>
      <c r="AE679" s="2627">
        <f>+AC679*AB679</f>
        <v>35</v>
      </c>
      <c r="AF679" s="2673"/>
      <c r="AG679" s="1172"/>
      <c r="AH679" s="73">
        <f>+W679-AE679</f>
        <v>-35</v>
      </c>
      <c r="AI679" s="47" t="e">
        <f>+AH679/W679</f>
        <v>#DIV/0!</v>
      </c>
    </row>
    <row r="680" spans="1:36" s="36" customFormat="1" ht="25.2" customHeight="1" thickBot="1" x14ac:dyDescent="0.25">
      <c r="A680" s="3366" t="s">
        <v>3685</v>
      </c>
      <c r="B680" s="1370"/>
      <c r="C680" s="1749"/>
      <c r="D680" s="1736" t="s">
        <v>32</v>
      </c>
      <c r="E680" s="1736" t="s">
        <v>2572</v>
      </c>
      <c r="F680" s="1747"/>
      <c r="G680" s="1747"/>
      <c r="H680" s="1747"/>
      <c r="I680" s="1747"/>
      <c r="J680" s="1747" t="s">
        <v>2573</v>
      </c>
      <c r="K680" s="1747"/>
      <c r="L680" s="1747"/>
      <c r="M680" s="1747"/>
      <c r="N680" s="1747"/>
      <c r="O680" s="1747"/>
      <c r="P680" s="1736"/>
      <c r="Q680" s="1736"/>
      <c r="R680" s="1736"/>
      <c r="S680" s="1737"/>
      <c r="T680" s="1737"/>
      <c r="U680" s="1737"/>
      <c r="V680" s="1741"/>
      <c r="W680" s="1758">
        <f>+AE680*1.7*C680</f>
        <v>0</v>
      </c>
      <c r="X680" s="2240">
        <f>ROUNDUP(W680,0)</f>
        <v>0</v>
      </c>
      <c r="Y680" s="3756"/>
      <c r="Z680" s="223" t="s">
        <v>2564</v>
      </c>
      <c r="AA680" s="2766" t="s">
        <v>2574</v>
      </c>
      <c r="AB680" s="2770">
        <v>1</v>
      </c>
      <c r="AC680" s="2769">
        <v>35</v>
      </c>
      <c r="AD680" s="2769">
        <f t="shared" ref="AD680:AD681" si="230">+AC680*AB680</f>
        <v>35</v>
      </c>
      <c r="AE680" s="2627">
        <f>+AC680*AB680</f>
        <v>35</v>
      </c>
      <c r="AF680" s="2673"/>
      <c r="AG680" s="1172"/>
      <c r="AH680" s="73">
        <f>+W680-AE680</f>
        <v>-35</v>
      </c>
      <c r="AI680" s="47" t="e">
        <f>+AH680/W680</f>
        <v>#DIV/0!</v>
      </c>
    </row>
    <row r="681" spans="1:36" s="36" customFormat="1" ht="12.6" customHeight="1" x14ac:dyDescent="0.2">
      <c r="A681" s="36" t="s">
        <v>3686</v>
      </c>
      <c r="B681" s="1370"/>
      <c r="C681" s="1749"/>
      <c r="D681" s="1736" t="s">
        <v>3490</v>
      </c>
      <c r="E681" s="1736" t="s">
        <v>3487</v>
      </c>
      <c r="F681" s="1747"/>
      <c r="G681" s="1747"/>
      <c r="H681" s="1747"/>
      <c r="I681" s="1747"/>
      <c r="J681" s="1747"/>
      <c r="K681" s="1747"/>
      <c r="L681" s="1747"/>
      <c r="M681" s="1747"/>
      <c r="N681" s="1747"/>
      <c r="O681" s="1747"/>
      <c r="P681" s="1736"/>
      <c r="Q681" s="1736"/>
      <c r="R681" s="1736"/>
      <c r="S681" s="1737"/>
      <c r="T681" s="1737"/>
      <c r="U681" s="1737"/>
      <c r="V681" s="1741"/>
      <c r="W681" s="1758">
        <f>+AE681*1.7*C681</f>
        <v>0</v>
      </c>
      <c r="X681" s="2240">
        <f t="shared" ref="X681:X682" si="231">ROUNDUP(W681,0)</f>
        <v>0</v>
      </c>
      <c r="Y681" s="3756"/>
      <c r="Z681" s="3093" t="s">
        <v>357</v>
      </c>
      <c r="AA681" s="3094" t="s">
        <v>3489</v>
      </c>
      <c r="AB681" s="36">
        <v>1</v>
      </c>
      <c r="AC681" s="36">
        <v>5.2</v>
      </c>
      <c r="AD681" s="36">
        <f t="shared" si="230"/>
        <v>5.2</v>
      </c>
      <c r="AE681" s="2673">
        <f>+AD681</f>
        <v>5.2</v>
      </c>
      <c r="AF681" s="2673"/>
      <c r="AG681" s="1172"/>
      <c r="AH681" s="73"/>
      <c r="AI681" s="259"/>
    </row>
    <row r="682" spans="1:36" s="36" customFormat="1" ht="12.6" customHeight="1" x14ac:dyDescent="0.2">
      <c r="A682" s="36" t="s">
        <v>3686</v>
      </c>
      <c r="B682" s="1370"/>
      <c r="C682" s="1749"/>
      <c r="D682" s="1736" t="s">
        <v>3490</v>
      </c>
      <c r="E682" s="1736" t="s">
        <v>3486</v>
      </c>
      <c r="F682" s="1747"/>
      <c r="G682" s="1747"/>
      <c r="H682" s="1747"/>
      <c r="I682" s="1747"/>
      <c r="J682" s="1747"/>
      <c r="K682" s="1747"/>
      <c r="L682" s="1747"/>
      <c r="M682" s="1747"/>
      <c r="N682" s="1747"/>
      <c r="O682" s="1747"/>
      <c r="P682" s="1736"/>
      <c r="Q682" s="1736"/>
      <c r="R682" s="1736"/>
      <c r="S682" s="1737"/>
      <c r="T682" s="1737"/>
      <c r="U682" s="1737"/>
      <c r="V682" s="1741"/>
      <c r="W682" s="1758">
        <f>+AE682*1.7*C682</f>
        <v>0</v>
      </c>
      <c r="X682" s="2240">
        <f t="shared" si="231"/>
        <v>0</v>
      </c>
      <c r="Y682" s="3756"/>
      <c r="Z682" s="3093" t="s">
        <v>357</v>
      </c>
      <c r="AA682" s="3094" t="s">
        <v>3488</v>
      </c>
      <c r="AB682" s="2770">
        <v>1</v>
      </c>
      <c r="AC682" s="2769">
        <v>1.25</v>
      </c>
      <c r="AD682" s="2769">
        <f>+AC682*AB682</f>
        <v>1.25</v>
      </c>
      <c r="AE682" s="2673">
        <f>+AD682</f>
        <v>1.25</v>
      </c>
      <c r="AF682" s="2673"/>
      <c r="AG682" s="1172"/>
      <c r="AH682" s="73"/>
      <c r="AI682" s="259"/>
    </row>
    <row r="683" spans="1:36" s="48" customFormat="1" ht="12.6" customHeight="1" x14ac:dyDescent="0.2">
      <c r="A683" s="48" t="s">
        <v>3689</v>
      </c>
      <c r="B683" s="1357"/>
      <c r="C683" s="1749"/>
      <c r="D683" s="1736" t="s">
        <v>2690</v>
      </c>
      <c r="E683" s="1736" t="s">
        <v>2616</v>
      </c>
      <c r="F683" s="1747"/>
      <c r="G683" s="1747"/>
      <c r="H683" s="1747"/>
      <c r="I683" s="1747" t="s">
        <v>2618</v>
      </c>
      <c r="J683" s="1747"/>
      <c r="K683" s="1750">
        <v>630</v>
      </c>
      <c r="L683" s="1747" t="s">
        <v>2617</v>
      </c>
      <c r="M683" s="1747"/>
      <c r="N683" s="1747"/>
      <c r="O683" s="1747"/>
      <c r="P683" s="1747"/>
      <c r="Q683" s="1747"/>
      <c r="R683" s="1747"/>
      <c r="S683" s="1747"/>
      <c r="T683" s="1747"/>
      <c r="U683" s="1747"/>
      <c r="V683" s="1747"/>
      <c r="W683" s="1751">
        <f>+AE683*2.5*C683</f>
        <v>0</v>
      </c>
      <c r="X683" s="1895">
        <f>ROUNDUP(W683,0)</f>
        <v>0</v>
      </c>
      <c r="Y683" s="3756"/>
      <c r="Z683" s="855" t="s">
        <v>397</v>
      </c>
      <c r="AA683" s="3260" t="s">
        <v>2619</v>
      </c>
      <c r="AB683" s="2725">
        <v>1</v>
      </c>
      <c r="AC683" s="2726">
        <v>41.5</v>
      </c>
      <c r="AD683" s="2727">
        <f>+AB683*AC683</f>
        <v>41.5</v>
      </c>
      <c r="AE683" s="2727">
        <f>+AD683</f>
        <v>41.5</v>
      </c>
      <c r="AF683" s="2727"/>
      <c r="AG683" s="1149"/>
      <c r="AH683" s="902"/>
      <c r="AI683" s="923">
        <f>+W683-AE683</f>
        <v>-41.5</v>
      </c>
      <c r="AJ683" s="924" t="e">
        <f>+AI683/W683</f>
        <v>#DIV/0!</v>
      </c>
    </row>
    <row r="684" spans="1:36" s="48" customFormat="1" ht="12.6" customHeight="1" x14ac:dyDescent="0.2">
      <c r="A684" s="48" t="s">
        <v>3689</v>
      </c>
      <c r="B684" s="1357"/>
      <c r="C684" s="1749"/>
      <c r="D684" s="1736" t="s">
        <v>3270</v>
      </c>
      <c r="E684" s="1736" t="s">
        <v>2616</v>
      </c>
      <c r="F684" s="1747"/>
      <c r="G684" s="1747"/>
      <c r="H684" s="1747"/>
      <c r="I684" s="1747"/>
      <c r="J684" s="1747"/>
      <c r="K684" s="1750" t="s">
        <v>403</v>
      </c>
      <c r="L684" s="1747" t="s">
        <v>2576</v>
      </c>
      <c r="M684" s="1747"/>
      <c r="N684" s="1747"/>
      <c r="O684" s="1747"/>
      <c r="P684" s="1747"/>
      <c r="Q684" s="1747"/>
      <c r="R684" s="1747"/>
      <c r="S684" s="1747"/>
      <c r="T684" s="1747"/>
      <c r="U684" s="1747"/>
      <c r="V684" s="1747"/>
      <c r="W684" s="1751">
        <f>+AE684*1.3*C684</f>
        <v>0</v>
      </c>
      <c r="X684" s="1895">
        <f>ROUNDUP(W684,0)</f>
        <v>0</v>
      </c>
      <c r="Y684" s="3756"/>
      <c r="Z684" s="1083" t="s">
        <v>397</v>
      </c>
      <c r="AA684" s="3260" t="s">
        <v>2620</v>
      </c>
      <c r="AB684" s="2725">
        <v>1</v>
      </c>
      <c r="AC684" s="2726">
        <v>375</v>
      </c>
      <c r="AD684" s="2727">
        <f>+AC684*AB684</f>
        <v>375</v>
      </c>
      <c r="AE684" s="2727">
        <v>375</v>
      </c>
      <c r="AF684" s="2727">
        <f>+AE684+AD684</f>
        <v>750</v>
      </c>
      <c r="AG684" s="1149"/>
      <c r="AH684" s="902"/>
      <c r="AI684" s="923">
        <f>+W684-AE684</f>
        <v>-375</v>
      </c>
      <c r="AJ684" s="924" t="e">
        <f>+AI684/W684</f>
        <v>#DIV/0!</v>
      </c>
    </row>
    <row r="685" spans="1:36" s="48" customFormat="1" ht="12.6" customHeight="1" x14ac:dyDescent="0.2">
      <c r="A685" s="48" t="s">
        <v>3689</v>
      </c>
      <c r="B685" s="1357"/>
      <c r="C685" s="1749"/>
      <c r="D685" s="1736" t="s">
        <v>3412</v>
      </c>
      <c r="E685" s="1736" t="s">
        <v>3414</v>
      </c>
      <c r="F685" s="1747" t="s">
        <v>3413</v>
      </c>
      <c r="G685" s="1747"/>
      <c r="H685" s="1747"/>
      <c r="I685" s="1747"/>
      <c r="J685" s="1747"/>
      <c r="K685" s="1750"/>
      <c r="L685" s="1747"/>
      <c r="M685" s="1747"/>
      <c r="N685" s="1747"/>
      <c r="O685" s="1747"/>
      <c r="P685" s="1747"/>
      <c r="Q685" s="1747"/>
      <c r="R685" s="1747"/>
      <c r="S685" s="1747"/>
      <c r="T685" s="1747"/>
      <c r="U685" s="1747"/>
      <c r="V685" s="1747"/>
      <c r="W685" s="1751">
        <f>+AE685*1.5*C685</f>
        <v>0</v>
      </c>
      <c r="X685" s="1895">
        <f>ROUNDUP(W685,0)</f>
        <v>0</v>
      </c>
      <c r="Y685" s="3756"/>
      <c r="Z685" s="2948" t="s">
        <v>397</v>
      </c>
      <c r="AA685" s="3261" t="s">
        <v>3415</v>
      </c>
      <c r="AB685" s="2949">
        <v>1</v>
      </c>
      <c r="AC685" s="2730">
        <v>38.32</v>
      </c>
      <c r="AD685" s="2730">
        <f>+AC685</f>
        <v>38.32</v>
      </c>
      <c r="AE685" s="2950">
        <f>+AD685</f>
        <v>38.32</v>
      </c>
      <c r="AF685" s="2730"/>
      <c r="AG685" s="2951"/>
      <c r="AH685" s="2952"/>
      <c r="AI685" s="2953"/>
      <c r="AJ685" s="2954"/>
    </row>
    <row r="686" spans="1:36" s="1021" customFormat="1" ht="12.6" customHeight="1" x14ac:dyDescent="0.2">
      <c r="A686" s="48" t="s">
        <v>3689</v>
      </c>
      <c r="B686" s="1370"/>
      <c r="C686" s="1744"/>
      <c r="D686" s="1759" t="s">
        <v>364</v>
      </c>
      <c r="E686" s="1759" t="s">
        <v>2991</v>
      </c>
      <c r="F686" s="1752"/>
      <c r="G686" s="1752"/>
      <c r="H686" s="1752"/>
      <c r="I686" s="1752"/>
      <c r="J686" s="1752"/>
      <c r="K686" s="1752"/>
      <c r="L686" s="1752"/>
      <c r="M686" s="1752"/>
      <c r="N686" s="1752"/>
      <c r="O686" s="1752"/>
      <c r="P686" s="1759"/>
      <c r="Q686" s="1759"/>
      <c r="R686" s="1759"/>
      <c r="S686" s="1753"/>
      <c r="T686" s="1753"/>
      <c r="U686" s="1781"/>
      <c r="V686" s="1782"/>
      <c r="W686" s="1733">
        <f>+AE686*1.5*C686</f>
        <v>0</v>
      </c>
      <c r="X686" s="2270">
        <f>ROUNDUP(W686,0)</f>
        <v>0</v>
      </c>
      <c r="Y686" s="3756"/>
      <c r="Z686" s="1323" t="s">
        <v>2992</v>
      </c>
      <c r="AA686" s="2771"/>
      <c r="AB686" s="2772">
        <v>1</v>
      </c>
      <c r="AC686" s="2773">
        <v>320.45999999999998</v>
      </c>
      <c r="AD686" s="2773">
        <f>+AC686</f>
        <v>320.45999999999998</v>
      </c>
      <c r="AE686" s="2774">
        <f>+AC686*AB686</f>
        <v>320.45999999999998</v>
      </c>
      <c r="AF686" s="2689"/>
      <c r="AG686" s="1173"/>
      <c r="AH686" s="1324">
        <f>+W686-AE686</f>
        <v>-320.45999999999998</v>
      </c>
      <c r="AI686" s="1325" t="e">
        <f>+AH686/W686</f>
        <v>#DIV/0!</v>
      </c>
    </row>
    <row r="687" spans="1:36" s="48" customFormat="1" ht="12.6" customHeight="1" x14ac:dyDescent="0.2">
      <c r="A687" s="48" t="s">
        <v>3689</v>
      </c>
      <c r="B687" s="1370"/>
      <c r="C687" s="1789"/>
      <c r="D687" s="1737" t="s">
        <v>364</v>
      </c>
      <c r="E687" s="1737" t="s">
        <v>2386</v>
      </c>
      <c r="F687" s="1738"/>
      <c r="G687" s="1738"/>
      <c r="H687" s="1738"/>
      <c r="I687" s="1738"/>
      <c r="J687" s="1738"/>
      <c r="K687" s="1737"/>
      <c r="L687" s="1738" t="s">
        <v>307</v>
      </c>
      <c r="M687" s="1738"/>
      <c r="N687" s="1738"/>
      <c r="O687" s="1738"/>
      <c r="P687" s="1737"/>
      <c r="Q687" s="1737"/>
      <c r="R687" s="1737"/>
      <c r="S687" s="1737"/>
      <c r="T687" s="1737"/>
      <c r="U687" s="1737"/>
      <c r="V687" s="1741"/>
      <c r="W687" s="1758">
        <f>+AC687*1.4*C687</f>
        <v>0</v>
      </c>
      <c r="X687" s="1895">
        <f t="shared" ref="X687:X693" si="232">+ROUNDUP(W687,0)</f>
        <v>0</v>
      </c>
      <c r="Y687" s="3756"/>
      <c r="Z687" s="61" t="s">
        <v>397</v>
      </c>
      <c r="AA687" s="3190" t="s">
        <v>2388</v>
      </c>
      <c r="AB687" s="2775">
        <v>1</v>
      </c>
      <c r="AC687" s="2625">
        <v>387.84</v>
      </c>
      <c r="AD687" s="2734">
        <f t="shared" si="229"/>
        <v>387.84</v>
      </c>
      <c r="AE687" s="2774">
        <f t="shared" ref="AE687:AE696" si="233">+AC687*AB687</f>
        <v>387.84</v>
      </c>
      <c r="AF687" s="2624"/>
      <c r="AG687" s="1148"/>
      <c r="AH687" s="42"/>
      <c r="AI687" s="43"/>
      <c r="AJ687" s="49"/>
    </row>
    <row r="688" spans="1:36" s="48" customFormat="1" ht="12.6" customHeight="1" x14ac:dyDescent="0.2">
      <c r="A688" s="48" t="s">
        <v>3689</v>
      </c>
      <c r="B688" s="1370"/>
      <c r="C688" s="1735"/>
      <c r="D688" s="1737" t="s">
        <v>364</v>
      </c>
      <c r="E688" s="1737" t="s">
        <v>2386</v>
      </c>
      <c r="F688" s="2234" t="s">
        <v>2869</v>
      </c>
      <c r="G688" s="1738" t="s">
        <v>2870</v>
      </c>
      <c r="H688" s="1738"/>
      <c r="I688" s="1738"/>
      <c r="J688" s="1738"/>
      <c r="K688" s="1737">
        <v>630</v>
      </c>
      <c r="L688" s="1738" t="s">
        <v>307</v>
      </c>
      <c r="M688" s="1738"/>
      <c r="N688" s="1738"/>
      <c r="O688" s="1738"/>
      <c r="P688" s="1737"/>
      <c r="Q688" s="1737"/>
      <c r="R688" s="1737"/>
      <c r="S688" s="1737"/>
      <c r="T688" s="1737"/>
      <c r="U688" s="1737"/>
      <c r="V688" s="1741"/>
      <c r="W688" s="1758">
        <f>+AC688*1.4*C688</f>
        <v>0</v>
      </c>
      <c r="X688" s="1895">
        <f t="shared" si="232"/>
        <v>0</v>
      </c>
      <c r="Y688" s="3756"/>
      <c r="Z688" s="61" t="s">
        <v>397</v>
      </c>
      <c r="AA688" s="3190" t="s">
        <v>2870</v>
      </c>
      <c r="AB688" s="2775">
        <v>1</v>
      </c>
      <c r="AC688" s="2625">
        <v>414</v>
      </c>
      <c r="AD688" s="2734">
        <f>+AC688*AB688</f>
        <v>414</v>
      </c>
      <c r="AE688" s="2774">
        <f t="shared" si="233"/>
        <v>414</v>
      </c>
      <c r="AF688" s="2624"/>
      <c r="AG688" s="1148"/>
      <c r="AH688" s="42"/>
      <c r="AI688" s="43"/>
      <c r="AJ688" s="49"/>
    </row>
    <row r="689" spans="1:44" s="48" customFormat="1" ht="12.6" customHeight="1" x14ac:dyDescent="0.2">
      <c r="A689" s="48" t="s">
        <v>3689</v>
      </c>
      <c r="B689" s="1370"/>
      <c r="C689" s="1735"/>
      <c r="D689" s="1737" t="s">
        <v>364</v>
      </c>
      <c r="E689" s="1737" t="s">
        <v>2386</v>
      </c>
      <c r="F689" s="2234"/>
      <c r="G689" s="1738"/>
      <c r="H689" s="1738"/>
      <c r="I689" s="1738"/>
      <c r="J689" s="1738"/>
      <c r="K689" s="1737"/>
      <c r="L689" s="1738" t="s">
        <v>2387</v>
      </c>
      <c r="M689" s="1738"/>
      <c r="N689" s="1738"/>
      <c r="O689" s="1738"/>
      <c r="P689" s="1737"/>
      <c r="Q689" s="1737"/>
      <c r="R689" s="1737"/>
      <c r="S689" s="1737"/>
      <c r="T689" s="1737"/>
      <c r="U689" s="1737"/>
      <c r="V689" s="1741"/>
      <c r="W689" s="1758">
        <f>+AC689*1.4*C689</f>
        <v>0</v>
      </c>
      <c r="X689" s="1895">
        <f t="shared" si="232"/>
        <v>0</v>
      </c>
      <c r="Y689" s="3756"/>
      <c r="Z689" s="61" t="s">
        <v>397</v>
      </c>
      <c r="AA689" s="3190" t="s">
        <v>2388</v>
      </c>
      <c r="AB689" s="2775">
        <v>1</v>
      </c>
      <c r="AC689" s="2625">
        <v>387.84</v>
      </c>
      <c r="AD689" s="2734">
        <f t="shared" si="229"/>
        <v>387.84</v>
      </c>
      <c r="AE689" s="2774">
        <f t="shared" si="233"/>
        <v>387.84</v>
      </c>
      <c r="AF689" s="2624"/>
      <c r="AG689" s="1148"/>
      <c r="AH689" s="42"/>
      <c r="AI689" s="43"/>
    </row>
    <row r="690" spans="1:44" s="48" customFormat="1" ht="13.2" customHeight="1" x14ac:dyDescent="0.2">
      <c r="A690" s="48" t="s">
        <v>3689</v>
      </c>
      <c r="B690" s="1725"/>
      <c r="C690" s="1955"/>
      <c r="D690" s="1917" t="s">
        <v>364</v>
      </c>
      <c r="E690" s="1737" t="s">
        <v>2386</v>
      </c>
      <c r="F690" s="2236" t="s">
        <v>307</v>
      </c>
      <c r="G690" s="1776"/>
      <c r="H690" s="2886" t="s">
        <v>3277</v>
      </c>
      <c r="I690" s="1917" t="s">
        <v>3276</v>
      </c>
      <c r="J690" s="1918" t="s">
        <v>3495</v>
      </c>
      <c r="K690" s="1916">
        <v>630</v>
      </c>
      <c r="L690" s="2204"/>
      <c r="M690" s="1917"/>
      <c r="N690" s="1917"/>
      <c r="O690" s="1918"/>
      <c r="P690" s="1779"/>
      <c r="Q690" s="1779"/>
      <c r="R690" s="1779"/>
      <c r="S690" s="1779"/>
      <c r="T690" s="1779"/>
      <c r="U690" s="1779"/>
      <c r="V690" s="2015"/>
      <c r="W690" s="2018">
        <f>+AD690*1.75*C690</f>
        <v>0</v>
      </c>
      <c r="X690" s="2019">
        <f t="shared" si="232"/>
        <v>0</v>
      </c>
      <c r="Y690" s="3756"/>
      <c r="Z690" s="61" t="s">
        <v>2447</v>
      </c>
      <c r="AA690" s="3220" t="s">
        <v>3496</v>
      </c>
      <c r="AB690" s="2776">
        <v>1</v>
      </c>
      <c r="AC690" s="2777">
        <v>121.05</v>
      </c>
      <c r="AD690" s="2634">
        <v>121.05</v>
      </c>
      <c r="AE690" s="2774">
        <f t="shared" si="233"/>
        <v>121.05</v>
      </c>
      <c r="AF690" s="2624"/>
      <c r="AG690" s="1148"/>
      <c r="AH690" s="42">
        <f t="shared" ref="AH690:AH696" si="234">+X690-AD690</f>
        <v>-121.05</v>
      </c>
      <c r="AI690" s="43" t="e">
        <f t="shared" ref="AI690:AI696" si="235">+AH690/X690</f>
        <v>#DIV/0!</v>
      </c>
    </row>
    <row r="691" spans="1:44" s="48" customFormat="1" ht="12.6" customHeight="1" x14ac:dyDescent="0.2">
      <c r="A691" s="48" t="s">
        <v>3689</v>
      </c>
      <c r="B691" s="1725"/>
      <c r="C691" s="1955"/>
      <c r="D691" s="1917" t="s">
        <v>364</v>
      </c>
      <c r="E691" s="1737" t="s">
        <v>2386</v>
      </c>
      <c r="F691" s="2236" t="s">
        <v>376</v>
      </c>
      <c r="G691" s="1776"/>
      <c r="H691" s="1918"/>
      <c r="I691" s="1918"/>
      <c r="J691" s="1918" t="s">
        <v>2615</v>
      </c>
      <c r="K691" s="1916">
        <v>630</v>
      </c>
      <c r="L691" s="1917" t="s">
        <v>2449</v>
      </c>
      <c r="M691" s="1917"/>
      <c r="N691" s="1917"/>
      <c r="O691" s="1918"/>
      <c r="P691" s="1779"/>
      <c r="Q691" s="1779"/>
      <c r="R691" s="1779"/>
      <c r="S691" s="1779"/>
      <c r="T691" s="1779"/>
      <c r="U691" s="1779"/>
      <c r="V691" s="2015"/>
      <c r="W691" s="2018">
        <f>+AD691*1.6*C691</f>
        <v>0</v>
      </c>
      <c r="X691" s="2019">
        <f>+ROUNDUP(W691,0)</f>
        <v>0</v>
      </c>
      <c r="Y691" s="3756"/>
      <c r="Z691" s="61" t="s">
        <v>2447</v>
      </c>
      <c r="AA691" s="3190" t="s">
        <v>2448</v>
      </c>
      <c r="AB691" s="2776">
        <v>1</v>
      </c>
      <c r="AC691" s="2777">
        <v>289.89</v>
      </c>
      <c r="AD691" s="2634">
        <f t="shared" ref="AD691:AD696" si="236">+AC691*AB691</f>
        <v>289.89</v>
      </c>
      <c r="AE691" s="2774">
        <f t="shared" si="233"/>
        <v>289.89</v>
      </c>
      <c r="AF691" s="2624"/>
      <c r="AG691" s="1148"/>
      <c r="AH691" s="42">
        <f t="shared" si="234"/>
        <v>-289.89</v>
      </c>
      <c r="AI691" s="43" t="e">
        <f t="shared" si="235"/>
        <v>#DIV/0!</v>
      </c>
    </row>
    <row r="692" spans="1:44" s="48" customFormat="1" ht="13.8" customHeight="1" x14ac:dyDescent="0.25">
      <c r="A692" s="48" t="s">
        <v>3689</v>
      </c>
      <c r="B692" s="1357"/>
      <c r="C692" s="1845"/>
      <c r="D692" s="1791" t="s">
        <v>364</v>
      </c>
      <c r="E692" s="1737" t="s">
        <v>2386</v>
      </c>
      <c r="F692" s="1982" t="s">
        <v>376</v>
      </c>
      <c r="G692" s="1776"/>
      <c r="H692" s="1776"/>
      <c r="I692" s="1776"/>
      <c r="J692" s="1776" t="s">
        <v>2733</v>
      </c>
      <c r="K692" s="1777">
        <v>630</v>
      </c>
      <c r="L692" s="1791" t="s">
        <v>2732</v>
      </c>
      <c r="M692" s="1791"/>
      <c r="N692" s="1791"/>
      <c r="O692" s="1776"/>
      <c r="P692" s="1737"/>
      <c r="Q692" s="1737"/>
      <c r="R692" s="1737"/>
      <c r="S692" s="1864" t="s">
        <v>2734</v>
      </c>
      <c r="T692" s="1737"/>
      <c r="U692" s="1737"/>
      <c r="V692" s="1741"/>
      <c r="W692" s="1742">
        <f>+AD692*1.5*C692</f>
        <v>0</v>
      </c>
      <c r="X692" s="1895">
        <f t="shared" si="232"/>
        <v>0</v>
      </c>
      <c r="Y692" s="3756"/>
      <c r="Z692" s="61" t="s">
        <v>2735</v>
      </c>
      <c r="AA692" s="3190" t="s">
        <v>2736</v>
      </c>
      <c r="AB692" s="2775">
        <v>1</v>
      </c>
      <c r="AC692" s="2625">
        <v>601</v>
      </c>
      <c r="AD692" s="2634">
        <f t="shared" si="236"/>
        <v>601</v>
      </c>
      <c r="AE692" s="2774">
        <f t="shared" si="233"/>
        <v>601</v>
      </c>
      <c r="AF692" s="2624"/>
      <c r="AG692" s="1148"/>
      <c r="AH692" s="42">
        <f t="shared" si="234"/>
        <v>-601</v>
      </c>
      <c r="AI692" s="43" t="e">
        <f t="shared" si="235"/>
        <v>#DIV/0!</v>
      </c>
    </row>
    <row r="693" spans="1:44" s="48" customFormat="1" ht="12.6" customHeight="1" x14ac:dyDescent="0.2">
      <c r="A693" s="48" t="s">
        <v>3689</v>
      </c>
      <c r="B693" s="1357"/>
      <c r="C693" s="1735"/>
      <c r="D693" s="1828" t="s">
        <v>364</v>
      </c>
      <c r="E693" s="1737" t="s">
        <v>2386</v>
      </c>
      <c r="F693" s="1982" t="s">
        <v>376</v>
      </c>
      <c r="G693" s="1776" t="s">
        <v>2951</v>
      </c>
      <c r="H693" s="1776"/>
      <c r="I693" s="1776"/>
      <c r="J693" s="1776" t="s">
        <v>2950</v>
      </c>
      <c r="K693" s="1777">
        <v>630</v>
      </c>
      <c r="L693" s="1791" t="s">
        <v>3060</v>
      </c>
      <c r="M693" s="1791"/>
      <c r="N693" s="1791"/>
      <c r="O693" s="1776"/>
      <c r="P693" s="1737"/>
      <c r="Q693" s="1737"/>
      <c r="R693" s="1737"/>
      <c r="S693" s="1737"/>
      <c r="T693" s="1737"/>
      <c r="U693" s="1737"/>
      <c r="V693" s="1741"/>
      <c r="W693" s="1742">
        <f>+AD693*1.5*C693</f>
        <v>0</v>
      </c>
      <c r="X693" s="1895">
        <f t="shared" si="232"/>
        <v>0</v>
      </c>
      <c r="Y693" s="3756"/>
      <c r="Z693" s="61" t="s">
        <v>2447</v>
      </c>
      <c r="AA693" s="3190" t="s">
        <v>2952</v>
      </c>
      <c r="AB693" s="2775">
        <v>1</v>
      </c>
      <c r="AC693" s="2625">
        <v>289.89</v>
      </c>
      <c r="AD693" s="2634">
        <f t="shared" si="236"/>
        <v>289.89</v>
      </c>
      <c r="AE693" s="2774">
        <f t="shared" si="233"/>
        <v>289.89</v>
      </c>
      <c r="AF693" s="2624"/>
      <c r="AG693" s="1148"/>
      <c r="AH693" s="42">
        <f t="shared" si="234"/>
        <v>-289.89</v>
      </c>
      <c r="AI693" s="43" t="e">
        <f t="shared" si="235"/>
        <v>#DIV/0!</v>
      </c>
    </row>
    <row r="694" spans="1:44" s="845" customFormat="1" ht="25.2" customHeight="1" x14ac:dyDescent="0.2">
      <c r="A694" s="48" t="s">
        <v>3689</v>
      </c>
      <c r="B694" s="1357"/>
      <c r="C694" s="1862"/>
      <c r="D694" s="2237" t="s">
        <v>364</v>
      </c>
      <c r="E694" s="2237" t="s">
        <v>365</v>
      </c>
      <c r="F694" s="2846" t="s">
        <v>3354</v>
      </c>
      <c r="G694" s="1865"/>
      <c r="H694" s="2238"/>
      <c r="I694" s="2238"/>
      <c r="J694" s="2237" t="s">
        <v>3267</v>
      </c>
      <c r="K694" s="2237"/>
      <c r="L694" s="2237"/>
      <c r="M694" s="1736"/>
      <c r="N694" s="1752"/>
      <c r="O694" s="1736"/>
      <c r="P694" s="1736"/>
      <c r="Q694" s="1736"/>
      <c r="R694" s="1736"/>
      <c r="S694" s="1866"/>
      <c r="T694" s="1866"/>
      <c r="U694" s="1866"/>
      <c r="V694" s="1866"/>
      <c r="W694" s="1867">
        <f>+AD694*2.2*C694</f>
        <v>0</v>
      </c>
      <c r="X694" s="2240">
        <f t="shared" ref="X694:X702" si="237">ROUNDUP(W694,0)</f>
        <v>0</v>
      </c>
      <c r="Y694" s="3756"/>
      <c r="Z694" s="846" t="s">
        <v>3268</v>
      </c>
      <c r="AA694" s="3262" t="s">
        <v>3269</v>
      </c>
      <c r="AB694" s="2779">
        <v>1</v>
      </c>
      <c r="AC694" s="2778">
        <v>100</v>
      </c>
      <c r="AD694" s="2634">
        <f t="shared" si="236"/>
        <v>100</v>
      </c>
      <c r="AE694" s="2774">
        <f t="shared" si="233"/>
        <v>100</v>
      </c>
      <c r="AF694" s="2778"/>
      <c r="AG694" s="1181"/>
      <c r="AH694" s="42">
        <f t="shared" si="234"/>
        <v>-100</v>
      </c>
      <c r="AI694" s="43" t="e">
        <f t="shared" si="235"/>
        <v>#DIV/0!</v>
      </c>
    </row>
    <row r="695" spans="1:44" s="845" customFormat="1" ht="25.2" customHeight="1" x14ac:dyDescent="0.2">
      <c r="A695" s="48" t="s">
        <v>3689</v>
      </c>
      <c r="B695" s="1357"/>
      <c r="C695" s="1862"/>
      <c r="D695" s="2237" t="s">
        <v>364</v>
      </c>
      <c r="E695" s="2237" t="s">
        <v>3273</v>
      </c>
      <c r="F695" s="2238"/>
      <c r="G695" s="1865"/>
      <c r="H695" s="2238"/>
      <c r="I695" s="2237" t="s">
        <v>3274</v>
      </c>
      <c r="J695" s="2237"/>
      <c r="K695" s="2237"/>
      <c r="L695" s="2237"/>
      <c r="M695" s="1736"/>
      <c r="N695" s="1752"/>
      <c r="O695" s="1736"/>
      <c r="P695" s="1736"/>
      <c r="Q695" s="1736"/>
      <c r="R695" s="1736"/>
      <c r="S695" s="1866"/>
      <c r="T695" s="1866"/>
      <c r="U695" s="1866"/>
      <c r="V695" s="1866"/>
      <c r="W695" s="1867">
        <f t="shared" ref="W695:W701" si="238">+AD695*1.85*C695</f>
        <v>0</v>
      </c>
      <c r="X695" s="2240">
        <f t="shared" si="237"/>
        <v>0</v>
      </c>
      <c r="Y695" s="3756"/>
      <c r="Z695" s="846" t="s">
        <v>3271</v>
      </c>
      <c r="AA695" s="3262" t="s">
        <v>3272</v>
      </c>
      <c r="AB695" s="2779">
        <v>1</v>
      </c>
      <c r="AC695" s="2778">
        <v>55.24</v>
      </c>
      <c r="AD695" s="2634">
        <f t="shared" si="236"/>
        <v>55.24</v>
      </c>
      <c r="AE695" s="2774">
        <f t="shared" ref="AE695" si="239">+AC695*AB695</f>
        <v>55.24</v>
      </c>
      <c r="AF695" s="2778"/>
      <c r="AG695" s="1181"/>
      <c r="AH695" s="42">
        <f t="shared" ref="AH695" si="240">+X695-AD695</f>
        <v>-55.24</v>
      </c>
      <c r="AI695" s="43" t="e">
        <f t="shared" ref="AI695" si="241">+AH695/X695</f>
        <v>#DIV/0!</v>
      </c>
    </row>
    <row r="696" spans="1:44" s="845" customFormat="1" ht="17.399999999999999" customHeight="1" x14ac:dyDescent="0.2">
      <c r="A696" s="48" t="s">
        <v>3689</v>
      </c>
      <c r="B696" s="1357"/>
      <c r="C696" s="1744"/>
      <c r="D696" s="1759" t="s">
        <v>364</v>
      </c>
      <c r="E696" s="1759" t="s">
        <v>366</v>
      </c>
      <c r="F696" s="1752"/>
      <c r="G696" s="1752"/>
      <c r="H696" s="1752"/>
      <c r="I696" s="1752"/>
      <c r="J696" s="1752" t="s">
        <v>2696</v>
      </c>
      <c r="K696" s="1752"/>
      <c r="L696" s="1752"/>
      <c r="M696" s="1752"/>
      <c r="N696" s="1752"/>
      <c r="O696" s="1752"/>
      <c r="P696" s="1752"/>
      <c r="Q696" s="1752"/>
      <c r="R696" s="1752"/>
      <c r="S696" s="1868"/>
      <c r="T696" s="1868"/>
      <c r="U696" s="1866"/>
      <c r="V696" s="1866"/>
      <c r="W696" s="1869">
        <f t="shared" si="238"/>
        <v>0</v>
      </c>
      <c r="X696" s="1733">
        <f t="shared" si="237"/>
        <v>0</v>
      </c>
      <c r="Y696" s="3756"/>
      <c r="Z696" s="846"/>
      <c r="AA696" s="3262"/>
      <c r="AB696" s="2779">
        <v>1</v>
      </c>
      <c r="AC696" s="2778">
        <v>250</v>
      </c>
      <c r="AD696" s="2634">
        <f t="shared" si="236"/>
        <v>250</v>
      </c>
      <c r="AE696" s="2774">
        <f t="shared" si="233"/>
        <v>250</v>
      </c>
      <c r="AF696" s="2778"/>
      <c r="AG696" s="1181"/>
      <c r="AH696" s="42">
        <f t="shared" si="234"/>
        <v>-250</v>
      </c>
      <c r="AI696" s="43" t="e">
        <f t="shared" si="235"/>
        <v>#DIV/0!</v>
      </c>
    </row>
    <row r="697" spans="1:44" s="845" customFormat="1" ht="17.399999999999999" customHeight="1" x14ac:dyDescent="0.2">
      <c r="A697" s="48" t="s">
        <v>3689</v>
      </c>
      <c r="B697" s="1357"/>
      <c r="C697" s="1749"/>
      <c r="D697" s="1736" t="s">
        <v>364</v>
      </c>
      <c r="E697" s="1736" t="s">
        <v>366</v>
      </c>
      <c r="F697" s="1747"/>
      <c r="G697" s="1747"/>
      <c r="H697" s="1747"/>
      <c r="I697" s="1747"/>
      <c r="J697" s="1747" t="s">
        <v>372</v>
      </c>
      <c r="K697" s="1747"/>
      <c r="L697" s="1747"/>
      <c r="M697" s="1747"/>
      <c r="N697" s="1752"/>
      <c r="O697" s="1747"/>
      <c r="P697" s="1747"/>
      <c r="Q697" s="1747"/>
      <c r="R697" s="1747"/>
      <c r="S697" s="1866"/>
      <c r="T697" s="1866"/>
      <c r="U697" s="1866"/>
      <c r="V697" s="1866"/>
      <c r="W697" s="1867">
        <f t="shared" si="238"/>
        <v>0</v>
      </c>
      <c r="X697" s="1751">
        <f t="shared" si="237"/>
        <v>0</v>
      </c>
      <c r="Y697" s="3756"/>
      <c r="Z697" s="846"/>
      <c r="AA697" s="3262"/>
      <c r="AB697" s="2779"/>
      <c r="AC697" s="2778"/>
      <c r="AD697" s="2778"/>
      <c r="AE697" s="2778"/>
      <c r="AF697" s="2778"/>
      <c r="AG697" s="1181"/>
      <c r="AH697" s="849"/>
      <c r="AI697" s="850"/>
    </row>
    <row r="698" spans="1:44" s="1012" customFormat="1" ht="21" customHeight="1" x14ac:dyDescent="0.2">
      <c r="A698" s="48" t="s">
        <v>3689</v>
      </c>
      <c r="B698" s="1357"/>
      <c r="C698" s="1744"/>
      <c r="D698" s="1759" t="s">
        <v>364</v>
      </c>
      <c r="E698" s="1759" t="s">
        <v>2611</v>
      </c>
      <c r="F698" s="1752"/>
      <c r="G698" s="1752"/>
      <c r="H698" s="1752"/>
      <c r="I698" s="1752"/>
      <c r="J698" s="1752" t="s">
        <v>2612</v>
      </c>
      <c r="K698" s="1757" t="s">
        <v>2623</v>
      </c>
      <c r="L698" s="1752"/>
      <c r="M698" s="1752"/>
      <c r="N698" s="1752"/>
      <c r="O698" s="1752"/>
      <c r="P698" s="1747"/>
      <c r="Q698" s="1747"/>
      <c r="R698" s="1747"/>
      <c r="S698" s="1866"/>
      <c r="T698" s="1866"/>
      <c r="U698" s="1866"/>
      <c r="V698" s="1866"/>
      <c r="W698" s="1867">
        <f t="shared" si="238"/>
        <v>0</v>
      </c>
      <c r="X698" s="1733">
        <f t="shared" si="237"/>
        <v>0</v>
      </c>
      <c r="Y698" s="3756"/>
      <c r="Z698" s="1013" t="s">
        <v>2613</v>
      </c>
      <c r="AA698" s="2780" t="s">
        <v>2614</v>
      </c>
      <c r="AB698" s="2781">
        <v>1</v>
      </c>
      <c r="AC698" s="2782">
        <v>250</v>
      </c>
      <c r="AD698" s="2782">
        <f>+AB698*AC698</f>
        <v>250</v>
      </c>
      <c r="AE698" s="2782"/>
      <c r="AF698" s="2782"/>
      <c r="AG698" s="1182"/>
      <c r="AH698" s="1013">
        <f>+W698-(AD698*2)</f>
        <v>-500</v>
      </c>
      <c r="AI698" s="1015" t="e">
        <f>+AH698/X698</f>
        <v>#DIV/0!</v>
      </c>
    </row>
    <row r="699" spans="1:44" s="845" customFormat="1" ht="17.399999999999999" customHeight="1" thickBot="1" x14ac:dyDescent="0.25">
      <c r="A699" s="48" t="s">
        <v>3689</v>
      </c>
      <c r="B699" s="1357"/>
      <c r="C699" s="1744"/>
      <c r="D699" s="1736" t="s">
        <v>364</v>
      </c>
      <c r="E699" s="1736" t="s">
        <v>366</v>
      </c>
      <c r="F699" s="1747"/>
      <c r="G699" s="1747" t="s">
        <v>3149</v>
      </c>
      <c r="H699" s="1752"/>
      <c r="I699" s="1747"/>
      <c r="J699" s="1747"/>
      <c r="K699" s="1865"/>
      <c r="L699" s="1870"/>
      <c r="M699" s="1870"/>
      <c r="N699" s="1865"/>
      <c r="O699" s="1871"/>
      <c r="P699" s="1872"/>
      <c r="Q699" s="1870"/>
      <c r="R699" s="1873"/>
      <c r="S699" s="1749"/>
      <c r="T699" s="1736"/>
      <c r="U699" s="1736"/>
      <c r="V699" s="1747"/>
      <c r="W699" s="1867">
        <f t="shared" si="238"/>
        <v>0</v>
      </c>
      <c r="X699" s="1733">
        <f t="shared" si="237"/>
        <v>0</v>
      </c>
      <c r="Y699" s="3756"/>
      <c r="Z699" s="846" t="s">
        <v>2613</v>
      </c>
      <c r="AA699" s="3262" t="s">
        <v>3150</v>
      </c>
      <c r="AB699" s="2779">
        <v>0.01</v>
      </c>
      <c r="AC699" s="2778">
        <v>350</v>
      </c>
      <c r="AD699" s="2778">
        <f>+AC699</f>
        <v>350</v>
      </c>
      <c r="AE699" s="2783"/>
      <c r="AF699" s="2784"/>
      <c r="AG699" s="1718"/>
      <c r="AH699" s="1013"/>
      <c r="AI699" s="846"/>
      <c r="AJ699" s="847"/>
      <c r="AK699" s="848"/>
      <c r="AL699" s="846"/>
      <c r="AM699" s="846"/>
      <c r="AN699" s="846"/>
      <c r="AO699" s="846"/>
      <c r="AP699" s="846"/>
      <c r="AQ699" s="849"/>
      <c r="AR699" s="850"/>
    </row>
    <row r="700" spans="1:44" s="845" customFormat="1" ht="17.399999999999999" customHeight="1" thickBot="1" x14ac:dyDescent="0.25">
      <c r="A700" s="48" t="s">
        <v>3689</v>
      </c>
      <c r="B700" s="1725"/>
      <c r="C700" s="1862"/>
      <c r="D700" s="2237" t="s">
        <v>364</v>
      </c>
      <c r="E700" s="2237" t="s">
        <v>366</v>
      </c>
      <c r="F700" s="1980"/>
      <c r="G700" s="1747"/>
      <c r="H700" s="1980"/>
      <c r="I700" s="1980"/>
      <c r="J700" s="3321" t="s">
        <v>2532</v>
      </c>
      <c r="K700" s="1980"/>
      <c r="L700" s="1747"/>
      <c r="M700" s="1747"/>
      <c r="N700" s="1747"/>
      <c r="O700" s="1747"/>
      <c r="P700" s="1747"/>
      <c r="Q700" s="1747"/>
      <c r="R700" s="1747"/>
      <c r="S700" s="1866"/>
      <c r="T700" s="1866"/>
      <c r="U700" s="1866"/>
      <c r="V700" s="1866"/>
      <c r="W700" s="1867">
        <f t="shared" si="238"/>
        <v>0</v>
      </c>
      <c r="X700" s="3322">
        <f t="shared" si="237"/>
        <v>0</v>
      </c>
      <c r="Y700" s="3758"/>
      <c r="Z700" s="846" t="s">
        <v>397</v>
      </c>
      <c r="AA700" s="3262" t="s">
        <v>2533</v>
      </c>
      <c r="AB700" s="2785">
        <v>1</v>
      </c>
      <c r="AC700" s="2786">
        <v>285</v>
      </c>
      <c r="AD700" s="2778">
        <f>+AC700*AB700</f>
        <v>285</v>
      </c>
      <c r="AE700" s="2778">
        <f>+AD700*C700</f>
        <v>0</v>
      </c>
      <c r="AF700" s="2778"/>
      <c r="AG700" s="1181"/>
      <c r="AH700" s="851">
        <f>+W700-AE700</f>
        <v>0</v>
      </c>
      <c r="AI700" s="850" t="e">
        <f>+AH700/X700</f>
        <v>#DIV/0!</v>
      </c>
    </row>
    <row r="701" spans="1:44" s="845" customFormat="1" ht="17.399999999999999" customHeight="1" x14ac:dyDescent="0.2">
      <c r="A701" s="48" t="s">
        <v>3689</v>
      </c>
      <c r="B701" s="1725"/>
      <c r="C701" s="1749"/>
      <c r="D701" s="1736" t="s">
        <v>364</v>
      </c>
      <c r="E701" s="1736" t="s">
        <v>366</v>
      </c>
      <c r="F701" s="1747"/>
      <c r="G701" s="1747"/>
      <c r="H701" s="1747"/>
      <c r="I701" s="1747"/>
      <c r="J701" s="1747" t="s">
        <v>2532</v>
      </c>
      <c r="K701" s="1747"/>
      <c r="L701" s="1747"/>
      <c r="M701" s="1747"/>
      <c r="N701" s="1747"/>
      <c r="O701" s="1747"/>
      <c r="P701" s="1747"/>
      <c r="Q701" s="1747"/>
      <c r="R701" s="1747"/>
      <c r="S701" s="1866"/>
      <c r="T701" s="1866"/>
      <c r="U701" s="1866"/>
      <c r="V701" s="1866"/>
      <c r="W701" s="1867">
        <f t="shared" si="238"/>
        <v>0</v>
      </c>
      <c r="X701" s="1751">
        <f>ROUNDUP(W701,0)</f>
        <v>0</v>
      </c>
      <c r="Y701" s="1892"/>
      <c r="Z701" s="846" t="s">
        <v>397</v>
      </c>
      <c r="AA701" s="3262" t="s">
        <v>2533</v>
      </c>
      <c r="AB701" s="2785">
        <v>1</v>
      </c>
      <c r="AC701" s="2786">
        <v>276</v>
      </c>
      <c r="AD701" s="2778">
        <f>+AC701*AB701</f>
        <v>276</v>
      </c>
      <c r="AE701" s="2778">
        <f>+AD701*C701</f>
        <v>0</v>
      </c>
      <c r="AF701" s="2778"/>
      <c r="AG701" s="1181"/>
      <c r="AH701" s="851">
        <f>+W701-AE701</f>
        <v>0</v>
      </c>
      <c r="AI701" s="850" t="e">
        <f>+AH701/X701</f>
        <v>#DIV/0!</v>
      </c>
    </row>
    <row r="702" spans="1:44" s="1012" customFormat="1" ht="17.399999999999999" customHeight="1" x14ac:dyDescent="0.2">
      <c r="A702" s="48" t="s">
        <v>3689</v>
      </c>
      <c r="B702" s="1381"/>
      <c r="C702" s="1757"/>
      <c r="D702" s="1759" t="s">
        <v>364</v>
      </c>
      <c r="E702" s="1759" t="s">
        <v>426</v>
      </c>
      <c r="F702" s="1752"/>
      <c r="G702" s="1752"/>
      <c r="H702" s="1752"/>
      <c r="I702" s="1752"/>
      <c r="J702" s="1752" t="s">
        <v>2622</v>
      </c>
      <c r="K702" s="1757" t="s">
        <v>2621</v>
      </c>
      <c r="L702" s="1752"/>
      <c r="M702" s="1752"/>
      <c r="N702" s="1752"/>
      <c r="O702" s="1752"/>
      <c r="P702" s="1747"/>
      <c r="Q702" s="1747"/>
      <c r="R702" s="1747"/>
      <c r="S702" s="1866"/>
      <c r="T702" s="1866"/>
      <c r="U702" s="1866"/>
      <c r="V702" s="1866"/>
      <c r="W702" s="1867">
        <f>+AD702*C702*2.5</f>
        <v>0</v>
      </c>
      <c r="X702" s="1733">
        <f t="shared" si="237"/>
        <v>0</v>
      </c>
      <c r="Y702" s="1892"/>
      <c r="Z702" s="1013" t="s">
        <v>397</v>
      </c>
      <c r="AA702" s="2787" t="s">
        <v>427</v>
      </c>
      <c r="AB702" s="2781">
        <v>1</v>
      </c>
      <c r="AC702" s="2782">
        <v>18.5</v>
      </c>
      <c r="AD702" s="2782">
        <f>+AC702*AB702</f>
        <v>18.5</v>
      </c>
      <c r="AE702" s="2782"/>
      <c r="AF702" s="2782"/>
      <c r="AG702" s="1182"/>
      <c r="AH702" s="1016">
        <f>+X702-AD702</f>
        <v>-18.5</v>
      </c>
      <c r="AI702" s="1015"/>
    </row>
    <row r="703" spans="1:44" s="206" customFormat="1" ht="17.399999999999999" customHeight="1" x14ac:dyDescent="0.2">
      <c r="A703" s="48" t="s">
        <v>3689</v>
      </c>
      <c r="B703" s="1370"/>
      <c r="C703" s="1735"/>
      <c r="D703" s="1737" t="s">
        <v>364</v>
      </c>
      <c r="E703" s="1771" t="s">
        <v>2568</v>
      </c>
      <c r="F703" s="1769"/>
      <c r="G703" s="1769" t="s">
        <v>120</v>
      </c>
      <c r="H703" s="1769"/>
      <c r="I703" s="1769"/>
      <c r="J703" s="1769" t="s">
        <v>2529</v>
      </c>
      <c r="K703" s="1769"/>
      <c r="L703" s="1769"/>
      <c r="M703" s="1769"/>
      <c r="N703" s="1738" t="s">
        <v>2575</v>
      </c>
      <c r="O703" s="1769"/>
      <c r="P703" s="1769"/>
      <c r="Q703" s="1769"/>
      <c r="R703" s="1769"/>
      <c r="S703" s="1874"/>
      <c r="T703" s="1874"/>
      <c r="U703" s="1874"/>
      <c r="V703" s="1874"/>
      <c r="W703" s="1875">
        <f>+AD703*C703*1.6</f>
        <v>0</v>
      </c>
      <c r="X703" s="1743">
        <f>+ROUNDUP(W703,0)</f>
        <v>0</v>
      </c>
      <c r="Y703" s="1892"/>
      <c r="Z703" s="899" t="s">
        <v>2569</v>
      </c>
      <c r="AA703" s="2788" t="s">
        <v>2570</v>
      </c>
      <c r="AB703" s="2789">
        <v>1</v>
      </c>
      <c r="AC703" s="2790">
        <v>240</v>
      </c>
      <c r="AD703" s="2790">
        <f>+AC703*AB703</f>
        <v>240</v>
      </c>
      <c r="AE703" s="2790">
        <f>+AD703*C703</f>
        <v>0</v>
      </c>
      <c r="AF703" s="2790"/>
      <c r="AG703" s="1170"/>
      <c r="AH703" s="905">
        <f>+W703-AE703</f>
        <v>0</v>
      </c>
      <c r="AI703" s="911" t="e">
        <f>+AH703/X703</f>
        <v>#DIV/0!</v>
      </c>
    </row>
    <row r="704" spans="1:44" s="1012" customFormat="1" ht="17.399999999999999" customHeight="1" x14ac:dyDescent="0.2">
      <c r="A704" s="48" t="s">
        <v>3689</v>
      </c>
      <c r="B704" s="1381"/>
      <c r="C704" s="1876"/>
      <c r="D704" s="1868" t="s">
        <v>364</v>
      </c>
      <c r="E704" s="1868" t="s">
        <v>367</v>
      </c>
      <c r="F704" s="1865"/>
      <c r="G704" s="1865"/>
      <c r="H704" s="1865"/>
      <c r="I704" s="1865"/>
      <c r="J704" s="1890" t="s">
        <v>369</v>
      </c>
      <c r="K704" s="1890"/>
      <c r="L704" s="1890"/>
      <c r="M704" s="1890"/>
      <c r="N704" s="1890"/>
      <c r="O704" s="1890"/>
      <c r="P704" s="1868"/>
      <c r="Q704" s="1868"/>
      <c r="R704" s="1868"/>
      <c r="S704" s="1868"/>
      <c r="T704" s="1868"/>
      <c r="U704" s="1868"/>
      <c r="V704" s="1868"/>
      <c r="W704" s="1869">
        <f>+AD704*C704*1.8</f>
        <v>0</v>
      </c>
      <c r="X704" s="1733">
        <f t="shared" ref="X704:X711" si="242">ROUNDUP(W704,0)</f>
        <v>0</v>
      </c>
      <c r="Y704" s="1892"/>
      <c r="Z704" s="1013"/>
      <c r="AA704" s="3263"/>
      <c r="AB704" s="2781">
        <f>1*0.5*0.3</f>
        <v>0.15</v>
      </c>
      <c r="AC704" s="2782">
        <v>1362</v>
      </c>
      <c r="AD704" s="2782">
        <f>+AC704*AB704</f>
        <v>204.29999999999998</v>
      </c>
      <c r="AE704" s="2782"/>
      <c r="AF704" s="2782"/>
      <c r="AG704" s="1182"/>
      <c r="AH704" s="1014"/>
      <c r="AI704" s="1015"/>
    </row>
    <row r="705" spans="1:38" s="1012" customFormat="1" ht="17.399999999999999" customHeight="1" x14ac:dyDescent="0.2">
      <c r="A705" s="48" t="s">
        <v>3689</v>
      </c>
      <c r="B705" s="1381"/>
      <c r="C705" s="1877"/>
      <c r="D705" s="1868" t="s">
        <v>368</v>
      </c>
      <c r="E705" s="1868" t="s">
        <v>370</v>
      </c>
      <c r="F705" s="1865"/>
      <c r="G705" s="1865"/>
      <c r="H705" s="1865"/>
      <c r="I705" s="1865"/>
      <c r="J705" s="1865"/>
      <c r="K705" s="1868"/>
      <c r="L705" s="1865"/>
      <c r="M705" s="1865"/>
      <c r="N705" s="1865"/>
      <c r="O705" s="1868"/>
      <c r="P705" s="1868"/>
      <c r="Q705" s="1868"/>
      <c r="R705" s="1868"/>
      <c r="S705" s="1868"/>
      <c r="T705" s="1868"/>
      <c r="U705" s="1868"/>
      <c r="V705" s="1868"/>
      <c r="W705" s="1869">
        <f>+AD705*1.8*C705</f>
        <v>0</v>
      </c>
      <c r="X705" s="1733">
        <f t="shared" si="242"/>
        <v>0</v>
      </c>
      <c r="Y705" s="1892"/>
      <c r="Z705" s="1013"/>
      <c r="AA705" s="3263"/>
      <c r="AB705" s="2781"/>
      <c r="AC705" s="2782"/>
      <c r="AD705" s="2782">
        <v>85</v>
      </c>
      <c r="AE705" s="2782"/>
      <c r="AF705" s="2782"/>
      <c r="AG705" s="1182"/>
      <c r="AH705" s="1014"/>
      <c r="AI705" s="1015"/>
    </row>
    <row r="706" spans="1:38" s="1012" customFormat="1" ht="16.95" customHeight="1" x14ac:dyDescent="0.2">
      <c r="A706" s="48" t="s">
        <v>3689</v>
      </c>
      <c r="B706" s="1381"/>
      <c r="C706" s="1757"/>
      <c r="D706" s="1759" t="s">
        <v>364</v>
      </c>
      <c r="E706" s="1881" t="s">
        <v>2585</v>
      </c>
      <c r="F706" s="1752"/>
      <c r="G706" s="1752"/>
      <c r="H706" s="1752"/>
      <c r="I706" s="1752"/>
      <c r="J706" s="1752" t="s">
        <v>2586</v>
      </c>
      <c r="K706" s="1752"/>
      <c r="L706" s="1752"/>
      <c r="M706" s="1752"/>
      <c r="N706" s="1878" t="s">
        <v>2587</v>
      </c>
      <c r="O706" s="1752"/>
      <c r="P706" s="1747"/>
      <c r="Q706" s="1747"/>
      <c r="R706" s="1747"/>
      <c r="S706" s="1879"/>
      <c r="T706" s="1866" t="e">
        <f t="shared" ref="T706:V707" si="243">+AF706*1.7*D706</f>
        <v>#VALUE!</v>
      </c>
      <c r="U706" s="1866" t="e">
        <f t="shared" si="243"/>
        <v>#VALUE!</v>
      </c>
      <c r="V706" s="1866">
        <f t="shared" si="243"/>
        <v>0</v>
      </c>
      <c r="W706" s="1880">
        <f>+AI706*1.7*C706</f>
        <v>0</v>
      </c>
      <c r="X706" s="1816">
        <f t="shared" si="242"/>
        <v>0</v>
      </c>
      <c r="Y706" s="1892"/>
      <c r="Z706" s="1017" t="s">
        <v>2588</v>
      </c>
      <c r="AA706" s="2787" t="s">
        <v>2589</v>
      </c>
      <c r="AB706" s="2781" t="s">
        <v>2590</v>
      </c>
      <c r="AC706" s="2782">
        <v>120</v>
      </c>
      <c r="AD706" s="2782">
        <f>+AC706</f>
        <v>120</v>
      </c>
      <c r="AE706" s="2782">
        <v>120</v>
      </c>
      <c r="AF706" s="2782"/>
      <c r="AG706" s="1182"/>
      <c r="AH706" s="1016"/>
      <c r="AI706" s="1018">
        <f>+AE706</f>
        <v>120</v>
      </c>
    </row>
    <row r="707" spans="1:38" s="1012" customFormat="1" ht="16.95" customHeight="1" x14ac:dyDescent="0.2">
      <c r="A707" s="48" t="s">
        <v>3689</v>
      </c>
      <c r="B707" s="1381"/>
      <c r="C707" s="1757"/>
      <c r="D707" s="1759" t="s">
        <v>364</v>
      </c>
      <c r="E707" s="1881" t="s">
        <v>2585</v>
      </c>
      <c r="F707" s="1752"/>
      <c r="G707" s="1752" t="s">
        <v>2867</v>
      </c>
      <c r="H707" s="1752"/>
      <c r="I707" s="1752"/>
      <c r="J707" s="1752">
        <v>6644</v>
      </c>
      <c r="K707" s="1752"/>
      <c r="L707" s="1759"/>
      <c r="M707" s="1759"/>
      <c r="N707" s="1746"/>
      <c r="O707" s="1752"/>
      <c r="P707" s="1747"/>
      <c r="Q707" s="1747"/>
      <c r="R707" s="1747"/>
      <c r="S707" s="1879"/>
      <c r="T707" s="1866" t="e">
        <f t="shared" si="243"/>
        <v>#VALUE!</v>
      </c>
      <c r="U707" s="1866" t="e">
        <f t="shared" si="243"/>
        <v>#VALUE!</v>
      </c>
      <c r="V707" s="1866">
        <f t="shared" si="243"/>
        <v>0</v>
      </c>
      <c r="W707" s="1880">
        <f>+AI707*1.7*C707</f>
        <v>0</v>
      </c>
      <c r="X707" s="1733">
        <f t="shared" si="242"/>
        <v>0</v>
      </c>
      <c r="Y707" s="1892"/>
      <c r="Z707" s="1017" t="s">
        <v>422</v>
      </c>
      <c r="AA707" s="2787">
        <v>6644</v>
      </c>
      <c r="AB707" s="2781" t="s">
        <v>2868</v>
      </c>
      <c r="AC707" s="2782">
        <v>5</v>
      </c>
      <c r="AD707" s="2782">
        <f>+AC707</f>
        <v>5</v>
      </c>
      <c r="AE707" s="2782">
        <v>7.5</v>
      </c>
      <c r="AF707" s="2782"/>
      <c r="AG707" s="1182"/>
      <c r="AH707" s="1016"/>
      <c r="AI707" s="1018">
        <f>+AE707</f>
        <v>7.5</v>
      </c>
    </row>
    <row r="708" spans="1:38" s="211" customFormat="1" ht="16.95" customHeight="1" x14ac:dyDescent="0.2">
      <c r="A708" s="48" t="s">
        <v>3689</v>
      </c>
      <c r="B708" s="1357"/>
      <c r="C708" s="1744"/>
      <c r="D708" s="1759" t="s">
        <v>364</v>
      </c>
      <c r="E708" s="1881" t="s">
        <v>426</v>
      </c>
      <c r="F708" s="1752"/>
      <c r="G708" s="1752"/>
      <c r="H708" s="1752"/>
      <c r="I708" s="1752"/>
      <c r="J708" s="1752" t="s">
        <v>2610</v>
      </c>
      <c r="K708" s="1759"/>
      <c r="L708" s="1752"/>
      <c r="M708" s="1752"/>
      <c r="N708" s="1759"/>
      <c r="O708" s="1759"/>
      <c r="P708" s="1759"/>
      <c r="Q708" s="1759"/>
      <c r="R708" s="1759"/>
      <c r="S708" s="1759"/>
      <c r="T708" s="1759"/>
      <c r="U708" s="1759"/>
      <c r="V708" s="1759"/>
      <c r="W708" s="1837">
        <f>+AI708*1.7*C708</f>
        <v>0</v>
      </c>
      <c r="X708" s="1816">
        <f t="shared" si="242"/>
        <v>0</v>
      </c>
      <c r="Y708" s="1892"/>
      <c r="Z708" s="1052"/>
      <c r="AA708" s="3264"/>
      <c r="AB708" s="2792"/>
      <c r="AC708" s="2791"/>
      <c r="AD708" s="2791"/>
      <c r="AE708" s="2791"/>
      <c r="AF708" s="2791"/>
      <c r="AG708" s="1183"/>
      <c r="AH708" s="1053"/>
      <c r="AI708" s="1054"/>
    </row>
    <row r="709" spans="1:38" s="1012" customFormat="1" ht="16.95" customHeight="1" x14ac:dyDescent="0.2">
      <c r="A709" s="48" t="s">
        <v>3689</v>
      </c>
      <c r="B709" s="1381"/>
      <c r="C709" s="1877"/>
      <c r="D709" s="1868" t="s">
        <v>364</v>
      </c>
      <c r="E709" s="2811" t="s">
        <v>426</v>
      </c>
      <c r="F709" s="2812" t="s">
        <v>2689</v>
      </c>
      <c r="G709" s="1865"/>
      <c r="H709" s="1865"/>
      <c r="I709" s="1865"/>
      <c r="J709" s="1865"/>
      <c r="K709" s="1865"/>
      <c r="L709" s="1865"/>
      <c r="M709" s="1865"/>
      <c r="N709" s="1865"/>
      <c r="O709" s="1865"/>
      <c r="P709" s="1866"/>
      <c r="Q709" s="1866"/>
      <c r="R709" s="1866"/>
      <c r="S709" s="1866"/>
      <c r="T709" s="1866"/>
      <c r="U709" s="1866"/>
      <c r="V709" s="1866"/>
      <c r="W709" s="1880">
        <f t="shared" ref="W709:W714" si="244">+AD709*1.7*C709</f>
        <v>0</v>
      </c>
      <c r="X709" s="1816">
        <f t="shared" si="242"/>
        <v>0</v>
      </c>
      <c r="Y709" s="1892"/>
      <c r="Z709" s="1048" t="s">
        <v>2684</v>
      </c>
      <c r="AA709" s="3263"/>
      <c r="AB709" s="2781"/>
      <c r="AC709" s="2782"/>
      <c r="AD709" s="2782">
        <f>60+240</f>
        <v>300</v>
      </c>
      <c r="AE709" s="2793" t="s">
        <v>2685</v>
      </c>
      <c r="AF709" s="2782"/>
      <c r="AG709" s="1182"/>
      <c r="AH709" s="1014"/>
      <c r="AI709" s="1049" t="s">
        <v>2686</v>
      </c>
      <c r="AJ709" s="1050" t="s">
        <v>2687</v>
      </c>
      <c r="AK709" s="1012">
        <f>60+225</f>
        <v>285</v>
      </c>
      <c r="AL709" s="1012" t="s">
        <v>2688</v>
      </c>
    </row>
    <row r="710" spans="1:38" s="1012" customFormat="1" ht="16.95" customHeight="1" thickBot="1" x14ac:dyDescent="0.25">
      <c r="A710" s="48" t="s">
        <v>3689</v>
      </c>
      <c r="B710" s="1381"/>
      <c r="C710" s="1877"/>
      <c r="D710" s="1759" t="s">
        <v>364</v>
      </c>
      <c r="E710" s="1881" t="s">
        <v>426</v>
      </c>
      <c r="F710" s="1752"/>
      <c r="G710" s="1752" t="s">
        <v>2693</v>
      </c>
      <c r="H710" s="1752" t="s">
        <v>3158</v>
      </c>
      <c r="I710" s="1752"/>
      <c r="J710" s="1752"/>
      <c r="K710" s="1865"/>
      <c r="L710" s="1865"/>
      <c r="M710" s="1865"/>
      <c r="N710" s="1865"/>
      <c r="O710" s="1865"/>
      <c r="P710" s="1866"/>
      <c r="Q710" s="1866"/>
      <c r="R710" s="1866"/>
      <c r="S710" s="1866"/>
      <c r="T710" s="1866"/>
      <c r="U710" s="1866"/>
      <c r="V710" s="1866"/>
      <c r="W710" s="1880">
        <f t="shared" si="244"/>
        <v>0</v>
      </c>
      <c r="X710" s="1816">
        <f t="shared" ref="X710" si="245">ROUNDUP(W710,0)</f>
        <v>0</v>
      </c>
      <c r="Y710" s="1892"/>
      <c r="Z710" s="1318" t="s">
        <v>2694</v>
      </c>
      <c r="AA710" s="3263"/>
      <c r="AB710" s="2781"/>
      <c r="AC710" s="2782"/>
      <c r="AD710" s="2782">
        <v>300</v>
      </c>
      <c r="AE710" s="2794" t="s">
        <v>2695</v>
      </c>
      <c r="AF710" s="2782"/>
      <c r="AG710" s="1182"/>
      <c r="AH710" s="1014"/>
      <c r="AI710" s="1049"/>
      <c r="AJ710" s="1050"/>
    </row>
    <row r="711" spans="1:38" s="1204" customFormat="1" ht="16.95" customHeight="1" thickBot="1" x14ac:dyDescent="0.25">
      <c r="A711" s="48" t="s">
        <v>3689</v>
      </c>
      <c r="B711" s="1382"/>
      <c r="C711" s="1744"/>
      <c r="D711" s="1759" t="s">
        <v>364</v>
      </c>
      <c r="E711" s="1881" t="s">
        <v>3151</v>
      </c>
      <c r="F711" s="1752" t="s">
        <v>3152</v>
      </c>
      <c r="G711" s="1752"/>
      <c r="H711" s="1752"/>
      <c r="I711" s="1752"/>
      <c r="J711" s="1752"/>
      <c r="K711" s="1752"/>
      <c r="L711" s="1752"/>
      <c r="M711" s="1752"/>
      <c r="N711" s="1752"/>
      <c r="O711" s="1752"/>
      <c r="P711" s="1882"/>
      <c r="Q711" s="1882"/>
      <c r="R711" s="1882"/>
      <c r="S711" s="1882"/>
      <c r="T711" s="1882"/>
      <c r="U711" s="1882"/>
      <c r="V711" s="1882"/>
      <c r="W711" s="1843">
        <f t="shared" si="244"/>
        <v>0</v>
      </c>
      <c r="X711" s="1816">
        <f t="shared" si="242"/>
        <v>0</v>
      </c>
      <c r="Y711" s="1892"/>
      <c r="AA711" s="3265"/>
      <c r="AB711" s="2796"/>
      <c r="AC711" s="2795"/>
      <c r="AD711" s="2791">
        <v>293</v>
      </c>
      <c r="AE711" s="2797"/>
      <c r="AF711" s="2795"/>
      <c r="AG711" s="1219"/>
      <c r="AH711" s="1220"/>
      <c r="AI711" s="1221"/>
      <c r="AJ711" s="1222" t="s">
        <v>2692</v>
      </c>
      <c r="AK711" s="1204">
        <f>60+225</f>
        <v>285</v>
      </c>
      <c r="AL711" s="1204" t="s">
        <v>2688</v>
      </c>
    </row>
    <row r="712" spans="1:38" s="1204" customFormat="1" ht="16.95" customHeight="1" thickBot="1" x14ac:dyDescent="0.25">
      <c r="A712" s="48" t="s">
        <v>3689</v>
      </c>
      <c r="B712" s="1382"/>
      <c r="C712" s="1744"/>
      <c r="D712" s="1759" t="s">
        <v>364</v>
      </c>
      <c r="E712" s="1881" t="s">
        <v>3353</v>
      </c>
      <c r="F712" s="1752"/>
      <c r="G712" s="1752" t="s">
        <v>3153</v>
      </c>
      <c r="H712" s="1752"/>
      <c r="I712" s="1752"/>
      <c r="J712" s="1752"/>
      <c r="K712" s="1752"/>
      <c r="L712" s="1752"/>
      <c r="M712" s="1752"/>
      <c r="N712" s="1752"/>
      <c r="O712" s="1752"/>
      <c r="P712" s="1882"/>
      <c r="Q712" s="1882"/>
      <c r="R712" s="1882"/>
      <c r="S712" s="1882"/>
      <c r="T712" s="1882"/>
      <c r="U712" s="1882"/>
      <c r="V712" s="1882"/>
      <c r="W712" s="1843">
        <f t="shared" si="244"/>
        <v>0</v>
      </c>
      <c r="X712" s="1816">
        <f t="shared" ref="X712:X714" si="246">ROUNDUP(W712,0)</f>
        <v>0</v>
      </c>
      <c r="Y712" s="1892"/>
      <c r="Z712" s="1318"/>
      <c r="AA712" s="3265"/>
      <c r="AB712" s="2796"/>
      <c r="AC712" s="2795"/>
      <c r="AD712" s="2791">
        <v>300</v>
      </c>
      <c r="AE712" s="2797"/>
      <c r="AF712" s="2795"/>
      <c r="AG712" s="1219"/>
      <c r="AH712" s="1220"/>
      <c r="AI712" s="1221"/>
      <c r="AJ712" s="1222" t="s">
        <v>2692</v>
      </c>
      <c r="AK712" s="1204">
        <f t="shared" ref="AK712:AK714" si="247">60+225</f>
        <v>285</v>
      </c>
      <c r="AL712" s="1204" t="s">
        <v>2688</v>
      </c>
    </row>
    <row r="713" spans="1:38" s="1204" customFormat="1" ht="16.95" customHeight="1" thickBot="1" x14ac:dyDescent="0.25">
      <c r="A713" s="48" t="s">
        <v>3689</v>
      </c>
      <c r="B713" s="1382"/>
      <c r="C713" s="1744"/>
      <c r="D713" s="1759" t="s">
        <v>364</v>
      </c>
      <c r="E713" s="1881" t="s">
        <v>3154</v>
      </c>
      <c r="F713" s="1752"/>
      <c r="G713" s="1752" t="s">
        <v>3155</v>
      </c>
      <c r="H713" s="1752"/>
      <c r="I713" s="1752"/>
      <c r="J713" s="1752"/>
      <c r="K713" s="1752"/>
      <c r="L713" s="1752"/>
      <c r="M713" s="1752"/>
      <c r="N713" s="1752"/>
      <c r="O713" s="1752"/>
      <c r="P713" s="1882"/>
      <c r="Q713" s="1882"/>
      <c r="R713" s="1882"/>
      <c r="S713" s="1882"/>
      <c r="T713" s="1882"/>
      <c r="U713" s="1882"/>
      <c r="V713" s="1882"/>
      <c r="W713" s="1843">
        <f t="shared" si="244"/>
        <v>0</v>
      </c>
      <c r="X713" s="1816">
        <f t="shared" si="246"/>
        <v>0</v>
      </c>
      <c r="Y713" s="1892"/>
      <c r="Z713" s="1318"/>
      <c r="AA713" s="3265"/>
      <c r="AB713" s="2796"/>
      <c r="AC713" s="2795"/>
      <c r="AD713" s="2791">
        <v>3300</v>
      </c>
      <c r="AE713" s="2797"/>
      <c r="AF713" s="2795"/>
      <c r="AG713" s="1219"/>
      <c r="AH713" s="1220"/>
      <c r="AI713" s="1221"/>
      <c r="AJ713" s="1222" t="s">
        <v>2692</v>
      </c>
      <c r="AK713" s="1204">
        <f t="shared" si="247"/>
        <v>285</v>
      </c>
      <c r="AL713" s="1204" t="s">
        <v>2688</v>
      </c>
    </row>
    <row r="714" spans="1:38" s="211" customFormat="1" ht="16.95" customHeight="1" thickBot="1" x14ac:dyDescent="0.25">
      <c r="A714" s="48" t="s">
        <v>3689</v>
      </c>
      <c r="B714" s="1357"/>
      <c r="C714" s="1960"/>
      <c r="D714" s="1961" t="s">
        <v>364</v>
      </c>
      <c r="E714" s="1962" t="s">
        <v>3156</v>
      </c>
      <c r="F714" s="1963"/>
      <c r="G714" s="1752" t="s">
        <v>3157</v>
      </c>
      <c r="H714" s="1963"/>
      <c r="I714" s="1963"/>
      <c r="J714" s="1963"/>
      <c r="K714" s="1963"/>
      <c r="L714" s="1963"/>
      <c r="M714" s="1963"/>
      <c r="N714" s="1963"/>
      <c r="O714" s="1963"/>
      <c r="P714" s="1882"/>
      <c r="Q714" s="1882"/>
      <c r="R714" s="1882"/>
      <c r="S714" s="1882"/>
      <c r="T714" s="1882"/>
      <c r="U714" s="1882"/>
      <c r="V714" s="1882"/>
      <c r="W714" s="1964">
        <f t="shared" si="244"/>
        <v>0</v>
      </c>
      <c r="X714" s="1965">
        <f t="shared" si="246"/>
        <v>0</v>
      </c>
      <c r="Y714" s="1892"/>
      <c r="Z714" s="1966"/>
      <c r="AA714" s="3264"/>
      <c r="AB714" s="2792"/>
      <c r="AC714" s="2791"/>
      <c r="AD714" s="2791">
        <f t="shared" ref="AD714" si="248">60+240</f>
        <v>300</v>
      </c>
      <c r="AE714" s="2798"/>
      <c r="AF714" s="2791"/>
      <c r="AG714" s="1183"/>
      <c r="AH714" s="1053"/>
      <c r="AI714" s="1967"/>
      <c r="AJ714" s="1968" t="s">
        <v>2692</v>
      </c>
      <c r="AK714" s="211">
        <f t="shared" si="247"/>
        <v>285</v>
      </c>
      <c r="AL714" s="211" t="s">
        <v>2688</v>
      </c>
    </row>
    <row r="715" spans="1:38" s="3072" customFormat="1" ht="66" customHeight="1" thickBot="1" x14ac:dyDescent="0.25">
      <c r="A715" s="3360"/>
      <c r="B715" s="3073"/>
      <c r="C715" s="3794" t="s">
        <v>2524</v>
      </c>
      <c r="D715" s="3795"/>
      <c r="E715" s="3795"/>
      <c r="F715" s="3796"/>
      <c r="G715" s="3797"/>
      <c r="H715" s="3798"/>
      <c r="I715" s="3797"/>
      <c r="J715" s="3799"/>
      <c r="K715" s="3798"/>
      <c r="L715" s="3797"/>
      <c r="M715" s="3797"/>
      <c r="N715" s="3797"/>
      <c r="O715" s="3797"/>
      <c r="P715" s="3797"/>
      <c r="Q715" s="3797"/>
      <c r="R715" s="3797"/>
      <c r="S715" s="3797"/>
      <c r="T715" s="3797"/>
      <c r="U715" s="3797"/>
      <c r="V715" s="3797"/>
      <c r="W715" s="3797"/>
      <c r="X715" s="3799"/>
      <c r="Y715" s="3348"/>
      <c r="AA715" s="3266"/>
      <c r="AB715" s="3075"/>
      <c r="AC715" s="3074"/>
      <c r="AD715" s="3074"/>
      <c r="AE715" s="3074"/>
      <c r="AF715" s="3074"/>
      <c r="AG715" s="3076"/>
      <c r="AH715" s="3077"/>
    </row>
    <row r="716" spans="1:38" s="38" customFormat="1" ht="16.8" customHeight="1" x14ac:dyDescent="0.2">
      <c r="A716" s="35"/>
      <c r="B716" s="1383"/>
      <c r="C716" s="3095">
        <v>1</v>
      </c>
      <c r="D716" s="1059" t="s">
        <v>29</v>
      </c>
      <c r="E716" s="3531" t="s">
        <v>2528</v>
      </c>
      <c r="F716" s="3134"/>
      <c r="G716" s="2093"/>
      <c r="H716" s="3135"/>
      <c r="J716" s="3136"/>
      <c r="K716" s="2251" t="s">
        <v>28</v>
      </c>
      <c r="L716" s="3097"/>
      <c r="M716" s="3098"/>
      <c r="N716" s="3099"/>
      <c r="O716" s="1129"/>
      <c r="P716" s="1340">
        <f>+X716</f>
        <v>6785</v>
      </c>
      <c r="Q716" s="1339"/>
      <c r="R716" s="1339"/>
      <c r="S716" s="1339"/>
      <c r="T716" s="1339"/>
      <c r="U716" s="1339"/>
      <c r="V716" s="1339"/>
      <c r="W716" s="3104"/>
      <c r="X716" s="3783">
        <f>+Y248+Y66+Y63</f>
        <v>6785</v>
      </c>
      <c r="Y716" s="3784"/>
      <c r="Z716" s="1094"/>
      <c r="AA716" s="3267"/>
      <c r="AB716" s="2800"/>
      <c r="AC716" s="2799"/>
      <c r="AD716" s="2799"/>
      <c r="AE716" s="2799"/>
      <c r="AF716" s="2799"/>
      <c r="AG716" s="1184"/>
      <c r="AH716" s="39" t="e">
        <f>AE716/W716</f>
        <v>#DIV/0!</v>
      </c>
    </row>
    <row r="717" spans="1:38" s="38" customFormat="1" ht="16.8" customHeight="1" thickBot="1" x14ac:dyDescent="0.25">
      <c r="A717" s="35"/>
      <c r="B717" s="1021"/>
      <c r="C717" s="3095">
        <v>1</v>
      </c>
      <c r="D717" s="1059" t="s">
        <v>30</v>
      </c>
      <c r="E717" s="3531" t="s">
        <v>2526</v>
      </c>
      <c r="F717" s="3096"/>
      <c r="G717" s="1026"/>
      <c r="H717" s="3467"/>
      <c r="I717" s="1026"/>
      <c r="J717" s="3468"/>
      <c r="K717" s="3469" t="s">
        <v>3575</v>
      </c>
      <c r="L717" s="1984"/>
      <c r="M717" s="1028"/>
      <c r="N717" s="3100"/>
      <c r="O717" s="1027"/>
      <c r="P717" s="2231"/>
      <c r="Q717" s="2232"/>
      <c r="R717" s="2232"/>
      <c r="S717" s="2232"/>
      <c r="T717" s="2232"/>
      <c r="U717" s="2232"/>
      <c r="V717" s="2232"/>
      <c r="W717" s="3105"/>
      <c r="X717" s="3923"/>
      <c r="Y717" s="3924"/>
      <c r="Z717" s="1094"/>
      <c r="AA717" s="3267"/>
      <c r="AB717" s="2800"/>
      <c r="AC717" s="2799"/>
      <c r="AD717" s="2799"/>
      <c r="AE717" s="2799"/>
      <c r="AF717" s="2799"/>
      <c r="AG717" s="1184"/>
      <c r="AH717" s="39"/>
    </row>
    <row r="718" spans="1:38" s="38" customFormat="1" ht="16.8" customHeight="1" thickBot="1" x14ac:dyDescent="0.25">
      <c r="A718" s="35"/>
      <c r="B718" s="1021"/>
      <c r="C718" s="3095">
        <v>1</v>
      </c>
      <c r="D718" s="1059" t="s">
        <v>2525</v>
      </c>
      <c r="E718" s="3532" t="s">
        <v>2527</v>
      </c>
      <c r="F718" s="3507"/>
      <c r="G718" s="1086"/>
      <c r="H718" s="3800"/>
      <c r="I718" s="3801"/>
      <c r="J718" s="3802"/>
      <c r="K718" s="3508" t="s">
        <v>3641</v>
      </c>
      <c r="L718" s="3101"/>
      <c r="M718" s="3102"/>
      <c r="N718" s="3103"/>
      <c r="O718" s="37"/>
      <c r="P718" s="1338"/>
      <c r="Q718" s="1288"/>
      <c r="R718" s="1288"/>
      <c r="S718" s="35"/>
      <c r="T718" s="37"/>
      <c r="U718" s="37"/>
      <c r="V718" s="35"/>
      <c r="W718" s="3509">
        <f>+W717+W716</f>
        <v>0</v>
      </c>
      <c r="X718" s="3781">
        <f>+X716+X717</f>
        <v>6785</v>
      </c>
      <c r="Y718" s="3782"/>
      <c r="Z718" s="1094"/>
      <c r="AA718" s="3267"/>
      <c r="AB718" s="2800"/>
      <c r="AC718" s="2799"/>
      <c r="AD718" s="2799"/>
      <c r="AE718" s="2799"/>
      <c r="AF718" s="2799"/>
      <c r="AG718" s="1184"/>
      <c r="AH718" s="39"/>
    </row>
    <row r="719" spans="1:38" s="1086" customFormat="1" ht="52.8" customHeight="1" thickBot="1" x14ac:dyDescent="0.25">
      <c r="B719" s="1384"/>
      <c r="C719" s="3803" t="s">
        <v>3699</v>
      </c>
      <c r="D719" s="3803"/>
      <c r="E719" s="3803"/>
      <c r="F719" s="3803"/>
      <c r="G719" s="3804"/>
      <c r="H719" s="3803"/>
      <c r="I719" s="3804"/>
      <c r="J719" s="3805"/>
      <c r="K719" s="3803"/>
      <c r="L719" s="3804"/>
      <c r="M719" s="3804"/>
      <c r="N719" s="3804"/>
      <c r="O719" s="3804"/>
      <c r="P719" s="3804"/>
      <c r="Q719" s="3804"/>
      <c r="R719" s="3804"/>
      <c r="S719" s="3804"/>
      <c r="T719" s="3804"/>
      <c r="U719" s="3804"/>
      <c r="V719" s="3804"/>
      <c r="W719" s="3806"/>
      <c r="X719" s="3805"/>
      <c r="Y719" s="3803"/>
      <c r="Z719" s="1228"/>
      <c r="AA719" s="3268">
        <f>2305*1.5</f>
        <v>3457.5</v>
      </c>
      <c r="AB719" s="2801"/>
      <c r="AC719" s="2802"/>
      <c r="AD719" s="2801"/>
      <c r="AE719" s="2801"/>
      <c r="AF719" s="2801"/>
      <c r="AG719" s="1185"/>
      <c r="AH719" s="1088"/>
      <c r="AI719" s="1089"/>
    </row>
    <row r="720" spans="1:38" s="35" customFormat="1" ht="30.6" customHeight="1" thickBot="1" x14ac:dyDescent="0.25">
      <c r="B720" s="1021"/>
      <c r="C720" s="3727" t="s">
        <v>3733</v>
      </c>
      <c r="D720" s="3728"/>
      <c r="E720" s="3728"/>
      <c r="F720" s="3728"/>
      <c r="G720" s="3728"/>
      <c r="H720" s="3728"/>
      <c r="I720" s="3728"/>
      <c r="J720" s="3728"/>
      <c r="K720" s="3728"/>
      <c r="L720" s="3728"/>
      <c r="M720" s="3728"/>
      <c r="N720" s="3728"/>
      <c r="O720" s="3728"/>
      <c r="P720" s="3728"/>
      <c r="Q720" s="3728"/>
      <c r="R720" s="3728"/>
      <c r="S720" s="3728"/>
      <c r="T720" s="3728"/>
      <c r="U720" s="3728"/>
      <c r="V720" s="3728"/>
      <c r="W720" s="3728"/>
      <c r="X720" s="3728"/>
      <c r="Y720" s="3729"/>
      <c r="Z720" s="1320"/>
      <c r="AA720" s="3269"/>
      <c r="AB720" s="2803"/>
      <c r="AC720" s="2804"/>
      <c r="AD720" s="2803"/>
      <c r="AE720" s="2803"/>
      <c r="AF720" s="2803"/>
      <c r="AG720" s="1230"/>
      <c r="AH720" s="1229"/>
      <c r="AI720" s="1231"/>
    </row>
    <row r="721" spans="2:35" s="1086" customFormat="1" ht="15.6" customHeight="1" thickBot="1" x14ac:dyDescent="0.25">
      <c r="B721" s="1384"/>
      <c r="C721" s="3334" t="s">
        <v>3323</v>
      </c>
      <c r="D721" s="3335"/>
      <c r="E721" s="3335"/>
      <c r="F721" s="3335"/>
      <c r="G721" s="3335"/>
      <c r="H721" s="3335"/>
      <c r="I721" s="3335"/>
      <c r="J721" s="3335"/>
      <c r="K721" s="3335"/>
      <c r="L721" s="3335"/>
      <c r="M721" s="3335"/>
      <c r="N721" s="3335"/>
      <c r="O721" s="3335"/>
      <c r="P721" s="3335"/>
      <c r="Q721" s="3335"/>
      <c r="R721" s="3335"/>
      <c r="S721" s="3335"/>
      <c r="T721" s="3335"/>
      <c r="U721" s="3335"/>
      <c r="V721" s="3335"/>
      <c r="W721" s="3335"/>
      <c r="X721" s="3335"/>
      <c r="Y721" s="3336"/>
      <c r="Z721" s="2273"/>
      <c r="AA721" s="3270"/>
      <c r="AB721" s="2801"/>
      <c r="AC721" s="2802"/>
      <c r="AD721" s="2801"/>
      <c r="AE721" s="2801"/>
      <c r="AF721" s="2801"/>
      <c r="AG721" s="1087"/>
      <c r="AH721" s="1088"/>
      <c r="AI721" s="1089"/>
    </row>
    <row r="722" spans="2:35" s="35" customFormat="1" ht="15.6" customHeight="1" thickBot="1" x14ac:dyDescent="0.25">
      <c r="B722" s="1021"/>
      <c r="C722" s="3444" t="s">
        <v>3626</v>
      </c>
      <c r="D722" s="3350"/>
      <c r="E722" s="3350"/>
      <c r="F722" s="3351"/>
      <c r="G722" s="3355"/>
      <c r="H722" s="3349"/>
      <c r="I722" s="3350"/>
      <c r="J722" s="3350"/>
      <c r="K722" s="3351"/>
      <c r="L722" s="3355"/>
      <c r="M722" s="3355"/>
      <c r="N722" s="3355"/>
      <c r="O722" s="3355"/>
      <c r="P722" s="3355"/>
      <c r="Q722" s="3355"/>
      <c r="R722" s="3355"/>
      <c r="S722" s="3355"/>
      <c r="T722" s="3355"/>
      <c r="U722" s="3355"/>
      <c r="V722" s="3355"/>
      <c r="W722" s="3355"/>
      <c r="X722" s="3354"/>
      <c r="Y722" s="3352"/>
      <c r="Z722" s="1320"/>
      <c r="AA722" s="3269"/>
      <c r="AB722" s="2803"/>
      <c r="AC722" s="2804"/>
      <c r="AD722" s="2803"/>
      <c r="AE722" s="2803"/>
      <c r="AF722" s="2803"/>
      <c r="AG722" s="1230"/>
      <c r="AH722" s="1229"/>
      <c r="AI722" s="1231"/>
    </row>
    <row r="723" spans="2:35" s="36" customFormat="1" ht="18.600000000000001" customHeight="1" thickBot="1" x14ac:dyDescent="0.25">
      <c r="B723" s="1385"/>
      <c r="C723" s="3341" t="s">
        <v>3507</v>
      </c>
      <c r="D723" s="3341"/>
      <c r="E723" s="3341"/>
      <c r="F723" s="3341"/>
      <c r="G723" s="3342"/>
      <c r="H723" s="3341"/>
      <c r="I723" s="3341"/>
      <c r="J723" s="3341"/>
      <c r="K723" s="3343"/>
      <c r="L723" s="3344"/>
      <c r="M723" s="3344"/>
      <c r="N723" s="3344"/>
      <c r="O723" s="3344"/>
      <c r="P723" s="3345"/>
      <c r="Q723" s="3345"/>
      <c r="R723" s="3345"/>
      <c r="S723" s="3345"/>
      <c r="T723" s="3345"/>
      <c r="U723" s="3345"/>
      <c r="V723" s="3345"/>
      <c r="W723" s="3344"/>
      <c r="X723" s="3346"/>
      <c r="Y723" s="3347"/>
      <c r="Z723" s="1095"/>
      <c r="AA723" s="3259"/>
      <c r="AB723" s="2805"/>
      <c r="AC723" s="2769"/>
      <c r="AD723" s="2769"/>
      <c r="AE723" s="2673"/>
      <c r="AF723" s="2673"/>
      <c r="AG723" s="1172"/>
      <c r="AH723" s="73"/>
      <c r="AI723" s="259"/>
    </row>
    <row r="724" spans="2:35" s="36" customFormat="1" ht="27" customHeight="1" thickBot="1" x14ac:dyDescent="0.25">
      <c r="B724" s="1385"/>
      <c r="C724" s="3329"/>
      <c r="D724" s="3329"/>
      <c r="E724" s="3329"/>
      <c r="F724" s="3329"/>
      <c r="G724" s="3329"/>
      <c r="H724" s="3329"/>
      <c r="I724" s="3329"/>
      <c r="J724" s="3329"/>
      <c r="K724" s="3329"/>
      <c r="L724" s="3329"/>
      <c r="M724" s="3329"/>
      <c r="N724" s="3329"/>
      <c r="O724" s="3329"/>
      <c r="P724" s="3332"/>
      <c r="Q724" s="3332"/>
      <c r="R724" s="3332"/>
      <c r="S724" s="3332"/>
      <c r="T724" s="3332"/>
      <c r="U724" s="3332"/>
      <c r="V724" s="3332"/>
      <c r="W724" s="3329"/>
      <c r="X724" s="3329"/>
      <c r="Y724" s="3329"/>
      <c r="Z724" s="1095"/>
      <c r="AA724" s="3259"/>
      <c r="AB724" s="2805"/>
      <c r="AC724" s="2769"/>
      <c r="AD724" s="2769"/>
      <c r="AE724" s="2673"/>
      <c r="AF724" s="2673"/>
      <c r="AG724" s="1172"/>
      <c r="AH724" s="73"/>
      <c r="AI724" s="259"/>
    </row>
    <row r="725" spans="2:35" s="36" customFormat="1" ht="27" customHeight="1" x14ac:dyDescent="0.2">
      <c r="B725" s="1385"/>
      <c r="C725" s="3340" t="s">
        <v>3050</v>
      </c>
      <c r="D725" s="3339"/>
      <c r="E725" s="3339"/>
      <c r="F725" s="3339"/>
      <c r="G725" s="3339"/>
      <c r="H725" s="3339"/>
      <c r="I725" s="3339"/>
      <c r="J725" s="3339"/>
      <c r="K725" s="3905" t="s">
        <v>3051</v>
      </c>
      <c r="L725" s="3905"/>
      <c r="M725" s="3905"/>
      <c r="N725" s="3905"/>
      <c r="O725" s="3905"/>
      <c r="P725" s="3906"/>
      <c r="Q725" s="3906"/>
      <c r="R725" s="3906"/>
      <c r="S725" s="3906"/>
      <c r="T725" s="3906"/>
      <c r="U725" s="3906"/>
      <c r="V725" s="3906"/>
      <c r="W725" s="3906"/>
      <c r="X725" s="3905"/>
      <c r="Y725" s="3907"/>
      <c r="AA725" s="3259"/>
      <c r="AB725" s="2805"/>
      <c r="AC725" s="2769"/>
      <c r="AD725" s="2769"/>
      <c r="AE725" s="2673"/>
      <c r="AF725" s="2673"/>
      <c r="AG725" s="1172"/>
      <c r="AH725" s="73"/>
    </row>
    <row r="726" spans="2:35" s="36" customFormat="1" ht="28.2" customHeight="1" x14ac:dyDescent="0.2">
      <c r="B726" s="1385"/>
      <c r="C726" s="3340" t="s">
        <v>3052</v>
      </c>
      <c r="D726" s="3339"/>
      <c r="E726" s="3339"/>
      <c r="F726" s="3339"/>
      <c r="G726" s="3339"/>
      <c r="H726" s="3339"/>
      <c r="I726" s="3339"/>
      <c r="J726" s="3339"/>
      <c r="K726" s="3905" t="s">
        <v>3054</v>
      </c>
      <c r="L726" s="3905"/>
      <c r="M726" s="3905"/>
      <c r="N726" s="3905"/>
      <c r="O726" s="3905"/>
      <c r="P726" s="3906"/>
      <c r="Q726" s="3906"/>
      <c r="R726" s="3906"/>
      <c r="S726" s="3906"/>
      <c r="T726" s="3906"/>
      <c r="U726" s="3906"/>
      <c r="V726" s="3906"/>
      <c r="W726" s="3906"/>
      <c r="X726" s="3905"/>
      <c r="Y726" s="3907"/>
      <c r="Z726" s="1095"/>
      <c r="AA726" s="3259"/>
      <c r="AB726" s="2805"/>
      <c r="AC726" s="2769"/>
      <c r="AD726" s="2769"/>
      <c r="AE726" s="2673"/>
      <c r="AF726" s="2673"/>
      <c r="AG726" s="1172"/>
      <c r="AH726" s="73"/>
    </row>
    <row r="727" spans="2:35" s="36" customFormat="1" ht="28.2" customHeight="1" thickBot="1" x14ac:dyDescent="0.25">
      <c r="B727" s="1385"/>
      <c r="C727" s="3337" t="s">
        <v>3053</v>
      </c>
      <c r="D727" s="3338"/>
      <c r="E727" s="3338"/>
      <c r="F727" s="3338"/>
      <c r="G727" s="3338"/>
      <c r="H727" s="3338"/>
      <c r="I727" s="3338"/>
      <c r="J727" s="3338"/>
      <c r="K727" s="3908" t="s">
        <v>3055</v>
      </c>
      <c r="L727" s="3908"/>
      <c r="M727" s="3908"/>
      <c r="N727" s="3908"/>
      <c r="O727" s="3908"/>
      <c r="P727" s="3909"/>
      <c r="Q727" s="3909"/>
      <c r="R727" s="3909"/>
      <c r="S727" s="3909"/>
      <c r="T727" s="3909"/>
      <c r="U727" s="3909"/>
      <c r="V727" s="3909"/>
      <c r="W727" s="3909"/>
      <c r="X727" s="3908"/>
      <c r="Y727" s="3910"/>
      <c r="Z727" s="1095"/>
      <c r="AA727" s="3259"/>
      <c r="AB727" s="2805"/>
      <c r="AC727" s="2769"/>
      <c r="AD727" s="2769"/>
      <c r="AE727" s="2673"/>
      <c r="AF727" s="2673"/>
      <c r="AG727" s="1172"/>
      <c r="AH727" s="73"/>
    </row>
    <row r="728" spans="2:35" s="35" customFormat="1" ht="18.600000000000001" customHeight="1" thickBot="1" x14ac:dyDescent="0.25">
      <c r="B728" s="1021"/>
      <c r="C728" s="3444" t="s">
        <v>3627</v>
      </c>
      <c r="D728" s="3350"/>
      <c r="E728" s="3350"/>
      <c r="F728" s="3351"/>
      <c r="G728" s="3353"/>
      <c r="H728" s="3349"/>
      <c r="I728" s="3350"/>
      <c r="J728" s="3350"/>
      <c r="K728" s="3351"/>
      <c r="L728" s="3353"/>
      <c r="M728" s="3353"/>
      <c r="N728" s="3353"/>
      <c r="O728" s="3353"/>
      <c r="P728" s="3353"/>
      <c r="Q728" s="3353"/>
      <c r="R728" s="3353"/>
      <c r="S728" s="3353"/>
      <c r="T728" s="3353"/>
      <c r="U728" s="3353"/>
      <c r="V728" s="3353"/>
      <c r="W728" s="3353"/>
      <c r="X728" s="3353"/>
      <c r="Y728" s="3352"/>
      <c r="Z728" s="1320"/>
      <c r="AA728" s="3269"/>
      <c r="AB728" s="2803"/>
      <c r="AC728" s="2804"/>
      <c r="AD728" s="2803"/>
      <c r="AE728" s="2803"/>
      <c r="AF728" s="2803"/>
      <c r="AG728" s="1230"/>
      <c r="AH728" s="1229"/>
      <c r="AI728" s="1231"/>
    </row>
    <row r="729" spans="2:35" s="35" customFormat="1" ht="22.8" customHeight="1" thickBot="1" x14ac:dyDescent="0.25">
      <c r="B729" s="1021"/>
      <c r="C729" s="3444" t="s">
        <v>3627</v>
      </c>
      <c r="D729" s="3350"/>
      <c r="E729" s="3350"/>
      <c r="F729" s="3351"/>
      <c r="G729" s="2228"/>
      <c r="H729" s="3349"/>
      <c r="I729" s="3350"/>
      <c r="J729" s="3350"/>
      <c r="K729" s="3351"/>
      <c r="L729" s="2228"/>
      <c r="M729" s="2228"/>
      <c r="N729" s="2228"/>
      <c r="O729" s="2228"/>
      <c r="P729" s="2229"/>
      <c r="Q729" s="2229"/>
      <c r="R729" s="2229"/>
      <c r="S729" s="2229"/>
      <c r="T729" s="2229"/>
      <c r="U729" s="2229"/>
      <c r="V729" s="2229"/>
      <c r="W729" s="2229"/>
      <c r="X729" s="2230"/>
      <c r="Y729" s="3352"/>
      <c r="Z729" s="1320" t="s">
        <v>120</v>
      </c>
      <c r="AA729" s="3269"/>
      <c r="AB729" s="2803"/>
      <c r="AC729" s="2804"/>
      <c r="AD729" s="2803"/>
      <c r="AE729" s="2803"/>
      <c r="AF729" s="2803"/>
      <c r="AG729" s="1230"/>
      <c r="AH729" s="1229"/>
      <c r="AI729" s="1231"/>
    </row>
    <row r="730" spans="2:35" s="35" customFormat="1" ht="29.4" customHeight="1" thickBot="1" x14ac:dyDescent="0.25">
      <c r="B730" s="1021"/>
      <c r="C730" s="3737" t="s">
        <v>3629</v>
      </c>
      <c r="D730" s="3738"/>
      <c r="E730" s="3738"/>
      <c r="F730" s="3739"/>
      <c r="G730" s="3740"/>
      <c r="H730" s="3737"/>
      <c r="I730" s="3738"/>
      <c r="J730" s="3738"/>
      <c r="K730" s="3739"/>
      <c r="L730" s="3740"/>
      <c r="M730" s="3740"/>
      <c r="N730" s="3740"/>
      <c r="O730" s="3740"/>
      <c r="P730" s="3740"/>
      <c r="Q730" s="3740"/>
      <c r="R730" s="3740"/>
      <c r="S730" s="3740"/>
      <c r="T730" s="3740"/>
      <c r="U730" s="3740"/>
      <c r="V730" s="3740"/>
      <c r="W730" s="3740"/>
      <c r="X730" s="3740"/>
      <c r="Y730" s="3741"/>
      <c r="Z730" s="1320" t="s">
        <v>120</v>
      </c>
      <c r="AA730" s="3269"/>
      <c r="AB730" s="2803"/>
      <c r="AC730" s="2804"/>
      <c r="AD730" s="2803"/>
      <c r="AE730" s="2803"/>
      <c r="AF730" s="2803"/>
      <c r="AG730" s="1230"/>
      <c r="AH730" s="1229"/>
      <c r="AI730" s="1231"/>
    </row>
    <row r="731" spans="2:35" s="36" customFormat="1" ht="28.2" customHeight="1" thickBot="1" x14ac:dyDescent="0.25">
      <c r="B731" s="1385"/>
      <c r="C731" s="3737" t="s">
        <v>3630</v>
      </c>
      <c r="D731" s="3738"/>
      <c r="E731" s="3738"/>
      <c r="F731" s="3739"/>
      <c r="G731" s="3742"/>
      <c r="H731" s="3737"/>
      <c r="I731" s="3738"/>
      <c r="J731" s="3738"/>
      <c r="K731" s="3739"/>
      <c r="L731" s="3742"/>
      <c r="M731" s="3742"/>
      <c r="N731" s="3742"/>
      <c r="O731" s="3742"/>
      <c r="P731" s="3742"/>
      <c r="Q731" s="3742"/>
      <c r="R731" s="3742"/>
      <c r="S731" s="3742"/>
      <c r="T731" s="3742"/>
      <c r="U731" s="3742"/>
      <c r="V731" s="3742"/>
      <c r="W731" s="3742"/>
      <c r="X731" s="3742"/>
      <c r="Y731" s="3741"/>
      <c r="Z731" s="1095"/>
      <c r="AA731" s="3259"/>
      <c r="AB731" s="2805"/>
      <c r="AC731" s="2769"/>
      <c r="AD731" s="2769"/>
      <c r="AE731" s="2673"/>
      <c r="AF731" s="2673"/>
      <c r="AG731" s="1172"/>
      <c r="AH731" s="73"/>
    </row>
    <row r="732" spans="2:35" s="36" customFormat="1" ht="51.6" customHeight="1" x14ac:dyDescent="0.2">
      <c r="B732" s="1385"/>
      <c r="C732" s="3445">
        <v>3</v>
      </c>
      <c r="D732" s="3446" t="s">
        <v>3177</v>
      </c>
      <c r="E732" s="3447" t="s">
        <v>3178</v>
      </c>
      <c r="F732" s="3448"/>
      <c r="G732" s="2298"/>
      <c r="H732" s="3448"/>
      <c r="I732" s="3449"/>
      <c r="J732" s="3448" t="s">
        <v>2731</v>
      </c>
      <c r="K732" s="3450">
        <v>689</v>
      </c>
      <c r="L732" s="2940"/>
      <c r="M732" s="1807"/>
      <c r="N732" s="1807" t="s">
        <v>2729</v>
      </c>
      <c r="O732" s="1807"/>
      <c r="P732" s="1753"/>
      <c r="Q732" s="1753"/>
      <c r="R732" s="1753"/>
      <c r="S732" s="1737"/>
      <c r="T732" s="1737"/>
      <c r="U732" s="1737"/>
      <c r="V732" s="1741"/>
      <c r="W732" s="2292">
        <f>+AD732*C732*1.7</f>
        <v>0</v>
      </c>
      <c r="X732" s="3330"/>
      <c r="Y732" s="3331"/>
      <c r="Z732" s="1095"/>
      <c r="AA732" s="3259"/>
      <c r="AB732" s="2805"/>
      <c r="AC732" s="2769"/>
      <c r="AD732" s="2769"/>
      <c r="AE732" s="2673"/>
      <c r="AF732" s="2673"/>
      <c r="AG732" s="1172"/>
      <c r="AH732" s="73"/>
    </row>
    <row r="733" spans="2:35" s="36" customFormat="1" ht="51.6" customHeight="1" thickBot="1" x14ac:dyDescent="0.25">
      <c r="B733" s="1385"/>
      <c r="C733" s="3330" t="s">
        <v>3230</v>
      </c>
      <c r="D733" s="3330"/>
      <c r="E733" s="3330"/>
      <c r="F733" s="3330"/>
      <c r="G733" s="3330"/>
      <c r="H733" s="3330"/>
      <c r="I733" s="3330"/>
      <c r="J733" s="3330"/>
      <c r="K733" s="3330"/>
      <c r="L733" s="3330"/>
      <c r="M733" s="3330"/>
      <c r="N733" s="3330"/>
      <c r="O733" s="3330"/>
      <c r="P733" s="3332"/>
      <c r="Q733" s="3332"/>
      <c r="R733" s="3332"/>
      <c r="S733" s="3332"/>
      <c r="T733" s="3332"/>
      <c r="U733" s="3332"/>
      <c r="V733" s="3332"/>
      <c r="W733" s="3330"/>
      <c r="X733" s="3330"/>
      <c r="Y733" s="3333"/>
      <c r="Z733" s="1095"/>
      <c r="AA733" s="3259"/>
      <c r="AB733" s="2805"/>
      <c r="AC733" s="2769"/>
      <c r="AD733" s="2769"/>
      <c r="AE733" s="2673"/>
      <c r="AF733" s="2673"/>
      <c r="AG733" s="1172"/>
      <c r="AH733" s="73"/>
    </row>
    <row r="734" spans="2:35" s="36" customFormat="1" ht="51.6" customHeight="1" thickBot="1" x14ac:dyDescent="0.25">
      <c r="B734" s="1385"/>
      <c r="C734" s="1342"/>
      <c r="D734" s="1057"/>
      <c r="E734" s="1343"/>
      <c r="F734" s="1343"/>
      <c r="G734" s="1343"/>
      <c r="H734" s="1343"/>
      <c r="I734" s="1343"/>
      <c r="J734" s="1343"/>
      <c r="K734" s="1344"/>
      <c r="L734" s="1343"/>
      <c r="M734" s="1343"/>
      <c r="N734" s="1343"/>
      <c r="O734" s="1343"/>
      <c r="P734" s="928"/>
      <c r="Q734" s="928"/>
      <c r="R734" s="928"/>
      <c r="S734" s="922"/>
      <c r="T734" s="922"/>
      <c r="U734" s="922"/>
      <c r="V734" s="922"/>
      <c r="W734" s="1011"/>
      <c r="X734" s="1345"/>
      <c r="Y734" s="2279"/>
      <c r="Z734" s="1095"/>
      <c r="AA734" s="3259"/>
      <c r="AB734" s="2805"/>
      <c r="AC734" s="2769"/>
      <c r="AD734" s="2769"/>
      <c r="AE734" s="2673"/>
      <c r="AF734" s="2673"/>
      <c r="AG734" s="1172"/>
      <c r="AH734" s="73"/>
    </row>
    <row r="735" spans="2:35" ht="17.399999999999999" customHeight="1" x14ac:dyDescent="0.2">
      <c r="K735" s="1102"/>
      <c r="Y735" s="2280"/>
      <c r="Z735" s="400"/>
    </row>
    <row r="736" spans="2:35" ht="17.399999999999999" customHeight="1" x14ac:dyDescent="0.2">
      <c r="K736" s="1102"/>
      <c r="Y736" s="2280"/>
      <c r="Z736" s="400"/>
    </row>
    <row r="737" spans="2:36" ht="17.399999999999999" customHeight="1" x14ac:dyDescent="0.2">
      <c r="K737" s="1102"/>
      <c r="Y737" s="2280"/>
      <c r="Z737" s="400"/>
    </row>
    <row r="738" spans="2:36" s="405" customFormat="1" ht="17.399999999999999" customHeight="1" x14ac:dyDescent="0.2">
      <c r="E738" s="1022"/>
      <c r="K738" s="1103"/>
      <c r="X738" s="1117"/>
      <c r="Y738" s="2281"/>
      <c r="Z738" s="1096"/>
      <c r="AA738" s="3271"/>
      <c r="AB738" s="2806"/>
      <c r="AC738" s="2807"/>
      <c r="AD738" s="2806"/>
      <c r="AE738" s="2806"/>
      <c r="AF738" s="2806"/>
      <c r="AG738" s="1186"/>
      <c r="AJ738" s="1047"/>
    </row>
    <row r="739" spans="2:36" s="405" customFormat="1" ht="17.399999999999999" customHeight="1" x14ac:dyDescent="0.2">
      <c r="B739" s="1022"/>
      <c r="K739" s="1103"/>
      <c r="W739" s="1046"/>
      <c r="X739" s="1117"/>
      <c r="Y739" s="2281"/>
      <c r="Z739" s="1097"/>
      <c r="AA739" s="3271"/>
      <c r="AB739" s="2806"/>
      <c r="AC739" s="2806"/>
      <c r="AD739" s="2806"/>
      <c r="AE739" s="2806"/>
      <c r="AF739" s="2806"/>
      <c r="AG739" s="1187"/>
    </row>
    <row r="740" spans="2:36" s="405" customFormat="1" ht="17.399999999999999" customHeight="1" x14ac:dyDescent="0.2">
      <c r="B740" s="1022"/>
      <c r="K740" s="1103"/>
      <c r="W740" s="1046"/>
      <c r="X740" s="1117"/>
      <c r="Y740" s="2281">
        <f>650+600+325+747+85+198+985+165+130+450+37+51+110+32+25+38</f>
        <v>4628</v>
      </c>
      <c r="Z740" s="1097"/>
      <c r="AA740" s="3271"/>
      <c r="AB740" s="2806"/>
      <c r="AC740" s="2806"/>
      <c r="AD740" s="2806"/>
      <c r="AE740" s="2806"/>
      <c r="AF740" s="2806"/>
      <c r="AG740" s="1187"/>
    </row>
    <row r="752" spans="2:36" s="405" customFormat="1" ht="17.399999999999999" customHeight="1" x14ac:dyDescent="0.2">
      <c r="D752" s="1022"/>
      <c r="K752" s="1063"/>
      <c r="X752" s="1117"/>
      <c r="Y752" s="1186"/>
      <c r="AA752" s="3271"/>
      <c r="AB752" s="2806"/>
      <c r="AC752" s="2806"/>
      <c r="AD752" s="2806"/>
      <c r="AE752" s="2806"/>
      <c r="AF752" s="2806"/>
    </row>
    <row r="753" spans="4:32" s="405" customFormat="1" ht="17.399999999999999" customHeight="1" x14ac:dyDescent="0.2">
      <c r="D753" s="1022"/>
      <c r="K753" s="1063"/>
      <c r="X753" s="1117"/>
      <c r="Y753" s="1186"/>
      <c r="AA753" s="3271"/>
      <c r="AB753" s="2806"/>
      <c r="AC753" s="2806"/>
      <c r="AD753" s="2806"/>
      <c r="AE753" s="2806"/>
      <c r="AF753" s="2806"/>
    </row>
    <row r="754" spans="4:32" s="405" customFormat="1" ht="17.399999999999999" customHeight="1" x14ac:dyDescent="0.2">
      <c r="D754" s="1022"/>
      <c r="K754" s="1063"/>
      <c r="X754" s="1117"/>
      <c r="Y754" s="1186"/>
      <c r="AA754" s="3271"/>
      <c r="AB754" s="2806"/>
      <c r="AC754" s="2806"/>
      <c r="AD754" s="2806"/>
      <c r="AE754" s="2806"/>
      <c r="AF754" s="2806"/>
    </row>
    <row r="755" spans="4:32" s="405" customFormat="1" ht="17.399999999999999" customHeight="1" x14ac:dyDescent="0.2">
      <c r="D755" s="1022"/>
      <c r="K755" s="1063"/>
      <c r="X755" s="1117"/>
      <c r="Y755" s="1186"/>
      <c r="AA755" s="3271"/>
      <c r="AB755" s="2806"/>
      <c r="AC755" s="2806"/>
      <c r="AD755" s="2806"/>
      <c r="AE755" s="2806"/>
      <c r="AF755" s="2806"/>
    </row>
    <row r="756" spans="4:32" s="405" customFormat="1" ht="17.399999999999999" customHeight="1" x14ac:dyDescent="0.2">
      <c r="D756" s="1022"/>
      <c r="K756" s="1063"/>
      <c r="X756" s="1117"/>
      <c r="Y756" s="1186"/>
      <c r="AA756" s="3271"/>
      <c r="AB756" s="2806"/>
      <c r="AC756" s="2806"/>
      <c r="AD756" s="2806"/>
      <c r="AE756" s="2806"/>
      <c r="AF756" s="2806"/>
    </row>
    <row r="757" spans="4:32" s="405" customFormat="1" ht="17.399999999999999" customHeight="1" x14ac:dyDescent="0.2">
      <c r="D757" s="1022"/>
      <c r="K757" s="1063"/>
      <c r="X757" s="1117"/>
      <c r="Y757" s="1186"/>
      <c r="AA757" s="3271"/>
      <c r="AB757" s="2806"/>
      <c r="AC757" s="2806"/>
      <c r="AD757" s="2806"/>
      <c r="AE757" s="2806"/>
      <c r="AF757" s="2806"/>
    </row>
    <row r="758" spans="4:32" s="405" customFormat="1" ht="17.399999999999999" customHeight="1" x14ac:dyDescent="0.2">
      <c r="D758" s="1022"/>
      <c r="K758" s="1063"/>
      <c r="X758" s="1117"/>
      <c r="Y758" s="1186"/>
      <c r="AA758" s="3271"/>
      <c r="AB758" s="2806"/>
      <c r="AC758" s="2806"/>
      <c r="AD758" s="2806"/>
      <c r="AE758" s="2806"/>
      <c r="AF758" s="2806"/>
    </row>
    <row r="759" spans="4:32" s="405" customFormat="1" ht="17.399999999999999" customHeight="1" x14ac:dyDescent="0.2">
      <c r="D759" s="1022"/>
      <c r="K759" s="1063"/>
      <c r="X759" s="1117"/>
      <c r="Y759" s="1186"/>
      <c r="AA759" s="3271"/>
      <c r="AB759" s="2806"/>
      <c r="AC759" s="2806"/>
      <c r="AD759" s="2806"/>
      <c r="AE759" s="2806"/>
      <c r="AF759" s="2806"/>
    </row>
    <row r="760" spans="4:32" s="405" customFormat="1" ht="17.399999999999999" customHeight="1" x14ac:dyDescent="0.2">
      <c r="D760" s="1022"/>
      <c r="K760" s="1063">
        <f>905+325+33+306+1848+300+40+225+28+275+40+10+465+37+1.6</f>
        <v>4838.6000000000004</v>
      </c>
      <c r="X760" s="1117"/>
      <c r="Y760" s="1186"/>
      <c r="AA760" s="3271"/>
      <c r="AB760" s="2806"/>
      <c r="AC760" s="2806"/>
      <c r="AD760" s="2806"/>
      <c r="AE760" s="2806"/>
      <c r="AF760" s="2806"/>
    </row>
    <row r="761" spans="4:32" s="405" customFormat="1" ht="17.399999999999999" customHeight="1" x14ac:dyDescent="0.2">
      <c r="D761" s="1022"/>
      <c r="K761" s="1063"/>
      <c r="X761" s="1117"/>
      <c r="Y761" s="1186"/>
      <c r="AA761" s="3271"/>
      <c r="AB761" s="2806"/>
      <c r="AC761" s="2806"/>
      <c r="AD761" s="2806"/>
      <c r="AE761" s="2806"/>
      <c r="AF761" s="2806"/>
    </row>
    <row r="762" spans="4:32" s="405" customFormat="1" ht="17.399999999999999" customHeight="1" x14ac:dyDescent="0.2">
      <c r="D762" s="1022"/>
      <c r="K762" s="1063">
        <f>1200+950+550+306+60+33+40+1848+300+225+28+65+275+40+465+75</f>
        <v>6460</v>
      </c>
      <c r="X762" s="1117"/>
      <c r="Y762" s="1186"/>
      <c r="AA762" s="3271"/>
      <c r="AB762" s="2806"/>
      <c r="AC762" s="2806"/>
      <c r="AD762" s="2806"/>
      <c r="AE762" s="2806"/>
      <c r="AF762" s="2806"/>
    </row>
    <row r="763" spans="4:32" s="405" customFormat="1" ht="17.399999999999999" customHeight="1" x14ac:dyDescent="0.2">
      <c r="D763" s="1022"/>
      <c r="K763" s="1063">
        <f>+K760+K762</f>
        <v>11298.6</v>
      </c>
      <c r="V763" s="405">
        <f>60/15</f>
        <v>4</v>
      </c>
      <c r="X763" s="1117"/>
      <c r="Y763" s="1186"/>
      <c r="AA763" s="3271"/>
      <c r="AB763" s="2806"/>
      <c r="AC763" s="2806"/>
      <c r="AD763" s="2806"/>
      <c r="AE763" s="2806"/>
      <c r="AF763" s="2806"/>
    </row>
    <row r="764" spans="4:32" s="405" customFormat="1" ht="17.399999999999999" customHeight="1" x14ac:dyDescent="0.2">
      <c r="D764" s="1022"/>
      <c r="K764" s="1063"/>
      <c r="V764" s="405">
        <v>12</v>
      </c>
      <c r="X764" s="1117"/>
      <c r="Y764" s="1186"/>
      <c r="AA764" s="3271"/>
      <c r="AB764" s="2806"/>
      <c r="AC764" s="2806"/>
      <c r="AD764" s="2806"/>
      <c r="AE764" s="2806"/>
      <c r="AF764" s="2806"/>
    </row>
    <row r="771" spans="3:4" ht="17.399999999999999" customHeight="1" x14ac:dyDescent="0.2">
      <c r="C771" t="s">
        <v>3330</v>
      </c>
      <c r="D771" s="926" t="s">
        <v>3327</v>
      </c>
    </row>
    <row r="772" spans="3:4" ht="17.399999999999999" customHeight="1" x14ac:dyDescent="0.2">
      <c r="C772" t="s">
        <v>3331</v>
      </c>
      <c r="D772" s="926" t="s">
        <v>3311</v>
      </c>
    </row>
    <row r="773" spans="3:4" ht="17.399999999999999" customHeight="1" x14ac:dyDescent="0.2">
      <c r="C773" t="s">
        <v>3332</v>
      </c>
      <c r="D773" s="926" t="s">
        <v>2454</v>
      </c>
    </row>
    <row r="774" spans="3:4" ht="17.399999999999999" customHeight="1" x14ac:dyDescent="0.2">
      <c r="C774" t="s">
        <v>422</v>
      </c>
      <c r="D774" s="926" t="s">
        <v>397</v>
      </c>
    </row>
    <row r="775" spans="3:4" ht="17.399999999999999" customHeight="1" x14ac:dyDescent="0.2">
      <c r="C775" t="s">
        <v>3333</v>
      </c>
      <c r="D775" s="926" t="s">
        <v>3334</v>
      </c>
    </row>
    <row r="776" spans="3:4" ht="17.399999999999999" customHeight="1" x14ac:dyDescent="0.2">
      <c r="C776" t="s">
        <v>3335</v>
      </c>
      <c r="D776" s="926" t="s">
        <v>3336</v>
      </c>
    </row>
    <row r="777" spans="3:4" ht="17.399999999999999" customHeight="1" x14ac:dyDescent="0.2">
      <c r="C777" t="s">
        <v>3337</v>
      </c>
      <c r="D777" s="926" t="s">
        <v>396</v>
      </c>
    </row>
    <row r="778" spans="3:4" ht="17.399999999999999" customHeight="1" x14ac:dyDescent="0.2">
      <c r="C778" t="s">
        <v>2929</v>
      </c>
      <c r="D778" s="926" t="s">
        <v>3338</v>
      </c>
    </row>
    <row r="779" spans="3:4" ht="17.399999999999999" customHeight="1" x14ac:dyDescent="0.2">
      <c r="C779" t="s">
        <v>76</v>
      </c>
      <c r="D779" s="926" t="s">
        <v>357</v>
      </c>
    </row>
    <row r="780" spans="3:4" ht="17.399999999999999" customHeight="1" x14ac:dyDescent="0.2">
      <c r="C780" t="s">
        <v>3339</v>
      </c>
      <c r="D780" s="926" t="s">
        <v>3340</v>
      </c>
    </row>
    <row r="781" spans="3:4" ht="17.399999999999999" customHeight="1" x14ac:dyDescent="0.2">
      <c r="C781" t="s">
        <v>321</v>
      </c>
      <c r="D781" s="926" t="s">
        <v>2320</v>
      </c>
    </row>
    <row r="782" spans="3:4" ht="17.399999999999999" customHeight="1" x14ac:dyDescent="0.2">
      <c r="C782" t="s">
        <v>3341</v>
      </c>
      <c r="D782" s="926" t="s">
        <v>3342</v>
      </c>
    </row>
    <row r="783" spans="3:4" ht="17.399999999999999" customHeight="1" x14ac:dyDescent="0.2">
      <c r="C783" t="s">
        <v>3343</v>
      </c>
      <c r="D783" s="926" t="s">
        <v>3344</v>
      </c>
    </row>
    <row r="784" spans="3:4" ht="17.399999999999999" customHeight="1" x14ac:dyDescent="0.2">
      <c r="C784" t="s">
        <v>3345</v>
      </c>
      <c r="D784" s="926" t="s">
        <v>386</v>
      </c>
    </row>
    <row r="785" spans="2:26" ht="17.399999999999999" customHeight="1" x14ac:dyDescent="0.2">
      <c r="C785" t="s">
        <v>3346</v>
      </c>
      <c r="D785" s="926" t="s">
        <v>3346</v>
      </c>
    </row>
    <row r="786" spans="2:26" ht="17.399999999999999" customHeight="1" x14ac:dyDescent="0.2">
      <c r="C786" t="s">
        <v>1293</v>
      </c>
      <c r="D786" s="926" t="s">
        <v>1293</v>
      </c>
    </row>
    <row r="787" spans="2:26" ht="17.399999999999999" customHeight="1" x14ac:dyDescent="0.2">
      <c r="C787" t="s">
        <v>3347</v>
      </c>
      <c r="D787" s="926" t="s">
        <v>3348</v>
      </c>
    </row>
    <row r="788" spans="2:26" ht="17.399999999999999" customHeight="1" x14ac:dyDescent="0.2">
      <c r="C788" t="s">
        <v>3349</v>
      </c>
      <c r="D788" s="926" t="s">
        <v>2465</v>
      </c>
    </row>
    <row r="789" spans="2:26" ht="17.399999999999999" customHeight="1" x14ac:dyDescent="0.2">
      <c r="C789" t="s">
        <v>1242</v>
      </c>
      <c r="D789" s="926" t="s">
        <v>3480</v>
      </c>
    </row>
    <row r="790" spans="2:26" ht="17.399999999999999" customHeight="1" x14ac:dyDescent="0.2">
      <c r="C790" t="s">
        <v>1858</v>
      </c>
      <c r="D790" s="926" t="s">
        <v>2710</v>
      </c>
    </row>
    <row r="791" spans="2:26" ht="17.399999999999999" customHeight="1" x14ac:dyDescent="0.2">
      <c r="C791" t="s">
        <v>3347</v>
      </c>
      <c r="D791" s="926" t="s">
        <v>3348</v>
      </c>
    </row>
    <row r="792" spans="2:26" ht="17.399999999999999" customHeight="1" x14ac:dyDescent="0.2">
      <c r="B792"/>
    </row>
    <row r="795" spans="2:26" ht="22.8" customHeight="1" x14ac:dyDescent="0.2">
      <c r="H795" s="398" t="s">
        <v>3726</v>
      </c>
      <c r="K795" s="3541" t="s">
        <v>3727</v>
      </c>
      <c r="Y795" s="3539" t="s">
        <v>3728</v>
      </c>
      <c r="Z795" s="3540" t="s">
        <v>3533</v>
      </c>
    </row>
    <row r="796" spans="2:26" ht="17.399999999999999" customHeight="1" x14ac:dyDescent="0.2">
      <c r="D796" s="926" t="s">
        <v>3722</v>
      </c>
      <c r="F796" t="s">
        <v>3724</v>
      </c>
      <c r="H796">
        <v>90</v>
      </c>
      <c r="K796">
        <v>316</v>
      </c>
      <c r="Y796" s="2282">
        <v>47.44</v>
      </c>
      <c r="Z796" s="380">
        <v>182.45</v>
      </c>
    </row>
    <row r="797" spans="2:26" ht="17.399999999999999" customHeight="1" x14ac:dyDescent="0.2">
      <c r="K797"/>
    </row>
    <row r="798" spans="2:26" ht="17.399999999999999" customHeight="1" x14ac:dyDescent="0.2">
      <c r="D798" s="926" t="s">
        <v>3723</v>
      </c>
      <c r="E798" t="s">
        <v>3673</v>
      </c>
      <c r="F798" t="s">
        <v>3725</v>
      </c>
      <c r="H798">
        <v>350</v>
      </c>
      <c r="K798">
        <v>1000</v>
      </c>
      <c r="Y798" s="2282">
        <v>263.69</v>
      </c>
      <c r="Z798" s="380">
        <v>1014.2</v>
      </c>
    </row>
    <row r="992" spans="4:32" s="405" customFormat="1" ht="17.399999999999999" customHeight="1" x14ac:dyDescent="0.2">
      <c r="D992">
        <v>4080</v>
      </c>
      <c r="E992"/>
      <c r="F992">
        <v>424</v>
      </c>
      <c r="G992">
        <v>12</v>
      </c>
      <c r="H992"/>
      <c r="I992"/>
      <c r="J992"/>
      <c r="K992">
        <v>436</v>
      </c>
      <c r="L992"/>
      <c r="M992"/>
      <c r="N992">
        <f>SUM(F992:K992)</f>
        <v>872</v>
      </c>
      <c r="O992"/>
      <c r="X992" s="1117"/>
      <c r="Y992" s="1186"/>
      <c r="AA992" s="3271"/>
      <c r="AB992" s="2806"/>
      <c r="AC992" s="2806"/>
      <c r="AD992" s="2806"/>
      <c r="AE992" s="2806"/>
      <c r="AF992" s="2806"/>
    </row>
    <row r="993" spans="4:32" s="405" customFormat="1" ht="17.399999999999999" customHeight="1" x14ac:dyDescent="0.2">
      <c r="D993"/>
      <c r="E993"/>
      <c r="F993"/>
      <c r="G993"/>
      <c r="H993"/>
      <c r="I993"/>
      <c r="J993"/>
      <c r="K993"/>
      <c r="L993"/>
      <c r="M993"/>
      <c r="N993"/>
      <c r="O993"/>
      <c r="X993" s="1117"/>
      <c r="Y993" s="1186"/>
      <c r="AA993" s="3271"/>
      <c r="AB993" s="2806"/>
      <c r="AC993" s="2806"/>
      <c r="AD993" s="2806"/>
      <c r="AE993" s="2806"/>
      <c r="AF993" s="2806"/>
    </row>
    <row r="994" spans="4:32" s="405" customFormat="1" ht="17.399999999999999" customHeight="1" x14ac:dyDescent="0.2">
      <c r="D994">
        <v>4020</v>
      </c>
      <c r="E994"/>
      <c r="F994">
        <v>260</v>
      </c>
      <c r="G994">
        <v>12</v>
      </c>
      <c r="H994"/>
      <c r="I994"/>
      <c r="J994">
        <v>38</v>
      </c>
      <c r="K994">
        <v>310</v>
      </c>
      <c r="L994"/>
      <c r="M994"/>
      <c r="N994">
        <f>SUM(F994:K994)</f>
        <v>620</v>
      </c>
      <c r="O994"/>
      <c r="X994" s="1117"/>
      <c r="Y994" s="1186"/>
      <c r="AA994" s="3271"/>
      <c r="AB994" s="2806"/>
      <c r="AC994" s="2806"/>
      <c r="AD994" s="2806"/>
      <c r="AE994" s="2806"/>
      <c r="AF994" s="2806"/>
    </row>
    <row r="995" spans="4:32" s="405" customFormat="1" ht="17.399999999999999" customHeight="1" x14ac:dyDescent="0.2">
      <c r="D995"/>
      <c r="E995"/>
      <c r="F995"/>
      <c r="G995"/>
      <c r="H995"/>
      <c r="I995"/>
      <c r="J995"/>
      <c r="K995"/>
      <c r="L995"/>
      <c r="M995"/>
      <c r="N995"/>
      <c r="O995"/>
      <c r="X995" s="1117"/>
      <c r="Y995" s="1186"/>
      <c r="AA995" s="3271"/>
      <c r="AB995" s="2806"/>
      <c r="AC995" s="2806"/>
      <c r="AD995" s="2806"/>
      <c r="AE995" s="2806"/>
      <c r="AF995" s="2806"/>
    </row>
    <row r="996" spans="4:32" s="405" customFormat="1" ht="17.399999999999999" customHeight="1" x14ac:dyDescent="0.2">
      <c r="D996">
        <v>4010</v>
      </c>
      <c r="E996"/>
      <c r="F996">
        <v>178</v>
      </c>
      <c r="G996">
        <v>34</v>
      </c>
      <c r="H996"/>
      <c r="I996"/>
      <c r="J996"/>
      <c r="K996">
        <v>298</v>
      </c>
      <c r="L996"/>
      <c r="M996"/>
      <c r="N996">
        <f>SUM(F996:K996)</f>
        <v>510</v>
      </c>
      <c r="O996"/>
      <c r="X996" s="1117"/>
      <c r="Y996" s="1186"/>
      <c r="AA996" s="3271"/>
      <c r="AB996" s="2806"/>
      <c r="AC996" s="2806"/>
      <c r="AD996" s="2806"/>
      <c r="AE996" s="2806"/>
      <c r="AF996" s="2806"/>
    </row>
    <row r="997" spans="4:32" s="405" customFormat="1" ht="17.399999999999999" customHeight="1" x14ac:dyDescent="0.2">
      <c r="D997"/>
      <c r="E997"/>
      <c r="F997"/>
      <c r="G997"/>
      <c r="H997"/>
      <c r="I997"/>
      <c r="J997"/>
      <c r="K997"/>
      <c r="L997"/>
      <c r="M997"/>
      <c r="N997"/>
      <c r="O997"/>
      <c r="X997" s="1117"/>
      <c r="Y997" s="1186"/>
      <c r="AA997" s="3271"/>
      <c r="AB997" s="2806"/>
      <c r="AC997" s="2806"/>
      <c r="AD997" s="2806"/>
      <c r="AE997" s="2806"/>
      <c r="AF997" s="2806"/>
    </row>
    <row r="998" spans="4:32" s="405" customFormat="1" ht="17.399999999999999" customHeight="1" x14ac:dyDescent="0.2">
      <c r="D998"/>
      <c r="E998"/>
      <c r="F998"/>
      <c r="G998"/>
      <c r="H998"/>
      <c r="I998"/>
      <c r="J998"/>
      <c r="K998">
        <f>SUM(K992:K996)</f>
        <v>1044</v>
      </c>
      <c r="L998"/>
      <c r="M998"/>
      <c r="N998">
        <f>SUM(N992:N996)</f>
        <v>2002</v>
      </c>
      <c r="O998"/>
      <c r="X998" s="1117"/>
      <c r="Y998" s="1186"/>
      <c r="AA998" s="3271"/>
      <c r="AB998" s="2806"/>
      <c r="AC998" s="2806"/>
      <c r="AD998" s="2806"/>
      <c r="AE998" s="2806"/>
      <c r="AF998" s="2806"/>
    </row>
  </sheetData>
  <mergeCells count="192">
    <mergeCell ref="Y189:Y191"/>
    <mergeCell ref="X162:X163"/>
    <mergeCell ref="Y47:Y49"/>
    <mergeCell ref="Y43:Y45"/>
    <mergeCell ref="K43:K45"/>
    <mergeCell ref="Y185:Y187"/>
    <mergeCell ref="W181:W183"/>
    <mergeCell ref="H185:H186"/>
    <mergeCell ref="W189:W191"/>
    <mergeCell ref="W121:W122"/>
    <mergeCell ref="X121:X122"/>
    <mergeCell ref="O153:P153"/>
    <mergeCell ref="X150:X152"/>
    <mergeCell ref="O142:P142"/>
    <mergeCell ref="O188:P188"/>
    <mergeCell ref="X181:X183"/>
    <mergeCell ref="O94:P94"/>
    <mergeCell ref="X101:X102"/>
    <mergeCell ref="Y85:Y87"/>
    <mergeCell ref="Y60:Y61"/>
    <mergeCell ref="Y57:Y58"/>
    <mergeCell ref="Y54:Y55"/>
    <mergeCell ref="Y181:Y183"/>
    <mergeCell ref="AA181:AA183"/>
    <mergeCell ref="Y165:Y166"/>
    <mergeCell ref="AD185:AD186"/>
    <mergeCell ref="H337:J337"/>
    <mergeCell ref="AH121:AH122"/>
    <mergeCell ref="AH150:AH152"/>
    <mergeCell ref="AH162:AH163"/>
    <mergeCell ref="AF189:AF191"/>
    <mergeCell ref="AE189:AE191"/>
    <mergeCell ref="AA189:AA191"/>
    <mergeCell ref="AH185:AH186"/>
    <mergeCell ref="X158:X160"/>
    <mergeCell ref="O146:P146"/>
    <mergeCell ref="O144:P144"/>
    <mergeCell ref="AE158:AE160"/>
    <mergeCell ref="O157:P157"/>
    <mergeCell ref="W158:W160"/>
    <mergeCell ref="W162:W163"/>
    <mergeCell ref="AG158:AG160"/>
    <mergeCell ref="Y162:Y163"/>
    <mergeCell ref="AG121:AG122"/>
    <mergeCell ref="AF121:AF122"/>
    <mergeCell ref="AG150:AG152"/>
    <mergeCell ref="AF150:AF152"/>
    <mergeCell ref="AG162:AG163"/>
    <mergeCell ref="Y124:Y125"/>
    <mergeCell ref="Y127:Y128"/>
    <mergeCell ref="Y140:Y143"/>
    <mergeCell ref="Y121:Y122"/>
    <mergeCell ref="AD162:AD163"/>
    <mergeCell ref="AE162:AE163"/>
    <mergeCell ref="AA121:AA122"/>
    <mergeCell ref="AD121:AD122"/>
    <mergeCell ref="AE121:AE122"/>
    <mergeCell ref="AA150:AA152"/>
    <mergeCell ref="AE150:AE152"/>
    <mergeCell ref="Y136:Y138"/>
    <mergeCell ref="AF158:AF160"/>
    <mergeCell ref="Y158:Y160"/>
    <mergeCell ref="Y150:Y152"/>
    <mergeCell ref="AD150:AD152"/>
    <mergeCell ref="AA162:AA163"/>
    <mergeCell ref="Y130:Y131"/>
    <mergeCell ref="Y133:Y134"/>
    <mergeCell ref="K726:Y726"/>
    <mergeCell ref="K727:Y727"/>
    <mergeCell ref="K725:Y725"/>
    <mergeCell ref="Y193:Y194"/>
    <mergeCell ref="AA224:AA225"/>
    <mergeCell ref="Y209:Y211"/>
    <mergeCell ref="Y213:Y215"/>
    <mergeCell ref="Y204:Y207"/>
    <mergeCell ref="AF224:AF225"/>
    <mergeCell ref="AD224:AD225"/>
    <mergeCell ref="AE224:AE225"/>
    <mergeCell ref="Y224:Y225"/>
    <mergeCell ref="O203:P203"/>
    <mergeCell ref="O204:P204"/>
    <mergeCell ref="J360:K360"/>
    <mergeCell ref="J361:K361"/>
    <mergeCell ref="O215:P215"/>
    <mergeCell ref="H279:J279"/>
    <mergeCell ref="X717:Y717"/>
    <mergeCell ref="O213:P213"/>
    <mergeCell ref="O214:P214"/>
    <mergeCell ref="O212:P212"/>
    <mergeCell ref="O205:P205"/>
    <mergeCell ref="O206:P206"/>
    <mergeCell ref="AH158:AH160"/>
    <mergeCell ref="AH224:AH226"/>
    <mergeCell ref="AA220:AA222"/>
    <mergeCell ref="AD220:AD222"/>
    <mergeCell ref="AE220:AE222"/>
    <mergeCell ref="AF220:AF222"/>
    <mergeCell ref="AG220:AG222"/>
    <mergeCell ref="AH220:AH222"/>
    <mergeCell ref="AA185:AA187"/>
    <mergeCell ref="AF185:AF186"/>
    <mergeCell ref="AE185:AE186"/>
    <mergeCell ref="AH189:AH191"/>
    <mergeCell ref="AG189:AG191"/>
    <mergeCell ref="AD158:AD160"/>
    <mergeCell ref="AH181:AH183"/>
    <mergeCell ref="AF181:AF183"/>
    <mergeCell ref="AG181:AG183"/>
    <mergeCell ref="AF162:AF163"/>
    <mergeCell ref="AG185:AG186"/>
    <mergeCell ref="AG224:AG226"/>
    <mergeCell ref="AA158:AA160"/>
    <mergeCell ref="AD189:AD191"/>
    <mergeCell ref="AE181:AE183"/>
    <mergeCell ref="AD181:AD183"/>
    <mergeCell ref="Y39:Y41"/>
    <mergeCell ref="Y176:Y179"/>
    <mergeCell ref="Y168:Y169"/>
    <mergeCell ref="Y92:Y95"/>
    <mergeCell ref="Y66:Y68"/>
    <mergeCell ref="Y101:Y102"/>
    <mergeCell ref="Y16:Y19"/>
    <mergeCell ref="Y104:Y106"/>
    <mergeCell ref="Y21:Y23"/>
    <mergeCell ref="Y35:Y37"/>
    <mergeCell ref="Y63:Y64"/>
    <mergeCell ref="Y82:Y83"/>
    <mergeCell ref="Y77:Y80"/>
    <mergeCell ref="Y113:Y115"/>
    <mergeCell ref="Y117:Y119"/>
    <mergeCell ref="Y145:Y148"/>
    <mergeCell ref="Y171:Y174"/>
    <mergeCell ref="Y154:Y156"/>
    <mergeCell ref="Y70:Y72"/>
    <mergeCell ref="Y74:Y75"/>
    <mergeCell ref="O192:P192"/>
    <mergeCell ref="O175:P175"/>
    <mergeCell ref="O184:P184"/>
    <mergeCell ref="O179:P179"/>
    <mergeCell ref="W187:W188"/>
    <mergeCell ref="O173:P173"/>
    <mergeCell ref="O148:P148"/>
    <mergeCell ref="O145:P145"/>
    <mergeCell ref="O176:P176"/>
    <mergeCell ref="H718:J718"/>
    <mergeCell ref="C719:Y719"/>
    <mergeCell ref="O116:P116"/>
    <mergeCell ref="O207:P207"/>
    <mergeCell ref="W150:W152"/>
    <mergeCell ref="W185:W186"/>
    <mergeCell ref="O147:P147"/>
    <mergeCell ref="P1:W1"/>
    <mergeCell ref="O111:P111"/>
    <mergeCell ref="O108:P108"/>
    <mergeCell ref="O109:P109"/>
    <mergeCell ref="O110:P110"/>
    <mergeCell ref="O107:P107"/>
    <mergeCell ref="D14:O14"/>
    <mergeCell ref="C11:E11"/>
    <mergeCell ref="C12:E12"/>
    <mergeCell ref="P14:R14"/>
    <mergeCell ref="F11:J11"/>
    <mergeCell ref="F12:J12"/>
    <mergeCell ref="K11:Y11"/>
    <mergeCell ref="K12:Y12"/>
    <mergeCell ref="Y51:Y52"/>
    <mergeCell ref="Y108:Y111"/>
    <mergeCell ref="Y89:Y90"/>
    <mergeCell ref="C720:Y720"/>
    <mergeCell ref="AF101:AF102"/>
    <mergeCell ref="Y98:Y99"/>
    <mergeCell ref="Y31:Y33"/>
    <mergeCell ref="C730:Y730"/>
    <mergeCell ref="C731:Y731"/>
    <mergeCell ref="AJ641:AO641"/>
    <mergeCell ref="Y25:Y26"/>
    <mergeCell ref="O177:P177"/>
    <mergeCell ref="O178:P178"/>
    <mergeCell ref="Y220:Y222"/>
    <mergeCell ref="Y248:Y700"/>
    <mergeCell ref="O201:P201"/>
    <mergeCell ref="X189:X191"/>
    <mergeCell ref="Y196:Y197"/>
    <mergeCell ref="Y199:Y202"/>
    <mergeCell ref="X718:Y718"/>
    <mergeCell ref="X716:Y716"/>
    <mergeCell ref="O219:P219"/>
    <mergeCell ref="W220:W222"/>
    <mergeCell ref="X220:X222"/>
    <mergeCell ref="W224:W225"/>
    <mergeCell ref="X224:X225"/>
    <mergeCell ref="C715:X715"/>
  </mergeCells>
  <phoneticPr fontId="21" type="noConversion"/>
  <conditionalFormatting sqref="AA249">
    <cfRule type="expression" dxfId="1590" priority="2">
      <formula>$AA$1="OFF"</formula>
    </cfRule>
  </conditionalFormatting>
  <conditionalFormatting sqref="AJ641">
    <cfRule type="expression" dxfId="1589" priority="1">
      <formula>$Z$1="OFF"</formula>
    </cfRule>
  </conditionalFormatting>
  <hyperlinks>
    <hyperlink ref="E717" r:id="rId1" xr:uid="{8C5548A8-6E24-4D52-9CEC-D7245BD7684B}"/>
    <hyperlink ref="E718" r:id="rId2" xr:uid="{104216E7-D832-446A-9F5E-3BB39D53C374}"/>
    <hyperlink ref="E716" r:id="rId3" xr:uid="{AD4CEC71-E131-4517-8076-B0CCD436E325}"/>
  </hyperlinks>
  <pageMargins left="0.25" right="0.25" top="0.21" bottom="0.75" header="0.3" footer="0.25"/>
  <pageSetup scale="82" fitToHeight="5" orientation="portrait" r:id="rId4"/>
  <headerFooter>
    <oddFooter>&amp;LPage &amp;P of &amp;N&amp;CThis quotation is good for 30 days. Prices, terms, delivery method and specifications referred to herein are subject to this project only. Prices are subject to change based on quantity modifications.</oddFooter>
  </headerFooter>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2955-34C0-4225-B875-FCC8AD02C827}">
  <dimension ref="A2:I4"/>
  <sheetViews>
    <sheetView workbookViewId="0">
      <selection activeCell="C18" sqref="C18"/>
    </sheetView>
  </sheetViews>
  <sheetFormatPr defaultRowHeight="12.6" x14ac:dyDescent="0.2"/>
  <cols>
    <col min="2" max="3" width="15.7265625" style="398" customWidth="1"/>
    <col min="4" max="4" width="10.36328125" style="398" customWidth="1"/>
    <col min="5" max="5" width="22" customWidth="1"/>
  </cols>
  <sheetData>
    <row r="2" spans="1:9" s="3085" customFormat="1" x14ac:dyDescent="0.2">
      <c r="A2" s="3085" t="s">
        <v>2595</v>
      </c>
      <c r="B2" s="3085" t="s">
        <v>2351</v>
      </c>
      <c r="C2" s="3085" t="s">
        <v>3472</v>
      </c>
      <c r="D2" s="3085" t="s">
        <v>3469</v>
      </c>
      <c r="E2" s="3085" t="s">
        <v>3470</v>
      </c>
      <c r="F2" s="3085" t="s">
        <v>3473</v>
      </c>
      <c r="G2" s="3085" t="s">
        <v>3474</v>
      </c>
      <c r="I2" s="3085" t="s">
        <v>37</v>
      </c>
    </row>
    <row r="3" spans="1:9" x14ac:dyDescent="0.2">
      <c r="A3" s="528" t="s">
        <v>3468</v>
      </c>
      <c r="B3" s="398" t="s">
        <v>2914</v>
      </c>
      <c r="C3" s="398" t="s">
        <v>2603</v>
      </c>
      <c r="D3" s="398">
        <v>12025</v>
      </c>
      <c r="E3" t="s">
        <v>3471</v>
      </c>
      <c r="F3">
        <f>3762/2</f>
        <v>1881</v>
      </c>
      <c r="G3">
        <v>1881</v>
      </c>
      <c r="H3">
        <f>+F3+G3</f>
        <v>3762</v>
      </c>
      <c r="I3">
        <f>+H3*0.44</f>
        <v>1655.28</v>
      </c>
    </row>
    <row r="4" spans="1:9" x14ac:dyDescent="0.2">
      <c r="E4" t="s">
        <v>3479</v>
      </c>
      <c r="F4">
        <v>610</v>
      </c>
      <c r="G4">
        <f>+F4</f>
        <v>610</v>
      </c>
      <c r="H4">
        <f>+F4+G4</f>
        <v>1220</v>
      </c>
      <c r="I4">
        <f>+H4*0.5</f>
        <v>610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DD39-52BF-41A0-BB0A-595FE8497A29}">
  <dimension ref="A1:AD18"/>
  <sheetViews>
    <sheetView topLeftCell="O1" workbookViewId="0">
      <selection activeCell="O18" sqref="O18"/>
    </sheetView>
  </sheetViews>
  <sheetFormatPr defaultColWidth="9.08984375" defaultRowHeight="12.6" x14ac:dyDescent="0.2"/>
  <cols>
    <col min="1" max="11" width="9.08984375" style="160"/>
    <col min="12" max="12" width="14.6328125" style="1029" customWidth="1"/>
    <col min="13" max="13" width="18.6328125" style="403" customWidth="1"/>
    <col min="14" max="14" width="19.36328125" style="1039" customWidth="1"/>
    <col min="15" max="15" width="20.26953125" style="160" customWidth="1"/>
    <col min="16" max="16" width="13.453125" style="160" customWidth="1"/>
    <col min="17" max="17" width="18.6328125" style="1040" customWidth="1"/>
    <col min="18" max="18" width="13.90625" style="161" customWidth="1"/>
    <col min="19" max="22" width="5.08984375" style="160" customWidth="1"/>
    <col min="23" max="23" width="14.90625" style="160" customWidth="1"/>
    <col min="24" max="24" width="16.26953125" style="160" customWidth="1"/>
    <col min="25" max="25" width="12.6328125" style="1039" customWidth="1"/>
    <col min="26" max="29" width="10.453125" style="1039" customWidth="1"/>
    <col min="30" max="30" width="14.90625" style="161" customWidth="1"/>
    <col min="31" max="16384" width="9.08984375" style="160"/>
  </cols>
  <sheetData>
    <row r="1" spans="1:28" x14ac:dyDescent="0.2">
      <c r="A1" s="160" t="s">
        <v>2647</v>
      </c>
    </row>
    <row r="2" spans="1:28" x14ac:dyDescent="0.2">
      <c r="M2" s="401" t="s">
        <v>2655</v>
      </c>
      <c r="Z2" s="1039" t="s">
        <v>19</v>
      </c>
    </row>
    <row r="4" spans="1:28" s="403" customFormat="1" x14ac:dyDescent="0.2">
      <c r="L4" s="1029"/>
      <c r="N4" s="1039"/>
      <c r="Q4" s="1041" t="s">
        <v>2676</v>
      </c>
      <c r="R4" s="1039"/>
      <c r="S4" s="403" t="s">
        <v>2484</v>
      </c>
      <c r="T4" s="403" t="s">
        <v>2672</v>
      </c>
      <c r="U4" s="403" t="s">
        <v>2673</v>
      </c>
      <c r="V4" s="403" t="s">
        <v>2674</v>
      </c>
      <c r="W4" s="403" t="s">
        <v>2667</v>
      </c>
      <c r="X4" s="403" t="s">
        <v>2670</v>
      </c>
      <c r="Y4" s="1039" t="s">
        <v>2668</v>
      </c>
      <c r="Z4" s="1039" t="s">
        <v>323</v>
      </c>
      <c r="AA4" s="1039" t="s">
        <v>2669</v>
      </c>
      <c r="AB4" s="1039" t="s">
        <v>2474</v>
      </c>
    </row>
    <row r="5" spans="1:28" s="161" customFormat="1" ht="51" customHeight="1" x14ac:dyDescent="0.2">
      <c r="L5" s="1029" t="s">
        <v>2351</v>
      </c>
      <c r="M5" s="1039" t="s">
        <v>2352</v>
      </c>
      <c r="N5" s="1039" t="s">
        <v>2648</v>
      </c>
      <c r="O5" s="1039" t="s">
        <v>2649</v>
      </c>
      <c r="P5" s="1039" t="s">
        <v>2653</v>
      </c>
      <c r="Q5" s="1042" t="s">
        <v>2650</v>
      </c>
      <c r="R5" s="1039" t="s">
        <v>2654</v>
      </c>
      <c r="S5" s="1039" t="s">
        <v>2651</v>
      </c>
      <c r="T5" s="1039"/>
      <c r="U5" s="1039"/>
      <c r="V5" s="1039"/>
      <c r="W5" s="1039" t="s">
        <v>2675</v>
      </c>
      <c r="X5" s="1039" t="s">
        <v>2671</v>
      </c>
      <c r="Y5" s="1039" t="s">
        <v>2652</v>
      </c>
      <c r="Z5" s="1039" t="s">
        <v>2658</v>
      </c>
      <c r="AA5" s="1039" t="s">
        <v>2666</v>
      </c>
      <c r="AB5" s="1039" t="s">
        <v>364</v>
      </c>
    </row>
    <row r="6" spans="1:28" x14ac:dyDescent="0.2">
      <c r="L6" s="1029" t="s">
        <v>2361</v>
      </c>
      <c r="M6" s="403" t="s">
        <v>2624</v>
      </c>
      <c r="N6" s="1039" t="s">
        <v>2659</v>
      </c>
      <c r="P6" s="403" t="s">
        <v>2656</v>
      </c>
      <c r="Q6" s="1043" t="s">
        <v>2657</v>
      </c>
      <c r="R6" s="1039"/>
      <c r="S6" s="403">
        <v>1.6</v>
      </c>
      <c r="T6" s="403">
        <v>2</v>
      </c>
      <c r="U6" s="403">
        <v>2</v>
      </c>
      <c r="V6" s="403">
        <v>2.5</v>
      </c>
      <c r="W6" s="403">
        <v>1.6</v>
      </c>
      <c r="X6" s="403">
        <v>1.8</v>
      </c>
      <c r="Y6" s="1039">
        <v>17</v>
      </c>
      <c r="Z6" s="1039">
        <v>1.7</v>
      </c>
      <c r="AA6" s="1039">
        <v>1.7</v>
      </c>
      <c r="AB6" s="1039">
        <v>1.7</v>
      </c>
    </row>
    <row r="7" spans="1:28" x14ac:dyDescent="0.2">
      <c r="L7" s="1029" t="s">
        <v>2361</v>
      </c>
      <c r="M7" s="403" t="s">
        <v>2624</v>
      </c>
      <c r="N7" s="1039" t="s">
        <v>2659</v>
      </c>
      <c r="Q7" s="1040" t="s">
        <v>2363</v>
      </c>
      <c r="R7" s="1039"/>
      <c r="S7" s="403"/>
      <c r="T7" s="403"/>
      <c r="U7" s="403"/>
      <c r="V7" s="403"/>
      <c r="W7" s="403"/>
      <c r="X7" s="403"/>
    </row>
    <row r="8" spans="1:28" ht="25.2" x14ac:dyDescent="0.2">
      <c r="L8" s="1029" t="s">
        <v>2361</v>
      </c>
      <c r="M8" s="403" t="s">
        <v>2624</v>
      </c>
      <c r="N8" s="1039" t="s">
        <v>2660</v>
      </c>
      <c r="Q8" s="1040" t="s">
        <v>2605</v>
      </c>
      <c r="R8" s="1039"/>
      <c r="S8" s="403"/>
      <c r="T8" s="403"/>
      <c r="U8" s="403"/>
      <c r="V8" s="403"/>
      <c r="W8" s="403"/>
      <c r="X8" s="403"/>
      <c r="Y8" s="1039" t="s">
        <v>2661</v>
      </c>
      <c r="Z8" s="1039" t="s">
        <v>31</v>
      </c>
    </row>
    <row r="9" spans="1:28" ht="25.2" x14ac:dyDescent="0.2">
      <c r="L9" s="1029" t="s">
        <v>2361</v>
      </c>
      <c r="M9" s="403" t="s">
        <v>2624</v>
      </c>
      <c r="N9" s="1039" t="s">
        <v>2659</v>
      </c>
      <c r="Q9" s="1040" t="s">
        <v>2606</v>
      </c>
      <c r="R9" s="1039"/>
      <c r="S9" s="403"/>
      <c r="T9" s="403"/>
      <c r="U9" s="403"/>
      <c r="V9" s="403"/>
      <c r="W9" s="403"/>
      <c r="X9" s="403"/>
      <c r="Y9" s="1039" t="s">
        <v>2662</v>
      </c>
      <c r="Z9" s="1039" t="s">
        <v>2663</v>
      </c>
    </row>
    <row r="10" spans="1:28" x14ac:dyDescent="0.2">
      <c r="L10" s="1029" t="s">
        <v>2361</v>
      </c>
      <c r="M10" s="403" t="s">
        <v>2624</v>
      </c>
      <c r="N10" s="1039" t="s">
        <v>2659</v>
      </c>
      <c r="Q10" s="1040" t="s">
        <v>2364</v>
      </c>
      <c r="R10" s="1039"/>
      <c r="S10" s="403"/>
      <c r="T10" s="403"/>
      <c r="U10" s="403"/>
      <c r="V10" s="403"/>
      <c r="W10" s="403"/>
      <c r="X10" s="403"/>
      <c r="Z10" s="1039" t="s">
        <v>2664</v>
      </c>
    </row>
    <row r="11" spans="1:28" ht="25.2" x14ac:dyDescent="0.2">
      <c r="L11" s="1029" t="s">
        <v>2677</v>
      </c>
      <c r="N11" s="1029" t="s">
        <v>2678</v>
      </c>
      <c r="Q11" s="1040" t="s">
        <v>2679</v>
      </c>
      <c r="Z11" s="1039" t="s">
        <v>2665</v>
      </c>
    </row>
    <row r="12" spans="1:28" ht="25.2" x14ac:dyDescent="0.2">
      <c r="L12" s="1029" t="s">
        <v>2677</v>
      </c>
      <c r="N12" s="1029" t="s">
        <v>2678</v>
      </c>
      <c r="Q12" s="1040" t="s">
        <v>2680</v>
      </c>
    </row>
    <row r="13" spans="1:28" ht="25.2" x14ac:dyDescent="0.2">
      <c r="L13" s="1029" t="s">
        <v>2677</v>
      </c>
      <c r="N13" s="1029" t="s">
        <v>2678</v>
      </c>
      <c r="Q13" s="1040" t="s">
        <v>2681</v>
      </c>
    </row>
    <row r="14" spans="1:28" ht="25.2" x14ac:dyDescent="0.2">
      <c r="L14" s="1029" t="s">
        <v>2677</v>
      </c>
      <c r="N14" s="1029" t="s">
        <v>2678</v>
      </c>
      <c r="Q14" s="1040" t="s">
        <v>2682</v>
      </c>
    </row>
    <row r="15" spans="1:28" ht="25.2" x14ac:dyDescent="0.2">
      <c r="L15" s="1029" t="s">
        <v>2677</v>
      </c>
      <c r="N15" s="1029" t="s">
        <v>2678</v>
      </c>
      <c r="Q15" s="1040" t="s">
        <v>2683</v>
      </c>
    </row>
    <row r="18" spans="15:15" x14ac:dyDescent="0.2">
      <c r="O18" s="160">
        <f>565+580+325+60+688.5</f>
        <v>2218.5</v>
      </c>
    </row>
  </sheetData>
  <phoneticPr fontId="21"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B91C1-B255-4C9B-B368-4A8066066FDF}">
  <dimension ref="A2:Y20"/>
  <sheetViews>
    <sheetView workbookViewId="0">
      <selection activeCell="C24" sqref="C24"/>
    </sheetView>
  </sheetViews>
  <sheetFormatPr defaultRowHeight="12.6" x14ac:dyDescent="0.2"/>
  <cols>
    <col min="1" max="1" width="2.36328125" customWidth="1"/>
    <col min="2" max="2" width="9.08984375" customWidth="1"/>
    <col min="3" max="3" width="19.453125" customWidth="1"/>
    <col min="4" max="4" width="15.90625" customWidth="1"/>
    <col min="5" max="5" width="18.90625" customWidth="1"/>
    <col min="6" max="7" width="13.6328125" customWidth="1"/>
  </cols>
  <sheetData>
    <row r="2" spans="2:14" s="803" customFormat="1" ht="28.2" customHeight="1" x14ac:dyDescent="0.2">
      <c r="B2" s="802"/>
      <c r="C2" s="792" t="s">
        <v>2421</v>
      </c>
      <c r="D2" s="792" t="s">
        <v>2420</v>
      </c>
      <c r="E2" s="792" t="s">
        <v>2395</v>
      </c>
      <c r="F2" s="792" t="s">
        <v>2406</v>
      </c>
      <c r="G2" s="792" t="s">
        <v>2405</v>
      </c>
      <c r="H2" s="803" t="s">
        <v>2409</v>
      </c>
      <c r="I2" s="804"/>
      <c r="J2" s="804" t="s">
        <v>1317</v>
      </c>
      <c r="L2" s="805"/>
      <c r="M2" s="806"/>
      <c r="N2" s="807"/>
    </row>
    <row r="3" spans="2:14" s="161" customFormat="1" ht="28.95" customHeight="1" x14ac:dyDescent="0.2">
      <c r="B3" s="161" t="s">
        <v>2392</v>
      </c>
      <c r="C3" s="161" t="s">
        <v>2399</v>
      </c>
      <c r="D3" s="161" t="s">
        <v>2393</v>
      </c>
      <c r="E3" s="161" t="s">
        <v>2394</v>
      </c>
      <c r="F3" s="161" t="s">
        <v>2395</v>
      </c>
      <c r="G3" s="161" t="s">
        <v>2396</v>
      </c>
      <c r="H3" s="161" t="s">
        <v>2397</v>
      </c>
      <c r="I3" s="161" t="s">
        <v>2398</v>
      </c>
    </row>
    <row r="4" spans="2:14" x14ac:dyDescent="0.2">
      <c r="C4" t="s">
        <v>2402</v>
      </c>
      <c r="D4" t="s">
        <v>429</v>
      </c>
      <c r="E4" t="s">
        <v>2427</v>
      </c>
      <c r="F4" t="s">
        <v>2430</v>
      </c>
    </row>
    <row r="5" spans="2:14" x14ac:dyDescent="0.2">
      <c r="C5" t="s">
        <v>2404</v>
      </c>
      <c r="D5" t="s">
        <v>349</v>
      </c>
      <c r="E5" t="s">
        <v>2428</v>
      </c>
      <c r="F5" t="s">
        <v>2433</v>
      </c>
    </row>
    <row r="6" spans="2:14" x14ac:dyDescent="0.2">
      <c r="C6" t="s">
        <v>2403</v>
      </c>
      <c r="E6" t="s">
        <v>2429</v>
      </c>
      <c r="F6" t="s">
        <v>2434</v>
      </c>
    </row>
    <row r="7" spans="2:14" x14ac:dyDescent="0.2">
      <c r="C7" t="s">
        <v>2408</v>
      </c>
      <c r="E7" t="s">
        <v>2400</v>
      </c>
      <c r="F7" t="s">
        <v>2431</v>
      </c>
    </row>
    <row r="8" spans="2:14" x14ac:dyDescent="0.2">
      <c r="C8" t="s">
        <v>2407</v>
      </c>
      <c r="F8" t="s">
        <v>2432</v>
      </c>
    </row>
    <row r="10" spans="2:14" x14ac:dyDescent="0.2">
      <c r="B10" s="398">
        <v>3070</v>
      </c>
      <c r="C10" t="s">
        <v>1795</v>
      </c>
      <c r="D10" t="s">
        <v>349</v>
      </c>
      <c r="E10" t="s">
        <v>2400</v>
      </c>
      <c r="F10" t="s">
        <v>428</v>
      </c>
      <c r="H10" t="s">
        <v>1222</v>
      </c>
      <c r="I10" t="s">
        <v>1222</v>
      </c>
    </row>
    <row r="11" spans="2:14" x14ac:dyDescent="0.2">
      <c r="B11" s="398">
        <v>6010</v>
      </c>
      <c r="C11" t="s">
        <v>2303</v>
      </c>
      <c r="D11" t="s">
        <v>349</v>
      </c>
      <c r="E11" t="s">
        <v>2400</v>
      </c>
      <c r="G11" t="s">
        <v>2401</v>
      </c>
      <c r="H11" t="s">
        <v>1222</v>
      </c>
      <c r="I11" t="s">
        <v>1222</v>
      </c>
    </row>
    <row r="13" spans="2:14" s="58" customFormat="1" ht="12" customHeight="1" x14ac:dyDescent="0.2">
      <c r="B13" s="53"/>
      <c r="C13" s="3966" t="s">
        <v>2418</v>
      </c>
      <c r="D13" s="3967"/>
      <c r="E13" s="3967"/>
      <c r="F13" s="3967"/>
      <c r="G13" s="3967"/>
      <c r="H13" s="3967"/>
      <c r="I13" s="3967"/>
      <c r="J13" s="3967"/>
      <c r="K13" s="3967"/>
      <c r="L13" s="3968"/>
      <c r="M13" s="793"/>
      <c r="N13" s="57"/>
    </row>
    <row r="14" spans="2:14" s="786" customFormat="1" ht="22.95" customHeight="1" x14ac:dyDescent="0.2">
      <c r="B14" s="783"/>
      <c r="C14" s="785" t="s">
        <v>2421</v>
      </c>
      <c r="D14" s="789" t="s">
        <v>2420</v>
      </c>
      <c r="E14" s="789" t="s">
        <v>2395</v>
      </c>
      <c r="F14" s="789" t="s">
        <v>2406</v>
      </c>
      <c r="G14" s="789" t="s">
        <v>2405</v>
      </c>
      <c r="H14" s="785" t="s">
        <v>35</v>
      </c>
      <c r="I14" s="784"/>
      <c r="J14" s="784"/>
      <c r="L14" s="787"/>
      <c r="M14" s="794"/>
      <c r="N14" s="788"/>
    </row>
    <row r="15" spans="2:14" s="799" customFormat="1" ht="12" customHeight="1" x14ac:dyDescent="0.2">
      <c r="B15" s="797"/>
      <c r="C15" s="798" t="s">
        <v>2422</v>
      </c>
      <c r="D15" s="798" t="s">
        <v>2400</v>
      </c>
      <c r="E15" s="799" t="s">
        <v>428</v>
      </c>
      <c r="F15" s="798" t="s">
        <v>2424</v>
      </c>
      <c r="G15" s="798" t="s">
        <v>2410</v>
      </c>
      <c r="H15" s="798" t="s">
        <v>2411</v>
      </c>
      <c r="I15" s="798"/>
      <c r="J15" s="798"/>
      <c r="L15" s="798"/>
      <c r="M15" s="800"/>
      <c r="N15" s="801"/>
    </row>
    <row r="16" spans="2:14" s="58" customFormat="1" ht="12" hidden="1" customHeight="1" x14ac:dyDescent="0.2">
      <c r="B16" s="53"/>
      <c r="C16" s="54" t="s">
        <v>371</v>
      </c>
      <c r="D16" s="54"/>
      <c r="E16" s="54"/>
      <c r="F16" s="54"/>
      <c r="G16" s="54"/>
      <c r="H16" s="54"/>
      <c r="I16" s="54"/>
      <c r="J16" s="54"/>
      <c r="K16" s="55"/>
      <c r="L16" s="56"/>
      <c r="M16" s="793"/>
      <c r="N16" s="57"/>
    </row>
    <row r="17" spans="1:25" s="236" customFormat="1" ht="12" customHeight="1" x14ac:dyDescent="0.2">
      <c r="A17" s="228">
        <v>1</v>
      </c>
      <c r="C17" s="229" t="s">
        <v>2426</v>
      </c>
      <c r="D17" s="229" t="s">
        <v>2413</v>
      </c>
      <c r="E17" s="51" t="s">
        <v>2412</v>
      </c>
      <c r="F17" s="51" t="s">
        <v>288</v>
      </c>
      <c r="G17" s="229"/>
      <c r="H17" s="229" t="s">
        <v>423</v>
      </c>
      <c r="I17" s="229"/>
      <c r="J17" s="229"/>
      <c r="K17" s="229"/>
      <c r="L17" s="230"/>
      <c r="M17" s="62">
        <f>A17*W17*1.6</f>
        <v>1120</v>
      </c>
      <c r="N17" s="78">
        <f>+ROUNDUP(M17,0)</f>
        <v>1120</v>
      </c>
      <c r="O17" s="795"/>
      <c r="P17" s="61" t="s">
        <v>345</v>
      </c>
      <c r="Q17" s="231">
        <f>420+12</f>
        <v>432</v>
      </c>
      <c r="R17" s="231">
        <f>+Q17</f>
        <v>432</v>
      </c>
      <c r="S17" s="232"/>
      <c r="T17" s="790">
        <v>700</v>
      </c>
      <c r="U17" s="791"/>
      <c r="V17" s="235"/>
      <c r="W17" s="239">
        <f>+T17+V17</f>
        <v>700</v>
      </c>
      <c r="X17" s="239">
        <f>+M17-W17</f>
        <v>420</v>
      </c>
      <c r="Y17" s="240">
        <f>+X17/M17</f>
        <v>0.375</v>
      </c>
    </row>
    <row r="18" spans="1:25" s="236" customFormat="1" ht="12" customHeight="1" x14ac:dyDescent="0.2">
      <c r="A18" s="228">
        <v>1</v>
      </c>
      <c r="C18" s="229" t="s">
        <v>25</v>
      </c>
      <c r="D18" s="229" t="s">
        <v>2414</v>
      </c>
      <c r="E18" s="51" t="s">
        <v>2412</v>
      </c>
      <c r="F18" s="51"/>
      <c r="G18" s="229"/>
      <c r="H18" s="229" t="s">
        <v>2417</v>
      </c>
      <c r="I18" s="229"/>
      <c r="J18" s="229"/>
      <c r="K18" s="229"/>
      <c r="L18" s="230"/>
      <c r="M18" s="62">
        <f>A18*W18*1.6</f>
        <v>1060.8</v>
      </c>
      <c r="N18" s="78">
        <f>+ROUNDUP(M18,0)</f>
        <v>1061</v>
      </c>
      <c r="O18" s="795"/>
      <c r="P18" s="61" t="s">
        <v>345</v>
      </c>
      <c r="Q18" s="231">
        <v>461</v>
      </c>
      <c r="R18" s="231">
        <v>432</v>
      </c>
      <c r="S18" s="232">
        <f>M18-R18</f>
        <v>628.79999999999995</v>
      </c>
      <c r="T18" s="232">
        <v>663</v>
      </c>
      <c r="U18" s="234"/>
      <c r="V18" s="235"/>
      <c r="W18" s="239">
        <f>+T18+V18</f>
        <v>663</v>
      </c>
      <c r="X18" s="239">
        <f>+M18-W18</f>
        <v>397.79999999999995</v>
      </c>
      <c r="Y18" s="240">
        <f>+X18/M18</f>
        <v>0.375</v>
      </c>
    </row>
    <row r="19" spans="1:25" s="236" customFormat="1" ht="12" customHeight="1" x14ac:dyDescent="0.2">
      <c r="A19" s="228">
        <v>1</v>
      </c>
      <c r="C19" s="229" t="s">
        <v>2425</v>
      </c>
      <c r="D19" s="229" t="s">
        <v>2415</v>
      </c>
      <c r="E19" s="51" t="s">
        <v>360</v>
      </c>
      <c r="F19" s="51" t="s">
        <v>349</v>
      </c>
      <c r="G19" s="51" t="s">
        <v>1</v>
      </c>
      <c r="H19" s="229" t="s">
        <v>2419</v>
      </c>
      <c r="I19" s="229"/>
      <c r="J19" s="229"/>
      <c r="K19" s="229"/>
      <c r="L19" s="230"/>
      <c r="M19" s="62">
        <f>A19*W19*2.6</f>
        <v>975</v>
      </c>
      <c r="N19" s="78">
        <f>+ROUNDUP(M19,0)</f>
        <v>975</v>
      </c>
      <c r="O19" s="796"/>
      <c r="P19" s="61" t="s">
        <v>345</v>
      </c>
      <c r="Q19" s="231">
        <f>125+365</f>
        <v>490</v>
      </c>
      <c r="R19" s="231">
        <f>280*2</f>
        <v>560</v>
      </c>
      <c r="S19" s="232">
        <f>M19-R19</f>
        <v>415</v>
      </c>
      <c r="T19" s="232">
        <v>375</v>
      </c>
      <c r="U19" s="234"/>
      <c r="V19" s="237"/>
      <c r="W19" s="239">
        <f>+T19+V19</f>
        <v>375</v>
      </c>
      <c r="X19" s="239">
        <f>+M19-W19</f>
        <v>600</v>
      </c>
      <c r="Y19" s="240">
        <f>+X19/M19</f>
        <v>0.61538461538461542</v>
      </c>
    </row>
    <row r="20" spans="1:25" s="236" customFormat="1" ht="12" customHeight="1" x14ac:dyDescent="0.2">
      <c r="A20" s="228">
        <v>1</v>
      </c>
      <c r="C20" s="229" t="s">
        <v>373</v>
      </c>
      <c r="D20" s="229" t="s">
        <v>2416</v>
      </c>
      <c r="E20" s="51" t="s">
        <v>374</v>
      </c>
      <c r="F20" s="51" t="s">
        <v>375</v>
      </c>
      <c r="G20" s="51"/>
      <c r="H20" s="229"/>
      <c r="I20" s="229"/>
      <c r="J20" s="229"/>
      <c r="K20" s="229"/>
      <c r="L20" s="230"/>
      <c r="M20" s="62">
        <f>A20*W20*1.6</f>
        <v>521.6</v>
      </c>
      <c r="N20" s="78">
        <f>+ROUNDUP(M20,0)</f>
        <v>522</v>
      </c>
      <c r="O20" s="796"/>
      <c r="P20" s="61" t="s">
        <v>345</v>
      </c>
      <c r="Q20" s="231">
        <v>260</v>
      </c>
      <c r="R20" s="231">
        <v>260</v>
      </c>
      <c r="S20" s="232">
        <v>326</v>
      </c>
      <c r="T20" s="232">
        <v>326</v>
      </c>
      <c r="U20" s="234"/>
      <c r="V20" s="237"/>
      <c r="W20" s="239">
        <f>+T20+V20</f>
        <v>326</v>
      </c>
      <c r="X20" s="239">
        <f>+M20-W20</f>
        <v>195.60000000000002</v>
      </c>
      <c r="Y20" s="240">
        <f>+X20/M20</f>
        <v>0.375</v>
      </c>
    </row>
  </sheetData>
  <mergeCells count="1">
    <mergeCell ref="C13:L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7F735-D8BF-4DD7-9F70-AA3FD577C28F}">
  <dimension ref="A1:L116"/>
  <sheetViews>
    <sheetView topLeftCell="C65" workbookViewId="0">
      <selection activeCell="D72" sqref="D72:D76"/>
    </sheetView>
  </sheetViews>
  <sheetFormatPr defaultRowHeight="12.6" x14ac:dyDescent="0.2"/>
  <cols>
    <col min="1" max="1" width="20.90625" customWidth="1"/>
    <col min="2" max="2" width="31" customWidth="1"/>
    <col min="3" max="4" width="22.90625" customWidth="1"/>
    <col min="5" max="5" width="21.90625" customWidth="1"/>
    <col min="6" max="6" width="26" customWidth="1"/>
    <col min="7" max="7" width="21.26953125" customWidth="1"/>
    <col min="8" max="8" width="14.26953125" customWidth="1"/>
    <col min="9" max="9" width="15" customWidth="1"/>
    <col min="10" max="10" width="18.08984375" customWidth="1"/>
  </cols>
  <sheetData>
    <row r="1" spans="1:8" x14ac:dyDescent="0.2">
      <c r="A1" t="s">
        <v>2519</v>
      </c>
    </row>
    <row r="2" spans="1:8" x14ac:dyDescent="0.2">
      <c r="A2" t="s">
        <v>2520</v>
      </c>
      <c r="B2" t="s">
        <v>2476</v>
      </c>
      <c r="C2" t="s">
        <v>2521</v>
      </c>
    </row>
    <row r="3" spans="1:8" x14ac:dyDescent="0.2">
      <c r="A3" t="s">
        <v>392</v>
      </c>
      <c r="B3" t="s">
        <v>2487</v>
      </c>
      <c r="C3">
        <v>1.6</v>
      </c>
    </row>
    <row r="4" spans="1:8" x14ac:dyDescent="0.2">
      <c r="A4" t="s">
        <v>392</v>
      </c>
      <c r="B4" t="s">
        <v>1319</v>
      </c>
    </row>
    <row r="5" spans="1:8" x14ac:dyDescent="0.2">
      <c r="A5" t="s">
        <v>392</v>
      </c>
      <c r="B5" t="s">
        <v>82</v>
      </c>
    </row>
    <row r="6" spans="1:8" x14ac:dyDescent="0.2">
      <c r="A6" t="s">
        <v>392</v>
      </c>
      <c r="B6" t="s">
        <v>294</v>
      </c>
    </row>
    <row r="7" spans="1:8" x14ac:dyDescent="0.2">
      <c r="A7" t="s">
        <v>392</v>
      </c>
      <c r="B7" t="s">
        <v>2522</v>
      </c>
    </row>
    <row r="8" spans="1:8" x14ac:dyDescent="0.2">
      <c r="A8" t="s">
        <v>392</v>
      </c>
      <c r="B8" t="s">
        <v>2523</v>
      </c>
    </row>
    <row r="9" spans="1:8" x14ac:dyDescent="0.2">
      <c r="A9" t="s">
        <v>392</v>
      </c>
      <c r="B9" t="s">
        <v>24</v>
      </c>
    </row>
    <row r="10" spans="1:8" x14ac:dyDescent="0.2">
      <c r="A10" t="s">
        <v>392</v>
      </c>
    </row>
    <row r="11" spans="1:8" x14ac:dyDescent="0.2">
      <c r="A11" t="s">
        <v>392</v>
      </c>
    </row>
    <row r="12" spans="1:8" x14ac:dyDescent="0.2">
      <c r="A12" t="s">
        <v>392</v>
      </c>
    </row>
    <row r="13" spans="1:8" x14ac:dyDescent="0.2">
      <c r="A13" t="s">
        <v>392</v>
      </c>
    </row>
    <row r="14" spans="1:8" x14ac:dyDescent="0.2">
      <c r="A14" t="s">
        <v>392</v>
      </c>
    </row>
    <row r="16" spans="1:8" s="1085" customFormat="1" x14ac:dyDescent="0.2">
      <c r="A16" s="1085" t="s">
        <v>2788</v>
      </c>
      <c r="B16" s="1085" t="s">
        <v>2789</v>
      </c>
      <c r="C16" s="1085" t="s">
        <v>2794</v>
      </c>
      <c r="D16" s="1085" t="s">
        <v>2353</v>
      </c>
      <c r="E16" s="1085" t="s">
        <v>2354</v>
      </c>
      <c r="F16" s="1085" t="s">
        <v>2790</v>
      </c>
      <c r="G16" s="1085" t="s">
        <v>2596</v>
      </c>
      <c r="H16" s="1085" t="s">
        <v>2598</v>
      </c>
    </row>
    <row r="17" spans="1:10" x14ac:dyDescent="0.2">
      <c r="A17" t="s">
        <v>2361</v>
      </c>
      <c r="B17" t="s">
        <v>2444</v>
      </c>
      <c r="C17" t="s">
        <v>2795</v>
      </c>
      <c r="D17" t="s">
        <v>2791</v>
      </c>
      <c r="E17">
        <v>22728</v>
      </c>
      <c r="G17" s="528" t="s">
        <v>2362</v>
      </c>
    </row>
    <row r="18" spans="1:10" x14ac:dyDescent="0.2">
      <c r="G18" s="528" t="s">
        <v>2363</v>
      </c>
    </row>
    <row r="19" spans="1:10" x14ac:dyDescent="0.2">
      <c r="A19" t="s">
        <v>392</v>
      </c>
      <c r="B19" t="s">
        <v>2792</v>
      </c>
      <c r="C19" t="s">
        <v>2796</v>
      </c>
      <c r="D19" t="s">
        <v>2793</v>
      </c>
      <c r="E19">
        <v>71055</v>
      </c>
    </row>
    <row r="20" spans="1:10" x14ac:dyDescent="0.2">
      <c r="A20" s="778" t="s">
        <v>2355</v>
      </c>
    </row>
    <row r="21" spans="1:10" ht="16.2" x14ac:dyDescent="0.2">
      <c r="A21" s="778" t="s">
        <v>2356</v>
      </c>
      <c r="C21" s="21"/>
      <c r="D21" s="21"/>
      <c r="E21" s="21"/>
    </row>
    <row r="22" spans="1:10" x14ac:dyDescent="0.2">
      <c r="A22" s="778" t="s">
        <v>2357</v>
      </c>
      <c r="D22" s="813"/>
    </row>
    <row r="23" spans="1:10" x14ac:dyDescent="0.2">
      <c r="A23" s="778" t="s">
        <v>2358</v>
      </c>
      <c r="D23" s="813"/>
    </row>
    <row r="24" spans="1:10" ht="16.2" x14ac:dyDescent="0.2">
      <c r="A24" s="778" t="s">
        <v>2359</v>
      </c>
      <c r="B24" s="1044" t="s">
        <v>4</v>
      </c>
      <c r="C24" s="1337" t="s">
        <v>2677</v>
      </c>
      <c r="D24" s="1328"/>
      <c r="E24" s="1328"/>
      <c r="F24" s="1328"/>
      <c r="G24" s="1118"/>
      <c r="H24" s="1118"/>
    </row>
    <row r="25" spans="1:10" ht="16.2" x14ac:dyDescent="0.2">
      <c r="A25" s="916" t="s">
        <v>430</v>
      </c>
      <c r="B25" s="1045" t="s">
        <v>6</v>
      </c>
      <c r="C25" s="2887" t="s">
        <v>3037</v>
      </c>
      <c r="D25" s="2887"/>
      <c r="E25" s="2887"/>
      <c r="F25" s="2887"/>
      <c r="G25" s="1118"/>
      <c r="H25" s="1118"/>
    </row>
    <row r="26" spans="1:10" ht="16.2" x14ac:dyDescent="0.2">
      <c r="A26" s="778" t="s">
        <v>2360</v>
      </c>
      <c r="B26" s="1045" t="s">
        <v>7</v>
      </c>
      <c r="C26" s="2887" t="s">
        <v>3038</v>
      </c>
      <c r="D26" s="2887"/>
      <c r="E26" s="2887"/>
      <c r="F26" s="2887"/>
      <c r="G26" s="1118"/>
      <c r="H26" s="1118"/>
    </row>
    <row r="27" spans="1:10" ht="16.2" x14ac:dyDescent="0.2">
      <c r="A27" s="778" t="s">
        <v>2355</v>
      </c>
      <c r="B27" s="1045" t="s">
        <v>2608</v>
      </c>
      <c r="C27" s="3092" t="s">
        <v>3036</v>
      </c>
      <c r="D27" s="2888"/>
      <c r="E27" s="2888"/>
      <c r="F27" s="2888"/>
      <c r="G27" s="1119"/>
      <c r="H27" s="1119"/>
    </row>
    <row r="28" spans="1:10" ht="16.2" x14ac:dyDescent="0.2">
      <c r="A28" s="778" t="s">
        <v>2356</v>
      </c>
      <c r="B28" s="1024" t="s">
        <v>8</v>
      </c>
      <c r="C28" s="1197" t="s">
        <v>3039</v>
      </c>
      <c r="E28" s="1130"/>
    </row>
    <row r="29" spans="1:10" ht="16.2" x14ac:dyDescent="0.2">
      <c r="A29" s="778" t="s">
        <v>2357</v>
      </c>
      <c r="B29" s="1024" t="s">
        <v>2702</v>
      </c>
      <c r="C29" s="1130"/>
      <c r="E29" s="1130"/>
    </row>
    <row r="30" spans="1:10" ht="16.2" x14ac:dyDescent="0.2">
      <c r="A30" s="778" t="s">
        <v>2358</v>
      </c>
      <c r="B30" s="1024" t="s">
        <v>2703</v>
      </c>
      <c r="C30" s="1130"/>
      <c r="E30" s="1130"/>
    </row>
    <row r="31" spans="1:10" ht="16.2" x14ac:dyDescent="0.2">
      <c r="A31" s="778" t="s">
        <v>2359</v>
      </c>
      <c r="B31" s="1024" t="s">
        <v>0</v>
      </c>
      <c r="C31" s="1346">
        <v>45940</v>
      </c>
      <c r="E31" s="1347"/>
    </row>
    <row r="32" spans="1:10" s="916" customFormat="1" ht="16.2" x14ac:dyDescent="0.2">
      <c r="D32" s="71"/>
      <c r="E32" s="71"/>
      <c r="F32" s="917"/>
      <c r="G32" s="917"/>
      <c r="H32" s="917" t="s">
        <v>8</v>
      </c>
      <c r="I32" s="918" t="s">
        <v>10</v>
      </c>
      <c r="J32" s="916" t="s">
        <v>549</v>
      </c>
    </row>
    <row r="39" spans="1:10" ht="16.2" x14ac:dyDescent="0.2">
      <c r="C39" s="1044" t="s">
        <v>4</v>
      </c>
      <c r="D39" s="1130" t="s">
        <v>2903</v>
      </c>
      <c r="E39" s="21"/>
      <c r="F39" s="21"/>
      <c r="G39" s="21"/>
      <c r="H39" s="1118"/>
      <c r="I39" s="1024" t="s">
        <v>8</v>
      </c>
      <c r="J39" s="1197" t="s">
        <v>2874</v>
      </c>
    </row>
    <row r="40" spans="1:10" ht="16.2" x14ac:dyDescent="0.2">
      <c r="A40" t="s">
        <v>2365</v>
      </c>
      <c r="C40" s="1045" t="s">
        <v>6</v>
      </c>
      <c r="D40" s="1130" t="s">
        <v>2907</v>
      </c>
      <c r="E40" s="21"/>
      <c r="F40" s="21"/>
      <c r="G40" s="21"/>
      <c r="H40" s="1118"/>
      <c r="I40" s="1024" t="s">
        <v>2702</v>
      </c>
      <c r="J40" s="1130" t="s">
        <v>2905</v>
      </c>
    </row>
    <row r="41" spans="1:10" ht="16.2" x14ac:dyDescent="0.2">
      <c r="C41" s="1045" t="s">
        <v>7</v>
      </c>
      <c r="D41" s="1130" t="s">
        <v>2908</v>
      </c>
      <c r="E41" s="21"/>
      <c r="F41" s="21"/>
      <c r="G41" s="21"/>
      <c r="H41" s="1118"/>
      <c r="I41" s="1024" t="s">
        <v>2703</v>
      </c>
      <c r="J41" s="1198" t="s">
        <v>2906</v>
      </c>
    </row>
    <row r="42" spans="1:10" ht="16.2" x14ac:dyDescent="0.2">
      <c r="C42" s="1045" t="s">
        <v>2608</v>
      </c>
      <c r="D42" s="1196" t="s">
        <v>2875</v>
      </c>
      <c r="E42" s="1196"/>
      <c r="F42" s="1196"/>
      <c r="G42" s="1196"/>
      <c r="H42" s="1119"/>
      <c r="I42" s="1024" t="s">
        <v>0</v>
      </c>
      <c r="J42" s="1199" t="s">
        <v>2904</v>
      </c>
    </row>
    <row r="43" spans="1:10" x14ac:dyDescent="0.2">
      <c r="A43" t="s">
        <v>2366</v>
      </c>
    </row>
    <row r="44" spans="1:10" x14ac:dyDescent="0.2">
      <c r="A44" t="s">
        <v>2367</v>
      </c>
    </row>
    <row r="45" spans="1:10" x14ac:dyDescent="0.2">
      <c r="A45" t="s">
        <v>2368</v>
      </c>
    </row>
    <row r="46" spans="1:10" ht="13.8" x14ac:dyDescent="0.2">
      <c r="A46" t="s">
        <v>2369</v>
      </c>
      <c r="D46" s="1328" t="s">
        <v>3509</v>
      </c>
      <c r="E46" s="2972" t="s">
        <v>3631</v>
      </c>
    </row>
    <row r="47" spans="1:10" ht="13.8" x14ac:dyDescent="0.2">
      <c r="A47" t="s">
        <v>2370</v>
      </c>
      <c r="D47" s="1328" t="s">
        <v>3611</v>
      </c>
      <c r="E47" s="2972" t="s">
        <v>3515</v>
      </c>
    </row>
    <row r="48" spans="1:10" ht="13.8" x14ac:dyDescent="0.2">
      <c r="A48" t="s">
        <v>2371</v>
      </c>
      <c r="D48" s="1328" t="s">
        <v>3612</v>
      </c>
      <c r="E48" s="1328" t="s">
        <v>3613</v>
      </c>
    </row>
    <row r="49" spans="1:8" ht="16.2" x14ac:dyDescent="0.2">
      <c r="A49" t="s">
        <v>2372</v>
      </c>
      <c r="D49" s="1130" t="s">
        <v>3613</v>
      </c>
      <c r="E49" s="2973" t="s">
        <v>3610</v>
      </c>
    </row>
    <row r="50" spans="1:8" x14ac:dyDescent="0.2">
      <c r="A50" t="s">
        <v>2373</v>
      </c>
    </row>
    <row r="51" spans="1:8" x14ac:dyDescent="0.2">
      <c r="A51" t="s">
        <v>2374</v>
      </c>
    </row>
    <row r="52" spans="1:8" x14ac:dyDescent="0.2">
      <c r="A52" t="s">
        <v>2375</v>
      </c>
    </row>
    <row r="53" spans="1:8" x14ac:dyDescent="0.2">
      <c r="A53" t="s">
        <v>2376</v>
      </c>
    </row>
    <row r="55" spans="1:8" ht="16.2" x14ac:dyDescent="0.2">
      <c r="A55" s="3969" t="s">
        <v>4</v>
      </c>
      <c r="B55" s="3969"/>
      <c r="C55" s="3969"/>
      <c r="D55" s="21" t="s">
        <v>2435</v>
      </c>
      <c r="E55" s="21"/>
      <c r="F55" s="21"/>
      <c r="G55" s="63" t="s">
        <v>5</v>
      </c>
      <c r="H55" s="21" t="s">
        <v>2436</v>
      </c>
    </row>
    <row r="56" spans="1:8" ht="16.2" customHeight="1" x14ac:dyDescent="0.2">
      <c r="A56" s="3970" t="s">
        <v>6</v>
      </c>
      <c r="B56" s="3970"/>
      <c r="C56" s="3970"/>
      <c r="D56" s="21" t="s">
        <v>2437</v>
      </c>
      <c r="E56" s="21"/>
      <c r="F56" s="21"/>
      <c r="G56" s="63" t="s">
        <v>0</v>
      </c>
      <c r="H56" s="808" t="s">
        <v>2438</v>
      </c>
    </row>
    <row r="57" spans="1:8" ht="16.2" x14ac:dyDescent="0.2">
      <c r="A57" s="3970" t="s">
        <v>7</v>
      </c>
      <c r="B57" s="3970"/>
      <c r="C57" s="3970"/>
      <c r="D57" s="21" t="s">
        <v>2439</v>
      </c>
      <c r="E57" s="21"/>
      <c r="F57" s="21"/>
      <c r="G57" s="63" t="s">
        <v>8</v>
      </c>
      <c r="H57" s="809" t="s">
        <v>2355</v>
      </c>
    </row>
    <row r="58" spans="1:8" s="160" customFormat="1" ht="32.4" x14ac:dyDescent="0.2">
      <c r="A58" s="3971" t="s">
        <v>9</v>
      </c>
      <c r="B58" s="3971"/>
      <c r="C58" s="3971"/>
      <c r="D58" s="1196" t="s">
        <v>2436</v>
      </c>
      <c r="E58" s="1196"/>
      <c r="F58" s="1196"/>
      <c r="G58" s="64" t="s">
        <v>10</v>
      </c>
      <c r="H58" s="810" t="s">
        <v>2440</v>
      </c>
    </row>
    <row r="61" spans="1:8" s="262" customFormat="1" ht="17.399999999999999" customHeight="1" x14ac:dyDescent="0.3">
      <c r="C61" s="812" t="s">
        <v>4</v>
      </c>
      <c r="D61" s="813" t="s">
        <v>2435</v>
      </c>
      <c r="E61" s="813"/>
      <c r="F61" s="813"/>
      <c r="G61" s="812" t="s">
        <v>5</v>
      </c>
      <c r="H61" s="813" t="s">
        <v>2436</v>
      </c>
    </row>
    <row r="62" spans="1:8" s="262" customFormat="1" ht="20.399999999999999" customHeight="1" x14ac:dyDescent="0.3">
      <c r="C62" s="812" t="s">
        <v>6</v>
      </c>
      <c r="D62" s="813" t="s">
        <v>2437</v>
      </c>
      <c r="E62" s="813"/>
      <c r="F62" s="813"/>
      <c r="G62" s="812" t="s">
        <v>0</v>
      </c>
      <c r="H62" s="813" t="s">
        <v>2438</v>
      </c>
    </row>
    <row r="63" spans="1:8" s="262" customFormat="1" ht="19.95" customHeight="1" x14ac:dyDescent="0.3">
      <c r="C63" s="812" t="s">
        <v>7</v>
      </c>
      <c r="D63" s="813" t="s">
        <v>2439</v>
      </c>
      <c r="E63" s="813"/>
      <c r="F63" s="813"/>
      <c r="G63" s="812" t="s">
        <v>8</v>
      </c>
      <c r="H63" s="813" t="s">
        <v>2355</v>
      </c>
    </row>
    <row r="64" spans="1:8" s="814" customFormat="1" ht="32.4" customHeight="1" x14ac:dyDescent="0.2">
      <c r="C64" s="815" t="s">
        <v>9</v>
      </c>
      <c r="D64" s="933" t="s">
        <v>2436</v>
      </c>
      <c r="E64" s="933"/>
      <c r="F64" s="933"/>
      <c r="G64" s="815" t="s">
        <v>10</v>
      </c>
      <c r="H64" s="816" t="s">
        <v>2441</v>
      </c>
    </row>
    <row r="67" spans="3:9" s="262" customFormat="1" ht="17.399999999999999" customHeight="1" x14ac:dyDescent="0.3">
      <c r="C67" s="812" t="s">
        <v>4</v>
      </c>
      <c r="D67" s="813" t="s">
        <v>2442</v>
      </c>
      <c r="E67" s="813" t="s">
        <v>3491</v>
      </c>
      <c r="F67" s="813"/>
      <c r="G67" s="1024" t="s">
        <v>8</v>
      </c>
      <c r="H67" s="1197" t="s">
        <v>2874</v>
      </c>
    </row>
    <row r="68" spans="3:9" s="262" customFormat="1" ht="20.399999999999999" customHeight="1" x14ac:dyDescent="0.3">
      <c r="C68" s="812" t="s">
        <v>6</v>
      </c>
      <c r="D68" s="813" t="s">
        <v>2444</v>
      </c>
      <c r="E68" s="813" t="s">
        <v>3492</v>
      </c>
      <c r="F68" s="813"/>
      <c r="G68" s="1024" t="s">
        <v>2702</v>
      </c>
      <c r="H68" s="1130" t="s">
        <v>2905</v>
      </c>
    </row>
    <row r="69" spans="3:9" s="262" customFormat="1" ht="19.95" customHeight="1" x14ac:dyDescent="0.3">
      <c r="C69" s="812" t="s">
        <v>7</v>
      </c>
      <c r="D69" s="813" t="s">
        <v>2445</v>
      </c>
      <c r="E69" s="813" t="s">
        <v>3493</v>
      </c>
      <c r="F69" s="813"/>
      <c r="G69" s="1024" t="s">
        <v>2703</v>
      </c>
      <c r="H69" s="1198" t="s">
        <v>2906</v>
      </c>
    </row>
    <row r="70" spans="3:9" s="814" customFormat="1" ht="32.4" customHeight="1" x14ac:dyDescent="0.2">
      <c r="C70" s="815" t="s">
        <v>9</v>
      </c>
      <c r="D70" s="933" t="s">
        <v>2443</v>
      </c>
      <c r="E70" s="933"/>
      <c r="F70" s="933"/>
      <c r="G70" s="1024" t="s">
        <v>0</v>
      </c>
      <c r="H70" s="1199" t="s">
        <v>2904</v>
      </c>
    </row>
    <row r="71" spans="3:9" ht="16.2" x14ac:dyDescent="0.3">
      <c r="C71" s="811"/>
    </row>
    <row r="72" spans="3:9" s="262" customFormat="1" ht="17.399999999999999" customHeight="1" x14ac:dyDescent="0.3">
      <c r="C72" s="812" t="s">
        <v>4</v>
      </c>
      <c r="D72" s="1215" t="s">
        <v>2914</v>
      </c>
      <c r="E72" s="1024" t="s">
        <v>8</v>
      </c>
      <c r="F72" s="1197" t="s">
        <v>2602</v>
      </c>
    </row>
    <row r="73" spans="3:9" s="262" customFormat="1" ht="20.399999999999999" customHeight="1" x14ac:dyDescent="0.3">
      <c r="C73" s="812" t="s">
        <v>6</v>
      </c>
      <c r="D73" s="1215" t="s">
        <v>2389</v>
      </c>
      <c r="E73" s="1024" t="s">
        <v>2702</v>
      </c>
      <c r="F73" s="1130" t="s">
        <v>2913</v>
      </c>
    </row>
    <row r="74" spans="3:9" s="262" customFormat="1" ht="19.95" customHeight="1" x14ac:dyDescent="0.3">
      <c r="C74" s="812" t="s">
        <v>7</v>
      </c>
      <c r="D74" s="1215" t="s">
        <v>2390</v>
      </c>
      <c r="E74" s="1024" t="s">
        <v>2703</v>
      </c>
      <c r="F74" s="1198"/>
    </row>
    <row r="75" spans="3:9" s="814" customFormat="1" ht="32.4" customHeight="1" x14ac:dyDescent="0.2">
      <c r="C75" s="815" t="s">
        <v>3363</v>
      </c>
      <c r="E75" s="1024" t="s">
        <v>0</v>
      </c>
      <c r="F75" s="1199" t="s">
        <v>2904</v>
      </c>
    </row>
    <row r="76" spans="3:9" ht="16.2" x14ac:dyDescent="0.2">
      <c r="C76" s="815" t="s">
        <v>9</v>
      </c>
      <c r="D76" s="2903">
        <v>11620</v>
      </c>
    </row>
    <row r="78" spans="3:9" x14ac:dyDescent="0.2">
      <c r="I78" s="814"/>
    </row>
    <row r="79" spans="3:9" s="262" customFormat="1" ht="17.399999999999999" customHeight="1" x14ac:dyDescent="0.3">
      <c r="C79" s="812" t="s">
        <v>4</v>
      </c>
      <c r="D79" s="3537" t="s">
        <v>3717</v>
      </c>
      <c r="E79" s="813"/>
      <c r="F79" s="813"/>
      <c r="G79" s="1024" t="s">
        <v>8</v>
      </c>
      <c r="H79" s="1197" t="s">
        <v>3715</v>
      </c>
    </row>
    <row r="80" spans="3:9" s="262" customFormat="1" ht="20.399999999999999" customHeight="1" x14ac:dyDescent="0.3">
      <c r="C80" s="812" t="s">
        <v>6</v>
      </c>
      <c r="D80" s="3537" t="s">
        <v>3718</v>
      </c>
      <c r="E80" s="813"/>
      <c r="F80" s="813"/>
      <c r="G80" s="1024" t="s">
        <v>2702</v>
      </c>
      <c r="H80" s="1130" t="s">
        <v>3720</v>
      </c>
    </row>
    <row r="81" spans="3:10" s="262" customFormat="1" ht="19.95" customHeight="1" x14ac:dyDescent="0.3">
      <c r="C81" s="812" t="s">
        <v>7</v>
      </c>
      <c r="D81" s="3537" t="s">
        <v>3719</v>
      </c>
      <c r="E81" s="813"/>
      <c r="F81" s="813"/>
      <c r="G81" s="1024" t="s">
        <v>2703</v>
      </c>
      <c r="H81" s="1198"/>
    </row>
    <row r="82" spans="3:10" s="814" customFormat="1" ht="32.4" customHeight="1" x14ac:dyDescent="0.2">
      <c r="C82" s="815" t="s">
        <v>9</v>
      </c>
      <c r="D82" s="3538" t="s">
        <v>3721</v>
      </c>
      <c r="E82" s="933"/>
      <c r="F82" s="933"/>
      <c r="G82" s="1024" t="s">
        <v>0</v>
      </c>
      <c r="H82" s="1199" t="s">
        <v>3716</v>
      </c>
    </row>
    <row r="86" spans="3:10" x14ac:dyDescent="0.2">
      <c r="C86" t="s">
        <v>2591</v>
      </c>
      <c r="D86" t="s">
        <v>2592</v>
      </c>
      <c r="E86" t="s">
        <v>2593</v>
      </c>
      <c r="F86" t="s">
        <v>2594</v>
      </c>
      <c r="G86" t="s">
        <v>2595</v>
      </c>
      <c r="H86" t="s">
        <v>2596</v>
      </c>
      <c r="I86" t="s">
        <v>2597</v>
      </c>
      <c r="J86" t="s">
        <v>2598</v>
      </c>
    </row>
    <row r="87" spans="3:10" x14ac:dyDescent="0.2">
      <c r="C87" t="s">
        <v>2599</v>
      </c>
      <c r="D87" t="s">
        <v>2389</v>
      </c>
      <c r="E87" t="s">
        <v>2600</v>
      </c>
      <c r="F87" t="s">
        <v>2601</v>
      </c>
      <c r="G87" t="s">
        <v>2446</v>
      </c>
      <c r="H87" t="s">
        <v>2602</v>
      </c>
      <c r="I87" t="s">
        <v>2391</v>
      </c>
      <c r="J87" t="s">
        <v>2391</v>
      </c>
    </row>
    <row r="88" spans="3:10" x14ac:dyDescent="0.2">
      <c r="C88" t="s">
        <v>2599</v>
      </c>
      <c r="H88" t="s">
        <v>2603</v>
      </c>
    </row>
    <row r="89" spans="3:10" x14ac:dyDescent="0.2">
      <c r="C89" t="s">
        <v>2599</v>
      </c>
      <c r="H89" t="s">
        <v>2604</v>
      </c>
    </row>
    <row r="91" spans="3:10" x14ac:dyDescent="0.2">
      <c r="C91" t="s">
        <v>2361</v>
      </c>
      <c r="H91" t="s">
        <v>2362</v>
      </c>
    </row>
    <row r="92" spans="3:10" x14ac:dyDescent="0.2">
      <c r="C92" t="s">
        <v>2361</v>
      </c>
      <c r="H92" t="s">
        <v>2363</v>
      </c>
    </row>
    <row r="93" spans="3:10" x14ac:dyDescent="0.2">
      <c r="C93" t="s">
        <v>2361</v>
      </c>
    </row>
    <row r="95" spans="3:10" x14ac:dyDescent="0.2">
      <c r="C95" t="s">
        <v>2365</v>
      </c>
      <c r="H95" t="s">
        <v>2605</v>
      </c>
    </row>
    <row r="96" spans="3:10" x14ac:dyDescent="0.2">
      <c r="H96" t="s">
        <v>2606</v>
      </c>
    </row>
    <row r="99" spans="3:12" x14ac:dyDescent="0.2">
      <c r="C99" t="s">
        <v>392</v>
      </c>
    </row>
    <row r="101" spans="3:12" x14ac:dyDescent="0.2">
      <c r="C101" t="s">
        <v>3509</v>
      </c>
      <c r="D101" t="s">
        <v>3510</v>
      </c>
      <c r="F101" s="3120" t="s">
        <v>3512</v>
      </c>
      <c r="H101" t="s">
        <v>3514</v>
      </c>
    </row>
    <row r="102" spans="3:12" x14ac:dyDescent="0.2">
      <c r="D102" t="s">
        <v>3511</v>
      </c>
      <c r="F102" t="s">
        <v>3513</v>
      </c>
      <c r="H102" s="150" t="s">
        <v>3515</v>
      </c>
      <c r="I102" s="150" t="s">
        <v>3519</v>
      </c>
      <c r="J102" s="150"/>
    </row>
    <row r="103" spans="3:12" x14ac:dyDescent="0.2">
      <c r="H103" t="s">
        <v>3516</v>
      </c>
      <c r="I103" t="s">
        <v>3523</v>
      </c>
    </row>
    <row r="104" spans="3:12" x14ac:dyDescent="0.2">
      <c r="H104" t="s">
        <v>3517</v>
      </c>
      <c r="I104" t="s">
        <v>3520</v>
      </c>
    </row>
    <row r="105" spans="3:12" x14ac:dyDescent="0.2">
      <c r="C105" t="s">
        <v>2369</v>
      </c>
      <c r="H105" t="s">
        <v>3518</v>
      </c>
    </row>
    <row r="106" spans="3:12" x14ac:dyDescent="0.2">
      <c r="H106" t="s">
        <v>3521</v>
      </c>
      <c r="I106" t="s">
        <v>3522</v>
      </c>
    </row>
    <row r="107" spans="3:12" x14ac:dyDescent="0.2">
      <c r="H107" t="s">
        <v>3524</v>
      </c>
      <c r="I107" t="s">
        <v>3525</v>
      </c>
    </row>
    <row r="108" spans="3:12" x14ac:dyDescent="0.2">
      <c r="C108" t="s">
        <v>2374</v>
      </c>
    </row>
    <row r="109" spans="3:12" x14ac:dyDescent="0.2">
      <c r="H109" t="s">
        <v>3526</v>
      </c>
      <c r="I109" t="s">
        <v>3527</v>
      </c>
    </row>
    <row r="110" spans="3:12" x14ac:dyDescent="0.2">
      <c r="C110" t="s">
        <v>2607</v>
      </c>
    </row>
    <row r="111" spans="3:12" x14ac:dyDescent="0.2">
      <c r="H111" t="s">
        <v>3528</v>
      </c>
      <c r="I111" t="s">
        <v>3530</v>
      </c>
      <c r="J111" t="s">
        <v>3529</v>
      </c>
      <c r="K111" t="s">
        <v>3531</v>
      </c>
    </row>
    <row r="112" spans="3:12" x14ac:dyDescent="0.2">
      <c r="C112" t="s">
        <v>2375</v>
      </c>
      <c r="L112" t="s">
        <v>3532</v>
      </c>
    </row>
    <row r="114" spans="3:3" x14ac:dyDescent="0.2">
      <c r="C114" t="s">
        <v>2366</v>
      </c>
    </row>
    <row r="116" spans="3:3" x14ac:dyDescent="0.2">
      <c r="C116" t="s">
        <v>2371</v>
      </c>
    </row>
  </sheetData>
  <mergeCells count="4">
    <mergeCell ref="A55:C55"/>
    <mergeCell ref="A56:C56"/>
    <mergeCell ref="A57:C57"/>
    <mergeCell ref="A58:C58"/>
  </mergeCells>
  <hyperlinks>
    <hyperlink ref="F101" r:id="rId1" xr:uid="{0C059E53-FD5F-483C-B829-052FD3A4FB2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D444-4270-40E5-A2F2-20114F673FF0}">
  <sheetPr filterMode="1"/>
  <dimension ref="A1:GM501"/>
  <sheetViews>
    <sheetView topLeftCell="E1" workbookViewId="0">
      <selection activeCell="I4" sqref="I4:J4"/>
    </sheetView>
  </sheetViews>
  <sheetFormatPr defaultRowHeight="12.6" x14ac:dyDescent="0.2"/>
  <cols>
    <col min="1" max="1" width="43.6328125" customWidth="1"/>
    <col min="2" max="2" width="11.90625" style="757" customWidth="1"/>
    <col min="3" max="3" width="12.90625" customWidth="1"/>
    <col min="4" max="4" width="19.90625" customWidth="1"/>
    <col min="5" max="5" width="11.08984375" customWidth="1"/>
    <col min="6" max="6" width="8.90625" customWidth="1"/>
    <col min="7" max="7" width="9" customWidth="1"/>
    <col min="8" max="8" width="8.90625" customWidth="1"/>
    <col min="9" max="9" width="28.26953125" style="934" customWidth="1"/>
    <col min="10" max="11" width="8.90625" style="934" customWidth="1"/>
    <col min="12" max="12" width="8.90625" style="968" customWidth="1"/>
    <col min="13" max="17" width="8.90625" style="934" customWidth="1"/>
    <col min="18" max="144" width="8.90625" customWidth="1"/>
    <col min="145" max="145" width="8.90625" hidden="1" customWidth="1"/>
    <col min="146" max="213" width="8.90625" customWidth="1"/>
  </cols>
  <sheetData>
    <row r="1" spans="3:195" ht="13.95" customHeight="1" thickBot="1" x14ac:dyDescent="0.25">
      <c r="I1" s="934" t="s">
        <v>321</v>
      </c>
      <c r="J1" s="935">
        <v>1.58</v>
      </c>
      <c r="L1" s="934"/>
      <c r="T1" s="128"/>
    </row>
    <row r="2" spans="3:195" ht="14.4" thickBot="1" x14ac:dyDescent="0.3">
      <c r="I2" s="936" t="s">
        <v>345</v>
      </c>
      <c r="J2" s="935">
        <v>0.441</v>
      </c>
      <c r="L2" s="3980">
        <v>2068</v>
      </c>
      <c r="M2" s="3981"/>
      <c r="N2" s="3982"/>
      <c r="O2" s="937">
        <v>2070</v>
      </c>
      <c r="P2" s="938"/>
      <c r="Q2" s="939"/>
      <c r="R2" s="3983">
        <v>2080</v>
      </c>
      <c r="S2" s="3977"/>
      <c r="T2" s="3984"/>
      <c r="U2" s="3983">
        <v>2090</v>
      </c>
      <c r="V2" s="3977"/>
      <c r="W2" s="3985"/>
      <c r="X2" s="3983">
        <v>2468</v>
      </c>
      <c r="Y2" s="3977"/>
      <c r="Z2" s="3985"/>
      <c r="AA2" s="3986">
        <v>2470</v>
      </c>
      <c r="AB2" s="3977"/>
      <c r="AC2" s="3977"/>
      <c r="AD2" s="3977">
        <v>2480</v>
      </c>
      <c r="AE2" s="3977"/>
      <c r="AF2" s="3977"/>
      <c r="AG2" s="3977">
        <v>2490</v>
      </c>
      <c r="AH2" s="3977"/>
      <c r="AI2" s="3977"/>
      <c r="AJ2" s="3977">
        <v>2668</v>
      </c>
      <c r="AK2" s="3977"/>
      <c r="AL2" s="3977"/>
      <c r="AM2" s="3977">
        <v>2670</v>
      </c>
      <c r="AN2" s="3977"/>
      <c r="AO2" s="3977"/>
      <c r="AP2" s="3977">
        <v>2680</v>
      </c>
      <c r="AQ2" s="3977"/>
      <c r="AR2" s="3977"/>
      <c r="AS2" s="3977">
        <v>2690</v>
      </c>
      <c r="AT2" s="3977"/>
      <c r="AU2" s="3977"/>
      <c r="AV2" s="3977">
        <v>2868</v>
      </c>
      <c r="AW2" s="3977"/>
      <c r="AX2" s="3977"/>
      <c r="AY2" s="3977">
        <v>2870</v>
      </c>
      <c r="AZ2" s="3977"/>
      <c r="BA2" s="3977"/>
      <c r="BB2" s="3977">
        <v>2880</v>
      </c>
      <c r="BC2" s="3977"/>
      <c r="BD2" s="3977"/>
      <c r="BE2" s="3977">
        <v>2890</v>
      </c>
      <c r="BF2" s="3977"/>
      <c r="BG2" s="3977"/>
      <c r="BH2" s="3977">
        <v>3068</v>
      </c>
      <c r="BI2" s="3977"/>
      <c r="BJ2" s="3977"/>
      <c r="BK2" s="3977">
        <v>3468</v>
      </c>
      <c r="BL2" s="3977"/>
      <c r="BM2" s="3977"/>
      <c r="BN2" s="3977">
        <v>3668</v>
      </c>
      <c r="BO2" s="3977"/>
      <c r="BP2" s="3977"/>
      <c r="BQ2" s="3977">
        <v>3868</v>
      </c>
      <c r="BR2" s="3977"/>
      <c r="BS2" s="3977"/>
      <c r="BT2" s="3977">
        <v>3070</v>
      </c>
      <c r="BU2" s="3977"/>
      <c r="BV2" s="3977"/>
      <c r="BW2" s="3977">
        <v>3470</v>
      </c>
      <c r="BX2" s="3977"/>
      <c r="BY2" s="3977"/>
      <c r="BZ2" s="3977">
        <v>3670</v>
      </c>
      <c r="CA2" s="3977"/>
      <c r="CB2" s="3977"/>
      <c r="CC2" s="3977">
        <v>3870</v>
      </c>
      <c r="CD2" s="3977"/>
      <c r="CE2" s="3977"/>
      <c r="CF2" s="3977">
        <v>3080</v>
      </c>
      <c r="CG2" s="3977"/>
      <c r="CH2" s="3977"/>
      <c r="CI2" s="3977">
        <v>3480</v>
      </c>
      <c r="CJ2" s="3977"/>
      <c r="CK2" s="3977"/>
      <c r="CL2" s="3977">
        <v>3680</v>
      </c>
      <c r="CM2" s="3977"/>
      <c r="CN2" s="3977"/>
      <c r="CO2" s="3977">
        <v>3880</v>
      </c>
      <c r="CP2" s="3977"/>
      <c r="CQ2" s="3977"/>
      <c r="CR2" s="3977">
        <v>3090</v>
      </c>
      <c r="CS2" s="3977"/>
      <c r="CT2" s="3977"/>
      <c r="CU2" s="3977">
        <v>3490</v>
      </c>
      <c r="CV2" s="3977"/>
      <c r="CW2" s="3977"/>
      <c r="CX2" s="3977">
        <v>3690</v>
      </c>
      <c r="CY2" s="3977"/>
      <c r="CZ2" s="3977"/>
      <c r="DA2" s="3973">
        <v>3890</v>
      </c>
      <c r="DB2" s="3974"/>
      <c r="DC2" s="3975"/>
      <c r="DD2" s="3973">
        <v>4068</v>
      </c>
      <c r="DE2" s="3974"/>
      <c r="DF2" s="3975"/>
      <c r="DG2" s="3973">
        <v>4668</v>
      </c>
      <c r="DH2" s="3974"/>
      <c r="DI2" s="3975"/>
      <c r="DJ2" s="3973">
        <v>4068</v>
      </c>
      <c r="DK2" s="3974"/>
      <c r="DL2" s="3975"/>
      <c r="DM2" s="3973">
        <v>4070</v>
      </c>
      <c r="DN2" s="3974"/>
      <c r="DO2" s="3975"/>
      <c r="DP2" s="3973">
        <v>4670</v>
      </c>
      <c r="DQ2" s="3974"/>
      <c r="DR2" s="3975"/>
      <c r="DS2" s="3976">
        <v>4080</v>
      </c>
      <c r="DT2" s="3974"/>
      <c r="DU2" s="3975"/>
      <c r="DV2" s="3973">
        <v>4680</v>
      </c>
      <c r="DW2" s="3974"/>
      <c r="DX2" s="3975"/>
      <c r="DY2" s="3973">
        <v>4090</v>
      </c>
      <c r="DZ2" s="3974"/>
      <c r="EA2" s="3975"/>
      <c r="EB2" s="3973">
        <v>4690</v>
      </c>
      <c r="EC2" s="3974"/>
      <c r="ED2" s="3975"/>
      <c r="EE2" s="3973">
        <v>5068</v>
      </c>
      <c r="EF2" s="3974"/>
      <c r="EG2" s="3975"/>
      <c r="EH2" s="3973">
        <v>5070</v>
      </c>
      <c r="EI2" s="3974"/>
      <c r="EJ2" s="3975"/>
      <c r="EK2" s="3976">
        <v>5080</v>
      </c>
      <c r="EL2" s="3974"/>
      <c r="EM2" s="3975"/>
      <c r="EN2" s="3973">
        <v>5090</v>
      </c>
      <c r="EO2" s="3974"/>
      <c r="EP2" s="3975"/>
      <c r="EQ2" s="3973">
        <v>6068</v>
      </c>
      <c r="ER2" s="3974"/>
      <c r="ES2" s="3975"/>
      <c r="ET2" s="3973">
        <v>6070</v>
      </c>
      <c r="EU2" s="3974"/>
      <c r="EV2" s="3975"/>
      <c r="EW2" s="632"/>
      <c r="EX2" s="3973">
        <v>6080</v>
      </c>
      <c r="EY2" s="3974"/>
      <c r="EZ2" s="3975"/>
      <c r="FA2" s="3973">
        <v>6090</v>
      </c>
      <c r="FB2" s="3974"/>
      <c r="FC2" s="3975"/>
      <c r="FD2" s="3973">
        <v>7068</v>
      </c>
      <c r="FE2" s="3974"/>
      <c r="FF2" s="3975"/>
      <c r="FG2" s="3976">
        <v>7070</v>
      </c>
      <c r="FH2" s="3974"/>
      <c r="FI2" s="3975"/>
      <c r="FJ2" s="3973">
        <v>7080</v>
      </c>
      <c r="FK2" s="3974"/>
      <c r="FL2" s="3975"/>
      <c r="FM2" s="3973">
        <v>7090</v>
      </c>
      <c r="FN2" s="3974"/>
      <c r="FO2" s="3975"/>
      <c r="FP2" s="3973">
        <v>8068</v>
      </c>
      <c r="FQ2" s="3974"/>
      <c r="FR2" s="3975"/>
      <c r="FS2" s="3973">
        <v>8070</v>
      </c>
      <c r="FT2" s="3974"/>
      <c r="FU2" s="3975"/>
      <c r="FV2" s="3973">
        <v>8080</v>
      </c>
      <c r="FW2" s="3974"/>
      <c r="FX2" s="3975"/>
      <c r="FY2" s="3976">
        <v>8090</v>
      </c>
      <c r="FZ2" s="3974"/>
      <c r="GA2" s="3975"/>
      <c r="GB2" s="3973">
        <v>9068</v>
      </c>
      <c r="GC2" s="3974"/>
      <c r="GD2" s="3975"/>
      <c r="GE2" s="3973">
        <v>9070</v>
      </c>
      <c r="GF2" s="3974"/>
      <c r="GG2" s="3975"/>
      <c r="GH2" s="3973">
        <v>9080</v>
      </c>
      <c r="GI2" s="3974"/>
      <c r="GJ2" s="3975"/>
      <c r="GK2" s="3973">
        <v>9090</v>
      </c>
      <c r="GL2" s="3974"/>
      <c r="GM2" s="3975"/>
    </row>
    <row r="3" spans="3:195" s="403" customFormat="1" ht="18.600000000000001" customHeight="1" thickBot="1" x14ac:dyDescent="0.25">
      <c r="I3" s="940" t="s">
        <v>1363</v>
      </c>
      <c r="J3" s="941">
        <v>0.43</v>
      </c>
      <c r="K3" s="942" t="s">
        <v>2313</v>
      </c>
      <c r="L3" s="943" t="s">
        <v>321</v>
      </c>
      <c r="M3" s="944" t="s">
        <v>345</v>
      </c>
      <c r="N3" s="945" t="s">
        <v>1363</v>
      </c>
      <c r="O3" s="946" t="s">
        <v>321</v>
      </c>
      <c r="P3" s="944" t="s">
        <v>345</v>
      </c>
      <c r="Q3" s="947" t="s">
        <v>1363</v>
      </c>
      <c r="R3" s="633" t="s">
        <v>321</v>
      </c>
      <c r="S3" s="634" t="s">
        <v>345</v>
      </c>
      <c r="T3" s="638" t="s">
        <v>1363</v>
      </c>
      <c r="U3" s="633" t="s">
        <v>321</v>
      </c>
      <c r="V3" s="634" t="s">
        <v>345</v>
      </c>
      <c r="W3" s="635" t="s">
        <v>1363</v>
      </c>
      <c r="X3" s="633" t="s">
        <v>321</v>
      </c>
      <c r="Y3" s="634" t="s">
        <v>345</v>
      </c>
      <c r="Z3" s="635" t="s">
        <v>1363</v>
      </c>
      <c r="AA3" s="633" t="s">
        <v>321</v>
      </c>
      <c r="AB3" s="634" t="s">
        <v>345</v>
      </c>
      <c r="AC3" s="635" t="s">
        <v>1363</v>
      </c>
      <c r="AD3" s="633" t="s">
        <v>321</v>
      </c>
      <c r="AE3" s="634" t="s">
        <v>345</v>
      </c>
      <c r="AF3" s="635" t="s">
        <v>1363</v>
      </c>
      <c r="AG3" s="636" t="s">
        <v>321</v>
      </c>
      <c r="AH3" s="634" t="s">
        <v>345</v>
      </c>
      <c r="AI3" s="635" t="s">
        <v>1363</v>
      </c>
      <c r="AJ3" s="633" t="s">
        <v>321</v>
      </c>
      <c r="AK3" s="634" t="s">
        <v>345</v>
      </c>
      <c r="AL3" s="635" t="s">
        <v>1363</v>
      </c>
      <c r="AM3" s="633" t="s">
        <v>321</v>
      </c>
      <c r="AN3" s="634" t="s">
        <v>345</v>
      </c>
      <c r="AO3" s="635" t="s">
        <v>1363</v>
      </c>
      <c r="AP3" s="633" t="s">
        <v>321</v>
      </c>
      <c r="AQ3" s="634" t="s">
        <v>345</v>
      </c>
      <c r="AR3" s="635" t="s">
        <v>1363</v>
      </c>
      <c r="AS3" s="633" t="s">
        <v>321</v>
      </c>
      <c r="AT3" s="634" t="s">
        <v>345</v>
      </c>
      <c r="AU3" s="635" t="s">
        <v>1363</v>
      </c>
      <c r="AV3" s="633" t="s">
        <v>321</v>
      </c>
      <c r="AW3" s="634" t="s">
        <v>345</v>
      </c>
      <c r="AX3" s="635" t="s">
        <v>1363</v>
      </c>
      <c r="AY3" s="636" t="s">
        <v>321</v>
      </c>
      <c r="AZ3" s="634" t="s">
        <v>345</v>
      </c>
      <c r="BA3" s="635" t="s">
        <v>1363</v>
      </c>
      <c r="BB3" s="633" t="s">
        <v>321</v>
      </c>
      <c r="BC3" s="634" t="s">
        <v>345</v>
      </c>
      <c r="BD3" s="635" t="s">
        <v>1363</v>
      </c>
      <c r="BE3" s="633" t="s">
        <v>321</v>
      </c>
      <c r="BF3" s="634" t="s">
        <v>345</v>
      </c>
      <c r="BG3" s="635" t="s">
        <v>1363</v>
      </c>
      <c r="BH3" s="633" t="s">
        <v>321</v>
      </c>
      <c r="BI3" s="634" t="s">
        <v>345</v>
      </c>
      <c r="BJ3" s="635" t="s">
        <v>1363</v>
      </c>
      <c r="BK3" s="633" t="s">
        <v>321</v>
      </c>
      <c r="BL3" s="634" t="s">
        <v>345</v>
      </c>
      <c r="BM3" s="635" t="s">
        <v>1363</v>
      </c>
      <c r="BN3" s="633" t="s">
        <v>321</v>
      </c>
      <c r="BO3" s="634" t="s">
        <v>345</v>
      </c>
      <c r="BP3" s="635" t="s">
        <v>1363</v>
      </c>
      <c r="BQ3" s="633" t="s">
        <v>321</v>
      </c>
      <c r="BR3" s="634" t="s">
        <v>345</v>
      </c>
      <c r="BS3" s="635" t="s">
        <v>1363</v>
      </c>
      <c r="BT3" s="633" t="s">
        <v>321</v>
      </c>
      <c r="BU3" s="634" t="s">
        <v>345</v>
      </c>
      <c r="BV3" s="635" t="s">
        <v>1363</v>
      </c>
      <c r="BW3" s="633" t="s">
        <v>321</v>
      </c>
      <c r="BX3" s="634" t="s">
        <v>345</v>
      </c>
      <c r="BY3" s="635" t="s">
        <v>1363</v>
      </c>
      <c r="BZ3" s="633" t="s">
        <v>321</v>
      </c>
      <c r="CA3" s="634" t="s">
        <v>345</v>
      </c>
      <c r="CB3" s="635" t="s">
        <v>1363</v>
      </c>
      <c r="CC3" s="633" t="s">
        <v>321</v>
      </c>
      <c r="CD3" s="634" t="s">
        <v>345</v>
      </c>
      <c r="CE3" s="635" t="s">
        <v>1363</v>
      </c>
      <c r="CF3" s="633" t="s">
        <v>321</v>
      </c>
      <c r="CG3" s="634" t="s">
        <v>345</v>
      </c>
      <c r="CH3" s="635" t="s">
        <v>1363</v>
      </c>
      <c r="CI3" s="633" t="s">
        <v>321</v>
      </c>
      <c r="CJ3" s="634" t="s">
        <v>345</v>
      </c>
      <c r="CK3" s="635" t="s">
        <v>1363</v>
      </c>
      <c r="CL3" s="633" t="s">
        <v>321</v>
      </c>
      <c r="CM3" s="634" t="s">
        <v>345</v>
      </c>
      <c r="CN3" s="635" t="s">
        <v>1363</v>
      </c>
      <c r="CO3" s="633" t="s">
        <v>321</v>
      </c>
      <c r="CP3" s="634" t="s">
        <v>345</v>
      </c>
      <c r="CQ3" s="635" t="s">
        <v>1363</v>
      </c>
      <c r="CR3" s="633" t="s">
        <v>321</v>
      </c>
      <c r="CS3" s="634" t="s">
        <v>345</v>
      </c>
      <c r="CT3" s="635" t="s">
        <v>1363</v>
      </c>
      <c r="CU3" s="633" t="s">
        <v>321</v>
      </c>
      <c r="CV3" s="634" t="s">
        <v>345</v>
      </c>
      <c r="CW3" s="635" t="s">
        <v>1363</v>
      </c>
      <c r="CX3" s="636" t="s">
        <v>321</v>
      </c>
      <c r="CY3" s="634" t="s">
        <v>345</v>
      </c>
      <c r="CZ3" s="635" t="s">
        <v>1363</v>
      </c>
      <c r="DA3" s="636" t="s">
        <v>321</v>
      </c>
      <c r="DB3" s="634" t="s">
        <v>345</v>
      </c>
      <c r="DC3" s="635" t="s">
        <v>1363</v>
      </c>
      <c r="DD3" s="633" t="s">
        <v>321</v>
      </c>
      <c r="DE3" s="634" t="s">
        <v>345</v>
      </c>
      <c r="DF3" s="635" t="s">
        <v>1363</v>
      </c>
      <c r="DG3" s="633" t="s">
        <v>321</v>
      </c>
      <c r="DH3" s="634" t="s">
        <v>345</v>
      </c>
      <c r="DI3" s="635" t="s">
        <v>1363</v>
      </c>
      <c r="DJ3" s="633" t="s">
        <v>321</v>
      </c>
      <c r="DK3" s="634" t="s">
        <v>345</v>
      </c>
      <c r="DL3" s="635" t="s">
        <v>1363</v>
      </c>
      <c r="DM3" s="633" t="s">
        <v>321</v>
      </c>
      <c r="DN3" s="634" t="s">
        <v>345</v>
      </c>
      <c r="DO3" s="635" t="s">
        <v>1363</v>
      </c>
      <c r="DP3" s="633" t="s">
        <v>321</v>
      </c>
      <c r="DQ3" s="634" t="s">
        <v>345</v>
      </c>
      <c r="DR3" s="635" t="s">
        <v>1363</v>
      </c>
      <c r="DS3" s="636" t="s">
        <v>321</v>
      </c>
      <c r="DT3" s="634" t="s">
        <v>345</v>
      </c>
      <c r="DU3" s="635" t="s">
        <v>1363</v>
      </c>
      <c r="DV3" s="633" t="s">
        <v>321</v>
      </c>
      <c r="DW3" s="634" t="s">
        <v>345</v>
      </c>
      <c r="DX3" s="635" t="s">
        <v>1363</v>
      </c>
      <c r="DY3" s="633" t="s">
        <v>321</v>
      </c>
      <c r="DZ3" s="634" t="s">
        <v>345</v>
      </c>
      <c r="EA3" s="635" t="s">
        <v>1363</v>
      </c>
      <c r="EB3" s="633" t="s">
        <v>321</v>
      </c>
      <c r="EC3" s="634" t="s">
        <v>345</v>
      </c>
      <c r="ED3" s="635" t="s">
        <v>1363</v>
      </c>
      <c r="EE3" s="633" t="s">
        <v>321</v>
      </c>
      <c r="EF3" s="634" t="s">
        <v>345</v>
      </c>
      <c r="EG3" s="635" t="s">
        <v>1363</v>
      </c>
      <c r="EH3" s="633" t="s">
        <v>321</v>
      </c>
      <c r="EI3" s="634" t="s">
        <v>345</v>
      </c>
      <c r="EJ3" s="635" t="s">
        <v>1363</v>
      </c>
      <c r="EK3" s="636" t="s">
        <v>321</v>
      </c>
      <c r="EL3" s="634" t="s">
        <v>345</v>
      </c>
      <c r="EM3" s="635" t="s">
        <v>1363</v>
      </c>
      <c r="EN3" s="633" t="s">
        <v>321</v>
      </c>
      <c r="EO3" s="634" t="s">
        <v>345</v>
      </c>
      <c r="EP3" s="635" t="s">
        <v>1363</v>
      </c>
      <c r="EQ3" s="633" t="s">
        <v>321</v>
      </c>
      <c r="ER3" s="634" t="s">
        <v>345</v>
      </c>
      <c r="ES3" s="635" t="s">
        <v>1363</v>
      </c>
      <c r="ET3" s="633" t="s">
        <v>321</v>
      </c>
      <c r="EU3" s="634" t="s">
        <v>345</v>
      </c>
      <c r="EV3" s="635" t="s">
        <v>1363</v>
      </c>
      <c r="EW3" s="639"/>
      <c r="EX3" s="633" t="s">
        <v>321</v>
      </c>
      <c r="EY3" s="634" t="s">
        <v>345</v>
      </c>
      <c r="EZ3" s="635" t="s">
        <v>1363</v>
      </c>
      <c r="FA3" s="633" t="s">
        <v>321</v>
      </c>
      <c r="FB3" s="634" t="s">
        <v>345</v>
      </c>
      <c r="FC3" s="635" t="s">
        <v>1363</v>
      </c>
      <c r="FD3" s="633" t="s">
        <v>321</v>
      </c>
      <c r="FE3" s="634" t="s">
        <v>345</v>
      </c>
      <c r="FF3" s="635" t="s">
        <v>1363</v>
      </c>
      <c r="FG3" s="636" t="s">
        <v>321</v>
      </c>
      <c r="FH3" s="634" t="s">
        <v>345</v>
      </c>
      <c r="FI3" s="635" t="s">
        <v>1363</v>
      </c>
      <c r="FJ3" s="633" t="s">
        <v>321</v>
      </c>
      <c r="FK3" s="634" t="s">
        <v>345</v>
      </c>
      <c r="FL3" s="635" t="s">
        <v>1363</v>
      </c>
      <c r="FM3" s="633" t="s">
        <v>321</v>
      </c>
      <c r="FN3" s="634" t="s">
        <v>345</v>
      </c>
      <c r="FO3" s="635" t="s">
        <v>1363</v>
      </c>
      <c r="FP3" s="633" t="s">
        <v>321</v>
      </c>
      <c r="FQ3" s="634" t="s">
        <v>345</v>
      </c>
      <c r="FR3" s="635" t="s">
        <v>1363</v>
      </c>
      <c r="FS3" s="633" t="s">
        <v>321</v>
      </c>
      <c r="FT3" s="634" t="s">
        <v>345</v>
      </c>
      <c r="FU3" s="635" t="s">
        <v>1363</v>
      </c>
      <c r="FV3" s="633" t="s">
        <v>321</v>
      </c>
      <c r="FW3" s="634" t="s">
        <v>345</v>
      </c>
      <c r="FX3" s="635" t="s">
        <v>1363</v>
      </c>
      <c r="FY3" s="636" t="s">
        <v>321</v>
      </c>
      <c r="FZ3" s="634" t="s">
        <v>345</v>
      </c>
      <c r="GA3" s="635" t="s">
        <v>1363</v>
      </c>
      <c r="GB3" s="633" t="s">
        <v>321</v>
      </c>
      <c r="GC3" s="634" t="s">
        <v>345</v>
      </c>
      <c r="GD3" s="635" t="s">
        <v>1363</v>
      </c>
      <c r="GE3" s="633" t="s">
        <v>321</v>
      </c>
      <c r="GF3" s="634" t="s">
        <v>345</v>
      </c>
      <c r="GG3" s="635" t="s">
        <v>1363</v>
      </c>
      <c r="GH3" s="633" t="s">
        <v>321</v>
      </c>
      <c r="GI3" s="634" t="s">
        <v>345</v>
      </c>
      <c r="GJ3" s="635" t="s">
        <v>1363</v>
      </c>
      <c r="GK3" s="633" t="s">
        <v>321</v>
      </c>
      <c r="GL3" s="634" t="s">
        <v>345</v>
      </c>
      <c r="GM3" s="635" t="s">
        <v>1363</v>
      </c>
    </row>
    <row r="4" spans="3:195" s="640" customFormat="1" ht="39" customHeight="1" x14ac:dyDescent="0.25">
      <c r="I4" s="3979" t="s">
        <v>2314</v>
      </c>
      <c r="J4" s="3979"/>
      <c r="K4" s="948">
        <v>18</v>
      </c>
      <c r="L4" s="949">
        <f>221.706+12</f>
        <v>233.70599999999999</v>
      </c>
      <c r="M4" s="950">
        <v>603</v>
      </c>
      <c r="N4" s="951">
        <f>524+53+53+103+15</f>
        <v>748</v>
      </c>
      <c r="O4" s="952">
        <f>232.7913+12</f>
        <v>244.79130000000001</v>
      </c>
      <c r="P4" s="950">
        <v>624</v>
      </c>
      <c r="Q4" s="953">
        <f>537+53+53+103+15</f>
        <v>761</v>
      </c>
      <c r="R4" s="641"/>
      <c r="S4" s="646">
        <v>684</v>
      </c>
      <c r="T4" s="647"/>
      <c r="U4" s="648">
        <f>424.9365+12</f>
        <v>436.93650000000002</v>
      </c>
      <c r="V4" s="646">
        <v>847</v>
      </c>
      <c r="W4" s="647"/>
      <c r="X4" s="641"/>
      <c r="Y4" s="642">
        <v>745</v>
      </c>
      <c r="Z4" s="643"/>
      <c r="AA4" s="641"/>
      <c r="AB4" s="642">
        <v>774</v>
      </c>
      <c r="AC4" s="643"/>
      <c r="AD4" s="641"/>
      <c r="AE4" s="642">
        <v>871</v>
      </c>
      <c r="AF4" s="643"/>
      <c r="AG4" s="644"/>
      <c r="AH4" s="646">
        <v>1055</v>
      </c>
      <c r="AI4" s="647"/>
      <c r="AJ4" s="641"/>
      <c r="AK4" s="646">
        <v>745</v>
      </c>
      <c r="AL4" s="647"/>
      <c r="AM4" s="641"/>
      <c r="AN4" s="649"/>
      <c r="AO4" s="647"/>
      <c r="AP4" s="641"/>
      <c r="AQ4" s="649"/>
      <c r="AR4" s="647"/>
      <c r="AS4" s="641"/>
      <c r="AT4" s="649"/>
      <c r="AU4" s="647"/>
      <c r="AV4" s="641"/>
      <c r="AW4" s="649"/>
      <c r="AX4" s="647"/>
      <c r="AY4" s="644"/>
      <c r="AZ4" s="649"/>
      <c r="BA4" s="647"/>
      <c r="BB4" s="641"/>
      <c r="BC4" s="649"/>
      <c r="BD4" s="647"/>
      <c r="BE4" s="641"/>
      <c r="BF4" s="649"/>
      <c r="BG4" s="647"/>
      <c r="BH4" s="648">
        <f>229.0962+12</f>
        <v>241.09620000000001</v>
      </c>
      <c r="BI4" s="650">
        <v>696.48526077097495</v>
      </c>
      <c r="BJ4" s="643">
        <f>557+53+53+103+15</f>
        <v>781</v>
      </c>
      <c r="BK4" s="641">
        <f>275.9008+12</f>
        <v>287.9008</v>
      </c>
      <c r="BL4" s="649"/>
      <c r="BM4" s="643"/>
      <c r="BN4" s="648">
        <f>275.9008+12</f>
        <v>287.9008</v>
      </c>
      <c r="BO4" s="649">
        <v>820.11337868480723</v>
      </c>
      <c r="BP4" s="643">
        <f>637+106+103+15</f>
        <v>861</v>
      </c>
      <c r="BQ4" s="641"/>
      <c r="BR4" s="649"/>
      <c r="BS4" s="643"/>
      <c r="BT4" s="648">
        <f>284.5227+12</f>
        <v>296.52269999999999</v>
      </c>
      <c r="BU4" s="650">
        <v>724.48979591836735</v>
      </c>
      <c r="BV4" s="643">
        <f>567+106+103+15</f>
        <v>791</v>
      </c>
      <c r="BW4" s="641">
        <f>305.4616+12</f>
        <v>317.46159999999998</v>
      </c>
      <c r="BX4" s="650"/>
      <c r="BY4" s="643"/>
      <c r="BZ4" s="648">
        <f>424.9365+12</f>
        <v>436.93650000000002</v>
      </c>
      <c r="CA4" s="650">
        <v>780</v>
      </c>
      <c r="CB4" s="643">
        <f>674+106+103+15</f>
        <v>898</v>
      </c>
      <c r="CC4" s="651"/>
      <c r="CD4" s="652"/>
      <c r="CE4" s="653"/>
      <c r="CF4" s="641">
        <f>309.1567+12</f>
        <v>321.1567</v>
      </c>
      <c r="CG4" s="652">
        <v>765</v>
      </c>
      <c r="CH4" s="643">
        <f>659+106+103+15</f>
        <v>883</v>
      </c>
      <c r="CI4" s="651"/>
      <c r="CJ4" s="652"/>
      <c r="CK4" s="653"/>
      <c r="CL4" s="648">
        <f>351.0345+12</f>
        <v>363.03449999999998</v>
      </c>
      <c r="CM4" s="654">
        <v>871</v>
      </c>
      <c r="CN4" s="643">
        <f>765+106+103+15</f>
        <v>989</v>
      </c>
      <c r="CO4" s="655"/>
      <c r="CP4" s="654"/>
      <c r="CQ4" s="656"/>
      <c r="CR4" s="648">
        <f>432.3267+12</f>
        <v>444.32670000000002</v>
      </c>
      <c r="CS4" s="650"/>
      <c r="CT4" s="643"/>
      <c r="CU4" s="651"/>
      <c r="CV4" s="657"/>
      <c r="CW4" s="658"/>
      <c r="CX4" s="659">
        <f>468.046+12</f>
        <v>480.04599999999999</v>
      </c>
      <c r="CY4" s="657"/>
      <c r="CZ4" s="658"/>
      <c r="DA4" s="659"/>
      <c r="DB4" s="657"/>
      <c r="DC4" s="658"/>
      <c r="DD4" s="648"/>
      <c r="DE4" s="657">
        <v>962.81179138322</v>
      </c>
      <c r="DF4" s="643">
        <f>751+106+103+15</f>
        <v>975</v>
      </c>
      <c r="DG4" s="648">
        <f>305.4616+12</f>
        <v>317.46159999999998</v>
      </c>
      <c r="DH4" s="657"/>
      <c r="DI4" s="658"/>
      <c r="DJ4" s="648"/>
      <c r="DK4" s="657"/>
      <c r="DL4" s="658"/>
      <c r="DM4" s="648">
        <f>316.5469+12</f>
        <v>328.54689999999999</v>
      </c>
      <c r="DN4" s="657">
        <v>879</v>
      </c>
      <c r="DO4" s="658"/>
      <c r="DP4" s="648"/>
      <c r="DQ4" s="657"/>
      <c r="DR4" s="658"/>
      <c r="DS4" s="659"/>
      <c r="DT4" s="657">
        <v>1213.9909297052154</v>
      </c>
      <c r="DU4" s="643">
        <f>865+106+103+15</f>
        <v>1089</v>
      </c>
      <c r="DV4" s="648"/>
      <c r="DW4" s="657"/>
      <c r="DX4" s="658"/>
      <c r="DY4" s="648"/>
      <c r="DZ4" s="657"/>
      <c r="EA4" s="658"/>
      <c r="EB4" s="648"/>
      <c r="EC4" s="657"/>
      <c r="ED4" s="658"/>
      <c r="EE4" s="648"/>
      <c r="EF4" s="657"/>
      <c r="EG4" s="658"/>
      <c r="EH4" s="648"/>
      <c r="EI4" s="657"/>
      <c r="EJ4" s="658"/>
      <c r="EK4" s="659"/>
      <c r="EL4" s="657"/>
      <c r="EM4" s="658"/>
      <c r="EN4" s="648"/>
      <c r="EO4" s="657"/>
      <c r="EP4" s="658"/>
      <c r="EQ4" s="648"/>
      <c r="ER4" s="657"/>
      <c r="ES4" s="658"/>
      <c r="ET4" s="648"/>
      <c r="EU4" s="657"/>
      <c r="EV4" s="658"/>
      <c r="EW4" s="660"/>
      <c r="EX4" s="648"/>
      <c r="EY4" s="657"/>
      <c r="EZ4" s="658"/>
      <c r="FA4" s="648"/>
      <c r="FB4" s="657"/>
      <c r="FC4" s="658"/>
      <c r="FD4" s="648"/>
      <c r="FE4" s="657"/>
      <c r="FF4" s="658"/>
      <c r="FG4" s="659"/>
      <c r="FH4" s="657"/>
      <c r="FI4" s="658"/>
      <c r="FJ4" s="648"/>
      <c r="FK4" s="657"/>
      <c r="FL4" s="658"/>
      <c r="FM4" s="648"/>
      <c r="FN4" s="657"/>
      <c r="FO4" s="658"/>
      <c r="FP4" s="648"/>
      <c r="FQ4" s="657"/>
      <c r="FR4" s="658"/>
      <c r="FS4" s="648"/>
      <c r="FT4" s="657"/>
      <c r="FU4" s="658"/>
      <c r="FV4" s="648"/>
      <c r="FW4" s="657"/>
      <c r="FX4" s="658"/>
      <c r="FY4" s="659"/>
      <c r="FZ4" s="657"/>
      <c r="GA4" s="658"/>
      <c r="GB4" s="648"/>
      <c r="GC4" s="657"/>
      <c r="GD4" s="658"/>
      <c r="GE4" s="648"/>
      <c r="GF4" s="657"/>
      <c r="GG4" s="658"/>
      <c r="GH4" s="648"/>
      <c r="GI4" s="657"/>
      <c r="GJ4" s="658"/>
      <c r="GK4" s="648"/>
      <c r="GL4" s="657"/>
      <c r="GM4" s="658"/>
    </row>
    <row r="5" spans="3:195" s="661" customFormat="1" ht="39" customHeight="1" x14ac:dyDescent="0.25">
      <c r="I5" s="3979" t="s">
        <v>2534</v>
      </c>
      <c r="J5" s="3979"/>
      <c r="K5" s="948">
        <v>16</v>
      </c>
      <c r="L5" s="954">
        <f>259.8887+12</f>
        <v>271.88869999999997</v>
      </c>
      <c r="M5" s="955">
        <v>697</v>
      </c>
      <c r="N5" s="956">
        <f>692+106+103+15</f>
        <v>916</v>
      </c>
      <c r="O5" s="957">
        <f>270.974+12</f>
        <v>282.97399999999999</v>
      </c>
      <c r="P5" s="955">
        <v>723</v>
      </c>
      <c r="Q5" s="958">
        <f>705+106+103+15</f>
        <v>929</v>
      </c>
      <c r="R5" s="662"/>
      <c r="S5" s="667">
        <v>797</v>
      </c>
      <c r="T5" s="668"/>
      <c r="U5" s="669">
        <f>466.8143+12</f>
        <v>478.8143</v>
      </c>
      <c r="V5" s="667">
        <v>997</v>
      </c>
      <c r="W5" s="668"/>
      <c r="X5" s="662"/>
      <c r="Y5" s="663">
        <v>871</v>
      </c>
      <c r="Z5" s="664"/>
      <c r="AA5" s="662"/>
      <c r="AB5" s="663">
        <v>907</v>
      </c>
      <c r="AC5" s="664"/>
      <c r="AD5" s="662"/>
      <c r="AE5" s="663">
        <v>1026</v>
      </c>
      <c r="AF5" s="664"/>
      <c r="AG5" s="665"/>
      <c r="AH5" s="667">
        <v>1252</v>
      </c>
      <c r="AI5" s="668"/>
      <c r="AJ5" s="662"/>
      <c r="AK5" s="667">
        <v>871</v>
      </c>
      <c r="AL5" s="668"/>
      <c r="AM5" s="662"/>
      <c r="AN5" s="670"/>
      <c r="AO5" s="668"/>
      <c r="AP5" s="662"/>
      <c r="AQ5" s="670"/>
      <c r="AR5" s="668"/>
      <c r="AS5" s="662"/>
      <c r="AT5" s="670"/>
      <c r="AU5" s="668"/>
      <c r="AV5" s="662"/>
      <c r="AW5" s="670"/>
      <c r="AX5" s="668"/>
      <c r="AY5" s="665"/>
      <c r="AZ5" s="670"/>
      <c r="BA5" s="668"/>
      <c r="BB5" s="662"/>
      <c r="BC5" s="670"/>
      <c r="BD5" s="668"/>
      <c r="BE5" s="662"/>
      <c r="BF5" s="670"/>
      <c r="BG5" s="668"/>
      <c r="BH5" s="669">
        <f>267.2789+12</f>
        <v>279.27890000000002</v>
      </c>
      <c r="BI5" s="671">
        <v>818.18594104308386</v>
      </c>
      <c r="BJ5" s="664">
        <f>725+106+103+15</f>
        <v>949</v>
      </c>
      <c r="BK5" s="662">
        <f>307.925+12</f>
        <v>319.92500000000001</v>
      </c>
      <c r="BL5" s="670"/>
      <c r="BM5" s="664"/>
      <c r="BN5" s="669">
        <f>307.925+12</f>
        <v>319.92500000000001</v>
      </c>
      <c r="BO5" s="670">
        <v>968.8888888888888</v>
      </c>
      <c r="BP5" s="664">
        <f>805+106+103+15</f>
        <v>1029</v>
      </c>
      <c r="BQ5" s="662"/>
      <c r="BR5" s="670"/>
      <c r="BS5" s="664"/>
      <c r="BT5" s="669">
        <f>312.8518+12</f>
        <v>324.85180000000003</v>
      </c>
      <c r="BU5" s="671">
        <v>852.97052154195012</v>
      </c>
      <c r="BV5" s="664">
        <f>735+106+103+15</f>
        <v>959</v>
      </c>
      <c r="BW5" s="662">
        <f>341.1809+12</f>
        <v>353.18090000000001</v>
      </c>
      <c r="BX5" s="671"/>
      <c r="BY5" s="664"/>
      <c r="BZ5" s="669">
        <f>466.8143+12</f>
        <v>478.8143</v>
      </c>
      <c r="CA5" s="671">
        <v>948</v>
      </c>
      <c r="CB5" s="664">
        <f>842+106+103+15</f>
        <v>1066</v>
      </c>
      <c r="CC5" s="672"/>
      <c r="CD5" s="673"/>
      <c r="CE5" s="674"/>
      <c r="CF5" s="662">
        <f>351.0345+12</f>
        <v>363.03449999999998</v>
      </c>
      <c r="CG5" s="673">
        <v>933</v>
      </c>
      <c r="CH5" s="664">
        <f>827+106+103+15</f>
        <v>1051</v>
      </c>
      <c r="CI5" s="672"/>
      <c r="CJ5" s="673"/>
      <c r="CK5" s="674"/>
      <c r="CL5" s="669">
        <f>375.6685+12</f>
        <v>387.66849999999999</v>
      </c>
      <c r="CM5" s="675">
        <v>1039</v>
      </c>
      <c r="CN5" s="664">
        <f>933+106+103+15</f>
        <v>1157</v>
      </c>
      <c r="CO5" s="672"/>
      <c r="CP5" s="673"/>
      <c r="CQ5" s="674"/>
      <c r="CR5" s="669">
        <f>474.2045+12</f>
        <v>486.2045</v>
      </c>
      <c r="CS5" s="671"/>
      <c r="CT5" s="664"/>
      <c r="CU5" s="672"/>
      <c r="CV5" s="676"/>
      <c r="CW5" s="677"/>
      <c r="CX5" s="678">
        <f>491.4483+12</f>
        <v>503.44830000000002</v>
      </c>
      <c r="CY5" s="676"/>
      <c r="CZ5" s="677"/>
      <c r="DA5" s="678"/>
      <c r="DB5" s="676"/>
      <c r="DC5" s="677"/>
      <c r="DD5" s="669"/>
      <c r="DE5" s="676">
        <v>1025</v>
      </c>
      <c r="DF5" s="664">
        <f>919+106+103+15</f>
        <v>1143</v>
      </c>
      <c r="DG5" s="669">
        <f>341.1809+12</f>
        <v>353.18090000000001</v>
      </c>
      <c r="DH5" s="676"/>
      <c r="DI5" s="677"/>
      <c r="DJ5" s="669"/>
      <c r="DK5" s="676"/>
      <c r="DL5" s="677"/>
      <c r="DM5" s="669">
        <f>347.3394+12</f>
        <v>359.33940000000001</v>
      </c>
      <c r="DN5" s="676">
        <v>1047</v>
      </c>
      <c r="DO5" s="677"/>
      <c r="DP5" s="669"/>
      <c r="DQ5" s="676"/>
      <c r="DR5" s="677"/>
      <c r="DS5" s="678"/>
      <c r="DT5" s="676">
        <v>1139</v>
      </c>
      <c r="DU5" s="664">
        <f>1033+106+103+15</f>
        <v>1257</v>
      </c>
      <c r="DV5" s="669">
        <f>925+12</f>
        <v>937</v>
      </c>
      <c r="DW5" s="676"/>
      <c r="DX5" s="677"/>
      <c r="DY5" s="669"/>
      <c r="DZ5" s="676"/>
      <c r="EA5" s="677"/>
      <c r="EB5" s="669"/>
      <c r="EC5" s="676"/>
      <c r="ED5" s="677"/>
      <c r="EE5" s="669"/>
      <c r="EF5" s="676"/>
      <c r="EG5" s="677"/>
      <c r="EH5" s="669"/>
      <c r="EI5" s="676"/>
      <c r="EJ5" s="677"/>
      <c r="EK5" s="678"/>
      <c r="EL5" s="676"/>
      <c r="EM5" s="677"/>
      <c r="EN5" s="669"/>
      <c r="EO5" s="676"/>
      <c r="EP5" s="677"/>
      <c r="EQ5" s="669"/>
      <c r="ER5" s="676"/>
      <c r="ES5" s="677"/>
      <c r="ET5" s="669"/>
      <c r="EU5" s="676"/>
      <c r="EV5" s="677"/>
      <c r="EW5" s="679"/>
      <c r="EX5" s="669"/>
      <c r="EY5" s="676"/>
      <c r="EZ5" s="677"/>
      <c r="FA5" s="669"/>
      <c r="FB5" s="676"/>
      <c r="FC5" s="677"/>
      <c r="FD5" s="669"/>
      <c r="FE5" s="676"/>
      <c r="FF5" s="677"/>
      <c r="FG5" s="678"/>
      <c r="FH5" s="676"/>
      <c r="FI5" s="677"/>
      <c r="FJ5" s="669"/>
      <c r="FK5" s="676"/>
      <c r="FL5" s="677"/>
      <c r="FM5" s="669"/>
      <c r="FN5" s="676"/>
      <c r="FO5" s="677"/>
      <c r="FP5" s="669"/>
      <c r="FQ5" s="676"/>
      <c r="FR5" s="677"/>
      <c r="FS5" s="669"/>
      <c r="FT5" s="676"/>
      <c r="FU5" s="677"/>
      <c r="FV5" s="669"/>
      <c r="FW5" s="676"/>
      <c r="FX5" s="677"/>
      <c r="FY5" s="678"/>
      <c r="FZ5" s="676"/>
      <c r="GA5" s="677"/>
      <c r="GB5" s="669"/>
      <c r="GC5" s="676"/>
      <c r="GD5" s="677"/>
      <c r="GE5" s="669"/>
      <c r="GF5" s="676"/>
      <c r="GG5" s="677"/>
      <c r="GH5" s="669"/>
      <c r="GI5" s="676"/>
      <c r="GJ5" s="677"/>
      <c r="GK5" s="669"/>
      <c r="GL5" s="676"/>
      <c r="GM5" s="677"/>
    </row>
    <row r="6" spans="3:195" s="640" customFormat="1" ht="39" customHeight="1" x14ac:dyDescent="0.25">
      <c r="I6" s="3979" t="s">
        <v>2534</v>
      </c>
      <c r="J6" s="3979"/>
      <c r="K6" s="948">
        <v>14</v>
      </c>
      <c r="L6" s="954">
        <f>315.3152+12</f>
        <v>327.3152</v>
      </c>
      <c r="M6" s="959"/>
      <c r="N6" s="956">
        <f>986+106+103+15</f>
        <v>1210</v>
      </c>
      <c r="O6" s="957">
        <f>331.3273+12</f>
        <v>343.32729999999998</v>
      </c>
      <c r="P6" s="959"/>
      <c r="Q6" s="958">
        <f>999+106+103+15</f>
        <v>1223</v>
      </c>
      <c r="R6" s="680"/>
      <c r="S6" s="681"/>
      <c r="T6" s="685"/>
      <c r="U6" s="686">
        <f>545.6431+12</f>
        <v>557.6431</v>
      </c>
      <c r="V6" s="681"/>
      <c r="W6" s="685"/>
      <c r="X6" s="680"/>
      <c r="Y6" s="681"/>
      <c r="Z6" s="682"/>
      <c r="AA6" s="680"/>
      <c r="AB6" s="681"/>
      <c r="AC6" s="682"/>
      <c r="AD6" s="680"/>
      <c r="AE6" s="681"/>
      <c r="AF6" s="682"/>
      <c r="AG6" s="683"/>
      <c r="AH6" s="681"/>
      <c r="AI6" s="685"/>
      <c r="AJ6" s="680"/>
      <c r="AK6" s="681"/>
      <c r="AL6" s="685"/>
      <c r="AM6" s="680"/>
      <c r="AN6" s="681"/>
      <c r="AO6" s="685"/>
      <c r="AP6" s="680"/>
      <c r="AQ6" s="681"/>
      <c r="AR6" s="685"/>
      <c r="AS6" s="680"/>
      <c r="AT6" s="681"/>
      <c r="AU6" s="685"/>
      <c r="AV6" s="680"/>
      <c r="AW6" s="681"/>
      <c r="AX6" s="685"/>
      <c r="AY6" s="683"/>
      <c r="AZ6" s="681"/>
      <c r="BA6" s="685"/>
      <c r="BB6" s="680"/>
      <c r="BC6" s="681"/>
      <c r="BD6" s="685"/>
      <c r="BE6" s="680"/>
      <c r="BF6" s="681"/>
      <c r="BG6" s="685"/>
      <c r="BH6" s="686">
        <f>322.7054+12</f>
        <v>334.7054</v>
      </c>
      <c r="BI6" s="681">
        <v>1040.3628117913831</v>
      </c>
      <c r="BJ6" s="682">
        <f>1019+106+103+15</f>
        <v>1243</v>
      </c>
      <c r="BK6" s="680">
        <f>360.8881+12</f>
        <v>372.88810000000001</v>
      </c>
      <c r="BL6" s="687"/>
      <c r="BM6" s="682"/>
      <c r="BN6" s="686">
        <f>360.8881+12</f>
        <v>372.88810000000001</v>
      </c>
      <c r="BO6" s="687">
        <v>1241.2925170068027</v>
      </c>
      <c r="BP6" s="682">
        <f>1099+106+103+15</f>
        <v>1323</v>
      </c>
      <c r="BQ6" s="680"/>
      <c r="BR6" s="687"/>
      <c r="BS6" s="682"/>
      <c r="BT6" s="686">
        <f>374.4368+12</f>
        <v>386.43680000000001</v>
      </c>
      <c r="BU6" s="681">
        <v>1086.7346938775511</v>
      </c>
      <c r="BV6" s="682">
        <f>1029+106+103+15</f>
        <v>1253</v>
      </c>
      <c r="BW6" s="680">
        <f>392.9123+12</f>
        <v>404.91230000000002</v>
      </c>
      <c r="BX6" s="681"/>
      <c r="BY6" s="682"/>
      <c r="BZ6" s="686">
        <f>545.6431+12</f>
        <v>557.6431</v>
      </c>
      <c r="CA6" s="681">
        <v>1242</v>
      </c>
      <c r="CB6" s="682">
        <f>1136+106+103+15</f>
        <v>1360</v>
      </c>
      <c r="CC6" s="688"/>
      <c r="CD6" s="689"/>
      <c r="CE6" s="690"/>
      <c r="CF6" s="680">
        <f>429.8633+12</f>
        <v>441.86329999999998</v>
      </c>
      <c r="CG6" s="689">
        <v>1227</v>
      </c>
      <c r="CH6" s="682">
        <f>1121+106+103+15</f>
        <v>1345</v>
      </c>
      <c r="CI6" s="688"/>
      <c r="CJ6" s="689"/>
      <c r="CK6" s="690"/>
      <c r="CL6" s="686">
        <f>463.1192+12</f>
        <v>475.11919999999998</v>
      </c>
      <c r="CM6" s="691">
        <v>1333</v>
      </c>
      <c r="CN6" s="682">
        <f>1227+106+103+15</f>
        <v>1451</v>
      </c>
      <c r="CO6" s="688"/>
      <c r="CP6" s="689"/>
      <c r="CQ6" s="690"/>
      <c r="CR6" s="686">
        <f>553.0333+12</f>
        <v>565.03330000000005</v>
      </c>
      <c r="CS6" s="681"/>
      <c r="CT6" s="682"/>
      <c r="CU6" s="688"/>
      <c r="CV6" s="692"/>
      <c r="CW6" s="693"/>
      <c r="CX6" s="694">
        <f>577.6673+12</f>
        <v>589.66729999999995</v>
      </c>
      <c r="CY6" s="692"/>
      <c r="CZ6" s="693"/>
      <c r="DA6" s="694"/>
      <c r="DB6" s="692"/>
      <c r="DC6" s="693"/>
      <c r="DD6" s="686"/>
      <c r="DE6" s="692">
        <v>1319</v>
      </c>
      <c r="DF6" s="682">
        <f>1213+106+103+15</f>
        <v>1437</v>
      </c>
      <c r="DG6" s="686">
        <f>392.9123+12</f>
        <v>404.91230000000002</v>
      </c>
      <c r="DH6" s="692"/>
      <c r="DI6" s="693"/>
      <c r="DJ6" s="686"/>
      <c r="DK6" s="692"/>
      <c r="DL6" s="693"/>
      <c r="DM6" s="686">
        <f>407.6927+12</f>
        <v>419.6927</v>
      </c>
      <c r="DN6" s="692">
        <v>1341</v>
      </c>
      <c r="DO6" s="693"/>
      <c r="DP6" s="686"/>
      <c r="DQ6" s="692"/>
      <c r="DR6" s="693"/>
      <c r="DS6" s="694"/>
      <c r="DT6" s="692">
        <v>1433</v>
      </c>
      <c r="DU6" s="682">
        <f>1327+106+103+15</f>
        <v>1551</v>
      </c>
      <c r="DV6" s="686" t="s">
        <v>2316</v>
      </c>
      <c r="DW6" s="692"/>
      <c r="DX6" s="693"/>
      <c r="DY6" s="686"/>
      <c r="DZ6" s="692"/>
      <c r="EA6" s="693"/>
      <c r="EB6" s="686"/>
      <c r="EC6" s="692"/>
      <c r="ED6" s="693"/>
      <c r="EE6" s="686"/>
      <c r="EF6" s="692"/>
      <c r="EG6" s="693"/>
      <c r="EH6" s="686"/>
      <c r="EI6" s="692"/>
      <c r="EJ6" s="693"/>
      <c r="EK6" s="694"/>
      <c r="EL6" s="692"/>
      <c r="EM6" s="693"/>
      <c r="EN6" s="686"/>
      <c r="EO6" s="692"/>
      <c r="EP6" s="693"/>
      <c r="EQ6" s="686"/>
      <c r="ER6" s="692"/>
      <c r="ES6" s="693"/>
      <c r="ET6" s="686"/>
      <c r="EU6" s="692"/>
      <c r="EV6" s="693"/>
      <c r="EW6" s="695"/>
      <c r="EX6" s="686"/>
      <c r="EY6" s="692"/>
      <c r="EZ6" s="693"/>
      <c r="FA6" s="686"/>
      <c r="FB6" s="692"/>
      <c r="FC6" s="693"/>
      <c r="FD6" s="686"/>
      <c r="FE6" s="692"/>
      <c r="FF6" s="693"/>
      <c r="FG6" s="694"/>
      <c r="FH6" s="692"/>
      <c r="FI6" s="693"/>
      <c r="FJ6" s="686"/>
      <c r="FK6" s="692"/>
      <c r="FL6" s="693"/>
      <c r="FM6" s="686"/>
      <c r="FN6" s="692"/>
      <c r="FO6" s="693"/>
      <c r="FP6" s="686"/>
      <c r="FQ6" s="692"/>
      <c r="FR6" s="693"/>
      <c r="FS6" s="686"/>
      <c r="FT6" s="692"/>
      <c r="FU6" s="693"/>
      <c r="FV6" s="686"/>
      <c r="FW6" s="692"/>
      <c r="FX6" s="693"/>
      <c r="FY6" s="694"/>
      <c r="FZ6" s="692"/>
      <c r="GA6" s="693"/>
      <c r="GB6" s="686"/>
      <c r="GC6" s="692"/>
      <c r="GD6" s="693"/>
      <c r="GE6" s="686"/>
      <c r="GF6" s="692"/>
      <c r="GG6" s="693"/>
      <c r="GH6" s="686"/>
      <c r="GI6" s="692"/>
      <c r="GJ6" s="693"/>
      <c r="GK6" s="686"/>
      <c r="GL6" s="692"/>
      <c r="GM6" s="693"/>
    </row>
    <row r="7" spans="3:195" s="714" customFormat="1" ht="39" customHeight="1" thickBot="1" x14ac:dyDescent="0.3">
      <c r="I7" s="3979" t="s">
        <v>2534</v>
      </c>
      <c r="J7" s="3979"/>
      <c r="K7" s="948">
        <v>12</v>
      </c>
      <c r="L7" s="960">
        <f>+L6+350+12</f>
        <v>689.3152</v>
      </c>
      <c r="M7" s="961"/>
      <c r="N7" s="962"/>
      <c r="O7" s="963">
        <f>+O6+350+12</f>
        <v>705.32729999999992</v>
      </c>
      <c r="P7" s="961"/>
      <c r="Q7" s="964"/>
      <c r="R7" s="696"/>
      <c r="S7" s="701"/>
      <c r="T7" s="702"/>
      <c r="U7" s="703">
        <f>+U6+350+12</f>
        <v>919.6431</v>
      </c>
      <c r="V7" s="701"/>
      <c r="W7" s="702"/>
      <c r="X7" s="696"/>
      <c r="Y7" s="697"/>
      <c r="Z7" s="698"/>
      <c r="AA7" s="696"/>
      <c r="AB7" s="697"/>
      <c r="AC7" s="698"/>
      <c r="AD7" s="696"/>
      <c r="AE7" s="697"/>
      <c r="AF7" s="698"/>
      <c r="AG7" s="699"/>
      <c r="AH7" s="701"/>
      <c r="AI7" s="702"/>
      <c r="AJ7" s="696"/>
      <c r="AK7" s="701"/>
      <c r="AL7" s="702"/>
      <c r="AM7" s="696"/>
      <c r="AN7" s="701"/>
      <c r="AO7" s="702"/>
      <c r="AP7" s="696"/>
      <c r="AQ7" s="701"/>
      <c r="AR7" s="702"/>
      <c r="AS7" s="696"/>
      <c r="AT7" s="701"/>
      <c r="AU7" s="702"/>
      <c r="AV7" s="696"/>
      <c r="AW7" s="701"/>
      <c r="AX7" s="702"/>
      <c r="AY7" s="699"/>
      <c r="AZ7" s="701"/>
      <c r="BA7" s="702"/>
      <c r="BB7" s="696"/>
      <c r="BC7" s="701"/>
      <c r="BD7" s="702"/>
      <c r="BE7" s="696"/>
      <c r="BF7" s="701"/>
      <c r="BG7" s="702"/>
      <c r="BH7" s="703">
        <f>+BH6+350+12</f>
        <v>696.70540000000005</v>
      </c>
      <c r="BI7" s="697">
        <v>1623.8321995464853</v>
      </c>
      <c r="BJ7" s="702"/>
      <c r="BK7" s="696">
        <f>+BK6+350+12</f>
        <v>734.88810000000001</v>
      </c>
      <c r="BL7" s="701"/>
      <c r="BM7" s="698"/>
      <c r="BN7" s="703">
        <f>+BN6+350+12</f>
        <v>734.88810000000001</v>
      </c>
      <c r="BO7" s="701">
        <v>1952.2675736961453</v>
      </c>
      <c r="BP7" s="698"/>
      <c r="BQ7" s="696"/>
      <c r="BR7" s="701"/>
      <c r="BS7" s="698"/>
      <c r="BT7" s="703">
        <f>+BT6+350+12</f>
        <v>748.43679999999995</v>
      </c>
      <c r="BU7" s="697">
        <v>1700.1360544217687</v>
      </c>
      <c r="BV7" s="702"/>
      <c r="BW7" s="696">
        <f>+BW6+350+12</f>
        <v>766.91229999999996</v>
      </c>
      <c r="BX7" s="701"/>
      <c r="BY7" s="702"/>
      <c r="BZ7" s="703">
        <f>+BZ6+350+12</f>
        <v>919.6431</v>
      </c>
      <c r="CA7" s="697"/>
      <c r="CB7" s="698"/>
      <c r="CC7" s="704"/>
      <c r="CD7" s="705"/>
      <c r="CE7" s="706"/>
      <c r="CF7" s="696">
        <f>+CF6+350+12</f>
        <v>803.86329999999998</v>
      </c>
      <c r="CG7" s="705"/>
      <c r="CH7" s="706"/>
      <c r="CI7" s="707"/>
      <c r="CJ7" s="708"/>
      <c r="CK7" s="709"/>
      <c r="CL7" s="703">
        <f>+CL6+350+12</f>
        <v>837.11919999999998</v>
      </c>
      <c r="CM7" s="705"/>
      <c r="CN7" s="698"/>
      <c r="CO7" s="707"/>
      <c r="CP7" s="708"/>
      <c r="CQ7" s="709"/>
      <c r="CR7" s="703">
        <f>+CR6+350+12</f>
        <v>927.03330000000005</v>
      </c>
      <c r="CS7" s="701"/>
      <c r="CT7" s="702"/>
      <c r="CU7" s="704"/>
      <c r="CV7" s="710"/>
      <c r="CW7" s="711"/>
      <c r="CX7" s="712">
        <f>+CX6+350+12</f>
        <v>951.66729999999995</v>
      </c>
      <c r="CY7" s="710"/>
      <c r="CZ7" s="711"/>
      <c r="DA7" s="712"/>
      <c r="DB7" s="710"/>
      <c r="DC7" s="711"/>
      <c r="DD7" s="703"/>
      <c r="DE7" s="710"/>
      <c r="DF7" s="711"/>
      <c r="DG7" s="703">
        <f>+DG6+350+12</f>
        <v>766.91229999999996</v>
      </c>
      <c r="DH7" s="710"/>
      <c r="DI7" s="711"/>
      <c r="DJ7" s="703"/>
      <c r="DK7" s="710"/>
      <c r="DL7" s="711"/>
      <c r="DM7" s="703">
        <f>+DM6+350+12</f>
        <v>781.69270000000006</v>
      </c>
      <c r="DN7" s="710"/>
      <c r="DO7" s="711"/>
      <c r="DP7" s="703"/>
      <c r="DQ7" s="710"/>
      <c r="DR7" s="711"/>
      <c r="DS7" s="712"/>
      <c r="DT7" s="710"/>
      <c r="DU7" s="711"/>
      <c r="DV7" s="703" t="s">
        <v>2316</v>
      </c>
      <c r="DW7" s="710"/>
      <c r="DX7" s="711"/>
      <c r="DY7" s="703"/>
      <c r="DZ7" s="710"/>
      <c r="EA7" s="711"/>
      <c r="EB7" s="703"/>
      <c r="EC7" s="710"/>
      <c r="ED7" s="711"/>
      <c r="EE7" s="703"/>
      <c r="EF7" s="710"/>
      <c r="EG7" s="711"/>
      <c r="EH7" s="703"/>
      <c r="EI7" s="710"/>
      <c r="EJ7" s="711"/>
      <c r="EK7" s="712"/>
      <c r="EL7" s="710"/>
      <c r="EM7" s="711"/>
      <c r="EN7" s="703"/>
      <c r="EO7" s="710"/>
      <c r="EP7" s="711"/>
      <c r="EQ7" s="703"/>
      <c r="ER7" s="710"/>
      <c r="ES7" s="711"/>
      <c r="ET7" s="703"/>
      <c r="EU7" s="710"/>
      <c r="EV7" s="711"/>
      <c r="EW7" s="713"/>
      <c r="EX7" s="703"/>
      <c r="EY7" s="710"/>
      <c r="EZ7" s="711"/>
      <c r="FA7" s="703"/>
      <c r="FB7" s="710"/>
      <c r="FC7" s="711"/>
      <c r="FD7" s="703"/>
      <c r="FE7" s="710"/>
      <c r="FF7" s="711"/>
      <c r="FG7" s="712"/>
      <c r="FH7" s="710"/>
      <c r="FI7" s="711"/>
      <c r="FJ7" s="703"/>
      <c r="FK7" s="710"/>
      <c r="FL7" s="711"/>
      <c r="FM7" s="703"/>
      <c r="FN7" s="710"/>
      <c r="FO7" s="711"/>
      <c r="FP7" s="703"/>
      <c r="FQ7" s="710"/>
      <c r="FR7" s="711"/>
      <c r="FS7" s="703"/>
      <c r="FT7" s="710"/>
      <c r="FU7" s="711"/>
      <c r="FV7" s="703"/>
      <c r="FW7" s="710"/>
      <c r="FX7" s="711"/>
      <c r="FY7" s="712"/>
      <c r="FZ7" s="710"/>
      <c r="GA7" s="711"/>
      <c r="GB7" s="703"/>
      <c r="GC7" s="710"/>
      <c r="GD7" s="711"/>
      <c r="GE7" s="703"/>
      <c r="GF7" s="710"/>
      <c r="GG7" s="711"/>
      <c r="GH7" s="703"/>
      <c r="GI7" s="710"/>
      <c r="GJ7" s="711"/>
      <c r="GK7" s="703"/>
      <c r="GL7" s="710"/>
      <c r="GM7" s="711"/>
    </row>
    <row r="8" spans="3:195" ht="13.8" x14ac:dyDescent="0.25">
      <c r="C8" s="398"/>
      <c r="D8" s="398"/>
      <c r="E8" s="398"/>
      <c r="F8" s="137"/>
      <c r="G8" s="137"/>
      <c r="H8" s="137"/>
      <c r="I8" s="965"/>
      <c r="J8" s="966"/>
      <c r="K8" s="966"/>
      <c r="L8" s="967"/>
      <c r="M8" s="966"/>
      <c r="N8" s="966"/>
      <c r="O8" s="966"/>
      <c r="P8" s="966"/>
      <c r="Q8" s="966"/>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717"/>
      <c r="BC8" s="137"/>
      <c r="BE8" s="137"/>
      <c r="BF8" s="137"/>
      <c r="BH8" s="137"/>
      <c r="BI8" s="137"/>
      <c r="BK8" s="137"/>
      <c r="BL8" s="137"/>
      <c r="BM8" s="137"/>
      <c r="BN8" s="137"/>
      <c r="BO8" s="137"/>
      <c r="BP8" s="137"/>
      <c r="BQ8" s="137"/>
      <c r="BR8" s="137"/>
      <c r="BS8" s="137"/>
      <c r="BT8" s="137"/>
      <c r="BU8" s="137"/>
      <c r="BV8" s="137"/>
      <c r="CA8" s="398"/>
      <c r="CB8" s="398"/>
      <c r="CC8" s="398"/>
      <c r="CD8" s="137"/>
      <c r="CE8" s="137"/>
      <c r="CF8" s="137"/>
      <c r="CG8" s="398"/>
      <c r="CH8" s="398"/>
      <c r="CI8" s="398"/>
    </row>
    <row r="9" spans="3:195" s="718" customFormat="1" x14ac:dyDescent="0.2">
      <c r="C9" s="719"/>
      <c r="D9" s="719"/>
      <c r="E9" s="719"/>
      <c r="F9" s="720"/>
      <c r="G9" s="720"/>
      <c r="H9" s="720"/>
      <c r="I9" s="968"/>
      <c r="J9" s="968"/>
      <c r="K9" s="968"/>
      <c r="L9" s="968"/>
      <c r="M9" s="968"/>
      <c r="N9" s="968"/>
      <c r="O9" s="968"/>
      <c r="P9" s="969"/>
      <c r="Q9" s="969"/>
      <c r="T9" s="719"/>
      <c r="U9" s="719"/>
      <c r="V9" s="719"/>
      <c r="W9" s="719"/>
      <c r="X9" s="721"/>
      <c r="Y9" s="721"/>
      <c r="Z9" s="721"/>
      <c r="AA9" s="721"/>
      <c r="AB9" s="721"/>
      <c r="AC9" s="721"/>
      <c r="AD9" s="721"/>
      <c r="AE9" s="721"/>
      <c r="AF9" s="721"/>
      <c r="AG9" s="721"/>
      <c r="AH9" s="721"/>
      <c r="AI9" s="721"/>
      <c r="AJ9" s="721"/>
      <c r="AK9" s="721"/>
      <c r="AL9" s="721"/>
      <c r="AM9" s="721"/>
      <c r="AN9" s="721"/>
      <c r="AO9" s="721"/>
      <c r="AP9" s="721"/>
      <c r="AQ9" s="721"/>
      <c r="AR9"/>
      <c r="AS9" s="721"/>
      <c r="AT9" s="721"/>
      <c r="AU9" s="721"/>
      <c r="AV9" s="721"/>
      <c r="AW9" s="721"/>
      <c r="AX9" s="721"/>
      <c r="AY9" s="721"/>
      <c r="AZ9" s="721"/>
      <c r="BA9" s="721"/>
      <c r="BB9" s="721"/>
      <c r="BC9" s="722"/>
      <c r="BD9" s="722"/>
      <c r="BE9" s="722"/>
      <c r="BF9" s="722"/>
      <c r="BG9" s="722"/>
      <c r="BH9" s="722"/>
      <c r="BI9" s="722"/>
      <c r="BJ9" s="722"/>
      <c r="BK9" s="722"/>
      <c r="BL9" s="722"/>
      <c r="BM9" s="722"/>
      <c r="BN9" s="722"/>
      <c r="BO9" s="722"/>
      <c r="BP9" s="722"/>
      <c r="BQ9" s="722"/>
      <c r="BR9" s="722"/>
      <c r="BS9" s="722"/>
      <c r="BT9" s="722"/>
      <c r="BU9" s="722"/>
      <c r="BV9" s="722"/>
      <c r="BW9" s="722"/>
      <c r="BX9" s="722"/>
      <c r="BY9" s="722"/>
      <c r="BZ9" s="722"/>
      <c r="CA9" s="398"/>
      <c r="CB9" s="398"/>
      <c r="CC9" s="398"/>
      <c r="CD9" s="722"/>
      <c r="CE9" s="722"/>
      <c r="CF9" s="722"/>
      <c r="CG9" s="398"/>
      <c r="CH9" s="398"/>
      <c r="CI9" s="398"/>
    </row>
    <row r="10" spans="3:195" s="714" customFormat="1" ht="13.8" hidden="1" x14ac:dyDescent="0.25">
      <c r="C10" s="724">
        <v>2068</v>
      </c>
      <c r="D10" s="724"/>
      <c r="E10" s="724"/>
      <c r="F10" s="724"/>
      <c r="G10" s="724">
        <v>2468</v>
      </c>
      <c r="H10" s="640"/>
      <c r="I10" s="948"/>
      <c r="J10" s="970"/>
      <c r="K10" s="971"/>
      <c r="L10" s="971"/>
      <c r="M10" s="970"/>
      <c r="N10" s="971"/>
      <c r="O10" s="971"/>
      <c r="P10" s="970"/>
      <c r="Q10" s="971"/>
      <c r="R10" s="725"/>
      <c r="T10" s="725"/>
      <c r="U10" s="725"/>
      <c r="W10" s="725"/>
      <c r="X10" s="725"/>
      <c r="Z10" s="725"/>
      <c r="AA10" s="725"/>
      <c r="AC10" s="725"/>
      <c r="AD10" s="725"/>
      <c r="AF10" s="725"/>
      <c r="AG10" s="725"/>
      <c r="AI10" s="721"/>
      <c r="AJ10" s="721"/>
      <c r="AL10" s="721"/>
      <c r="AM10" s="725"/>
      <c r="AO10"/>
      <c r="AP10" s="725"/>
      <c r="AR10" s="725"/>
      <c r="AS10" s="725"/>
      <c r="AU10" s="725"/>
      <c r="AV10" s="725"/>
      <c r="AX10" s="725"/>
      <c r="AY10" s="725"/>
      <c r="CB10" s="398"/>
      <c r="CC10" s="398"/>
      <c r="CH10" s="398"/>
      <c r="CI10" s="398"/>
    </row>
    <row r="11" spans="3:195" s="714" customFormat="1" ht="13.8" hidden="1" x14ac:dyDescent="0.25">
      <c r="C11" s="724">
        <v>2070</v>
      </c>
      <c r="D11" s="724"/>
      <c r="E11" s="724"/>
      <c r="F11" s="724"/>
      <c r="G11" s="724">
        <v>2470</v>
      </c>
      <c r="H11" s="640"/>
      <c r="I11" s="948"/>
      <c r="J11" s="970"/>
      <c r="K11" s="971"/>
      <c r="L11" s="971"/>
      <c r="M11" s="970"/>
      <c r="N11" s="948"/>
      <c r="O11" s="948"/>
      <c r="P11" s="970"/>
      <c r="Q11" s="948"/>
      <c r="R11" s="640"/>
      <c r="T11" s="640"/>
      <c r="U11" s="640"/>
      <c r="W11" s="640"/>
      <c r="X11" s="640"/>
      <c r="Z11" s="725"/>
      <c r="AA11" s="725"/>
      <c r="AC11" s="725"/>
      <c r="AD11" s="725"/>
      <c r="AF11" s="725"/>
      <c r="AG11" s="725"/>
      <c r="AI11" s="721"/>
      <c r="AJ11" s="721"/>
      <c r="AL11" s="721"/>
      <c r="AM11" s="725"/>
      <c r="AO11" s="725"/>
      <c r="AP11" s="725"/>
      <c r="AR11" s="725"/>
      <c r="AS11" s="725"/>
      <c r="AU11" s="725"/>
      <c r="AV11" s="725"/>
      <c r="AX11" s="725"/>
      <c r="AY11" s="725"/>
      <c r="BA11" s="725"/>
      <c r="BB11" s="725"/>
      <c r="BD11" s="725"/>
      <c r="BE11" s="725"/>
      <c r="BG11" s="725"/>
      <c r="BH11" s="725"/>
      <c r="CB11" s="398"/>
      <c r="CC11" s="398"/>
      <c r="CH11" s="398"/>
      <c r="CI11" s="398"/>
    </row>
    <row r="12" spans="3:195" s="726" customFormat="1" ht="13.8" hidden="1" x14ac:dyDescent="0.25">
      <c r="C12" s="724">
        <v>2080</v>
      </c>
      <c r="D12" s="724"/>
      <c r="E12" s="724"/>
      <c r="F12" s="724"/>
      <c r="G12" s="724">
        <v>2480</v>
      </c>
      <c r="H12" s="727"/>
      <c r="I12" s="972"/>
      <c r="J12" s="973"/>
      <c r="K12" s="974"/>
      <c r="L12" s="974"/>
      <c r="M12" s="973"/>
      <c r="N12" s="975"/>
      <c r="O12" s="973"/>
      <c r="P12" s="973"/>
      <c r="Q12" s="976"/>
      <c r="T12" s="730"/>
      <c r="U12" s="730"/>
      <c r="W12" s="730"/>
      <c r="X12" s="727"/>
      <c r="Z12" s="728"/>
      <c r="AA12" s="728"/>
      <c r="AC12" s="728"/>
      <c r="AD12" s="728"/>
      <c r="AF12" s="728"/>
      <c r="AG12" s="728"/>
      <c r="AI12" s="721"/>
      <c r="AJ12" s="721"/>
      <c r="AL12" s="721"/>
      <c r="AM12" s="728"/>
      <c r="AO12" s="728"/>
      <c r="AP12" s="728"/>
      <c r="AR12" s="728"/>
      <c r="AS12" s="728"/>
      <c r="AU12" s="728"/>
      <c r="AV12" s="728"/>
      <c r="AX12" s="728"/>
      <c r="AY12" s="728"/>
      <c r="BA12" s="728"/>
      <c r="BB12" s="728"/>
      <c r="BD12" s="728"/>
      <c r="BE12" s="728"/>
      <c r="BG12" s="728"/>
      <c r="BH12" s="728"/>
      <c r="CB12" s="398"/>
      <c r="CC12" s="398"/>
      <c r="CH12" s="398"/>
      <c r="CI12" s="398"/>
    </row>
    <row r="13" spans="3:195" s="726" customFormat="1" ht="13.8" hidden="1" x14ac:dyDescent="0.25">
      <c r="C13" s="724">
        <v>2090</v>
      </c>
      <c r="D13" s="724"/>
      <c r="E13" s="724"/>
      <c r="F13" s="724"/>
      <c r="G13" s="724">
        <v>2490</v>
      </c>
      <c r="H13" s="727"/>
      <c r="I13" s="972"/>
      <c r="J13" s="973"/>
      <c r="K13" s="974"/>
      <c r="L13" s="974"/>
      <c r="M13" s="973"/>
      <c r="N13" s="973"/>
      <c r="O13" s="973"/>
      <c r="P13" s="973"/>
      <c r="Q13" s="976"/>
      <c r="T13" s="730"/>
      <c r="U13" s="730"/>
      <c r="W13" s="730"/>
      <c r="X13" s="730"/>
      <c r="Z13" s="728"/>
      <c r="AA13" s="728"/>
      <c r="AC13" s="728"/>
      <c r="AD13" s="728"/>
      <c r="AF13" s="728"/>
      <c r="AG13" s="728"/>
      <c r="AI13" s="721"/>
      <c r="AJ13" s="721"/>
      <c r="AL13" s="721"/>
      <c r="AM13" s="728"/>
      <c r="AO13" s="728"/>
      <c r="AP13" s="728"/>
      <c r="AR13" s="728"/>
      <c r="AS13" s="728"/>
      <c r="AU13" s="728"/>
      <c r="AV13" s="728"/>
      <c r="AX13" s="728"/>
      <c r="AY13" s="728"/>
      <c r="BA13" s="728"/>
      <c r="BB13" s="728"/>
      <c r="BD13" s="728"/>
      <c r="BE13" s="728"/>
      <c r="BG13" s="728"/>
      <c r="BH13" s="728"/>
      <c r="CB13" s="398"/>
      <c r="CC13" s="398"/>
      <c r="CH13" s="398"/>
      <c r="CI13" s="398"/>
    </row>
    <row r="14" spans="3:195" s="726" customFormat="1" ht="13.8" hidden="1" x14ac:dyDescent="0.25">
      <c r="C14" s="724">
        <v>3068</v>
      </c>
      <c r="D14" s="724"/>
      <c r="E14" s="724"/>
      <c r="F14" s="724"/>
      <c r="G14" s="724">
        <v>3468</v>
      </c>
      <c r="H14" s="727"/>
      <c r="I14" s="972"/>
      <c r="J14" s="973"/>
      <c r="K14" s="974"/>
      <c r="L14" s="974"/>
      <c r="M14" s="973"/>
      <c r="N14" s="973"/>
      <c r="O14" s="973"/>
      <c r="P14" s="973"/>
      <c r="Q14" s="976"/>
      <c r="T14" s="730"/>
      <c r="U14" s="730"/>
      <c r="W14" s="730"/>
      <c r="X14" s="730"/>
      <c r="Z14" s="728"/>
      <c r="AA14" s="728"/>
      <c r="AC14" s="728"/>
      <c r="AD14" s="728"/>
      <c r="AF14" s="728"/>
      <c r="AG14" s="728"/>
      <c r="AI14" s="721"/>
      <c r="AJ14" s="721"/>
      <c r="AL14" s="721"/>
      <c r="AM14" s="728"/>
      <c r="AO14" s="728"/>
      <c r="AP14" s="728"/>
      <c r="AR14" s="728"/>
      <c r="AS14" s="728"/>
      <c r="AU14" s="728"/>
      <c r="AV14" s="728"/>
      <c r="AX14" s="728"/>
      <c r="AY14" s="728"/>
      <c r="BA14" s="728"/>
      <c r="BB14" s="728"/>
      <c r="BD14" s="728"/>
      <c r="BE14" s="728"/>
      <c r="BG14" s="728"/>
      <c r="BH14" s="728"/>
      <c r="CB14" s="398"/>
      <c r="CC14" s="398"/>
    </row>
    <row r="15" spans="3:195" s="726" customFormat="1" ht="13.8" hidden="1" x14ac:dyDescent="0.25">
      <c r="C15" s="724">
        <v>3070</v>
      </c>
      <c r="D15" s="724"/>
      <c r="E15" s="724"/>
      <c r="F15" s="724"/>
      <c r="G15" s="724">
        <v>3470</v>
      </c>
      <c r="H15" s="727"/>
      <c r="I15" s="972"/>
      <c r="J15" s="973"/>
      <c r="K15" s="974"/>
      <c r="L15" s="974"/>
      <c r="M15" s="973"/>
      <c r="N15" s="973"/>
      <c r="O15" s="973"/>
      <c r="P15" s="973"/>
      <c r="Q15" s="974"/>
      <c r="T15" s="728"/>
      <c r="U15" s="728"/>
      <c r="W15" s="728"/>
      <c r="X15" s="728"/>
      <c r="Z15" s="728"/>
      <c r="AA15" s="728"/>
      <c r="AI15" s="721"/>
      <c r="AJ15" s="721"/>
      <c r="AL15" s="721"/>
      <c r="CB15" s="398"/>
      <c r="CC15" s="398"/>
    </row>
    <row r="16" spans="3:195" s="714" customFormat="1" ht="13.8" hidden="1" x14ac:dyDescent="0.25">
      <c r="C16" s="724">
        <v>3080</v>
      </c>
      <c r="D16" s="724"/>
      <c r="E16" s="724"/>
      <c r="F16" s="724"/>
      <c r="G16" s="724">
        <v>3480</v>
      </c>
      <c r="H16" s="640"/>
      <c r="I16" s="948"/>
      <c r="J16" s="970"/>
      <c r="K16" s="971"/>
      <c r="L16" s="971"/>
      <c r="M16" s="970"/>
      <c r="N16" s="971"/>
      <c r="O16" s="971"/>
      <c r="P16" s="970"/>
      <c r="Q16" s="971"/>
      <c r="R16" s="725"/>
      <c r="T16" s="725"/>
      <c r="U16" s="725"/>
      <c r="W16" s="725"/>
      <c r="X16" s="725"/>
      <c r="Z16" s="725"/>
      <c r="AA16" s="725"/>
      <c r="AI16" s="721"/>
      <c r="AJ16" s="721"/>
      <c r="AL16" s="721"/>
      <c r="CB16" s="398"/>
      <c r="CC16" s="398"/>
    </row>
    <row r="17" spans="1:32" s="714" customFormat="1" ht="13.8" hidden="1" x14ac:dyDescent="0.25">
      <c r="B17" s="723"/>
      <c r="C17" s="724">
        <v>3090</v>
      </c>
      <c r="D17" s="724"/>
      <c r="E17" s="724"/>
      <c r="F17" s="724"/>
      <c r="G17" s="724">
        <v>3490</v>
      </c>
      <c r="H17" s="640"/>
      <c r="I17" s="948"/>
      <c r="J17" s="970"/>
      <c r="K17" s="971"/>
      <c r="L17" s="971"/>
      <c r="M17" s="970"/>
      <c r="N17" s="977"/>
      <c r="O17" s="977"/>
      <c r="P17" s="970"/>
      <c r="Q17" s="977"/>
      <c r="R17" s="731"/>
      <c r="T17" s="731"/>
      <c r="U17" s="731"/>
      <c r="W17" s="731"/>
      <c r="X17" s="731"/>
      <c r="Z17" s="725"/>
      <c r="AA17" s="725"/>
    </row>
    <row r="18" spans="1:32" s="714" customFormat="1" ht="13.8" hidden="1" x14ac:dyDescent="0.25">
      <c r="B18" s="723"/>
      <c r="C18" s="724">
        <v>4068</v>
      </c>
      <c r="D18" s="724"/>
      <c r="E18" s="724"/>
      <c r="F18" s="724"/>
      <c r="G18" s="724"/>
      <c r="H18" s="640"/>
      <c r="I18" s="948"/>
      <c r="J18" s="970"/>
      <c r="K18" s="971"/>
      <c r="L18" s="971"/>
      <c r="M18" s="970"/>
      <c r="N18" s="971"/>
      <c r="O18" s="971"/>
      <c r="P18" s="970"/>
      <c r="Q18" s="971"/>
      <c r="R18" s="725"/>
      <c r="T18" s="725"/>
      <c r="U18" s="725"/>
      <c r="W18" s="725"/>
      <c r="X18" s="725"/>
      <c r="Z18" s="725"/>
      <c r="AA18" s="725"/>
      <c r="AC18" s="725"/>
      <c r="AD18" s="725"/>
    </row>
    <row r="19" spans="1:32" s="714" customFormat="1" ht="13.8" hidden="1" x14ac:dyDescent="0.25">
      <c r="B19" s="723"/>
      <c r="C19" s="724">
        <v>4070</v>
      </c>
      <c r="D19" s="724"/>
      <c r="E19" s="724"/>
      <c r="F19" s="724"/>
      <c r="G19" s="724"/>
      <c r="I19" s="970"/>
      <c r="J19" s="970"/>
      <c r="K19" s="970"/>
      <c r="L19" s="970"/>
      <c r="M19" s="970"/>
      <c r="N19" s="970"/>
      <c r="O19" s="970"/>
      <c r="P19" s="970"/>
      <c r="Q19" s="970"/>
    </row>
    <row r="20" spans="1:32" s="732" customFormat="1" ht="13.8" hidden="1" x14ac:dyDescent="0.25">
      <c r="B20" s="733"/>
      <c r="C20" s="724">
        <v>4080</v>
      </c>
      <c r="D20" s="724"/>
      <c r="E20" s="724"/>
      <c r="F20" s="724"/>
      <c r="G20" s="724"/>
      <c r="I20" s="978"/>
      <c r="J20" s="978"/>
      <c r="K20" s="978"/>
      <c r="L20" s="978"/>
      <c r="M20" s="978"/>
      <c r="N20" s="978"/>
      <c r="O20" s="978"/>
      <c r="P20" s="978"/>
      <c r="Q20" s="979"/>
    </row>
    <row r="21" spans="1:32" s="735" customFormat="1" ht="13.2" hidden="1" customHeight="1" x14ac:dyDescent="0.25">
      <c r="B21" s="736"/>
      <c r="C21" s="724">
        <v>4090</v>
      </c>
      <c r="D21" s="724"/>
      <c r="E21" s="724"/>
      <c r="F21" s="724"/>
      <c r="G21" s="724"/>
      <c r="I21" s="980"/>
      <c r="J21" s="980"/>
      <c r="K21" s="980"/>
      <c r="L21" s="980"/>
      <c r="M21" s="980"/>
      <c r="N21" s="981"/>
      <c r="O21" s="981"/>
      <c r="P21" s="980"/>
      <c r="Q21" s="980"/>
      <c r="T21" s="737"/>
      <c r="W21" s="737"/>
      <c r="X21" s="737"/>
      <c r="Z21" s="737"/>
      <c r="AA21" s="737"/>
    </row>
    <row r="22" spans="1:32" s="735" customFormat="1" ht="13.2" hidden="1" customHeight="1" x14ac:dyDescent="0.25">
      <c r="B22" s="736"/>
      <c r="I22" s="980"/>
      <c r="J22" s="980"/>
      <c r="K22" s="980"/>
      <c r="L22" s="980"/>
      <c r="M22" s="980"/>
      <c r="N22" s="981"/>
      <c r="O22" s="981"/>
      <c r="P22" s="980"/>
      <c r="Q22" s="980"/>
      <c r="T22" s="737"/>
      <c r="W22" s="737"/>
      <c r="X22" s="737"/>
      <c r="Z22" s="737"/>
      <c r="AA22" s="737"/>
    </row>
    <row r="23" spans="1:32" s="735" customFormat="1" ht="13.8" hidden="1" x14ac:dyDescent="0.25">
      <c r="B23" s="736"/>
      <c r="C23" s="724">
        <v>5068</v>
      </c>
      <c r="D23" s="724"/>
      <c r="E23" s="724"/>
      <c r="F23" s="724"/>
      <c r="G23" s="724">
        <v>5070</v>
      </c>
      <c r="I23" s="980"/>
      <c r="J23" s="980"/>
      <c r="K23" s="980"/>
      <c r="L23" s="980"/>
      <c r="M23" s="980"/>
      <c r="N23" s="981"/>
      <c r="O23" s="981"/>
      <c r="P23" s="980"/>
      <c r="Q23" s="980"/>
      <c r="T23" s="737"/>
      <c r="W23" s="737"/>
      <c r="X23" s="737"/>
      <c r="Z23" s="737"/>
      <c r="AA23" s="737"/>
      <c r="AD23" s="737"/>
    </row>
    <row r="24" spans="1:32" s="738" customFormat="1" ht="13.8" hidden="1" x14ac:dyDescent="0.25">
      <c r="B24" s="739"/>
      <c r="C24" s="724">
        <v>6068</v>
      </c>
      <c r="D24" s="724"/>
      <c r="E24" s="724"/>
      <c r="F24" s="724"/>
      <c r="G24" s="724">
        <v>6070</v>
      </c>
      <c r="I24" s="982"/>
      <c r="J24" s="982"/>
      <c r="K24" s="982"/>
      <c r="L24" s="982"/>
      <c r="M24" s="982"/>
      <c r="N24" s="983"/>
      <c r="O24" s="983"/>
      <c r="P24" s="982"/>
      <c r="Q24" s="982"/>
      <c r="T24" s="740"/>
      <c r="U24" s="740"/>
      <c r="W24" s="740"/>
      <c r="X24" s="740"/>
      <c r="Z24" s="740"/>
      <c r="AA24" s="740"/>
    </row>
    <row r="25" spans="1:32" s="738" customFormat="1" ht="13.8" hidden="1" x14ac:dyDescent="0.25">
      <c r="B25" s="739"/>
      <c r="C25" s="724">
        <v>7068</v>
      </c>
      <c r="D25" s="724"/>
      <c r="E25" s="724"/>
      <c r="F25" s="724"/>
      <c r="G25" s="724">
        <v>7070</v>
      </c>
      <c r="I25" s="982"/>
      <c r="J25" s="982"/>
      <c r="K25" s="982"/>
      <c r="L25" s="982"/>
      <c r="M25" s="982"/>
      <c r="N25" s="984"/>
      <c r="O25" s="984"/>
      <c r="P25" s="982"/>
      <c r="Q25" s="984"/>
      <c r="R25" s="741"/>
      <c r="T25" s="741"/>
      <c r="U25" s="741"/>
    </row>
    <row r="26" spans="1:32" s="714" customFormat="1" ht="13.8" hidden="1" x14ac:dyDescent="0.25">
      <c r="B26" s="723"/>
      <c r="C26" s="724">
        <v>8068</v>
      </c>
      <c r="D26" s="724"/>
      <c r="E26" s="724"/>
      <c r="F26" s="724"/>
      <c r="G26" s="724">
        <v>8070</v>
      </c>
      <c r="I26" s="970"/>
      <c r="J26" s="970"/>
      <c r="K26" s="970"/>
      <c r="L26" s="970"/>
      <c r="M26" s="970"/>
      <c r="N26" s="970"/>
      <c r="O26" s="970"/>
      <c r="P26" s="970"/>
      <c r="Q26" s="970"/>
    </row>
    <row r="27" spans="1:32" s="714" customFormat="1" ht="13.8" hidden="1" x14ac:dyDescent="0.25">
      <c r="B27" s="723"/>
      <c r="C27" s="724">
        <v>9068</v>
      </c>
      <c r="D27" s="724"/>
      <c r="E27" s="724"/>
      <c r="F27" s="724"/>
      <c r="G27" s="724">
        <v>9070</v>
      </c>
      <c r="I27" s="970"/>
      <c r="J27" s="970"/>
      <c r="K27" s="970"/>
      <c r="L27" s="970"/>
      <c r="M27" s="970"/>
      <c r="N27" s="970"/>
      <c r="O27" s="970"/>
      <c r="P27" s="970"/>
      <c r="Q27" s="970"/>
    </row>
    <row r="28" spans="1:32" s="714" customFormat="1" ht="13.8" x14ac:dyDescent="0.25">
      <c r="B28" s="723"/>
      <c r="C28" s="742"/>
      <c r="D28" s="742"/>
      <c r="E28" s="742"/>
      <c r="F28" t="s">
        <v>2317</v>
      </c>
      <c r="G28" s="719">
        <v>16</v>
      </c>
      <c r="H28" s="743"/>
      <c r="I28" s="970"/>
      <c r="J28" s="970"/>
      <c r="K28" s="970"/>
      <c r="L28" s="985"/>
      <c r="M28" s="986"/>
      <c r="N28" s="986"/>
      <c r="O28" s="986" t="s">
        <v>2318</v>
      </c>
      <c r="P28" s="970"/>
      <c r="Q28" s="970"/>
      <c r="W28" s="714" t="s">
        <v>2319</v>
      </c>
      <c r="AF28" s="714">
        <f>16+18+30+45</f>
        <v>109</v>
      </c>
    </row>
    <row r="29" spans="1:32" s="732" customFormat="1" ht="13.8" hidden="1" x14ac:dyDescent="0.25">
      <c r="B29" s="733"/>
      <c r="C29" s="742"/>
      <c r="D29" s="742"/>
      <c r="E29" s="742"/>
      <c r="F29" s="742"/>
      <c r="G29" s="746"/>
      <c r="H29" s="747"/>
      <c r="I29" s="978"/>
      <c r="J29" s="978"/>
      <c r="K29" s="978"/>
      <c r="L29" s="978"/>
      <c r="M29" s="978"/>
      <c r="N29" s="978"/>
      <c r="O29" s="978"/>
      <c r="P29" s="978"/>
      <c r="Q29" s="978"/>
    </row>
    <row r="30" spans="1:32" s="735" customFormat="1" ht="13.8" hidden="1" x14ac:dyDescent="0.25">
      <c r="A30" s="748" t="s">
        <v>2320</v>
      </c>
      <c r="B30" s="749"/>
      <c r="C30" s="738" t="s">
        <v>2313</v>
      </c>
      <c r="D30" s="738"/>
      <c r="E30" s="738"/>
      <c r="F30" s="714" t="s">
        <v>22</v>
      </c>
      <c r="G30" s="750">
        <v>18</v>
      </c>
      <c r="H30" s="751"/>
      <c r="I30" s="987">
        <v>3668</v>
      </c>
      <c r="J30" s="987">
        <v>3080</v>
      </c>
      <c r="K30" s="987">
        <v>3680</v>
      </c>
      <c r="L30" s="987">
        <v>4068</v>
      </c>
      <c r="M30" s="987">
        <v>4080</v>
      </c>
      <c r="N30" s="987">
        <v>4680</v>
      </c>
      <c r="O30" s="987">
        <v>3090</v>
      </c>
      <c r="P30" s="987">
        <v>4090</v>
      </c>
      <c r="Q30" s="987">
        <v>30100</v>
      </c>
    </row>
    <row r="31" spans="1:32" s="735" customFormat="1" ht="13.8" hidden="1" x14ac:dyDescent="0.25">
      <c r="A31" s="3987" t="s">
        <v>2315</v>
      </c>
      <c r="B31" s="753"/>
      <c r="C31" s="735">
        <v>18</v>
      </c>
      <c r="F31" s="732"/>
      <c r="G31" s="732"/>
      <c r="H31" s="754"/>
      <c r="I31" s="988">
        <f>275.9008+12</f>
        <v>287.9008</v>
      </c>
      <c r="J31" s="981">
        <f>309.1567+12</f>
        <v>321.1567</v>
      </c>
      <c r="K31" s="988">
        <f>351.0345+12</f>
        <v>363.03449999999998</v>
      </c>
      <c r="L31" s="988">
        <f>305.4616+12</f>
        <v>317.46159999999998</v>
      </c>
      <c r="M31" s="981">
        <f>380.5953+12</f>
        <v>392.59530000000001</v>
      </c>
      <c r="N31" s="988"/>
      <c r="O31" s="988">
        <f>432.3267+12</f>
        <v>444.32670000000002</v>
      </c>
      <c r="P31" s="981">
        <f>496.3751+12</f>
        <v>508.37509999999997</v>
      </c>
      <c r="Q31" s="981">
        <f>474.2045+12</f>
        <v>486.2045</v>
      </c>
    </row>
    <row r="32" spans="1:32" s="735" customFormat="1" ht="13.8" hidden="1" x14ac:dyDescent="0.25">
      <c r="A32" s="3987"/>
      <c r="B32" s="753"/>
      <c r="C32" s="735">
        <v>16</v>
      </c>
      <c r="F32" s="752">
        <v>40100</v>
      </c>
      <c r="G32" s="752" t="s">
        <v>2321</v>
      </c>
      <c r="H32" s="754"/>
      <c r="I32" s="988">
        <f>307.925+12</f>
        <v>319.92500000000001</v>
      </c>
      <c r="J32" s="981">
        <f>351.0345+12</f>
        <v>363.03449999999998</v>
      </c>
      <c r="K32" s="988">
        <f>375.6685+12</f>
        <v>387.66849999999999</v>
      </c>
      <c r="L32" s="988">
        <f>341.1809+12</f>
        <v>353.18090000000001</v>
      </c>
      <c r="M32" s="981">
        <f>424+12</f>
        <v>436</v>
      </c>
      <c r="N32" s="988">
        <f>925+12</f>
        <v>937</v>
      </c>
      <c r="O32" s="988">
        <f>474.2045+12</f>
        <v>486.2045</v>
      </c>
      <c r="P32" s="981">
        <f>518.5457+12</f>
        <v>530.54570000000001</v>
      </c>
      <c r="Q32" s="981">
        <f>516.0823+12</f>
        <v>528.08230000000003</v>
      </c>
    </row>
    <row r="33" spans="1:17" s="735" customFormat="1" ht="13.8" hidden="1" x14ac:dyDescent="0.25">
      <c r="A33" s="3987"/>
      <c r="B33" s="753"/>
      <c r="C33" s="735">
        <v>14</v>
      </c>
      <c r="F33" s="737">
        <f>538.2529+12</f>
        <v>550.25289999999995</v>
      </c>
      <c r="H33" s="754"/>
      <c r="I33" s="988">
        <f>360.8881+12</f>
        <v>372.88810000000001</v>
      </c>
      <c r="J33" s="981">
        <f>429.8633+12</f>
        <v>441.86329999999998</v>
      </c>
      <c r="K33" s="988">
        <f>463.1192+12</f>
        <v>475.11919999999998</v>
      </c>
      <c r="L33" s="988">
        <f>392.9123+12</f>
        <v>404.91230000000002</v>
      </c>
      <c r="M33" s="981">
        <f>487.7532+12</f>
        <v>499.75319999999999</v>
      </c>
      <c r="N33" s="988" t="s">
        <v>2316</v>
      </c>
      <c r="O33" s="988">
        <f>553.0333+12</f>
        <v>565.03330000000005</v>
      </c>
      <c r="P33" s="981">
        <f>601.0696+12</f>
        <v>613.06960000000004</v>
      </c>
      <c r="Q33" s="981">
        <f>594.9111+12</f>
        <v>606.91110000000003</v>
      </c>
    </row>
    <row r="34" spans="1:17" s="738" customFormat="1" ht="13.8" hidden="1" x14ac:dyDescent="0.25">
      <c r="A34" s="3987"/>
      <c r="B34" s="753"/>
      <c r="C34" s="735">
        <v>12</v>
      </c>
      <c r="D34" s="735"/>
      <c r="E34" s="735"/>
      <c r="F34" s="737">
        <f>560.4235+12</f>
        <v>572.42349999999999</v>
      </c>
      <c r="G34" s="737">
        <f>1100+12</f>
        <v>1112</v>
      </c>
      <c r="H34" s="756"/>
      <c r="I34" s="965">
        <f>+I33+350+12</f>
        <v>734.88810000000001</v>
      </c>
      <c r="J34" s="983">
        <f>+J33+350+12</f>
        <v>803.86329999999998</v>
      </c>
      <c r="K34" s="965">
        <f>+K33+350+12</f>
        <v>837.11919999999998</v>
      </c>
      <c r="L34" s="965">
        <f>+L33+350+12</f>
        <v>766.91229999999996</v>
      </c>
      <c r="M34" s="983">
        <f>+M33+350+12</f>
        <v>861.75319999999999</v>
      </c>
      <c r="N34" s="965" t="s">
        <v>2316</v>
      </c>
      <c r="O34" s="965">
        <f>+O33+350+12</f>
        <v>927.03330000000005</v>
      </c>
      <c r="P34" s="983">
        <f>+P33+350+12</f>
        <v>975.06960000000004</v>
      </c>
      <c r="Q34" s="983">
        <f>+Q33+350+12</f>
        <v>968.91110000000003</v>
      </c>
    </row>
    <row r="35" spans="1:17" s="738" customFormat="1" ht="13.8" hidden="1" x14ac:dyDescent="0.25">
      <c r="B35" s="739"/>
      <c r="C35" s="735"/>
      <c r="D35" s="735"/>
      <c r="E35" s="735"/>
      <c r="F35" s="737">
        <f>642.9474+12</f>
        <v>654.94740000000002</v>
      </c>
      <c r="G35" s="737">
        <f>1200+12</f>
        <v>1212</v>
      </c>
      <c r="H35" s="756"/>
      <c r="I35" s="983"/>
      <c r="J35" s="983"/>
      <c r="K35" s="983"/>
      <c r="L35" s="983"/>
      <c r="M35" s="983"/>
      <c r="N35" s="983"/>
      <c r="O35" s="983"/>
      <c r="P35" s="983"/>
      <c r="Q35" s="983"/>
    </row>
    <row r="36" spans="1:17" s="738" customFormat="1" ht="13.8" hidden="1" x14ac:dyDescent="0.25">
      <c r="A36" s="738">
        <v>0.57999999999999996</v>
      </c>
      <c r="B36" s="739"/>
      <c r="C36" s="735"/>
      <c r="D36" s="735"/>
      <c r="E36" s="735"/>
      <c r="F36" s="740">
        <f>+F35+350+12</f>
        <v>1016.9474</v>
      </c>
      <c r="G36" s="740">
        <f>+G35+350+12</f>
        <v>1574</v>
      </c>
      <c r="H36" s="756"/>
      <c r="I36" s="983">
        <f>+I31*1.58</f>
        <v>454.88326400000005</v>
      </c>
      <c r="J36" s="983">
        <f>+J31*1.58</f>
        <v>507.42758600000002</v>
      </c>
      <c r="K36" s="983">
        <f>+K31*1.58</f>
        <v>573.59451000000001</v>
      </c>
      <c r="L36" s="983">
        <f>+L31*1.58</f>
        <v>501.58932799999997</v>
      </c>
      <c r="M36" s="983">
        <f>+M31*1.58</f>
        <v>620.3005740000001</v>
      </c>
      <c r="N36" s="983"/>
      <c r="O36" s="983"/>
      <c r="P36" s="983"/>
      <c r="Q36" s="983"/>
    </row>
    <row r="37" spans="1:17" ht="13.8" x14ac:dyDescent="0.25">
      <c r="C37" s="398"/>
      <c r="D37" s="398"/>
      <c r="E37" s="398"/>
      <c r="F37" s="740"/>
      <c r="G37" s="740"/>
      <c r="H37" s="756"/>
      <c r="I37" s="966"/>
      <c r="K37" s="989"/>
      <c r="L37" s="967" t="s">
        <v>38</v>
      </c>
      <c r="M37" s="967" t="s">
        <v>37</v>
      </c>
      <c r="N37" s="967"/>
      <c r="O37" s="967"/>
      <c r="P37" s="966"/>
      <c r="Q37" s="966"/>
    </row>
    <row r="38" spans="1:17" ht="13.8" hidden="1" x14ac:dyDescent="0.25">
      <c r="A38">
        <v>1</v>
      </c>
      <c r="B38" s="757">
        <v>2</v>
      </c>
      <c r="C38">
        <v>3</v>
      </c>
      <c r="D38">
        <v>4</v>
      </c>
      <c r="E38">
        <v>5</v>
      </c>
      <c r="F38" s="740">
        <v>6</v>
      </c>
      <c r="G38" s="740">
        <v>7</v>
      </c>
      <c r="H38" s="743">
        <v>8</v>
      </c>
      <c r="I38" s="934">
        <v>2068</v>
      </c>
      <c r="J38" s="989">
        <v>18</v>
      </c>
      <c r="K38" s="934" t="s">
        <v>321</v>
      </c>
      <c r="L38" s="968">
        <f>+O38+P38</f>
        <v>234</v>
      </c>
      <c r="M38" s="968">
        <f>+L38*$J$1</f>
        <v>369.72</v>
      </c>
      <c r="O38" s="990">
        <v>222</v>
      </c>
      <c r="P38" s="934">
        <v>12</v>
      </c>
      <c r="Q38" s="968"/>
    </row>
    <row r="39" spans="1:17" s="759" customFormat="1" ht="13.8" hidden="1" x14ac:dyDescent="0.25">
      <c r="B39" s="760"/>
      <c r="F39" s="137" t="s">
        <v>24</v>
      </c>
      <c r="G39" s="761">
        <v>45</v>
      </c>
      <c r="H39" s="743"/>
      <c r="I39" s="934">
        <v>2068</v>
      </c>
      <c r="J39" s="989">
        <v>16</v>
      </c>
      <c r="K39" s="934" t="s">
        <v>321</v>
      </c>
      <c r="L39" s="968">
        <f>+O39+P39</f>
        <v>272</v>
      </c>
      <c r="M39" s="968">
        <f>+L39*$J$1</f>
        <v>429.76</v>
      </c>
      <c r="N39" s="991"/>
      <c r="O39" s="991">
        <v>260</v>
      </c>
      <c r="P39" s="934">
        <v>12</v>
      </c>
      <c r="Q39" s="991"/>
    </row>
    <row r="40" spans="1:17" s="714" customFormat="1" ht="13.8" hidden="1" x14ac:dyDescent="0.25">
      <c r="B40" s="723"/>
      <c r="E40" s="130"/>
      <c r="F40"/>
      <c r="H40" s="743"/>
      <c r="I40" s="934">
        <v>2068</v>
      </c>
      <c r="J40" s="989">
        <v>14</v>
      </c>
      <c r="K40" s="934" t="s">
        <v>321</v>
      </c>
      <c r="L40" s="968">
        <f>+O40+P40</f>
        <v>327</v>
      </c>
      <c r="M40" s="968">
        <f>+L40*$J$1</f>
        <v>516.66</v>
      </c>
      <c r="N40" s="970"/>
      <c r="O40" s="970">
        <v>315</v>
      </c>
      <c r="P40" s="934">
        <v>12</v>
      </c>
      <c r="Q40" s="970"/>
    </row>
    <row r="41" spans="1:17" ht="13.8" hidden="1" x14ac:dyDescent="0.25">
      <c r="E41" s="130"/>
      <c r="G41" s="743"/>
      <c r="H41" s="743"/>
      <c r="I41" s="934">
        <v>2068</v>
      </c>
      <c r="J41" s="989">
        <v>12</v>
      </c>
      <c r="K41" s="934" t="s">
        <v>321</v>
      </c>
      <c r="L41" s="968">
        <f>+O41+P41</f>
        <v>677</v>
      </c>
      <c r="M41" s="968">
        <f>+L41*$J$1</f>
        <v>1069.6600000000001</v>
      </c>
      <c r="O41" s="934">
        <f>315+350</f>
        <v>665</v>
      </c>
      <c r="P41" s="934">
        <v>12</v>
      </c>
      <c r="Q41" s="934">
        <v>350</v>
      </c>
    </row>
    <row r="42" spans="1:17" hidden="1" x14ac:dyDescent="0.2">
      <c r="E42" s="130">
        <f>331.3273+12</f>
        <v>343.32729999999998</v>
      </c>
      <c r="I42" s="934">
        <v>2068</v>
      </c>
      <c r="J42" s="989">
        <v>18</v>
      </c>
      <c r="K42" s="934" t="s">
        <v>345</v>
      </c>
      <c r="L42" s="992">
        <v>603</v>
      </c>
      <c r="M42" s="993">
        <f>+L42*$J$2</f>
        <v>265.923</v>
      </c>
      <c r="N42" s="966"/>
      <c r="O42" s="966"/>
    </row>
    <row r="43" spans="1:17" hidden="1" x14ac:dyDescent="0.2">
      <c r="A43" t="s">
        <v>2322</v>
      </c>
      <c r="C43" t="s">
        <v>1363</v>
      </c>
      <c r="D43" t="s">
        <v>345</v>
      </c>
      <c r="E43" s="137">
        <f>+E42+350+12</f>
        <v>705.32729999999992</v>
      </c>
      <c r="I43" s="934">
        <v>2068</v>
      </c>
      <c r="J43" s="989">
        <v>16</v>
      </c>
      <c r="K43" s="934" t="s">
        <v>345</v>
      </c>
      <c r="L43" s="993">
        <v>697</v>
      </c>
      <c r="M43" s="993">
        <f>+L43*$J$2</f>
        <v>307.37700000000001</v>
      </c>
    </row>
    <row r="44" spans="1:17" hidden="1" x14ac:dyDescent="0.2">
      <c r="I44" s="934">
        <v>2068</v>
      </c>
      <c r="J44" s="989">
        <v>14</v>
      </c>
      <c r="K44" s="934" t="s">
        <v>345</v>
      </c>
      <c r="L44" s="968">
        <f>984+236</f>
        <v>1220</v>
      </c>
      <c r="M44" s="993">
        <f>+L44*$J$2</f>
        <v>538.02</v>
      </c>
    </row>
    <row r="45" spans="1:17" hidden="1" x14ac:dyDescent="0.2">
      <c r="A45" t="s">
        <v>376</v>
      </c>
      <c r="D45">
        <v>16</v>
      </c>
      <c r="I45" s="934">
        <v>2068</v>
      </c>
      <c r="J45" s="989">
        <v>12</v>
      </c>
      <c r="K45" s="934" t="s">
        <v>345</v>
      </c>
      <c r="L45" s="968">
        <f>1558+236</f>
        <v>1794</v>
      </c>
      <c r="M45" s="993">
        <f>+L45*$J$2</f>
        <v>791.154</v>
      </c>
    </row>
    <row r="46" spans="1:17" hidden="1" x14ac:dyDescent="0.2">
      <c r="A46" t="s">
        <v>423</v>
      </c>
      <c r="D46">
        <v>66</v>
      </c>
      <c r="I46" s="934">
        <v>2068</v>
      </c>
      <c r="J46" s="989">
        <v>18</v>
      </c>
      <c r="K46" s="934" t="s">
        <v>1363</v>
      </c>
      <c r="L46" s="968">
        <f>+N46+O46</f>
        <v>733</v>
      </c>
      <c r="M46" s="993">
        <f>+L46*$J$3</f>
        <v>315.19</v>
      </c>
      <c r="N46" s="968">
        <v>524</v>
      </c>
      <c r="O46" s="968">
        <f>53+53+103</f>
        <v>209</v>
      </c>
    </row>
    <row r="47" spans="1:17" hidden="1" x14ac:dyDescent="0.2">
      <c r="A47" t="s">
        <v>274</v>
      </c>
      <c r="D47">
        <v>24</v>
      </c>
      <c r="I47" s="934">
        <v>2068</v>
      </c>
      <c r="J47" s="989">
        <v>16</v>
      </c>
      <c r="K47" s="934" t="s">
        <v>1363</v>
      </c>
      <c r="L47" s="968">
        <f>+N47+O47</f>
        <v>901</v>
      </c>
      <c r="M47" s="993">
        <f>+L47*$J$3</f>
        <v>387.43</v>
      </c>
      <c r="N47" s="968">
        <v>692</v>
      </c>
      <c r="O47" s="968">
        <f>53+53+103</f>
        <v>209</v>
      </c>
    </row>
    <row r="48" spans="1:17" hidden="1" x14ac:dyDescent="0.2">
      <c r="I48" s="934">
        <v>2068</v>
      </c>
      <c r="J48" s="989">
        <v>14</v>
      </c>
      <c r="K48" s="934" t="s">
        <v>1363</v>
      </c>
      <c r="L48" s="968">
        <f>+N48+O48</f>
        <v>1195</v>
      </c>
      <c r="M48" s="993">
        <f>+L48*$J$3</f>
        <v>513.85</v>
      </c>
      <c r="N48" s="968">
        <v>986</v>
      </c>
      <c r="O48" s="968">
        <f>53+53+103</f>
        <v>209</v>
      </c>
    </row>
    <row r="49" spans="1:17" hidden="1" x14ac:dyDescent="0.2">
      <c r="I49" s="934">
        <v>2068</v>
      </c>
      <c r="J49" s="989">
        <v>12</v>
      </c>
      <c r="K49" s="934" t="s">
        <v>1363</v>
      </c>
      <c r="L49" s="968">
        <f>+N49+O49</f>
        <v>209</v>
      </c>
      <c r="M49" s="993">
        <f>+L49*$J$3</f>
        <v>89.87</v>
      </c>
      <c r="N49" s="968"/>
      <c r="O49" s="968">
        <f>53+53+103</f>
        <v>209</v>
      </c>
    </row>
    <row r="50" spans="1:17" ht="13.8" hidden="1" x14ac:dyDescent="0.25">
      <c r="I50" s="934">
        <v>2070</v>
      </c>
      <c r="J50" s="989">
        <v>18</v>
      </c>
      <c r="K50" s="934" t="s">
        <v>321</v>
      </c>
      <c r="L50" s="968">
        <f>+O50+P50</f>
        <v>245</v>
      </c>
      <c r="M50" s="994">
        <f>+L50*$J$1</f>
        <v>387.1</v>
      </c>
      <c r="O50" s="934">
        <v>233</v>
      </c>
      <c r="P50" s="934">
        <v>12</v>
      </c>
    </row>
    <row r="51" spans="1:17" ht="13.8" hidden="1" x14ac:dyDescent="0.25">
      <c r="I51" s="934">
        <v>2070</v>
      </c>
      <c r="J51" s="989">
        <v>16</v>
      </c>
      <c r="K51" s="934" t="s">
        <v>321</v>
      </c>
      <c r="L51" s="968">
        <f>+O51+P51</f>
        <v>283</v>
      </c>
      <c r="M51" s="994">
        <f>+L51*$J$1</f>
        <v>447.14000000000004</v>
      </c>
      <c r="O51" s="934">
        <v>271</v>
      </c>
      <c r="P51" s="934">
        <v>12</v>
      </c>
    </row>
    <row r="52" spans="1:17" ht="13.8" hidden="1" x14ac:dyDescent="0.25">
      <c r="I52" s="934">
        <v>2070</v>
      </c>
      <c r="J52" s="989">
        <v>14</v>
      </c>
      <c r="K52" s="934" t="s">
        <v>321</v>
      </c>
      <c r="L52" s="968">
        <f>+O52+P52</f>
        <v>343</v>
      </c>
      <c r="M52" s="994">
        <f>+L52*$J$1</f>
        <v>541.94000000000005</v>
      </c>
      <c r="O52" s="934">
        <v>331</v>
      </c>
      <c r="P52" s="934">
        <v>12</v>
      </c>
    </row>
    <row r="53" spans="1:17" ht="13.8" hidden="1" x14ac:dyDescent="0.25">
      <c r="I53" s="934">
        <v>2070</v>
      </c>
      <c r="J53" s="989">
        <v>12</v>
      </c>
      <c r="K53" s="934" t="s">
        <v>321</v>
      </c>
      <c r="L53" s="968">
        <f>+O53+P53</f>
        <v>693</v>
      </c>
      <c r="M53" s="994">
        <f>+L53*$J$1</f>
        <v>1094.94</v>
      </c>
      <c r="O53" s="934">
        <f>+O52+350</f>
        <v>681</v>
      </c>
      <c r="P53" s="934">
        <v>12</v>
      </c>
      <c r="Q53" s="934">
        <v>350</v>
      </c>
    </row>
    <row r="54" spans="1:17" ht="13.8" hidden="1" x14ac:dyDescent="0.25">
      <c r="I54" s="934">
        <v>2070</v>
      </c>
      <c r="J54" s="989">
        <v>18</v>
      </c>
      <c r="K54" s="934" t="s">
        <v>345</v>
      </c>
      <c r="L54" s="968">
        <v>624</v>
      </c>
      <c r="M54" s="995">
        <f>+L54*$J$2</f>
        <v>275.18400000000003</v>
      </c>
    </row>
    <row r="55" spans="1:17" ht="13.8" hidden="1" x14ac:dyDescent="0.25">
      <c r="I55" s="934">
        <v>2070</v>
      </c>
      <c r="J55" s="989">
        <v>16</v>
      </c>
      <c r="K55" s="934" t="s">
        <v>345</v>
      </c>
      <c r="L55" s="968">
        <v>723</v>
      </c>
      <c r="M55" s="995">
        <f>+L55*$J$2</f>
        <v>318.84300000000002</v>
      </c>
    </row>
    <row r="56" spans="1:17" ht="13.8" hidden="1" x14ac:dyDescent="0.25">
      <c r="D56" t="s">
        <v>2323</v>
      </c>
      <c r="F56" t="s">
        <v>321</v>
      </c>
      <c r="G56" t="s">
        <v>345</v>
      </c>
      <c r="H56" t="s">
        <v>1363</v>
      </c>
      <c r="I56" s="934">
        <v>2070</v>
      </c>
      <c r="J56" s="989">
        <v>14</v>
      </c>
      <c r="K56" s="934" t="s">
        <v>345</v>
      </c>
      <c r="L56" s="968">
        <f>984+236</f>
        <v>1220</v>
      </c>
      <c r="M56" s="995">
        <f>+L56*$J$2</f>
        <v>538.02</v>
      </c>
    </row>
    <row r="57" spans="1:17" ht="13.8" hidden="1" x14ac:dyDescent="0.25">
      <c r="A57" s="767" t="s">
        <v>2324</v>
      </c>
      <c r="I57" s="934">
        <v>2070</v>
      </c>
      <c r="J57" s="989">
        <v>12</v>
      </c>
      <c r="K57" s="934" t="s">
        <v>345</v>
      </c>
      <c r="L57" s="968">
        <f>1667+236</f>
        <v>1903</v>
      </c>
      <c r="M57" s="995">
        <f>+L57*$J$2</f>
        <v>839.22299999999996</v>
      </c>
    </row>
    <row r="58" spans="1:17" ht="13.8" hidden="1" x14ac:dyDescent="0.25">
      <c r="B58" s="768"/>
      <c r="D58" t="s">
        <v>310</v>
      </c>
      <c r="I58" s="934">
        <v>2070</v>
      </c>
      <c r="J58" s="989">
        <v>18</v>
      </c>
      <c r="K58" s="934" t="s">
        <v>1363</v>
      </c>
      <c r="L58" s="968">
        <f>+N58+O58</f>
        <v>746</v>
      </c>
      <c r="M58" s="995">
        <f>+L58*$J$3</f>
        <v>320.77999999999997</v>
      </c>
      <c r="N58" s="968">
        <v>537</v>
      </c>
      <c r="O58" s="968">
        <f>53+53+103</f>
        <v>209</v>
      </c>
    </row>
    <row r="59" spans="1:17" ht="13.8" hidden="1" x14ac:dyDescent="0.25">
      <c r="A59" t="s">
        <v>274</v>
      </c>
      <c r="B59" s="768"/>
      <c r="D59" t="s">
        <v>2325</v>
      </c>
      <c r="E59" s="770">
        <v>12</v>
      </c>
      <c r="I59" s="934">
        <v>2070</v>
      </c>
      <c r="J59" s="989">
        <v>16</v>
      </c>
      <c r="K59" s="934" t="s">
        <v>1363</v>
      </c>
      <c r="L59" s="968">
        <f>+N59+O59</f>
        <v>914</v>
      </c>
      <c r="M59" s="995">
        <f>+L59*$J$3</f>
        <v>393.02</v>
      </c>
      <c r="N59" s="968">
        <v>705</v>
      </c>
      <c r="O59" s="968">
        <f>53+53+103</f>
        <v>209</v>
      </c>
    </row>
    <row r="60" spans="1:17" ht="13.8" hidden="1" x14ac:dyDescent="0.25">
      <c r="A60" t="s">
        <v>2326</v>
      </c>
      <c r="B60" s="768"/>
      <c r="D60" t="s">
        <v>274</v>
      </c>
      <c r="E60" s="770">
        <v>0</v>
      </c>
      <c r="I60" s="934">
        <v>2070</v>
      </c>
      <c r="J60" s="989">
        <v>14</v>
      </c>
      <c r="K60" s="934" t="s">
        <v>1363</v>
      </c>
      <c r="L60" s="968">
        <f>+N60+O60</f>
        <v>1208</v>
      </c>
      <c r="M60" s="995">
        <f>+L60*$J$3</f>
        <v>519.43999999999994</v>
      </c>
      <c r="N60" s="968">
        <v>999</v>
      </c>
      <c r="O60" s="968">
        <f>53+53+103</f>
        <v>209</v>
      </c>
    </row>
    <row r="61" spans="1:17" ht="13.8" hidden="1" x14ac:dyDescent="0.25">
      <c r="A61" t="s">
        <v>1270</v>
      </c>
      <c r="B61" s="771"/>
      <c r="D61" t="s">
        <v>2326</v>
      </c>
      <c r="E61" s="770">
        <v>0</v>
      </c>
      <c r="I61" s="934">
        <v>2070</v>
      </c>
      <c r="J61" s="989">
        <v>12</v>
      </c>
      <c r="K61" s="934" t="s">
        <v>1363</v>
      </c>
      <c r="L61" s="968">
        <f>+N61+O61</f>
        <v>209</v>
      </c>
      <c r="M61" s="995">
        <f>+L61*$J$3</f>
        <v>89.87</v>
      </c>
      <c r="N61" s="968"/>
      <c r="O61" s="968">
        <f>53+53+103</f>
        <v>209</v>
      </c>
    </row>
    <row r="62" spans="1:17" ht="13.8" hidden="1" x14ac:dyDescent="0.25">
      <c r="A62" t="s">
        <v>2327</v>
      </c>
      <c r="B62" s="771"/>
      <c r="D62" t="s">
        <v>1270</v>
      </c>
      <c r="E62" s="95">
        <v>7</v>
      </c>
      <c r="I62" s="934">
        <v>2080</v>
      </c>
      <c r="J62" s="989">
        <v>18</v>
      </c>
      <c r="K62" s="934" t="s">
        <v>321</v>
      </c>
      <c r="L62" s="968">
        <f>+O62+P62</f>
        <v>12</v>
      </c>
      <c r="M62" s="994">
        <f>+L62*$J$1</f>
        <v>18.96</v>
      </c>
      <c r="O62" s="968"/>
      <c r="P62" s="934">
        <v>12</v>
      </c>
    </row>
    <row r="63" spans="1:17" ht="13.8" hidden="1" x14ac:dyDescent="0.25">
      <c r="A63" t="s">
        <v>138</v>
      </c>
      <c r="B63" s="771"/>
      <c r="D63" t="s">
        <v>2327</v>
      </c>
      <c r="E63" s="95">
        <v>25</v>
      </c>
      <c r="I63" s="934">
        <v>2080</v>
      </c>
      <c r="J63" s="989">
        <v>16</v>
      </c>
      <c r="K63" s="934" t="s">
        <v>321</v>
      </c>
      <c r="L63" s="968">
        <f>+O63+P63</f>
        <v>12</v>
      </c>
      <c r="M63" s="994">
        <f>+L63*$J$1</f>
        <v>18.96</v>
      </c>
      <c r="O63" s="968"/>
      <c r="P63" s="934">
        <v>12</v>
      </c>
    </row>
    <row r="64" spans="1:17" ht="13.8" hidden="1" x14ac:dyDescent="0.25">
      <c r="A64" t="s">
        <v>2328</v>
      </c>
      <c r="B64" s="771"/>
      <c r="D64" t="s">
        <v>138</v>
      </c>
      <c r="E64" s="95">
        <v>32</v>
      </c>
      <c r="I64" s="934">
        <v>2080</v>
      </c>
      <c r="J64" s="989">
        <v>14</v>
      </c>
      <c r="K64" s="934" t="s">
        <v>321</v>
      </c>
      <c r="L64" s="968">
        <f>+O64+P64</f>
        <v>442</v>
      </c>
      <c r="M64" s="994">
        <f>+L64*$J$1</f>
        <v>698.36</v>
      </c>
      <c r="O64" s="934">
        <v>430</v>
      </c>
      <c r="P64" s="934">
        <v>12</v>
      </c>
    </row>
    <row r="65" spans="1:17" ht="13.8" hidden="1" x14ac:dyDescent="0.25">
      <c r="B65" s="771"/>
      <c r="D65" t="s">
        <v>2328</v>
      </c>
      <c r="E65" s="95">
        <v>38</v>
      </c>
      <c r="I65" s="934">
        <v>2080</v>
      </c>
      <c r="J65" s="989">
        <v>12</v>
      </c>
      <c r="K65" s="934" t="s">
        <v>321</v>
      </c>
      <c r="L65" s="968">
        <f>+O65+P65</f>
        <v>792</v>
      </c>
      <c r="M65" s="994">
        <f>+L65*$J$1</f>
        <v>1251.3600000000001</v>
      </c>
      <c r="O65" s="934">
        <f>430+350</f>
        <v>780</v>
      </c>
      <c r="P65" s="934">
        <v>12</v>
      </c>
      <c r="Q65" s="934">
        <v>350</v>
      </c>
    </row>
    <row r="66" spans="1:17" ht="13.8" hidden="1" x14ac:dyDescent="0.25">
      <c r="A66" s="767" t="s">
        <v>2329</v>
      </c>
      <c r="B66" s="771"/>
      <c r="D66" t="s">
        <v>2330</v>
      </c>
      <c r="E66" s="95"/>
      <c r="I66" s="934">
        <v>2080</v>
      </c>
      <c r="J66" s="989">
        <v>18</v>
      </c>
      <c r="K66" s="934" t="s">
        <v>345</v>
      </c>
      <c r="L66" s="968">
        <v>684</v>
      </c>
      <c r="M66" s="995">
        <f>+L66*$J$2</f>
        <v>301.64400000000001</v>
      </c>
    </row>
    <row r="67" spans="1:17" ht="13.8" hidden="1" x14ac:dyDescent="0.25">
      <c r="A67" s="538" t="s">
        <v>2331</v>
      </c>
      <c r="B67" s="771"/>
      <c r="D67" t="s">
        <v>2332</v>
      </c>
      <c r="E67" s="95"/>
      <c r="I67" s="934">
        <v>2080</v>
      </c>
      <c r="J67" s="989">
        <v>16</v>
      </c>
      <c r="K67" s="934" t="s">
        <v>345</v>
      </c>
      <c r="L67" s="968">
        <v>797</v>
      </c>
      <c r="M67" s="995">
        <f>+L67*$J$2</f>
        <v>351.47699999999998</v>
      </c>
    </row>
    <row r="68" spans="1:17" ht="13.8" hidden="1" x14ac:dyDescent="0.25">
      <c r="A68" t="s">
        <v>2330</v>
      </c>
      <c r="B68" s="771"/>
      <c r="D68" t="s">
        <v>2333</v>
      </c>
      <c r="E68" s="95">
        <v>44</v>
      </c>
      <c r="I68" s="934">
        <v>2080</v>
      </c>
      <c r="J68" s="989">
        <v>14</v>
      </c>
      <c r="K68" s="934" t="s">
        <v>345</v>
      </c>
      <c r="L68" s="968">
        <f>1204+236</f>
        <v>1440</v>
      </c>
      <c r="M68" s="995">
        <f>+L68*$J$2</f>
        <v>635.04</v>
      </c>
    </row>
    <row r="69" spans="1:17" ht="13.8" hidden="1" x14ac:dyDescent="0.25">
      <c r="A69" t="s">
        <v>2332</v>
      </c>
      <c r="B69" s="771"/>
      <c r="D69" t="s">
        <v>293</v>
      </c>
      <c r="E69" s="95">
        <v>30</v>
      </c>
      <c r="I69" s="934">
        <v>2080</v>
      </c>
      <c r="J69" s="989">
        <v>12</v>
      </c>
      <c r="K69" s="934" t="s">
        <v>345</v>
      </c>
      <c r="L69" s="968">
        <f>1946+236</f>
        <v>2182</v>
      </c>
      <c r="M69" s="995">
        <f>+L69*$J$2</f>
        <v>962.26200000000006</v>
      </c>
    </row>
    <row r="70" spans="1:17" ht="13.8" hidden="1" x14ac:dyDescent="0.25">
      <c r="A70" t="s">
        <v>2334</v>
      </c>
      <c r="B70" s="771"/>
      <c r="D70" t="s">
        <v>2335</v>
      </c>
      <c r="E70" s="95">
        <v>6</v>
      </c>
      <c r="I70" s="934">
        <v>2080</v>
      </c>
      <c r="J70" s="989">
        <v>18</v>
      </c>
      <c r="K70" s="934" t="s">
        <v>1363</v>
      </c>
      <c r="L70" s="968">
        <f>+N70+O70</f>
        <v>837</v>
      </c>
      <c r="M70" s="995">
        <f>+L70*$J$3</f>
        <v>359.90999999999997</v>
      </c>
      <c r="N70" s="968">
        <v>628</v>
      </c>
      <c r="O70" s="968">
        <f>53+53+103</f>
        <v>209</v>
      </c>
    </row>
    <row r="71" spans="1:17" ht="13.8" hidden="1" x14ac:dyDescent="0.25">
      <c r="A71" t="s">
        <v>2336</v>
      </c>
      <c r="B71" s="771"/>
      <c r="D71" t="s">
        <v>150</v>
      </c>
      <c r="E71" s="95">
        <v>15</v>
      </c>
      <c r="I71" s="934">
        <v>2080</v>
      </c>
      <c r="J71" s="989">
        <v>16</v>
      </c>
      <c r="K71" s="934" t="s">
        <v>1363</v>
      </c>
      <c r="L71" s="968">
        <f>+N71+O71</f>
        <v>1005</v>
      </c>
      <c r="M71" s="995">
        <f>+L71*$J$3</f>
        <v>432.15</v>
      </c>
      <c r="N71" s="968">
        <v>796</v>
      </c>
      <c r="O71" s="968">
        <f>53+53+103</f>
        <v>209</v>
      </c>
    </row>
    <row r="72" spans="1:17" ht="13.8" hidden="1" x14ac:dyDescent="0.25">
      <c r="A72" t="s">
        <v>2337</v>
      </c>
      <c r="B72" s="771"/>
      <c r="D72" t="s">
        <v>151</v>
      </c>
      <c r="E72" s="95">
        <v>6</v>
      </c>
      <c r="I72" s="934">
        <v>2080</v>
      </c>
      <c r="J72" s="989">
        <v>14</v>
      </c>
      <c r="K72" s="934" t="s">
        <v>1363</v>
      </c>
      <c r="L72" s="968">
        <f>+N72+O72</f>
        <v>1299</v>
      </c>
      <c r="M72" s="995">
        <f>+L72*$J$3</f>
        <v>558.56999999999994</v>
      </c>
      <c r="N72" s="968">
        <v>1090</v>
      </c>
      <c r="O72" s="968">
        <f>53+53+103</f>
        <v>209</v>
      </c>
    </row>
    <row r="73" spans="1:17" ht="13.8" hidden="1" x14ac:dyDescent="0.25">
      <c r="B73" s="771"/>
      <c r="D73" t="s">
        <v>2338</v>
      </c>
      <c r="E73" s="95"/>
      <c r="I73" s="934">
        <v>2080</v>
      </c>
      <c r="J73" s="989">
        <v>12</v>
      </c>
      <c r="K73" s="934" t="s">
        <v>1363</v>
      </c>
      <c r="L73" s="968">
        <f>+N73+O73</f>
        <v>209</v>
      </c>
      <c r="M73" s="995">
        <f>+L73*$J$3</f>
        <v>89.87</v>
      </c>
      <c r="N73" s="968"/>
      <c r="O73" s="968">
        <f>53+53+103</f>
        <v>209</v>
      </c>
    </row>
    <row r="74" spans="1:17" ht="13.8" hidden="1" x14ac:dyDescent="0.25">
      <c r="B74" s="771"/>
      <c r="D74" t="s">
        <v>273</v>
      </c>
      <c r="E74" s="95"/>
      <c r="I74" s="934">
        <v>2090</v>
      </c>
      <c r="J74" s="989">
        <v>18</v>
      </c>
      <c r="K74" s="934" t="s">
        <v>321</v>
      </c>
      <c r="L74" s="968">
        <f>+O74+P74</f>
        <v>437</v>
      </c>
      <c r="M74" s="994">
        <f>+L74*$J$1</f>
        <v>690.46</v>
      </c>
      <c r="O74" s="934">
        <v>425</v>
      </c>
      <c r="P74" s="934">
        <v>12</v>
      </c>
    </row>
    <row r="75" spans="1:17" ht="13.8" hidden="1" x14ac:dyDescent="0.25">
      <c r="B75" s="771"/>
      <c r="D75" t="s">
        <v>2339</v>
      </c>
      <c r="E75" s="95"/>
      <c r="I75" s="934">
        <v>2090</v>
      </c>
      <c r="J75" s="989">
        <v>16</v>
      </c>
      <c r="K75" s="934" t="s">
        <v>321</v>
      </c>
      <c r="L75" s="968">
        <f>+O75+P75</f>
        <v>479</v>
      </c>
      <c r="M75" s="994">
        <f>+L75*$J$1</f>
        <v>756.82</v>
      </c>
      <c r="O75" s="934">
        <v>467</v>
      </c>
      <c r="P75" s="934">
        <v>12</v>
      </c>
    </row>
    <row r="76" spans="1:17" ht="13.8" hidden="1" x14ac:dyDescent="0.25">
      <c r="B76" s="771"/>
      <c r="D76" t="s">
        <v>2340</v>
      </c>
      <c r="E76" s="95"/>
      <c r="I76" s="934">
        <v>2090</v>
      </c>
      <c r="J76" s="989">
        <v>14</v>
      </c>
      <c r="K76" s="934" t="s">
        <v>321</v>
      </c>
      <c r="L76" s="968">
        <f>+O76+P76</f>
        <v>558</v>
      </c>
      <c r="M76" s="994">
        <f>+L76*$J$1</f>
        <v>881.64</v>
      </c>
      <c r="O76" s="934">
        <v>546</v>
      </c>
      <c r="P76" s="934">
        <v>12</v>
      </c>
    </row>
    <row r="77" spans="1:17" ht="13.8" hidden="1" x14ac:dyDescent="0.25">
      <c r="B77" s="771"/>
      <c r="D77" t="s">
        <v>81</v>
      </c>
      <c r="E77" s="95"/>
      <c r="I77" s="934">
        <v>2090</v>
      </c>
      <c r="J77" s="989">
        <v>12</v>
      </c>
      <c r="K77" s="934" t="s">
        <v>321</v>
      </c>
      <c r="L77" s="968">
        <f>+O77+P77</f>
        <v>908</v>
      </c>
      <c r="M77" s="994">
        <f>+L77*$J$1</f>
        <v>1434.64</v>
      </c>
      <c r="O77" s="934">
        <f>546+350</f>
        <v>896</v>
      </c>
      <c r="P77" s="934">
        <v>12</v>
      </c>
      <c r="Q77" s="934">
        <v>350</v>
      </c>
    </row>
    <row r="78" spans="1:17" ht="13.8" hidden="1" x14ac:dyDescent="0.25">
      <c r="B78" s="771"/>
      <c r="D78" t="s">
        <v>2342</v>
      </c>
      <c r="E78" s="95">
        <v>12</v>
      </c>
      <c r="I78" s="934">
        <v>2090</v>
      </c>
      <c r="J78" s="989">
        <v>18</v>
      </c>
      <c r="K78" s="934" t="s">
        <v>345</v>
      </c>
      <c r="L78" s="968">
        <v>847</v>
      </c>
      <c r="M78" s="995">
        <f>+L78*$J$2</f>
        <v>373.52699999999999</v>
      </c>
    </row>
    <row r="79" spans="1:17" ht="13.8" hidden="1" x14ac:dyDescent="0.25">
      <c r="B79" s="771"/>
      <c r="D79" t="s">
        <v>2343</v>
      </c>
      <c r="E79" s="95">
        <v>25</v>
      </c>
      <c r="I79" s="934">
        <v>2090</v>
      </c>
      <c r="J79" s="989">
        <v>16</v>
      </c>
      <c r="K79" s="934" t="s">
        <v>345</v>
      </c>
      <c r="L79" s="968">
        <v>997</v>
      </c>
      <c r="M79" s="995">
        <f>+L79*$J$2</f>
        <v>439.67700000000002</v>
      </c>
    </row>
    <row r="80" spans="1:17" ht="13.8" hidden="1" x14ac:dyDescent="0.25">
      <c r="B80" s="771"/>
      <c r="D80" t="s">
        <v>2344</v>
      </c>
      <c r="E80" s="95">
        <v>37</v>
      </c>
      <c r="I80" s="934">
        <v>2090</v>
      </c>
      <c r="J80" s="989">
        <v>14</v>
      </c>
      <c r="K80" s="934" t="s">
        <v>345</v>
      </c>
      <c r="L80" s="968">
        <f>1519+236</f>
        <v>1755</v>
      </c>
      <c r="M80" s="995">
        <f>+L80*$J$2</f>
        <v>773.95500000000004</v>
      </c>
    </row>
    <row r="81" spans="1:17" ht="13.8" hidden="1" x14ac:dyDescent="0.25">
      <c r="B81" s="771"/>
      <c r="D81" t="s">
        <v>25</v>
      </c>
      <c r="E81" s="95"/>
      <c r="I81" s="934">
        <v>2090</v>
      </c>
      <c r="J81" s="989">
        <v>12</v>
      </c>
      <c r="K81" s="934" t="s">
        <v>345</v>
      </c>
      <c r="L81" s="968">
        <f>2463+236</f>
        <v>2699</v>
      </c>
      <c r="M81" s="995">
        <f>+L81*$J$2</f>
        <v>1190.259</v>
      </c>
    </row>
    <row r="82" spans="1:17" ht="13.8" hidden="1" x14ac:dyDescent="0.25">
      <c r="B82" s="771"/>
      <c r="I82" s="934">
        <v>2090</v>
      </c>
      <c r="J82" s="989">
        <v>18</v>
      </c>
      <c r="K82" s="934" t="s">
        <v>1363</v>
      </c>
      <c r="L82" s="968">
        <f>+N82+O82</f>
        <v>209</v>
      </c>
      <c r="M82" s="995">
        <f>+L82*$J$3</f>
        <v>89.87</v>
      </c>
      <c r="N82" s="968"/>
      <c r="O82" s="968">
        <f>53+53+103</f>
        <v>209</v>
      </c>
    </row>
    <row r="83" spans="1:17" ht="13.8" hidden="1" x14ac:dyDescent="0.25">
      <c r="B83" s="771"/>
      <c r="I83" s="934">
        <v>2090</v>
      </c>
      <c r="J83" s="989">
        <v>16</v>
      </c>
      <c r="K83" s="934" t="s">
        <v>1363</v>
      </c>
      <c r="L83" s="968">
        <f>+N83+O83</f>
        <v>209</v>
      </c>
      <c r="M83" s="995">
        <f>+L83*$J$3</f>
        <v>89.87</v>
      </c>
      <c r="N83" s="968"/>
      <c r="O83" s="968">
        <f>53+53+103</f>
        <v>209</v>
      </c>
    </row>
    <row r="84" spans="1:17" ht="13.8" hidden="1" x14ac:dyDescent="0.25">
      <c r="B84" s="771"/>
      <c r="I84" s="934">
        <v>2090</v>
      </c>
      <c r="J84" s="989">
        <v>14</v>
      </c>
      <c r="K84" s="934" t="s">
        <v>1363</v>
      </c>
      <c r="L84" s="968">
        <f>+N84+O84</f>
        <v>209</v>
      </c>
      <c r="M84" s="995">
        <f>+L84*$J$3</f>
        <v>89.87</v>
      </c>
      <c r="N84" s="968"/>
      <c r="O84" s="968">
        <f>53+53+103</f>
        <v>209</v>
      </c>
    </row>
    <row r="85" spans="1:17" ht="13.8" hidden="1" x14ac:dyDescent="0.25">
      <c r="B85" s="771"/>
      <c r="I85" s="934">
        <v>2090</v>
      </c>
      <c r="J85" s="989">
        <v>12</v>
      </c>
      <c r="K85" s="934" t="s">
        <v>1363</v>
      </c>
      <c r="L85" s="968">
        <f>+N85+O85</f>
        <v>209</v>
      </c>
      <c r="M85" s="995">
        <f>+L85*$J$3</f>
        <v>89.87</v>
      </c>
      <c r="N85" s="968"/>
      <c r="O85" s="968">
        <f>53+53+103</f>
        <v>209</v>
      </c>
    </row>
    <row r="86" spans="1:17" hidden="1" x14ac:dyDescent="0.2">
      <c r="B86" s="771"/>
      <c r="I86" s="934">
        <v>2468</v>
      </c>
      <c r="J86" s="989">
        <v>18</v>
      </c>
      <c r="K86" s="934" t="s">
        <v>321</v>
      </c>
      <c r="L86" s="968">
        <f>+O86+P86</f>
        <v>241</v>
      </c>
      <c r="M86" s="968">
        <f>+L86*$J$1</f>
        <v>380.78000000000003</v>
      </c>
      <c r="O86" s="934">
        <v>229</v>
      </c>
      <c r="P86" s="934">
        <v>12</v>
      </c>
    </row>
    <row r="87" spans="1:17" hidden="1" x14ac:dyDescent="0.2">
      <c r="B87" s="771"/>
      <c r="I87" s="934">
        <v>2468</v>
      </c>
      <c r="J87" s="989">
        <v>16</v>
      </c>
      <c r="K87" s="934" t="s">
        <v>321</v>
      </c>
      <c r="L87" s="968">
        <f>+O87+P87</f>
        <v>279</v>
      </c>
      <c r="M87" s="968">
        <f>+L87*$J$1</f>
        <v>440.82</v>
      </c>
      <c r="O87" s="934">
        <v>267</v>
      </c>
      <c r="P87" s="934">
        <v>12</v>
      </c>
    </row>
    <row r="88" spans="1:17" hidden="1" x14ac:dyDescent="0.2">
      <c r="B88" s="771"/>
      <c r="I88" s="934">
        <v>2468</v>
      </c>
      <c r="J88" s="989">
        <v>14</v>
      </c>
      <c r="K88" s="934" t="s">
        <v>321</v>
      </c>
      <c r="L88" s="968">
        <f>+O88+P88</f>
        <v>335</v>
      </c>
      <c r="M88" s="968">
        <f>+L88*$J$1</f>
        <v>529.30000000000007</v>
      </c>
      <c r="O88" s="934">
        <v>323</v>
      </c>
      <c r="P88" s="934">
        <v>12</v>
      </c>
    </row>
    <row r="89" spans="1:17" hidden="1" x14ac:dyDescent="0.2">
      <c r="B89" s="771"/>
      <c r="I89" s="934">
        <v>2468</v>
      </c>
      <c r="J89" s="989">
        <v>12</v>
      </c>
      <c r="K89" s="934" t="s">
        <v>321</v>
      </c>
      <c r="L89" s="968">
        <f>+O89+P89</f>
        <v>685</v>
      </c>
      <c r="M89" s="968">
        <f>+L89*$J$1</f>
        <v>1082.3</v>
      </c>
      <c r="O89" s="934">
        <f>323+350</f>
        <v>673</v>
      </c>
      <c r="P89" s="934">
        <v>12</v>
      </c>
      <c r="Q89" s="934">
        <v>350</v>
      </c>
    </row>
    <row r="90" spans="1:17" hidden="1" x14ac:dyDescent="0.2">
      <c r="B90" s="771"/>
      <c r="I90" s="934">
        <v>2468</v>
      </c>
      <c r="J90" s="989">
        <v>18</v>
      </c>
      <c r="K90" s="934" t="s">
        <v>345</v>
      </c>
      <c r="L90" s="968">
        <v>763</v>
      </c>
      <c r="M90" s="993">
        <f>+L90*$J$2</f>
        <v>336.483</v>
      </c>
    </row>
    <row r="91" spans="1:17" hidden="1" x14ac:dyDescent="0.2">
      <c r="B91" s="771"/>
      <c r="I91" s="934">
        <v>2468</v>
      </c>
      <c r="J91" s="989">
        <v>16</v>
      </c>
      <c r="K91" s="934" t="s">
        <v>345</v>
      </c>
      <c r="L91" s="968">
        <v>889</v>
      </c>
      <c r="M91" s="993">
        <f>+L91*$J$2</f>
        <v>392.04899999999998</v>
      </c>
    </row>
    <row r="92" spans="1:17" ht="13.8" hidden="1" x14ac:dyDescent="0.25">
      <c r="A92" s="767" t="s">
        <v>2341</v>
      </c>
      <c r="B92" s="771"/>
      <c r="I92" s="934">
        <v>2468</v>
      </c>
      <c r="J92" s="989">
        <v>14</v>
      </c>
      <c r="K92" s="934" t="s">
        <v>345</v>
      </c>
      <c r="L92" s="968">
        <f>984+236</f>
        <v>1220</v>
      </c>
      <c r="M92" s="993">
        <f>+L92*$J$2</f>
        <v>538.02</v>
      </c>
    </row>
    <row r="93" spans="1:17" hidden="1" x14ac:dyDescent="0.2">
      <c r="B93" s="771"/>
      <c r="I93" s="934">
        <v>2468</v>
      </c>
      <c r="J93" s="989">
        <v>12</v>
      </c>
      <c r="K93" s="934" t="s">
        <v>345</v>
      </c>
      <c r="L93" s="968">
        <v>2060</v>
      </c>
      <c r="M93" s="993">
        <f>+L93*$J$2</f>
        <v>908.46</v>
      </c>
      <c r="N93" s="934">
        <v>236</v>
      </c>
      <c r="O93" s="990">
        <f>+N93+L93</f>
        <v>2296</v>
      </c>
    </row>
    <row r="94" spans="1:17" hidden="1" x14ac:dyDescent="0.2">
      <c r="A94" t="s">
        <v>2333</v>
      </c>
      <c r="B94" s="771">
        <v>44</v>
      </c>
      <c r="I94" s="934">
        <v>2468</v>
      </c>
      <c r="J94" s="989">
        <v>18</v>
      </c>
      <c r="K94" s="934" t="s">
        <v>1363</v>
      </c>
      <c r="L94" s="968">
        <f>+N94+O94</f>
        <v>733</v>
      </c>
      <c r="M94" s="993">
        <f>+L94*$J$3</f>
        <v>315.19</v>
      </c>
      <c r="N94" s="968">
        <v>524</v>
      </c>
      <c r="O94" s="968">
        <f>53+53+103</f>
        <v>209</v>
      </c>
    </row>
    <row r="95" spans="1:17" hidden="1" x14ac:dyDescent="0.2">
      <c r="A95" t="s">
        <v>293</v>
      </c>
      <c r="B95" s="771">
        <v>30</v>
      </c>
      <c r="I95" s="934">
        <v>2468</v>
      </c>
      <c r="J95" s="989">
        <v>16</v>
      </c>
      <c r="K95" s="934" t="s">
        <v>1363</v>
      </c>
      <c r="L95" s="968">
        <f>+N95+O95</f>
        <v>901</v>
      </c>
      <c r="M95" s="993">
        <f>+L95*$J$3</f>
        <v>387.43</v>
      </c>
      <c r="N95" s="968">
        <v>692</v>
      </c>
      <c r="O95" s="968">
        <f>53+53+103</f>
        <v>209</v>
      </c>
    </row>
    <row r="96" spans="1:17" hidden="1" x14ac:dyDescent="0.2">
      <c r="A96" t="s">
        <v>2335</v>
      </c>
      <c r="B96" s="771">
        <v>6</v>
      </c>
      <c r="I96" s="934">
        <v>2468</v>
      </c>
      <c r="J96" s="989">
        <v>14</v>
      </c>
      <c r="K96" s="934" t="s">
        <v>1363</v>
      </c>
      <c r="L96" s="968">
        <f>+N96+O96</f>
        <v>1195</v>
      </c>
      <c r="M96" s="993">
        <f>+L96*$J$3</f>
        <v>513.85</v>
      </c>
      <c r="N96" s="968">
        <v>986</v>
      </c>
      <c r="O96" s="968">
        <f>53+53+103</f>
        <v>209</v>
      </c>
    </row>
    <row r="97" spans="1:17" hidden="1" x14ac:dyDescent="0.2">
      <c r="A97" t="s">
        <v>150</v>
      </c>
      <c r="B97" s="771">
        <v>15</v>
      </c>
      <c r="I97" s="934">
        <v>2468</v>
      </c>
      <c r="J97" s="989">
        <v>12</v>
      </c>
      <c r="K97" s="934" t="s">
        <v>1363</v>
      </c>
      <c r="L97" s="968">
        <v>2182</v>
      </c>
      <c r="M97" s="993">
        <f>+L97*$J$3</f>
        <v>938.26</v>
      </c>
      <c r="N97" s="968"/>
      <c r="O97" s="968"/>
    </row>
    <row r="98" spans="1:17" ht="13.8" hidden="1" x14ac:dyDescent="0.25">
      <c r="A98" t="s">
        <v>151</v>
      </c>
      <c r="B98" s="771">
        <v>6</v>
      </c>
      <c r="I98" s="934">
        <v>2470</v>
      </c>
      <c r="J98" s="989">
        <v>18</v>
      </c>
      <c r="K98" s="934" t="s">
        <v>321</v>
      </c>
      <c r="L98" s="968">
        <f>+O98+P98</f>
        <v>252</v>
      </c>
      <c r="M98" s="994">
        <f>+L98*$J$1</f>
        <v>398.16</v>
      </c>
      <c r="O98" s="934">
        <v>240</v>
      </c>
      <c r="P98" s="934">
        <v>12</v>
      </c>
    </row>
    <row r="99" spans="1:17" ht="13.8" hidden="1" x14ac:dyDescent="0.25">
      <c r="A99" t="s">
        <v>2340</v>
      </c>
      <c r="B99" s="771"/>
      <c r="I99" s="934">
        <v>2470</v>
      </c>
      <c r="J99" s="989">
        <v>16</v>
      </c>
      <c r="K99" s="934" t="s">
        <v>321</v>
      </c>
      <c r="L99" s="968">
        <f>+O99+P99</f>
        <v>12</v>
      </c>
      <c r="M99" s="994">
        <f>+L99*$J$1</f>
        <v>18.96</v>
      </c>
      <c r="P99" s="934">
        <v>12</v>
      </c>
    </row>
    <row r="100" spans="1:17" ht="13.8" hidden="1" x14ac:dyDescent="0.25">
      <c r="A100" t="s">
        <v>81</v>
      </c>
      <c r="B100" s="771"/>
      <c r="I100" s="934">
        <v>2470</v>
      </c>
      <c r="J100" s="989">
        <v>14</v>
      </c>
      <c r="K100" s="934" t="s">
        <v>321</v>
      </c>
      <c r="L100" s="968">
        <f>+O100+P100</f>
        <v>351</v>
      </c>
      <c r="M100" s="994">
        <f>+L100*$J$1</f>
        <v>554.58000000000004</v>
      </c>
      <c r="O100" s="934">
        <v>339</v>
      </c>
      <c r="P100" s="934">
        <v>12</v>
      </c>
    </row>
    <row r="101" spans="1:17" ht="13.8" hidden="1" x14ac:dyDescent="0.25">
      <c r="A101" t="s">
        <v>2345</v>
      </c>
      <c r="B101" s="771"/>
      <c r="I101" s="934">
        <v>2470</v>
      </c>
      <c r="J101" s="989">
        <v>12</v>
      </c>
      <c r="K101" s="934" t="s">
        <v>321</v>
      </c>
      <c r="L101" s="968">
        <f>+O101+P101</f>
        <v>701</v>
      </c>
      <c r="M101" s="994">
        <f>+L101*$J$1</f>
        <v>1107.5800000000002</v>
      </c>
      <c r="O101" s="934">
        <f>339+350</f>
        <v>689</v>
      </c>
      <c r="P101" s="934">
        <v>12</v>
      </c>
      <c r="Q101" s="934">
        <v>350</v>
      </c>
    </row>
    <row r="102" spans="1:17" ht="13.8" hidden="1" x14ac:dyDescent="0.25">
      <c r="B102" s="771"/>
      <c r="I102" s="934">
        <v>2470</v>
      </c>
      <c r="J102" s="989">
        <v>18</v>
      </c>
      <c r="K102" s="934" t="s">
        <v>345</v>
      </c>
      <c r="L102" s="968">
        <v>1440</v>
      </c>
      <c r="M102" s="995">
        <f>+L102*$J$2</f>
        <v>635.04</v>
      </c>
    </row>
    <row r="103" spans="1:17" ht="13.8" hidden="1" x14ac:dyDescent="0.25">
      <c r="B103" s="771"/>
      <c r="I103" s="934">
        <v>2470</v>
      </c>
      <c r="J103" s="989">
        <v>16</v>
      </c>
      <c r="K103" s="934" t="s">
        <v>345</v>
      </c>
      <c r="L103" s="968">
        <v>2182</v>
      </c>
      <c r="M103" s="995">
        <f>+L103*$J$2</f>
        <v>962.26200000000006</v>
      </c>
    </row>
    <row r="104" spans="1:17" ht="13.8" hidden="1" x14ac:dyDescent="0.25">
      <c r="B104" s="771"/>
      <c r="I104" s="934">
        <v>2470</v>
      </c>
      <c r="J104" s="989">
        <v>14</v>
      </c>
      <c r="K104" s="934" t="s">
        <v>345</v>
      </c>
      <c r="L104" s="968">
        <v>1755</v>
      </c>
      <c r="M104" s="995">
        <f>+L104*$J$2</f>
        <v>773.95500000000004</v>
      </c>
      <c r="N104" s="934">
        <v>236</v>
      </c>
      <c r="O104" s="990">
        <f>+N104+L104</f>
        <v>1991</v>
      </c>
    </row>
    <row r="105" spans="1:17" ht="13.8" hidden="1" x14ac:dyDescent="0.25">
      <c r="B105" s="771"/>
      <c r="I105" s="934">
        <v>2470</v>
      </c>
      <c r="J105" s="989">
        <v>12</v>
      </c>
      <c r="K105" s="934" t="s">
        <v>345</v>
      </c>
      <c r="L105" s="968">
        <v>2699</v>
      </c>
      <c r="M105" s="995">
        <f>+L105*$J$2</f>
        <v>1190.259</v>
      </c>
      <c r="N105" s="934">
        <v>236</v>
      </c>
      <c r="O105" s="990">
        <f>+N105+L105</f>
        <v>2935</v>
      </c>
    </row>
    <row r="106" spans="1:17" ht="13.8" hidden="1" x14ac:dyDescent="0.25">
      <c r="B106" s="771"/>
      <c r="I106" s="934">
        <v>2470</v>
      </c>
      <c r="J106" s="989">
        <v>18</v>
      </c>
      <c r="K106" s="934" t="s">
        <v>1363</v>
      </c>
      <c r="L106" s="968">
        <f>+N106+O106</f>
        <v>746</v>
      </c>
      <c r="M106" s="995">
        <f>+L106*$J$3</f>
        <v>320.77999999999997</v>
      </c>
      <c r="N106" s="968">
        <v>537</v>
      </c>
      <c r="O106" s="968">
        <f>53+53+103</f>
        <v>209</v>
      </c>
    </row>
    <row r="107" spans="1:17" ht="13.8" hidden="1" x14ac:dyDescent="0.25">
      <c r="B107" s="771"/>
      <c r="I107" s="934">
        <v>2470</v>
      </c>
      <c r="J107" s="989">
        <v>16</v>
      </c>
      <c r="K107" s="934" t="s">
        <v>1363</v>
      </c>
      <c r="L107" s="968">
        <f>+N107+O107</f>
        <v>914</v>
      </c>
      <c r="M107" s="995">
        <f>+L107*$J$3</f>
        <v>393.02</v>
      </c>
      <c r="N107" s="968">
        <v>705</v>
      </c>
      <c r="O107" s="968">
        <f>53+53+103</f>
        <v>209</v>
      </c>
    </row>
    <row r="108" spans="1:17" ht="13.8" hidden="1" x14ac:dyDescent="0.25">
      <c r="B108" s="771"/>
      <c r="I108" s="934">
        <v>2470</v>
      </c>
      <c r="J108" s="989">
        <v>14</v>
      </c>
      <c r="K108" s="934" t="s">
        <v>1363</v>
      </c>
      <c r="L108" s="968">
        <f>+N108+O108</f>
        <v>1208</v>
      </c>
      <c r="M108" s="995">
        <f>+L108*$J$3</f>
        <v>519.43999999999994</v>
      </c>
      <c r="N108" s="968">
        <v>999</v>
      </c>
      <c r="O108" s="968">
        <f>53+53+103</f>
        <v>209</v>
      </c>
    </row>
    <row r="109" spans="1:17" ht="13.8" hidden="1" x14ac:dyDescent="0.25">
      <c r="A109" s="767" t="s">
        <v>2346</v>
      </c>
      <c r="B109" s="771"/>
      <c r="I109" s="934">
        <v>2470</v>
      </c>
      <c r="J109" s="989">
        <v>12</v>
      </c>
      <c r="K109" s="934" t="s">
        <v>1363</v>
      </c>
      <c r="L109" s="968">
        <v>1903</v>
      </c>
      <c r="M109" s="995">
        <f>+L109*$J$3</f>
        <v>818.29</v>
      </c>
      <c r="N109" s="968"/>
      <c r="O109" s="968"/>
    </row>
    <row r="110" spans="1:17" ht="13.8" hidden="1" x14ac:dyDescent="0.25">
      <c r="A110" t="s">
        <v>2338</v>
      </c>
      <c r="B110" s="771"/>
      <c r="I110" s="934">
        <v>2480</v>
      </c>
      <c r="J110" s="989">
        <v>18</v>
      </c>
      <c r="K110" s="934" t="s">
        <v>321</v>
      </c>
      <c r="L110" s="968">
        <f>+O110+P110</f>
        <v>321</v>
      </c>
      <c r="M110" s="994">
        <f>+L110*$J$1</f>
        <v>507.18</v>
      </c>
      <c r="O110" s="934">
        <v>309</v>
      </c>
      <c r="P110" s="934">
        <v>12</v>
      </c>
    </row>
    <row r="111" spans="1:17" ht="13.8" hidden="1" x14ac:dyDescent="0.25">
      <c r="A111" t="s">
        <v>273</v>
      </c>
      <c r="B111" s="771"/>
      <c r="I111" s="934">
        <v>2480</v>
      </c>
      <c r="J111" s="989">
        <v>16</v>
      </c>
      <c r="K111" s="934" t="s">
        <v>321</v>
      </c>
      <c r="L111" s="968">
        <f>+O111+P111</f>
        <v>12</v>
      </c>
      <c r="M111" s="994">
        <f>+L111*$J$1</f>
        <v>18.96</v>
      </c>
      <c r="P111" s="934">
        <v>12</v>
      </c>
    </row>
    <row r="112" spans="1:17" ht="13.8" hidden="1" x14ac:dyDescent="0.25">
      <c r="A112" t="s">
        <v>2339</v>
      </c>
      <c r="B112" s="771"/>
      <c r="I112" s="934">
        <v>2480</v>
      </c>
      <c r="J112" s="989">
        <v>14</v>
      </c>
      <c r="K112" s="934" t="s">
        <v>321</v>
      </c>
      <c r="L112" s="968">
        <f>+O112+P112</f>
        <v>442</v>
      </c>
      <c r="M112" s="994">
        <f>+L112*$J$1</f>
        <v>698.36</v>
      </c>
      <c r="O112" s="934">
        <v>430</v>
      </c>
      <c r="P112" s="934">
        <v>12</v>
      </c>
    </row>
    <row r="113" spans="1:17" ht="13.8" hidden="1" x14ac:dyDescent="0.25">
      <c r="A113" t="s">
        <v>2342</v>
      </c>
      <c r="B113" s="771">
        <v>12</v>
      </c>
      <c r="I113" s="934">
        <v>2480</v>
      </c>
      <c r="J113" s="989">
        <v>12</v>
      </c>
      <c r="K113" s="934" t="s">
        <v>321</v>
      </c>
      <c r="L113" s="968">
        <f>+O113+P113</f>
        <v>792</v>
      </c>
      <c r="M113" s="994">
        <f>+L113*$J$1</f>
        <v>1251.3600000000001</v>
      </c>
      <c r="O113" s="934">
        <f>430+350</f>
        <v>780</v>
      </c>
      <c r="P113" s="934">
        <v>12</v>
      </c>
      <c r="Q113" s="934">
        <v>350</v>
      </c>
    </row>
    <row r="114" spans="1:17" ht="13.8" hidden="1" x14ac:dyDescent="0.25">
      <c r="I114" s="934">
        <v>2480</v>
      </c>
      <c r="J114" s="989">
        <v>18</v>
      </c>
      <c r="K114" s="934" t="s">
        <v>345</v>
      </c>
      <c r="L114" s="968">
        <v>1220</v>
      </c>
      <c r="M114" s="995">
        <f>+L114*$J$2</f>
        <v>538.02</v>
      </c>
    </row>
    <row r="115" spans="1:17" ht="13.8" hidden="1" x14ac:dyDescent="0.25">
      <c r="I115" s="934">
        <v>2480</v>
      </c>
      <c r="J115" s="989">
        <v>16</v>
      </c>
      <c r="K115" s="934" t="s">
        <v>345</v>
      </c>
      <c r="L115" s="968">
        <v>1824</v>
      </c>
      <c r="M115" s="995">
        <f>+L115*$J$2</f>
        <v>804.38400000000001</v>
      </c>
    </row>
    <row r="116" spans="1:17" ht="13.8" hidden="1" x14ac:dyDescent="0.25">
      <c r="B116" s="771"/>
      <c r="I116" s="934">
        <v>2480</v>
      </c>
      <c r="J116" s="989">
        <v>14</v>
      </c>
      <c r="K116" s="934" t="s">
        <v>345</v>
      </c>
      <c r="L116" s="968">
        <v>1428</v>
      </c>
      <c r="M116" s="995">
        <f>+L116*$J$2</f>
        <v>629.74800000000005</v>
      </c>
      <c r="N116" s="934">
        <v>236</v>
      </c>
      <c r="O116" s="990">
        <f>+N116+L116</f>
        <v>1664</v>
      </c>
    </row>
    <row r="117" spans="1:17" ht="13.8" hidden="1" x14ac:dyDescent="0.25">
      <c r="A117" s="767" t="s">
        <v>2347</v>
      </c>
      <c r="B117" s="771"/>
      <c r="I117" s="934">
        <v>2480</v>
      </c>
      <c r="J117" s="989">
        <v>12</v>
      </c>
      <c r="K117" s="934" t="s">
        <v>345</v>
      </c>
      <c r="L117" s="968">
        <v>2164</v>
      </c>
      <c r="M117" s="995">
        <f>+L117*$J$2</f>
        <v>954.32399999999996</v>
      </c>
      <c r="N117" s="934">
        <v>236</v>
      </c>
      <c r="O117" s="990">
        <f>+N117+L117</f>
        <v>2400</v>
      </c>
    </row>
    <row r="118" spans="1:17" ht="13.8" hidden="1" x14ac:dyDescent="0.25">
      <c r="A118" t="s">
        <v>2343</v>
      </c>
      <c r="B118" s="771">
        <v>25</v>
      </c>
      <c r="I118" s="934">
        <v>2480</v>
      </c>
      <c r="J118" s="989">
        <v>18</v>
      </c>
      <c r="K118" s="934" t="s">
        <v>1363</v>
      </c>
      <c r="L118" s="968">
        <f>+N118+O118</f>
        <v>837</v>
      </c>
      <c r="M118" s="995">
        <f>+L118*$J$3</f>
        <v>359.90999999999997</v>
      </c>
      <c r="N118" s="968">
        <v>628</v>
      </c>
      <c r="O118" s="968">
        <f>53+53+103</f>
        <v>209</v>
      </c>
    </row>
    <row r="119" spans="1:17" ht="13.8" hidden="1" x14ac:dyDescent="0.25">
      <c r="A119" t="s">
        <v>2344</v>
      </c>
      <c r="B119" s="771">
        <v>37</v>
      </c>
      <c r="I119" s="934">
        <v>2480</v>
      </c>
      <c r="J119" s="989">
        <v>16</v>
      </c>
      <c r="K119" s="934" t="s">
        <v>1363</v>
      </c>
      <c r="L119" s="968">
        <f>+N119+O119</f>
        <v>1005</v>
      </c>
      <c r="M119" s="995">
        <f>+L119*$J$3</f>
        <v>432.15</v>
      </c>
      <c r="N119" s="968">
        <v>796</v>
      </c>
      <c r="O119" s="968">
        <f>53+53+103</f>
        <v>209</v>
      </c>
    </row>
    <row r="120" spans="1:17" ht="13.8" hidden="1" x14ac:dyDescent="0.25">
      <c r="B120" s="771"/>
      <c r="I120" s="934">
        <v>2480</v>
      </c>
      <c r="J120" s="989">
        <v>14</v>
      </c>
      <c r="K120" s="934" t="s">
        <v>1363</v>
      </c>
      <c r="L120" s="968">
        <f>+N120+O120</f>
        <v>1299</v>
      </c>
      <c r="M120" s="995">
        <f>+L120*$J$3</f>
        <v>558.56999999999994</v>
      </c>
      <c r="N120" s="968">
        <v>1090</v>
      </c>
      <c r="O120" s="968">
        <f>53+53+103</f>
        <v>209</v>
      </c>
    </row>
    <row r="121" spans="1:17" ht="13.8" hidden="1" x14ac:dyDescent="0.25">
      <c r="B121" s="771"/>
      <c r="I121" s="934">
        <v>2480</v>
      </c>
      <c r="J121" s="989">
        <v>12</v>
      </c>
      <c r="K121" s="934" t="s">
        <v>1363</v>
      </c>
      <c r="L121" s="968">
        <v>2403</v>
      </c>
      <c r="M121" s="995">
        <f>+L121*$J$3</f>
        <v>1033.29</v>
      </c>
      <c r="N121" s="968"/>
      <c r="O121" s="968"/>
    </row>
    <row r="122" spans="1:17" ht="13.8" hidden="1" x14ac:dyDescent="0.25">
      <c r="B122" s="771"/>
      <c r="I122" s="934">
        <v>2490</v>
      </c>
      <c r="J122" s="989">
        <v>18</v>
      </c>
      <c r="K122" s="934" t="s">
        <v>321</v>
      </c>
      <c r="L122" s="968">
        <f>+O122+P122</f>
        <v>444</v>
      </c>
      <c r="M122" s="994">
        <f>+L122*$J$1</f>
        <v>701.52</v>
      </c>
      <c r="O122" s="934">
        <v>432</v>
      </c>
      <c r="P122" s="934">
        <v>12</v>
      </c>
    </row>
    <row r="123" spans="1:17" ht="13.8" hidden="1" x14ac:dyDescent="0.25">
      <c r="B123" s="771"/>
      <c r="I123" s="934">
        <v>2490</v>
      </c>
      <c r="J123" s="989">
        <v>16</v>
      </c>
      <c r="K123" s="934" t="s">
        <v>321</v>
      </c>
      <c r="L123" s="968">
        <f>+O123+P123</f>
        <v>12</v>
      </c>
      <c r="M123" s="994">
        <f>+L123*$J$1</f>
        <v>18.96</v>
      </c>
      <c r="P123" s="934">
        <v>12</v>
      </c>
    </row>
    <row r="124" spans="1:17" ht="13.8" hidden="1" x14ac:dyDescent="0.25">
      <c r="B124" s="771"/>
      <c r="I124" s="934">
        <v>2490</v>
      </c>
      <c r="J124" s="989">
        <v>14</v>
      </c>
      <c r="K124" s="934" t="s">
        <v>321</v>
      </c>
      <c r="L124" s="968">
        <f>+O124+P124</f>
        <v>565</v>
      </c>
      <c r="M124" s="994">
        <f>+L124*$J$1</f>
        <v>892.7</v>
      </c>
      <c r="O124" s="934">
        <v>553</v>
      </c>
      <c r="P124" s="934">
        <v>12</v>
      </c>
    </row>
    <row r="125" spans="1:17" ht="13.8" hidden="1" x14ac:dyDescent="0.25">
      <c r="B125" s="771"/>
      <c r="I125" s="934">
        <v>2490</v>
      </c>
      <c r="J125" s="989">
        <v>12</v>
      </c>
      <c r="K125" s="934" t="s">
        <v>321</v>
      </c>
      <c r="L125" s="968">
        <f>+O125+P125</f>
        <v>915</v>
      </c>
      <c r="M125" s="994">
        <f>+L125*$J$1</f>
        <v>1445.7</v>
      </c>
      <c r="O125" s="934">
        <f>553+350</f>
        <v>903</v>
      </c>
      <c r="P125" s="934">
        <v>12</v>
      </c>
      <c r="Q125" s="934">
        <v>350</v>
      </c>
    </row>
    <row r="126" spans="1:17" ht="13.8" hidden="1" x14ac:dyDescent="0.25">
      <c r="A126" s="538" t="s">
        <v>2348</v>
      </c>
      <c r="I126" s="934">
        <v>2490</v>
      </c>
      <c r="J126" s="989">
        <v>18</v>
      </c>
      <c r="K126" s="934" t="s">
        <v>345</v>
      </c>
      <c r="L126" s="968">
        <v>1492</v>
      </c>
      <c r="M126" s="995">
        <f>+L126*$J$2</f>
        <v>657.97199999999998</v>
      </c>
    </row>
    <row r="127" spans="1:17" ht="13.8" hidden="1" x14ac:dyDescent="0.25">
      <c r="B127" s="631"/>
      <c r="I127" s="934">
        <v>2490</v>
      </c>
      <c r="J127" s="989">
        <v>16</v>
      </c>
      <c r="K127" s="934" t="s">
        <v>345</v>
      </c>
      <c r="L127" s="968">
        <v>2266</v>
      </c>
      <c r="M127" s="995">
        <f>+L127*$J$2</f>
        <v>999.30600000000004</v>
      </c>
    </row>
    <row r="128" spans="1:17" ht="13.8" hidden="1" x14ac:dyDescent="0.25">
      <c r="B128" s="631"/>
      <c r="I128" s="934">
        <v>2490</v>
      </c>
      <c r="J128" s="989">
        <v>14</v>
      </c>
      <c r="K128" s="934" t="s">
        <v>345</v>
      </c>
      <c r="L128" s="968">
        <v>1647</v>
      </c>
      <c r="M128" s="995">
        <f>+L128*$J$2</f>
        <v>726.327</v>
      </c>
      <c r="N128" s="934">
        <v>236</v>
      </c>
      <c r="O128" s="990">
        <f>+N128+L128</f>
        <v>1883</v>
      </c>
    </row>
    <row r="129" spans="1:17" ht="13.8" hidden="1" x14ac:dyDescent="0.25">
      <c r="A129" s="3978" t="s">
        <v>2349</v>
      </c>
      <c r="B129" s="3978"/>
      <c r="I129" s="934">
        <v>2490</v>
      </c>
      <c r="J129" s="989">
        <v>12</v>
      </c>
      <c r="K129" s="934" t="s">
        <v>345</v>
      </c>
      <c r="L129" s="968">
        <v>2516</v>
      </c>
      <c r="M129" s="995">
        <f>+L129*$J$2</f>
        <v>1109.556</v>
      </c>
      <c r="N129" s="934">
        <v>236</v>
      </c>
      <c r="O129" s="990">
        <f>+N129+L129</f>
        <v>2752</v>
      </c>
    </row>
    <row r="130" spans="1:17" ht="13.8" hidden="1" x14ac:dyDescent="0.25">
      <c r="A130" s="3972" t="s">
        <v>25</v>
      </c>
      <c r="B130" s="3972"/>
      <c r="I130" s="934">
        <v>2490</v>
      </c>
      <c r="J130" s="989">
        <v>18</v>
      </c>
      <c r="K130" s="934" t="s">
        <v>1363</v>
      </c>
      <c r="L130" s="968">
        <v>1789</v>
      </c>
      <c r="M130" s="995">
        <f>+L130*$J$3</f>
        <v>769.27</v>
      </c>
      <c r="N130" s="968"/>
      <c r="O130" s="968"/>
    </row>
    <row r="131" spans="1:17" ht="13.8" hidden="1" x14ac:dyDescent="0.25">
      <c r="A131" s="772" t="s">
        <v>2324</v>
      </c>
      <c r="B131" s="773"/>
      <c r="I131" s="934">
        <v>2490</v>
      </c>
      <c r="J131" s="989">
        <v>16</v>
      </c>
      <c r="K131" s="934" t="s">
        <v>1363</v>
      </c>
      <c r="L131" s="968">
        <v>2754</v>
      </c>
      <c r="M131" s="995">
        <f>+L131*$J$3</f>
        <v>1184.22</v>
      </c>
      <c r="N131" s="968"/>
      <c r="O131" s="968"/>
    </row>
    <row r="132" spans="1:17" ht="13.8" hidden="1" x14ac:dyDescent="0.25">
      <c r="A132" t="s">
        <v>2325</v>
      </c>
      <c r="B132" s="768">
        <v>12</v>
      </c>
      <c r="I132" s="934">
        <v>2490</v>
      </c>
      <c r="J132" s="989">
        <v>14</v>
      </c>
      <c r="K132" s="934" t="s">
        <v>1363</v>
      </c>
      <c r="L132" s="968">
        <v>1789</v>
      </c>
      <c r="M132" s="995">
        <f>+L132*$J$3</f>
        <v>769.27</v>
      </c>
      <c r="N132" s="968"/>
      <c r="O132" s="968"/>
    </row>
    <row r="133" spans="1:17" ht="13.8" hidden="1" x14ac:dyDescent="0.25">
      <c r="A133" t="s">
        <v>274</v>
      </c>
      <c r="B133" s="768">
        <v>0</v>
      </c>
      <c r="I133" s="934">
        <v>2490</v>
      </c>
      <c r="J133" s="989">
        <v>12</v>
      </c>
      <c r="K133" s="934" t="s">
        <v>1363</v>
      </c>
      <c r="L133" s="968">
        <v>2754</v>
      </c>
      <c r="M133" s="995">
        <f>+L133*$J$3</f>
        <v>1184.22</v>
      </c>
      <c r="N133" s="968"/>
      <c r="O133" s="968"/>
    </row>
    <row r="134" spans="1:17" ht="13.8" hidden="1" x14ac:dyDescent="0.25">
      <c r="A134" t="s">
        <v>2326</v>
      </c>
      <c r="B134" s="768">
        <v>0</v>
      </c>
      <c r="I134" s="934">
        <v>2670</v>
      </c>
      <c r="J134" s="989">
        <v>18</v>
      </c>
      <c r="K134" s="934" t="s">
        <v>321</v>
      </c>
      <c r="L134" s="968">
        <f>+O134+P134</f>
        <v>252</v>
      </c>
      <c r="M134" s="994">
        <f>+L134*$J$1</f>
        <v>398.16</v>
      </c>
      <c r="O134" s="934">
        <v>240</v>
      </c>
      <c r="P134" s="934">
        <v>12</v>
      </c>
    </row>
    <row r="135" spans="1:17" ht="13.8" hidden="1" x14ac:dyDescent="0.25">
      <c r="A135" t="s">
        <v>1270</v>
      </c>
      <c r="B135" s="771">
        <v>7</v>
      </c>
      <c r="I135" s="934">
        <v>2670</v>
      </c>
      <c r="J135" s="989">
        <v>16</v>
      </c>
      <c r="K135" s="934" t="s">
        <v>321</v>
      </c>
      <c r="L135" s="968">
        <f>+O135+P135</f>
        <v>12</v>
      </c>
      <c r="M135" s="994">
        <f>+L135*$J$1</f>
        <v>18.96</v>
      </c>
      <c r="P135" s="934">
        <v>12</v>
      </c>
    </row>
    <row r="136" spans="1:17" ht="13.8" hidden="1" x14ac:dyDescent="0.25">
      <c r="A136" t="s">
        <v>2327</v>
      </c>
      <c r="B136" s="771">
        <v>25</v>
      </c>
      <c r="I136" s="934">
        <v>2670</v>
      </c>
      <c r="J136" s="989">
        <v>14</v>
      </c>
      <c r="K136" s="934" t="s">
        <v>321</v>
      </c>
      <c r="L136" s="968">
        <f>+O136+P136</f>
        <v>351</v>
      </c>
      <c r="M136" s="994">
        <f>+L136*$J$1</f>
        <v>554.58000000000004</v>
      </c>
      <c r="O136" s="934">
        <v>339</v>
      </c>
      <c r="P136" s="934">
        <v>12</v>
      </c>
    </row>
    <row r="137" spans="1:17" ht="13.8" hidden="1" x14ac:dyDescent="0.25">
      <c r="A137" t="s">
        <v>138</v>
      </c>
      <c r="B137" s="771">
        <v>32</v>
      </c>
      <c r="I137" s="934">
        <v>2670</v>
      </c>
      <c r="J137" s="989">
        <v>12</v>
      </c>
      <c r="K137" s="934" t="s">
        <v>321</v>
      </c>
      <c r="L137" s="968">
        <f>+O137+P137+Q137</f>
        <v>701</v>
      </c>
      <c r="M137" s="994">
        <f>+L137*$J$1</f>
        <v>1107.5800000000002</v>
      </c>
      <c r="O137" s="934">
        <v>339</v>
      </c>
      <c r="P137" s="934">
        <v>12</v>
      </c>
      <c r="Q137" s="934">
        <v>350</v>
      </c>
    </row>
    <row r="138" spans="1:17" ht="13.8" hidden="1" x14ac:dyDescent="0.25">
      <c r="A138" t="s">
        <v>2328</v>
      </c>
      <c r="B138" s="771">
        <v>38</v>
      </c>
      <c r="I138" s="934">
        <v>2670</v>
      </c>
      <c r="J138" s="989">
        <v>18</v>
      </c>
      <c r="K138" s="934" t="s">
        <v>345</v>
      </c>
      <c r="L138" s="968">
        <v>1957</v>
      </c>
      <c r="M138" s="995">
        <f>+L138*$J$2</f>
        <v>863.03700000000003</v>
      </c>
    </row>
    <row r="139" spans="1:17" ht="13.8" hidden="1" x14ac:dyDescent="0.25">
      <c r="A139" s="767" t="s">
        <v>2329</v>
      </c>
      <c r="B139" s="771"/>
      <c r="I139" s="934">
        <v>2670</v>
      </c>
      <c r="J139" s="989">
        <v>16</v>
      </c>
      <c r="K139" s="934" t="s">
        <v>345</v>
      </c>
      <c r="L139" s="968">
        <v>3022</v>
      </c>
      <c r="M139" s="995">
        <f>+L139*$J$2</f>
        <v>1332.702</v>
      </c>
    </row>
    <row r="140" spans="1:17" ht="13.8" hidden="1" x14ac:dyDescent="0.25">
      <c r="A140" t="s">
        <v>2330</v>
      </c>
      <c r="B140" s="771"/>
      <c r="I140" s="934">
        <v>2670</v>
      </c>
      <c r="J140" s="989">
        <v>14</v>
      </c>
      <c r="K140" s="934" t="s">
        <v>345</v>
      </c>
      <c r="L140" s="968">
        <v>1957</v>
      </c>
      <c r="M140" s="995">
        <f>+L140*$J$2</f>
        <v>863.03700000000003</v>
      </c>
      <c r="N140" s="934">
        <v>236</v>
      </c>
      <c r="O140" s="990">
        <f>+N140+L140</f>
        <v>2193</v>
      </c>
    </row>
    <row r="141" spans="1:17" ht="13.8" hidden="1" x14ac:dyDescent="0.25">
      <c r="A141" t="s">
        <v>2332</v>
      </c>
      <c r="B141" s="771"/>
      <c r="I141" s="934">
        <v>2670</v>
      </c>
      <c r="J141" s="989">
        <v>12</v>
      </c>
      <c r="K141" s="934" t="s">
        <v>345</v>
      </c>
      <c r="L141" s="968">
        <v>3022</v>
      </c>
      <c r="M141" s="995">
        <f>+L141*$J$2</f>
        <v>1332.702</v>
      </c>
      <c r="N141" s="934">
        <v>236</v>
      </c>
      <c r="O141" s="990">
        <f>+N141+L141</f>
        <v>3258</v>
      </c>
    </row>
    <row r="142" spans="1:17" ht="13.8" hidden="1" x14ac:dyDescent="0.25">
      <c r="A142" t="s">
        <v>2334</v>
      </c>
      <c r="B142" s="771"/>
      <c r="I142" s="934">
        <v>2670</v>
      </c>
      <c r="J142" s="989">
        <v>18</v>
      </c>
      <c r="K142" s="934" t="s">
        <v>1363</v>
      </c>
      <c r="L142" s="968">
        <f>+N142+O142</f>
        <v>776</v>
      </c>
      <c r="M142" s="995">
        <f>+L142*$J$3</f>
        <v>333.68</v>
      </c>
      <c r="N142" s="968">
        <v>567</v>
      </c>
      <c r="O142" s="968">
        <f>53+53+103</f>
        <v>209</v>
      </c>
    </row>
    <row r="143" spans="1:17" ht="13.8" hidden="1" x14ac:dyDescent="0.25">
      <c r="A143" t="s">
        <v>2336</v>
      </c>
      <c r="B143" s="771"/>
      <c r="I143" s="934">
        <v>2670</v>
      </c>
      <c r="J143" s="989">
        <v>16</v>
      </c>
      <c r="K143" s="934" t="s">
        <v>1363</v>
      </c>
      <c r="L143" s="968">
        <f>+N143+O143</f>
        <v>944</v>
      </c>
      <c r="M143" s="995">
        <f>+L143*$J$3</f>
        <v>405.92</v>
      </c>
      <c r="N143" s="968">
        <v>735</v>
      </c>
      <c r="O143" s="968">
        <f>53+53+103</f>
        <v>209</v>
      </c>
    </row>
    <row r="144" spans="1:17" ht="13.8" hidden="1" x14ac:dyDescent="0.25">
      <c r="A144" t="s">
        <v>2337</v>
      </c>
      <c r="B144" s="771"/>
      <c r="I144" s="934">
        <v>2670</v>
      </c>
      <c r="J144" s="989">
        <v>14</v>
      </c>
      <c r="K144" s="934" t="s">
        <v>1363</v>
      </c>
      <c r="L144" s="968">
        <f>+N144+O144</f>
        <v>1238</v>
      </c>
      <c r="M144" s="995">
        <f>+L144*$J$3</f>
        <v>532.34</v>
      </c>
      <c r="N144" s="968">
        <v>1029</v>
      </c>
      <c r="O144" s="968">
        <f>53+53+103</f>
        <v>209</v>
      </c>
    </row>
    <row r="145" spans="1:17" ht="13.8" hidden="1" x14ac:dyDescent="0.25">
      <c r="B145" s="771"/>
      <c r="I145" s="934">
        <v>2670</v>
      </c>
      <c r="J145" s="989">
        <v>12</v>
      </c>
      <c r="K145" s="934" t="s">
        <v>1363</v>
      </c>
      <c r="L145" s="968">
        <v>3363</v>
      </c>
      <c r="M145" s="995">
        <f>+L145*$J$3</f>
        <v>1446.09</v>
      </c>
      <c r="N145" s="968"/>
      <c r="O145" s="968"/>
    </row>
    <row r="146" spans="1:17" ht="13.8" hidden="1" x14ac:dyDescent="0.25">
      <c r="B146" s="771"/>
      <c r="I146" s="934">
        <v>2680</v>
      </c>
      <c r="J146" s="989">
        <v>18</v>
      </c>
      <c r="K146" s="934" t="s">
        <v>321</v>
      </c>
      <c r="L146" s="968">
        <f>+O146+P146</f>
        <v>321</v>
      </c>
      <c r="M146" s="994">
        <f>+L146*$J$1</f>
        <v>507.18</v>
      </c>
      <c r="O146" s="934">
        <v>309</v>
      </c>
      <c r="P146" s="934">
        <v>12</v>
      </c>
    </row>
    <row r="147" spans="1:17" ht="13.8" hidden="1" x14ac:dyDescent="0.25">
      <c r="B147" s="771"/>
      <c r="I147" s="934">
        <v>2680</v>
      </c>
      <c r="J147" s="989">
        <v>16</v>
      </c>
      <c r="K147" s="934" t="s">
        <v>321</v>
      </c>
      <c r="L147" s="968">
        <f>+O147+P147</f>
        <v>12</v>
      </c>
      <c r="M147" s="994">
        <f>+L147*$J$1</f>
        <v>18.96</v>
      </c>
      <c r="P147" s="934">
        <v>12</v>
      </c>
    </row>
    <row r="148" spans="1:17" ht="13.8" hidden="1" x14ac:dyDescent="0.25">
      <c r="B148" s="771"/>
      <c r="I148" s="934">
        <v>2680</v>
      </c>
      <c r="J148" s="989">
        <v>14</v>
      </c>
      <c r="K148" s="934" t="s">
        <v>321</v>
      </c>
      <c r="L148" s="968">
        <f>+O148+P148</f>
        <v>442</v>
      </c>
      <c r="M148" s="994">
        <f>+L148*$J$1</f>
        <v>698.36</v>
      </c>
      <c r="O148" s="934">
        <v>430</v>
      </c>
      <c r="P148" s="934">
        <v>12</v>
      </c>
    </row>
    <row r="149" spans="1:17" ht="13.8" hidden="1" x14ac:dyDescent="0.25">
      <c r="A149" s="767" t="s">
        <v>2341</v>
      </c>
      <c r="B149" s="771"/>
      <c r="I149" s="934">
        <v>2680</v>
      </c>
      <c r="J149" s="989">
        <v>12</v>
      </c>
      <c r="K149" s="934" t="s">
        <v>321</v>
      </c>
      <c r="L149" s="968">
        <f>+O149+P149+Q149</f>
        <v>792</v>
      </c>
      <c r="M149" s="994">
        <f>+L149*$J$1</f>
        <v>1251.3600000000001</v>
      </c>
      <c r="O149" s="934">
        <v>430</v>
      </c>
      <c r="P149" s="934">
        <v>12</v>
      </c>
      <c r="Q149" s="934">
        <v>350</v>
      </c>
    </row>
    <row r="150" spans="1:17" ht="13.8" hidden="1" x14ac:dyDescent="0.25">
      <c r="B150" s="771"/>
      <c r="I150" s="934">
        <v>2680</v>
      </c>
      <c r="J150" s="989">
        <v>18</v>
      </c>
      <c r="K150" s="934" t="s">
        <v>345</v>
      </c>
      <c r="L150" s="968">
        <v>2217</v>
      </c>
      <c r="M150" s="995">
        <f>+L150*$J$2</f>
        <v>977.697</v>
      </c>
    </row>
    <row r="151" spans="1:17" ht="13.8" hidden="1" x14ac:dyDescent="0.25">
      <c r="A151" t="s">
        <v>2333</v>
      </c>
      <c r="B151" s="771">
        <v>44</v>
      </c>
      <c r="I151" s="934">
        <v>2680</v>
      </c>
      <c r="J151" s="989">
        <v>16</v>
      </c>
      <c r="K151" s="934" t="s">
        <v>345</v>
      </c>
      <c r="L151" s="968">
        <v>3455</v>
      </c>
      <c r="M151" s="995">
        <f>+L151*$J$2</f>
        <v>1523.655</v>
      </c>
    </row>
    <row r="152" spans="1:17" ht="13.8" hidden="1" x14ac:dyDescent="0.25">
      <c r="A152" t="s">
        <v>293</v>
      </c>
      <c r="B152" s="771">
        <v>30</v>
      </c>
      <c r="I152" s="934">
        <v>2680</v>
      </c>
      <c r="J152" s="989">
        <v>14</v>
      </c>
      <c r="K152" s="934" t="s">
        <v>345</v>
      </c>
      <c r="L152" s="968">
        <v>1970</v>
      </c>
      <c r="M152" s="995">
        <f>+L152*$J$2</f>
        <v>868.77</v>
      </c>
      <c r="N152" s="934">
        <v>236</v>
      </c>
      <c r="O152" s="990">
        <f>+N152+L152</f>
        <v>2206</v>
      </c>
    </row>
    <row r="153" spans="1:17" ht="13.8" hidden="1" x14ac:dyDescent="0.25">
      <c r="A153" t="s">
        <v>2335</v>
      </c>
      <c r="B153" s="771">
        <v>6</v>
      </c>
      <c r="I153" s="934">
        <v>2680</v>
      </c>
      <c r="J153" s="989">
        <v>12</v>
      </c>
      <c r="K153" s="934" t="s">
        <v>345</v>
      </c>
      <c r="L153" s="968">
        <v>3044</v>
      </c>
      <c r="M153" s="995">
        <f>+L153*$J$2</f>
        <v>1342.404</v>
      </c>
      <c r="N153" s="934">
        <v>236</v>
      </c>
      <c r="O153" s="990">
        <f>+N153+L153</f>
        <v>3280</v>
      </c>
    </row>
    <row r="154" spans="1:17" ht="13.8" hidden="1" x14ac:dyDescent="0.25">
      <c r="A154" t="s">
        <v>150</v>
      </c>
      <c r="B154" s="771">
        <v>15</v>
      </c>
      <c r="I154" s="934">
        <v>2680</v>
      </c>
      <c r="J154" s="989">
        <v>18</v>
      </c>
      <c r="K154" s="934" t="s">
        <v>1363</v>
      </c>
      <c r="L154" s="968">
        <f>+N154+O154</f>
        <v>868</v>
      </c>
      <c r="M154" s="995">
        <f>+L154*$J$3</f>
        <v>373.24</v>
      </c>
      <c r="N154" s="968">
        <v>659</v>
      </c>
      <c r="O154" s="968">
        <f>53+53+103</f>
        <v>209</v>
      </c>
    </row>
    <row r="155" spans="1:17" ht="13.8" hidden="1" x14ac:dyDescent="0.25">
      <c r="A155" t="s">
        <v>151</v>
      </c>
      <c r="B155" s="771">
        <v>6</v>
      </c>
      <c r="I155" s="934">
        <v>2680</v>
      </c>
      <c r="J155" s="989">
        <v>16</v>
      </c>
      <c r="K155" s="934" t="s">
        <v>1363</v>
      </c>
      <c r="L155" s="968">
        <f>+N155+O155</f>
        <v>1036</v>
      </c>
      <c r="M155" s="995">
        <f>+L155*$J$3</f>
        <v>445.48</v>
      </c>
      <c r="N155" s="968">
        <v>827</v>
      </c>
      <c r="O155" s="968">
        <f>53+53+103</f>
        <v>209</v>
      </c>
    </row>
    <row r="156" spans="1:17" ht="13.8" hidden="1" x14ac:dyDescent="0.25">
      <c r="A156" t="s">
        <v>2340</v>
      </c>
      <c r="B156" s="771"/>
      <c r="I156" s="934">
        <v>2680</v>
      </c>
      <c r="J156" s="989">
        <v>14</v>
      </c>
      <c r="K156" s="934" t="s">
        <v>1363</v>
      </c>
      <c r="L156" s="968">
        <f>+N156+O156</f>
        <v>1330</v>
      </c>
      <c r="M156" s="995">
        <f>+L156*$J$3</f>
        <v>571.9</v>
      </c>
      <c r="N156" s="968">
        <v>1121</v>
      </c>
      <c r="O156" s="968">
        <f>53+53+103</f>
        <v>209</v>
      </c>
    </row>
    <row r="157" spans="1:17" ht="13.8" hidden="1" x14ac:dyDescent="0.25">
      <c r="A157" t="s">
        <v>81</v>
      </c>
      <c r="B157" s="771"/>
      <c r="I157" s="934">
        <v>2680</v>
      </c>
      <c r="J157" s="989">
        <v>12</v>
      </c>
      <c r="K157" s="934" t="s">
        <v>1363</v>
      </c>
      <c r="L157" s="968">
        <v>3363</v>
      </c>
      <c r="M157" s="995">
        <f>+L157*$J$3</f>
        <v>1446.09</v>
      </c>
      <c r="N157" s="968"/>
      <c r="O157" s="968"/>
    </row>
    <row r="158" spans="1:17" ht="13.8" hidden="1" x14ac:dyDescent="0.25">
      <c r="A158" t="s">
        <v>2345</v>
      </c>
      <c r="B158" s="771"/>
      <c r="I158" s="934">
        <v>2690</v>
      </c>
      <c r="J158" s="989">
        <v>18</v>
      </c>
      <c r="K158" s="934" t="s">
        <v>321</v>
      </c>
      <c r="L158" s="968">
        <f>+O158+P158</f>
        <v>444</v>
      </c>
      <c r="M158" s="994">
        <f>+L158*$J$1</f>
        <v>701.52</v>
      </c>
      <c r="O158" s="934">
        <v>432</v>
      </c>
      <c r="P158" s="934">
        <v>12</v>
      </c>
    </row>
    <row r="159" spans="1:17" ht="13.8" hidden="1" x14ac:dyDescent="0.25">
      <c r="B159" s="771"/>
      <c r="I159" s="934">
        <v>2690</v>
      </c>
      <c r="J159" s="989">
        <v>16</v>
      </c>
      <c r="K159" s="934" t="s">
        <v>321</v>
      </c>
      <c r="L159" s="968">
        <f>+O159+P159</f>
        <v>12</v>
      </c>
      <c r="M159" s="994">
        <f>+L159*$J$1</f>
        <v>18.96</v>
      </c>
      <c r="P159" s="934">
        <v>12</v>
      </c>
    </row>
    <row r="160" spans="1:17" ht="13.8" hidden="1" x14ac:dyDescent="0.25">
      <c r="B160" s="771"/>
      <c r="I160" s="934">
        <v>2690</v>
      </c>
      <c r="J160" s="989">
        <v>14</v>
      </c>
      <c r="K160" s="934" t="s">
        <v>321</v>
      </c>
      <c r="L160" s="968">
        <f>+O160+P160</f>
        <v>335</v>
      </c>
      <c r="M160" s="994">
        <f>+L160*$J$1</f>
        <v>529.30000000000007</v>
      </c>
      <c r="O160" s="934">
        <v>323</v>
      </c>
      <c r="P160" s="934">
        <v>12</v>
      </c>
    </row>
    <row r="161" spans="1:17" ht="13.8" hidden="1" x14ac:dyDescent="0.25">
      <c r="B161" s="771"/>
      <c r="I161" s="934">
        <v>2690</v>
      </c>
      <c r="J161" s="989">
        <v>12</v>
      </c>
      <c r="K161" s="934" t="s">
        <v>321</v>
      </c>
      <c r="L161" s="968">
        <f>+O161+P161+Q161</f>
        <v>915</v>
      </c>
      <c r="M161" s="994">
        <f>+L161*$J$1</f>
        <v>1445.7</v>
      </c>
      <c r="O161" s="934">
        <v>553</v>
      </c>
      <c r="P161" s="934">
        <v>12</v>
      </c>
      <c r="Q161" s="934">
        <v>350</v>
      </c>
    </row>
    <row r="162" spans="1:17" ht="13.8" hidden="1" x14ac:dyDescent="0.25">
      <c r="A162" s="767" t="s">
        <v>2346</v>
      </c>
      <c r="B162" s="771"/>
      <c r="I162" s="934">
        <v>2690</v>
      </c>
      <c r="J162" s="989">
        <v>18</v>
      </c>
      <c r="K162" s="934" t="s">
        <v>345</v>
      </c>
      <c r="L162" s="968">
        <v>1086</v>
      </c>
      <c r="M162" s="995">
        <f>+L162*$J$2</f>
        <v>478.92599999999999</v>
      </c>
    </row>
    <row r="163" spans="1:17" ht="13.8" hidden="1" x14ac:dyDescent="0.25">
      <c r="A163" t="s">
        <v>2338</v>
      </c>
      <c r="B163" s="771"/>
      <c r="I163" s="934">
        <v>2690</v>
      </c>
      <c r="J163" s="989">
        <v>16</v>
      </c>
      <c r="K163" s="934" t="s">
        <v>345</v>
      </c>
      <c r="L163" s="968">
        <v>1284</v>
      </c>
      <c r="M163" s="995">
        <f>+L163*$J$2</f>
        <v>566.24400000000003</v>
      </c>
    </row>
    <row r="164" spans="1:17" ht="13.8" hidden="1" x14ac:dyDescent="0.25">
      <c r="A164" t="s">
        <v>273</v>
      </c>
      <c r="B164" s="771"/>
      <c r="I164" s="934">
        <v>2690</v>
      </c>
      <c r="J164" s="989">
        <v>14</v>
      </c>
      <c r="K164" s="934" t="s">
        <v>345</v>
      </c>
      <c r="L164" s="968">
        <v>1519</v>
      </c>
      <c r="M164" s="995">
        <f>+L164*$J$2</f>
        <v>669.87900000000002</v>
      </c>
      <c r="N164" s="934">
        <v>236</v>
      </c>
      <c r="O164" s="990">
        <f>+N164+L164</f>
        <v>1755</v>
      </c>
    </row>
    <row r="165" spans="1:17" ht="13.8" hidden="1" x14ac:dyDescent="0.25">
      <c r="A165" t="s">
        <v>2350</v>
      </c>
      <c r="B165" s="771"/>
      <c r="I165" s="934">
        <v>2690</v>
      </c>
      <c r="J165" s="989">
        <v>12</v>
      </c>
      <c r="K165" s="934" t="s">
        <v>345</v>
      </c>
      <c r="L165" s="968">
        <v>2463</v>
      </c>
      <c r="M165" s="995">
        <f>+L165*$J$2</f>
        <v>1086.183</v>
      </c>
      <c r="N165" s="934">
        <v>236</v>
      </c>
      <c r="O165" s="990">
        <f>+N165+L165</f>
        <v>2699</v>
      </c>
    </row>
    <row r="166" spans="1:17" ht="13.8" hidden="1" x14ac:dyDescent="0.25">
      <c r="A166" t="s">
        <v>2339</v>
      </c>
      <c r="B166" s="771"/>
      <c r="I166" s="934">
        <v>2690</v>
      </c>
      <c r="J166" s="989">
        <v>18</v>
      </c>
      <c r="K166" s="934" t="s">
        <v>1363</v>
      </c>
      <c r="M166" s="995">
        <f>+L166*$J$3</f>
        <v>0</v>
      </c>
      <c r="N166" s="968"/>
      <c r="O166" s="968"/>
    </row>
    <row r="167" spans="1:17" ht="13.8" hidden="1" x14ac:dyDescent="0.25">
      <c r="A167" t="s">
        <v>2342</v>
      </c>
      <c r="B167" s="771">
        <v>12</v>
      </c>
      <c r="I167" s="934">
        <v>2690</v>
      </c>
      <c r="J167" s="989">
        <v>16</v>
      </c>
      <c r="K167" s="934" t="s">
        <v>1363</v>
      </c>
      <c r="M167" s="995">
        <f>+L167*$J$3</f>
        <v>0</v>
      </c>
      <c r="N167" s="968"/>
      <c r="O167" s="968"/>
    </row>
    <row r="168" spans="1:17" ht="13.8" hidden="1" x14ac:dyDescent="0.25">
      <c r="I168" s="934">
        <v>2690</v>
      </c>
      <c r="J168" s="989">
        <v>14</v>
      </c>
      <c r="K168" s="934" t="s">
        <v>1363</v>
      </c>
      <c r="M168" s="995">
        <f>+L168*$J$3</f>
        <v>0</v>
      </c>
      <c r="N168" s="968"/>
      <c r="O168" s="968"/>
    </row>
    <row r="169" spans="1:17" ht="13.8" hidden="1" x14ac:dyDescent="0.25">
      <c r="I169" s="934">
        <v>2690</v>
      </c>
      <c r="J169" s="989">
        <v>12</v>
      </c>
      <c r="K169" s="934" t="s">
        <v>1363</v>
      </c>
      <c r="M169" s="995">
        <f>+L169*$J$3</f>
        <v>0</v>
      </c>
      <c r="N169" s="968"/>
      <c r="O169" s="968"/>
    </row>
    <row r="170" spans="1:17" ht="13.8" hidden="1" x14ac:dyDescent="0.25">
      <c r="I170" s="934">
        <v>2868</v>
      </c>
      <c r="J170" s="989">
        <v>18</v>
      </c>
      <c r="K170" s="934" t="s">
        <v>321</v>
      </c>
      <c r="L170" s="968">
        <f>+O170+P170</f>
        <v>241</v>
      </c>
      <c r="M170" s="994">
        <f>+L170*$J$1</f>
        <v>380.78000000000003</v>
      </c>
      <c r="O170" s="934">
        <v>229</v>
      </c>
      <c r="P170" s="934">
        <v>12</v>
      </c>
    </row>
    <row r="171" spans="1:17" ht="13.8" hidden="1" x14ac:dyDescent="0.25">
      <c r="A171" s="767" t="s">
        <v>2347</v>
      </c>
      <c r="I171" s="934">
        <v>2868</v>
      </c>
      <c r="J171" s="989">
        <v>16</v>
      </c>
      <c r="K171" s="934" t="s">
        <v>321</v>
      </c>
      <c r="L171" s="968">
        <f>+O171+P171</f>
        <v>12</v>
      </c>
      <c r="M171" s="994">
        <f>+L171*$J$1</f>
        <v>18.96</v>
      </c>
      <c r="P171" s="934">
        <v>12</v>
      </c>
    </row>
    <row r="172" spans="1:17" ht="13.8" hidden="1" x14ac:dyDescent="0.25">
      <c r="I172" s="934">
        <v>2868</v>
      </c>
      <c r="J172" s="989">
        <v>14</v>
      </c>
      <c r="K172" s="934" t="s">
        <v>321</v>
      </c>
      <c r="L172" s="968">
        <f>+O172+P172</f>
        <v>335</v>
      </c>
      <c r="M172" s="994">
        <f>+L172*$J$1</f>
        <v>529.30000000000007</v>
      </c>
      <c r="O172" s="934">
        <v>323</v>
      </c>
      <c r="P172" s="934">
        <v>12</v>
      </c>
    </row>
    <row r="173" spans="1:17" ht="13.8" hidden="1" x14ac:dyDescent="0.25">
      <c r="I173" s="934">
        <v>2868</v>
      </c>
      <c r="J173" s="989">
        <v>12</v>
      </c>
      <c r="K173" s="934" t="s">
        <v>321</v>
      </c>
      <c r="L173" s="968">
        <f>+O173+P173+Q173</f>
        <v>685</v>
      </c>
      <c r="M173" s="994">
        <f>+L173*$J$1</f>
        <v>1082.3</v>
      </c>
      <c r="O173" s="934">
        <v>323</v>
      </c>
      <c r="P173" s="934">
        <v>12</v>
      </c>
      <c r="Q173" s="934">
        <v>350</v>
      </c>
    </row>
    <row r="174" spans="1:17" ht="13.8" hidden="1" x14ac:dyDescent="0.25">
      <c r="I174" s="934">
        <v>2868</v>
      </c>
      <c r="J174" s="989">
        <v>18</v>
      </c>
      <c r="K174" s="934" t="s">
        <v>345</v>
      </c>
      <c r="L174" s="968">
        <v>763</v>
      </c>
      <c r="M174" s="995">
        <f>+L174*$J$2</f>
        <v>336.483</v>
      </c>
    </row>
    <row r="175" spans="1:17" ht="13.8" hidden="1" x14ac:dyDescent="0.25">
      <c r="A175" s="79" t="s">
        <v>2348</v>
      </c>
      <c r="I175" s="934">
        <v>2868</v>
      </c>
      <c r="J175" s="989">
        <v>16</v>
      </c>
      <c r="K175" s="934" t="s">
        <v>345</v>
      </c>
      <c r="L175" s="968">
        <v>889</v>
      </c>
      <c r="M175" s="995">
        <f>+L175*$J$2</f>
        <v>392.04899999999998</v>
      </c>
    </row>
    <row r="176" spans="1:17" ht="13.8" hidden="1" x14ac:dyDescent="0.25">
      <c r="I176" s="934">
        <v>2868</v>
      </c>
      <c r="J176" s="989">
        <v>14</v>
      </c>
      <c r="K176" s="934" t="s">
        <v>345</v>
      </c>
      <c r="L176" s="968">
        <v>984</v>
      </c>
      <c r="M176" s="995">
        <f>+L176*$J$2</f>
        <v>433.94400000000002</v>
      </c>
      <c r="N176" s="934">
        <v>236</v>
      </c>
      <c r="O176" s="990">
        <f>+N176+L176</f>
        <v>1220</v>
      </c>
    </row>
    <row r="177" spans="1:17" ht="13.8" hidden="1" x14ac:dyDescent="0.25">
      <c r="I177" s="934">
        <v>2868</v>
      </c>
      <c r="J177" s="989">
        <v>12</v>
      </c>
      <c r="K177" s="934" t="s">
        <v>345</v>
      </c>
      <c r="L177" s="968">
        <v>1588</v>
      </c>
      <c r="M177" s="995">
        <f>+L177*$J$2</f>
        <v>700.30799999999999</v>
      </c>
      <c r="N177" s="934">
        <v>236</v>
      </c>
      <c r="O177" s="990">
        <f>+N177+L177</f>
        <v>1824</v>
      </c>
    </row>
    <row r="178" spans="1:17" ht="13.8" hidden="1" x14ac:dyDescent="0.25">
      <c r="I178" s="934">
        <v>2868</v>
      </c>
      <c r="J178" s="989">
        <v>18</v>
      </c>
      <c r="K178" s="934" t="s">
        <v>1363</v>
      </c>
      <c r="L178" s="968">
        <f>+N178+O178</f>
        <v>766</v>
      </c>
      <c r="M178" s="995">
        <f>+L178*$J$3</f>
        <v>329.38</v>
      </c>
      <c r="N178" s="968">
        <v>557</v>
      </c>
      <c r="O178" s="968">
        <f>53+53+103</f>
        <v>209</v>
      </c>
    </row>
    <row r="179" spans="1:17" ht="13.8" hidden="1" x14ac:dyDescent="0.25">
      <c r="I179" s="934">
        <v>2868</v>
      </c>
      <c r="J179" s="989">
        <v>16</v>
      </c>
      <c r="K179" s="934" t="s">
        <v>1363</v>
      </c>
      <c r="L179" s="968">
        <f>+N179+O179</f>
        <v>934</v>
      </c>
      <c r="M179" s="995">
        <f>+L179*$J$3</f>
        <v>401.62</v>
      </c>
      <c r="N179" s="968">
        <v>725</v>
      </c>
      <c r="O179" s="968">
        <f>53+53+103</f>
        <v>209</v>
      </c>
    </row>
    <row r="180" spans="1:17" ht="13.8" hidden="1" x14ac:dyDescent="0.25">
      <c r="I180" s="934">
        <v>2868</v>
      </c>
      <c r="J180" s="989">
        <v>14</v>
      </c>
      <c r="K180" s="934" t="s">
        <v>1363</v>
      </c>
      <c r="L180" s="968">
        <f>+N180+O180</f>
        <v>1228</v>
      </c>
      <c r="M180" s="995">
        <f>+L180*$J$3</f>
        <v>528.04</v>
      </c>
      <c r="N180" s="968">
        <v>1019</v>
      </c>
      <c r="O180" s="968">
        <f>53+53+103</f>
        <v>209</v>
      </c>
    </row>
    <row r="181" spans="1:17" ht="13.8" hidden="1" x14ac:dyDescent="0.25">
      <c r="I181" s="934">
        <v>2868</v>
      </c>
      <c r="J181" s="989">
        <v>12</v>
      </c>
      <c r="K181" s="934" t="s">
        <v>1363</v>
      </c>
      <c r="M181" s="995">
        <f>+L181*$J$3</f>
        <v>0</v>
      </c>
      <c r="N181" s="968"/>
      <c r="O181" s="968"/>
    </row>
    <row r="182" spans="1:17" ht="13.8" hidden="1" x14ac:dyDescent="0.25">
      <c r="I182" s="934">
        <v>2870</v>
      </c>
      <c r="J182" s="989">
        <v>18</v>
      </c>
      <c r="K182" s="934" t="s">
        <v>321</v>
      </c>
      <c r="L182" s="968">
        <f>+O182+P182</f>
        <v>252</v>
      </c>
      <c r="M182" s="994">
        <f>+L182*$J$1</f>
        <v>398.16</v>
      </c>
      <c r="O182" s="934">
        <v>240</v>
      </c>
      <c r="P182" s="934">
        <v>12</v>
      </c>
    </row>
    <row r="183" spans="1:17" ht="13.8" hidden="1" x14ac:dyDescent="0.25">
      <c r="I183" s="934">
        <v>2870</v>
      </c>
      <c r="J183" s="989">
        <v>16</v>
      </c>
      <c r="K183" s="934" t="s">
        <v>321</v>
      </c>
      <c r="L183" s="968">
        <f>+O183+P183</f>
        <v>12</v>
      </c>
      <c r="M183" s="994">
        <f>+L183*$J$1</f>
        <v>18.96</v>
      </c>
      <c r="P183" s="934">
        <v>12</v>
      </c>
    </row>
    <row r="184" spans="1:17" ht="13.8" hidden="1" x14ac:dyDescent="0.25">
      <c r="I184" s="934">
        <v>2870</v>
      </c>
      <c r="J184" s="989">
        <v>14</v>
      </c>
      <c r="K184" s="934" t="s">
        <v>321</v>
      </c>
      <c r="L184" s="968">
        <f>+O184+P184</f>
        <v>351</v>
      </c>
      <c r="M184" s="994">
        <f>+L184*$J$1</f>
        <v>554.58000000000004</v>
      </c>
      <c r="O184" s="934">
        <v>339</v>
      </c>
      <c r="P184" s="934">
        <v>12</v>
      </c>
    </row>
    <row r="185" spans="1:17" ht="13.8" hidden="1" x14ac:dyDescent="0.25">
      <c r="I185" s="934">
        <v>2870</v>
      </c>
      <c r="J185" s="989">
        <v>12</v>
      </c>
      <c r="K185" s="934" t="s">
        <v>321</v>
      </c>
      <c r="L185" s="968">
        <f>+O185+P185+Q185</f>
        <v>701</v>
      </c>
      <c r="M185" s="994">
        <f>+L185*$J$1</f>
        <v>1107.5800000000002</v>
      </c>
      <c r="O185" s="934">
        <v>339</v>
      </c>
      <c r="P185" s="934">
        <v>12</v>
      </c>
      <c r="Q185" s="934">
        <v>350</v>
      </c>
    </row>
    <row r="186" spans="1:17" ht="13.8" hidden="1" x14ac:dyDescent="0.25">
      <c r="I186" s="934">
        <v>2870</v>
      </c>
      <c r="J186" s="989">
        <v>18</v>
      </c>
      <c r="K186" s="934" t="s">
        <v>345</v>
      </c>
      <c r="L186" s="968">
        <v>792</v>
      </c>
      <c r="M186" s="995">
        <f>+L186*$J$2</f>
        <v>349.27199999999999</v>
      </c>
    </row>
    <row r="187" spans="1:17" ht="13.8" hidden="1" x14ac:dyDescent="0.25">
      <c r="I187" s="934">
        <v>2870</v>
      </c>
      <c r="J187" s="989">
        <v>16</v>
      </c>
      <c r="K187" s="934" t="s">
        <v>345</v>
      </c>
      <c r="L187" s="968">
        <v>925</v>
      </c>
      <c r="M187" s="995">
        <f>+L187*$J$2</f>
        <v>407.92500000000001</v>
      </c>
    </row>
    <row r="188" spans="1:17" ht="13.8" hidden="1" x14ac:dyDescent="0.25">
      <c r="I188" s="934">
        <v>2870</v>
      </c>
      <c r="J188" s="989">
        <v>14</v>
      </c>
      <c r="K188" s="934" t="s">
        <v>345</v>
      </c>
      <c r="L188" s="968">
        <v>1032</v>
      </c>
      <c r="M188" s="995">
        <f>+L188*$J$2</f>
        <v>455.11200000000002</v>
      </c>
      <c r="N188" s="934">
        <v>236</v>
      </c>
      <c r="O188" s="990">
        <f>+N188+L188</f>
        <v>1268</v>
      </c>
    </row>
    <row r="189" spans="1:17" ht="13.8" hidden="1" x14ac:dyDescent="0.25">
      <c r="A189" s="926" t="s">
        <v>2535</v>
      </c>
      <c r="I189" s="934">
        <v>2870</v>
      </c>
      <c r="J189" s="989">
        <v>12</v>
      </c>
      <c r="K189" s="934" t="s">
        <v>345</v>
      </c>
      <c r="L189" s="968">
        <v>1667</v>
      </c>
      <c r="M189" s="995">
        <f>+L189*$J$2</f>
        <v>735.14700000000005</v>
      </c>
      <c r="N189" s="934">
        <v>236</v>
      </c>
      <c r="O189" s="990">
        <f>+N189+L189</f>
        <v>1903</v>
      </c>
    </row>
    <row r="190" spans="1:17" ht="13.8" hidden="1" x14ac:dyDescent="0.25">
      <c r="A190" s="926" t="s">
        <v>2542</v>
      </c>
      <c r="I190" s="934">
        <v>2870</v>
      </c>
      <c r="J190" s="989">
        <v>18</v>
      </c>
      <c r="K190" s="934" t="s">
        <v>1363</v>
      </c>
      <c r="L190" s="968">
        <f>+N190+O190</f>
        <v>776</v>
      </c>
      <c r="M190" s="995">
        <f>+L190*$J$3</f>
        <v>333.68</v>
      </c>
      <c r="N190" s="968">
        <v>567</v>
      </c>
      <c r="O190" s="968">
        <f>53+53+103</f>
        <v>209</v>
      </c>
    </row>
    <row r="191" spans="1:17" ht="13.8" hidden="1" x14ac:dyDescent="0.25">
      <c r="A191" s="996" t="s">
        <v>2543</v>
      </c>
      <c r="I191" s="934">
        <v>2870</v>
      </c>
      <c r="J191" s="989">
        <v>16</v>
      </c>
      <c r="K191" s="934" t="s">
        <v>1363</v>
      </c>
      <c r="L191" s="968">
        <f>+N191+O191</f>
        <v>944</v>
      </c>
      <c r="M191" s="995">
        <f>+L191*$J$3</f>
        <v>405.92</v>
      </c>
      <c r="N191" s="968">
        <v>735</v>
      </c>
      <c r="O191" s="968">
        <f>53+53+103</f>
        <v>209</v>
      </c>
    </row>
    <row r="192" spans="1:17" ht="13.8" hidden="1" x14ac:dyDescent="0.25">
      <c r="A192" s="996" t="s">
        <v>2544</v>
      </c>
      <c r="I192" s="934">
        <v>2870</v>
      </c>
      <c r="J192" s="989">
        <v>14</v>
      </c>
      <c r="K192" s="934" t="s">
        <v>1363</v>
      </c>
      <c r="L192" s="968">
        <f>+N192+O192</f>
        <v>1238</v>
      </c>
      <c r="M192" s="995">
        <f>+L192*$J$3</f>
        <v>532.34</v>
      </c>
      <c r="N192" s="968">
        <v>1029</v>
      </c>
      <c r="O192" s="968">
        <f>53+53+103</f>
        <v>209</v>
      </c>
    </row>
    <row r="193" spans="1:17" ht="13.8" hidden="1" x14ac:dyDescent="0.25">
      <c r="A193" s="926"/>
      <c r="I193" s="934">
        <v>2870</v>
      </c>
      <c r="J193" s="989">
        <v>12</v>
      </c>
      <c r="K193" s="934" t="s">
        <v>1363</v>
      </c>
      <c r="M193" s="995">
        <f>+L193*$J$3</f>
        <v>0</v>
      </c>
      <c r="N193" s="968"/>
      <c r="O193" s="968"/>
    </row>
    <row r="194" spans="1:17" ht="13.8" hidden="1" x14ac:dyDescent="0.25">
      <c r="A194" s="926"/>
      <c r="I194" s="934">
        <v>2880</v>
      </c>
      <c r="J194" s="989">
        <v>18</v>
      </c>
      <c r="K194" s="934" t="s">
        <v>321</v>
      </c>
      <c r="L194" s="968">
        <f>+O194+P194</f>
        <v>321</v>
      </c>
      <c r="M194" s="994">
        <f>+L194*$J$1</f>
        <v>507.18</v>
      </c>
      <c r="O194" s="934">
        <v>309</v>
      </c>
      <c r="P194" s="934">
        <v>12</v>
      </c>
    </row>
    <row r="195" spans="1:17" ht="13.8" hidden="1" x14ac:dyDescent="0.25">
      <c r="A195" t="s">
        <v>2536</v>
      </c>
      <c r="C195" s="95"/>
      <c r="I195" s="934">
        <v>2880</v>
      </c>
      <c r="J195" s="989">
        <v>16</v>
      </c>
      <c r="K195" s="934" t="s">
        <v>321</v>
      </c>
      <c r="L195" s="968">
        <f>+O195+P195</f>
        <v>12</v>
      </c>
      <c r="M195" s="994">
        <f>+L195*$J$1</f>
        <v>18.96</v>
      </c>
      <c r="P195" s="934">
        <v>12</v>
      </c>
    </row>
    <row r="196" spans="1:17" ht="13.8" hidden="1" x14ac:dyDescent="0.25">
      <c r="A196" t="s">
        <v>2313</v>
      </c>
      <c r="C196" s="95"/>
      <c r="I196" s="934">
        <v>2880</v>
      </c>
      <c r="J196" s="989">
        <v>14</v>
      </c>
      <c r="K196" s="934" t="s">
        <v>321</v>
      </c>
      <c r="L196" s="968">
        <f>+O196+P196</f>
        <v>442</v>
      </c>
      <c r="M196" s="994">
        <f>+L196*$J$1</f>
        <v>698.36</v>
      </c>
      <c r="O196" s="934">
        <v>430</v>
      </c>
      <c r="P196" s="934">
        <v>12</v>
      </c>
    </row>
    <row r="197" spans="1:17" ht="13.8" hidden="1" x14ac:dyDescent="0.25">
      <c r="A197" t="s">
        <v>2537</v>
      </c>
      <c r="C197" s="95"/>
      <c r="I197" s="934">
        <v>2880</v>
      </c>
      <c r="J197" s="989">
        <v>12</v>
      </c>
      <c r="K197" s="934" t="s">
        <v>321</v>
      </c>
      <c r="L197" s="968">
        <f>+O197+P197+Q197</f>
        <v>792</v>
      </c>
      <c r="M197" s="994">
        <f>+L197*$J$1</f>
        <v>1251.3600000000001</v>
      </c>
      <c r="O197" s="934">
        <v>430</v>
      </c>
      <c r="P197" s="934">
        <v>12</v>
      </c>
      <c r="Q197" s="934">
        <v>350</v>
      </c>
    </row>
    <row r="198" spans="1:17" ht="13.8" hidden="1" x14ac:dyDescent="0.25">
      <c r="A198" t="s">
        <v>2538</v>
      </c>
      <c r="C198" s="95"/>
      <c r="I198" s="934">
        <v>2880</v>
      </c>
      <c r="J198" s="989">
        <v>18</v>
      </c>
      <c r="K198" s="934" t="s">
        <v>345</v>
      </c>
      <c r="L198" s="968">
        <v>897</v>
      </c>
      <c r="M198" s="995">
        <f>+L198*$J$2</f>
        <v>395.577</v>
      </c>
    </row>
    <row r="199" spans="1:17" ht="13.8" hidden="1" x14ac:dyDescent="0.25">
      <c r="A199" t="s">
        <v>2539</v>
      </c>
      <c r="C199" s="95"/>
      <c r="I199" s="934">
        <v>2880</v>
      </c>
      <c r="J199" s="989">
        <v>16</v>
      </c>
      <c r="K199" s="934" t="s">
        <v>345</v>
      </c>
      <c r="L199" s="968">
        <v>1052</v>
      </c>
      <c r="M199" s="995">
        <f>+L199*$J$2</f>
        <v>463.93200000000002</v>
      </c>
    </row>
    <row r="200" spans="1:17" ht="13.8" hidden="1" x14ac:dyDescent="0.25">
      <c r="A200" t="s">
        <v>2545</v>
      </c>
      <c r="C200" s="95"/>
      <c r="I200" s="934">
        <v>2880</v>
      </c>
      <c r="J200" s="989">
        <v>14</v>
      </c>
      <c r="K200" s="934" t="s">
        <v>345</v>
      </c>
      <c r="L200" s="968">
        <v>1204</v>
      </c>
      <c r="M200" s="995">
        <f>+L200*$J$2</f>
        <v>530.96400000000006</v>
      </c>
      <c r="N200" s="934">
        <v>236</v>
      </c>
      <c r="O200" s="990">
        <f>+N200+L200</f>
        <v>1440</v>
      </c>
    </row>
    <row r="201" spans="1:17" ht="13.8" hidden="1" x14ac:dyDescent="0.25">
      <c r="A201" t="s">
        <v>2547</v>
      </c>
      <c r="C201" s="95"/>
      <c r="I201" s="934">
        <v>2880</v>
      </c>
      <c r="J201" s="989">
        <v>12</v>
      </c>
      <c r="K201" s="934" t="s">
        <v>345</v>
      </c>
      <c r="L201" s="968">
        <v>1946</v>
      </c>
      <c r="M201" s="995">
        <f>+L201*$J$2</f>
        <v>858.18600000000004</v>
      </c>
      <c r="N201" s="934">
        <v>236</v>
      </c>
      <c r="O201" s="990">
        <f>+N201+L201</f>
        <v>2182</v>
      </c>
    </row>
    <row r="202" spans="1:17" ht="13.8" hidden="1" x14ac:dyDescent="0.25">
      <c r="A202" t="s">
        <v>2546</v>
      </c>
      <c r="C202" s="95"/>
      <c r="I202" s="934">
        <v>2880</v>
      </c>
      <c r="J202" s="989">
        <v>18</v>
      </c>
      <c r="K202" s="934" t="s">
        <v>1363</v>
      </c>
      <c r="L202" s="968">
        <f>+N202+O202</f>
        <v>868</v>
      </c>
      <c r="M202" s="995">
        <f>+L202*$J$3</f>
        <v>373.24</v>
      </c>
      <c r="N202" s="968">
        <v>659</v>
      </c>
      <c r="O202" s="968">
        <f>53+53+103</f>
        <v>209</v>
      </c>
    </row>
    <row r="203" spans="1:17" ht="13.8" hidden="1" x14ac:dyDescent="0.25">
      <c r="C203" s="95"/>
      <c r="I203" s="934">
        <v>2880</v>
      </c>
      <c r="J203" s="989">
        <v>16</v>
      </c>
      <c r="K203" s="934" t="s">
        <v>1363</v>
      </c>
      <c r="L203" s="968">
        <f>+N203+O203</f>
        <v>1036</v>
      </c>
      <c r="M203" s="995">
        <f>+L203*$J$3</f>
        <v>445.48</v>
      </c>
      <c r="N203" s="968">
        <v>827</v>
      </c>
      <c r="O203" s="968">
        <f>53+53+103</f>
        <v>209</v>
      </c>
    </row>
    <row r="204" spans="1:17" ht="13.8" hidden="1" x14ac:dyDescent="0.25">
      <c r="A204" s="926" t="s">
        <v>2540</v>
      </c>
      <c r="C204" s="95"/>
      <c r="I204" s="934">
        <v>2880</v>
      </c>
      <c r="J204" s="989">
        <v>14</v>
      </c>
      <c r="K204" s="934" t="s">
        <v>1363</v>
      </c>
      <c r="L204" s="968">
        <f>+N204+O204</f>
        <v>1330</v>
      </c>
      <c r="M204" s="995">
        <f>+L204*$J$3</f>
        <v>571.9</v>
      </c>
      <c r="N204" s="968">
        <v>1121</v>
      </c>
      <c r="O204" s="968">
        <f>53+53+103</f>
        <v>209</v>
      </c>
    </row>
    <row r="205" spans="1:17" ht="13.8" hidden="1" x14ac:dyDescent="0.25">
      <c r="A205" s="926" t="s">
        <v>2542</v>
      </c>
      <c r="C205" s="95"/>
      <c r="I205" s="934">
        <v>2880</v>
      </c>
      <c r="J205" s="989">
        <v>12</v>
      </c>
      <c r="K205" s="934" t="s">
        <v>1363</v>
      </c>
      <c r="M205" s="995">
        <f>+L205*$J$3</f>
        <v>0</v>
      </c>
      <c r="N205" s="968"/>
      <c r="O205" s="968"/>
    </row>
    <row r="206" spans="1:17" ht="13.8" hidden="1" x14ac:dyDescent="0.25">
      <c r="A206" s="996" t="s">
        <v>2549</v>
      </c>
      <c r="C206" s="95"/>
      <c r="I206" s="934">
        <v>2890</v>
      </c>
      <c r="J206" s="989">
        <v>18</v>
      </c>
      <c r="K206" s="934" t="s">
        <v>321</v>
      </c>
      <c r="L206" s="968">
        <f>+O206+P206</f>
        <v>444</v>
      </c>
      <c r="M206" s="994">
        <f>+L206*$J$1</f>
        <v>701.52</v>
      </c>
      <c r="O206" s="934">
        <v>432</v>
      </c>
      <c r="P206" s="934">
        <v>12</v>
      </c>
    </row>
    <row r="207" spans="1:17" ht="13.8" hidden="1" x14ac:dyDescent="0.25">
      <c r="A207" s="996" t="s">
        <v>2548</v>
      </c>
      <c r="C207" s="95"/>
      <c r="I207" s="934">
        <v>2890</v>
      </c>
      <c r="J207" s="989">
        <v>16</v>
      </c>
      <c r="K207" s="934" t="s">
        <v>321</v>
      </c>
      <c r="L207" s="968">
        <f>+O207+P207</f>
        <v>12</v>
      </c>
      <c r="M207" s="994">
        <f>+L207*$J$1</f>
        <v>18.96</v>
      </c>
      <c r="P207" s="934">
        <v>12</v>
      </c>
    </row>
    <row r="208" spans="1:17" ht="13.8" hidden="1" x14ac:dyDescent="0.25">
      <c r="A208" t="s">
        <v>2536</v>
      </c>
      <c r="C208" s="95"/>
      <c r="I208" s="934">
        <v>2890</v>
      </c>
      <c r="J208" s="989">
        <v>14</v>
      </c>
      <c r="K208" s="934" t="s">
        <v>321</v>
      </c>
      <c r="L208" s="968">
        <f>+O208+P208</f>
        <v>565</v>
      </c>
      <c r="M208" s="994">
        <f>+L208*$J$1</f>
        <v>892.7</v>
      </c>
      <c r="O208" s="934">
        <v>553</v>
      </c>
      <c r="P208" s="934">
        <v>12</v>
      </c>
    </row>
    <row r="209" spans="1:17" ht="13.8" hidden="1" x14ac:dyDescent="0.25">
      <c r="A209" t="s">
        <v>2313</v>
      </c>
      <c r="C209" s="95"/>
      <c r="I209" s="934">
        <v>2890</v>
      </c>
      <c r="J209" s="989">
        <v>12</v>
      </c>
      <c r="K209" s="934" t="s">
        <v>321</v>
      </c>
      <c r="L209" s="968">
        <f>+O209+P209+Q209</f>
        <v>915</v>
      </c>
      <c r="M209" s="994">
        <f>+L209*$J$1</f>
        <v>1445.7</v>
      </c>
      <c r="O209" s="934">
        <v>553</v>
      </c>
      <c r="P209" s="934">
        <v>12</v>
      </c>
      <c r="Q209" s="934">
        <v>350</v>
      </c>
    </row>
    <row r="210" spans="1:17" ht="13.8" hidden="1" x14ac:dyDescent="0.25">
      <c r="A210" t="s">
        <v>2550</v>
      </c>
      <c r="C210" s="95"/>
      <c r="I210" s="934">
        <v>2890</v>
      </c>
      <c r="J210" s="989">
        <v>18</v>
      </c>
      <c r="K210" s="934" t="s">
        <v>345</v>
      </c>
      <c r="L210" s="968">
        <v>1092</v>
      </c>
      <c r="M210" s="995">
        <f>+L210*$J$2</f>
        <v>481.572</v>
      </c>
    </row>
    <row r="211" spans="1:17" ht="13.8" hidden="1" x14ac:dyDescent="0.25">
      <c r="A211" t="s">
        <v>2537</v>
      </c>
      <c r="C211" s="95"/>
      <c r="I211" s="934">
        <v>2890</v>
      </c>
      <c r="J211" s="989">
        <v>16</v>
      </c>
      <c r="K211" s="934" t="s">
        <v>345</v>
      </c>
      <c r="L211" s="968">
        <v>1290</v>
      </c>
      <c r="M211" s="995">
        <f>+L211*$J$2</f>
        <v>568.89</v>
      </c>
    </row>
    <row r="212" spans="1:17" ht="13.8" hidden="1" x14ac:dyDescent="0.25">
      <c r="C212" s="95"/>
      <c r="I212" s="934">
        <v>2890</v>
      </c>
      <c r="J212" s="989">
        <v>14</v>
      </c>
      <c r="K212" s="934" t="s">
        <v>345</v>
      </c>
      <c r="L212" s="968">
        <v>1519</v>
      </c>
      <c r="M212" s="995">
        <f>+L212*$J$2</f>
        <v>669.87900000000002</v>
      </c>
      <c r="N212" s="934">
        <v>236</v>
      </c>
      <c r="O212" s="990">
        <f>+N212+L212</f>
        <v>1755</v>
      </c>
    </row>
    <row r="213" spans="1:17" ht="13.8" hidden="1" x14ac:dyDescent="0.25">
      <c r="A213" t="s">
        <v>2538</v>
      </c>
      <c r="C213" s="95"/>
      <c r="I213" s="934">
        <v>2890</v>
      </c>
      <c r="J213" s="989">
        <v>12</v>
      </c>
      <c r="K213" s="934" t="s">
        <v>345</v>
      </c>
      <c r="L213" s="968">
        <v>2463</v>
      </c>
      <c r="M213" s="995">
        <f>+L213*$J$2</f>
        <v>1086.183</v>
      </c>
      <c r="N213" s="934">
        <v>236</v>
      </c>
      <c r="O213" s="990">
        <f>+N213+L213</f>
        <v>2699</v>
      </c>
    </row>
    <row r="214" spans="1:17" ht="13.8" hidden="1" x14ac:dyDescent="0.25">
      <c r="A214" t="s">
        <v>2541</v>
      </c>
      <c r="C214" s="95"/>
      <c r="I214" s="934">
        <v>2890</v>
      </c>
      <c r="J214" s="989">
        <v>18</v>
      </c>
      <c r="K214" s="934" t="s">
        <v>1363</v>
      </c>
      <c r="M214" s="995">
        <f>+L214*$J$3</f>
        <v>0</v>
      </c>
      <c r="N214" s="968"/>
      <c r="O214" s="968"/>
    </row>
    <row r="215" spans="1:17" ht="13.8" hidden="1" x14ac:dyDescent="0.25">
      <c r="C215" s="95"/>
      <c r="I215" s="934">
        <v>2890</v>
      </c>
      <c r="J215" s="989">
        <v>16</v>
      </c>
      <c r="K215" s="934" t="s">
        <v>1363</v>
      </c>
      <c r="M215" s="995">
        <f>+L215*$J$3</f>
        <v>0</v>
      </c>
      <c r="N215" s="968"/>
      <c r="O215" s="968"/>
    </row>
    <row r="216" spans="1:17" ht="13.8" hidden="1" x14ac:dyDescent="0.25">
      <c r="C216" s="95"/>
      <c r="I216" s="934">
        <v>2890</v>
      </c>
      <c r="J216" s="989">
        <v>14</v>
      </c>
      <c r="K216" s="934" t="s">
        <v>1363</v>
      </c>
      <c r="M216" s="995">
        <f>+L216*$J$3</f>
        <v>0</v>
      </c>
      <c r="N216" s="968"/>
      <c r="O216" s="968"/>
    </row>
    <row r="217" spans="1:17" ht="13.8" hidden="1" x14ac:dyDescent="0.25">
      <c r="C217" s="95"/>
      <c r="I217" s="934">
        <v>2890</v>
      </c>
      <c r="J217" s="989">
        <v>12</v>
      </c>
      <c r="K217" s="934" t="s">
        <v>1363</v>
      </c>
      <c r="M217" s="995">
        <f>+L217*$J$3</f>
        <v>0</v>
      </c>
      <c r="N217" s="968"/>
      <c r="O217" s="968"/>
    </row>
    <row r="218" spans="1:17" ht="13.8" x14ac:dyDescent="0.25">
      <c r="I218" s="934">
        <v>3068</v>
      </c>
      <c r="J218" s="989">
        <v>18</v>
      </c>
      <c r="K218" s="934" t="s">
        <v>321</v>
      </c>
      <c r="L218" s="968">
        <f>+O218+P218</f>
        <v>241</v>
      </c>
      <c r="M218" s="994">
        <f>+L218*$J$1</f>
        <v>380.78000000000003</v>
      </c>
      <c r="O218" s="934">
        <v>229</v>
      </c>
      <c r="P218" s="934">
        <v>12</v>
      </c>
    </row>
    <row r="219" spans="1:17" ht="13.8" hidden="1" x14ac:dyDescent="0.25">
      <c r="I219" s="934">
        <v>3068</v>
      </c>
      <c r="J219" s="989">
        <v>16</v>
      </c>
      <c r="K219" s="934" t="s">
        <v>321</v>
      </c>
      <c r="L219" s="968">
        <f>+O219+P219</f>
        <v>12</v>
      </c>
      <c r="M219" s="994">
        <f>+L219*$J$1</f>
        <v>18.96</v>
      </c>
      <c r="P219" s="934">
        <v>12</v>
      </c>
    </row>
    <row r="220" spans="1:17" ht="13.8" hidden="1" x14ac:dyDescent="0.25">
      <c r="I220" s="934">
        <v>3068</v>
      </c>
      <c r="J220" s="989">
        <v>14</v>
      </c>
      <c r="K220" s="934" t="s">
        <v>321</v>
      </c>
      <c r="L220" s="968">
        <f>+O220+P220</f>
        <v>335</v>
      </c>
      <c r="M220" s="994">
        <f>+L220*$J$1</f>
        <v>529.30000000000007</v>
      </c>
      <c r="O220" s="934">
        <v>323</v>
      </c>
      <c r="P220" s="934">
        <v>12</v>
      </c>
    </row>
    <row r="221" spans="1:17" ht="13.8" hidden="1" x14ac:dyDescent="0.25">
      <c r="I221" s="934">
        <v>3068</v>
      </c>
      <c r="J221" s="989">
        <v>12</v>
      </c>
      <c r="K221" s="934" t="s">
        <v>321</v>
      </c>
      <c r="L221" s="968">
        <f>+O221+P221+Q221</f>
        <v>685</v>
      </c>
      <c r="M221" s="994">
        <f>+L221*$J$1</f>
        <v>1082.3</v>
      </c>
      <c r="O221" s="934">
        <v>323</v>
      </c>
      <c r="P221" s="934">
        <v>12</v>
      </c>
      <c r="Q221" s="934">
        <v>350</v>
      </c>
    </row>
    <row r="222" spans="1:17" ht="13.8" x14ac:dyDescent="0.25">
      <c r="I222" s="934">
        <v>3068</v>
      </c>
      <c r="J222" s="989">
        <v>18</v>
      </c>
      <c r="K222" s="934" t="s">
        <v>345</v>
      </c>
      <c r="L222" s="968">
        <v>763</v>
      </c>
      <c r="M222" s="995">
        <f>+L222*$J$2</f>
        <v>336.483</v>
      </c>
    </row>
    <row r="223" spans="1:17" ht="13.8" hidden="1" x14ac:dyDescent="0.25">
      <c r="I223" s="934">
        <v>3068</v>
      </c>
      <c r="J223" s="989">
        <v>16</v>
      </c>
      <c r="K223" s="934" t="s">
        <v>345</v>
      </c>
      <c r="L223" s="968">
        <v>889</v>
      </c>
      <c r="M223" s="995">
        <f>+L223*$J$2</f>
        <v>392.04899999999998</v>
      </c>
    </row>
    <row r="224" spans="1:17" ht="13.8" hidden="1" x14ac:dyDescent="0.25">
      <c r="I224" s="934">
        <v>3068</v>
      </c>
      <c r="J224" s="989">
        <v>14</v>
      </c>
      <c r="K224" s="934" t="s">
        <v>345</v>
      </c>
      <c r="L224" s="968">
        <v>984</v>
      </c>
      <c r="M224" s="995">
        <f>+L224*$J$2</f>
        <v>433.94400000000002</v>
      </c>
      <c r="N224" s="934">
        <v>236</v>
      </c>
      <c r="O224" s="990">
        <f>+N224+L224</f>
        <v>1220</v>
      </c>
    </row>
    <row r="225" spans="9:17" ht="13.8" hidden="1" x14ac:dyDescent="0.25">
      <c r="I225" s="934">
        <v>3068</v>
      </c>
      <c r="J225" s="989">
        <v>12</v>
      </c>
      <c r="K225" s="934" t="s">
        <v>345</v>
      </c>
      <c r="L225" s="968">
        <v>1588</v>
      </c>
      <c r="M225" s="995">
        <f>+L225*$J$2</f>
        <v>700.30799999999999</v>
      </c>
      <c r="N225" s="934">
        <v>236</v>
      </c>
      <c r="O225" s="990">
        <f>+N225+L225</f>
        <v>1824</v>
      </c>
    </row>
    <row r="226" spans="9:17" ht="13.8" x14ac:dyDescent="0.25">
      <c r="I226" s="934">
        <v>3068</v>
      </c>
      <c r="J226" s="989">
        <v>18</v>
      </c>
      <c r="K226" s="934" t="s">
        <v>1363</v>
      </c>
      <c r="L226" s="968">
        <f>+N226+O226</f>
        <v>766</v>
      </c>
      <c r="M226" s="995">
        <f>+L226*$J$3</f>
        <v>329.38</v>
      </c>
      <c r="N226" s="968">
        <v>557</v>
      </c>
      <c r="O226" s="968">
        <f>53+53+103</f>
        <v>209</v>
      </c>
    </row>
    <row r="227" spans="9:17" ht="13.8" hidden="1" x14ac:dyDescent="0.25">
      <c r="I227" s="934">
        <v>3068</v>
      </c>
      <c r="J227" s="989">
        <v>16</v>
      </c>
      <c r="K227" s="934" t="s">
        <v>1363</v>
      </c>
      <c r="L227" s="968">
        <f>+N227+O227</f>
        <v>934</v>
      </c>
      <c r="M227" s="995">
        <f>+L227*$J$3</f>
        <v>401.62</v>
      </c>
      <c r="N227" s="968">
        <v>725</v>
      </c>
      <c r="O227" s="968">
        <f>53+53+103</f>
        <v>209</v>
      </c>
    </row>
    <row r="228" spans="9:17" ht="13.8" hidden="1" x14ac:dyDescent="0.25">
      <c r="I228" s="934">
        <v>3068</v>
      </c>
      <c r="J228" s="989">
        <v>14</v>
      </c>
      <c r="K228" s="934" t="s">
        <v>1363</v>
      </c>
      <c r="L228" s="968">
        <f>+N228+O228</f>
        <v>1228</v>
      </c>
      <c r="M228" s="995">
        <f>+L228*$J$3</f>
        <v>528.04</v>
      </c>
      <c r="N228" s="968">
        <v>1019</v>
      </c>
      <c r="O228" s="968">
        <f>53+53+103</f>
        <v>209</v>
      </c>
    </row>
    <row r="229" spans="9:17" ht="13.8" hidden="1" x14ac:dyDescent="0.25">
      <c r="I229" s="934">
        <v>3068</v>
      </c>
      <c r="J229" s="989">
        <v>12</v>
      </c>
      <c r="K229" s="934" t="s">
        <v>1363</v>
      </c>
      <c r="M229" s="995">
        <f>+L229*$J$3</f>
        <v>0</v>
      </c>
      <c r="N229" s="968"/>
      <c r="O229" s="968"/>
    </row>
    <row r="230" spans="9:17" ht="13.8" hidden="1" x14ac:dyDescent="0.25">
      <c r="I230" s="934">
        <v>3468</v>
      </c>
      <c r="J230" s="989">
        <v>18</v>
      </c>
      <c r="K230" s="934" t="s">
        <v>321</v>
      </c>
      <c r="L230" s="968">
        <f>+O230+P230</f>
        <v>288</v>
      </c>
      <c r="M230" s="994">
        <f>+L230*$J$1</f>
        <v>455.04</v>
      </c>
      <c r="O230" s="934">
        <v>276</v>
      </c>
      <c r="P230" s="934">
        <v>12</v>
      </c>
    </row>
    <row r="231" spans="9:17" ht="13.8" hidden="1" x14ac:dyDescent="0.25">
      <c r="I231" s="934">
        <v>3468</v>
      </c>
      <c r="J231" s="989">
        <v>16</v>
      </c>
      <c r="K231" s="934" t="s">
        <v>321</v>
      </c>
      <c r="L231" s="968">
        <f>+O231+P231</f>
        <v>12</v>
      </c>
      <c r="M231" s="994">
        <f>+L231*$J$1</f>
        <v>18.96</v>
      </c>
      <c r="P231" s="934">
        <v>12</v>
      </c>
    </row>
    <row r="232" spans="9:17" ht="13.8" hidden="1" x14ac:dyDescent="0.25">
      <c r="I232" s="934">
        <v>3468</v>
      </c>
      <c r="J232" s="989">
        <v>14</v>
      </c>
      <c r="K232" s="934" t="s">
        <v>321</v>
      </c>
      <c r="L232" s="968">
        <f>+O232+P232</f>
        <v>373</v>
      </c>
      <c r="M232" s="994">
        <f>+L232*$J$1</f>
        <v>589.34</v>
      </c>
      <c r="O232" s="934">
        <v>361</v>
      </c>
      <c r="P232" s="934">
        <v>12</v>
      </c>
    </row>
    <row r="233" spans="9:17" ht="13.8" hidden="1" x14ac:dyDescent="0.25">
      <c r="I233" s="934">
        <v>3468</v>
      </c>
      <c r="J233" s="989">
        <v>12</v>
      </c>
      <c r="K233" s="934" t="s">
        <v>321</v>
      </c>
      <c r="L233" s="968">
        <f>+O233+P233+Q233</f>
        <v>723</v>
      </c>
      <c r="M233" s="994">
        <f>+L233*$J$1</f>
        <v>1142.3400000000001</v>
      </c>
      <c r="O233" s="934">
        <v>361</v>
      </c>
      <c r="P233" s="934">
        <v>12</v>
      </c>
      <c r="Q233" s="934">
        <v>350</v>
      </c>
    </row>
    <row r="234" spans="9:17" ht="13.8" hidden="1" x14ac:dyDescent="0.25">
      <c r="I234" s="934">
        <v>3468</v>
      </c>
      <c r="J234" s="989">
        <v>18</v>
      </c>
      <c r="K234" s="934" t="s">
        <v>345</v>
      </c>
      <c r="L234" s="968">
        <v>888</v>
      </c>
      <c r="M234" s="995">
        <f>+L234*$J$2</f>
        <v>391.608</v>
      </c>
    </row>
    <row r="235" spans="9:17" ht="13.8" hidden="1" x14ac:dyDescent="0.25">
      <c r="I235" s="934">
        <v>3468</v>
      </c>
      <c r="J235" s="989">
        <v>16</v>
      </c>
      <c r="K235" s="934" t="s">
        <v>345</v>
      </c>
      <c r="L235" s="968">
        <v>1042</v>
      </c>
      <c r="M235" s="995">
        <f>+L235*$J$2</f>
        <v>459.52199999999999</v>
      </c>
    </row>
    <row r="236" spans="9:17" ht="13.8" hidden="1" x14ac:dyDescent="0.25">
      <c r="I236" s="934">
        <v>3468</v>
      </c>
      <c r="J236" s="989">
        <v>14</v>
      </c>
      <c r="K236" s="934" t="s">
        <v>345</v>
      </c>
      <c r="L236" s="968">
        <v>1192</v>
      </c>
      <c r="M236" s="995">
        <f>+L236*$J$2</f>
        <v>525.67200000000003</v>
      </c>
      <c r="N236" s="934">
        <v>236</v>
      </c>
      <c r="O236" s="990">
        <f>+N236+L236</f>
        <v>1428</v>
      </c>
    </row>
    <row r="237" spans="9:17" ht="13.8" hidden="1" x14ac:dyDescent="0.25">
      <c r="I237" s="934">
        <v>3468</v>
      </c>
      <c r="J237" s="989">
        <v>12</v>
      </c>
      <c r="K237" s="934" t="s">
        <v>345</v>
      </c>
      <c r="L237" s="968">
        <v>1928</v>
      </c>
      <c r="M237" s="995">
        <f>+L237*$J$2</f>
        <v>850.24800000000005</v>
      </c>
      <c r="N237" s="934">
        <v>236</v>
      </c>
      <c r="O237" s="990">
        <f>+N237+L237</f>
        <v>2164</v>
      </c>
    </row>
    <row r="238" spans="9:17" ht="13.8" hidden="1" x14ac:dyDescent="0.25">
      <c r="I238" s="934">
        <v>3468</v>
      </c>
      <c r="J238" s="989">
        <v>18</v>
      </c>
      <c r="K238" s="934" t="s">
        <v>1363</v>
      </c>
      <c r="L238" s="968">
        <f>+N238+O238</f>
        <v>846</v>
      </c>
      <c r="M238" s="995">
        <f>+L238*$J$3</f>
        <v>363.78</v>
      </c>
      <c r="N238" s="968">
        <v>637</v>
      </c>
      <c r="O238" s="968">
        <f>53+53+103</f>
        <v>209</v>
      </c>
    </row>
    <row r="239" spans="9:17" ht="13.8" hidden="1" x14ac:dyDescent="0.25">
      <c r="I239" s="934">
        <v>3468</v>
      </c>
      <c r="J239" s="989">
        <v>16</v>
      </c>
      <c r="K239" s="934" t="s">
        <v>1363</v>
      </c>
      <c r="L239" s="968">
        <f>+N239+O239</f>
        <v>1014</v>
      </c>
      <c r="M239" s="995">
        <f>+L239*$J$3</f>
        <v>436.02</v>
      </c>
      <c r="N239" s="968">
        <v>805</v>
      </c>
      <c r="O239" s="968">
        <f>53+53+103</f>
        <v>209</v>
      </c>
    </row>
    <row r="240" spans="9:17" ht="13.8" hidden="1" x14ac:dyDescent="0.25">
      <c r="I240" s="934">
        <v>3468</v>
      </c>
      <c r="J240" s="989">
        <v>14</v>
      </c>
      <c r="K240" s="934" t="s">
        <v>1363</v>
      </c>
      <c r="L240" s="968">
        <f>+N240+O240</f>
        <v>1308</v>
      </c>
      <c r="M240" s="995">
        <f>+L240*$J$3</f>
        <v>562.43999999999994</v>
      </c>
      <c r="N240" s="968">
        <v>1099</v>
      </c>
      <c r="O240" s="968">
        <f>53+53+103</f>
        <v>209</v>
      </c>
    </row>
    <row r="241" spans="9:17" ht="13.8" hidden="1" x14ac:dyDescent="0.25">
      <c r="I241" s="934">
        <v>3468</v>
      </c>
      <c r="J241" s="989">
        <v>12</v>
      </c>
      <c r="K241" s="934" t="s">
        <v>1363</v>
      </c>
      <c r="M241" s="995">
        <f>+L241*$J$3</f>
        <v>0</v>
      </c>
      <c r="N241" s="968"/>
      <c r="O241" s="968"/>
    </row>
    <row r="242" spans="9:17" ht="13.8" hidden="1" x14ac:dyDescent="0.25">
      <c r="I242" s="934">
        <v>3668</v>
      </c>
      <c r="J242" s="989">
        <v>18</v>
      </c>
      <c r="K242" s="934" t="s">
        <v>321</v>
      </c>
      <c r="L242" s="968">
        <f>+O242+P242</f>
        <v>288</v>
      </c>
      <c r="M242" s="994">
        <f>+L242*$J$1</f>
        <v>455.04</v>
      </c>
      <c r="O242" s="934">
        <v>276</v>
      </c>
      <c r="P242" s="934">
        <v>12</v>
      </c>
    </row>
    <row r="243" spans="9:17" ht="13.8" hidden="1" x14ac:dyDescent="0.25">
      <c r="I243" s="934">
        <v>3668</v>
      </c>
      <c r="J243" s="989">
        <v>16</v>
      </c>
      <c r="K243" s="934" t="s">
        <v>321</v>
      </c>
      <c r="L243" s="968">
        <f>+O243+P243</f>
        <v>12</v>
      </c>
      <c r="M243" s="994">
        <f>+L243*$J$1</f>
        <v>18.96</v>
      </c>
      <c r="P243" s="934">
        <v>12</v>
      </c>
    </row>
    <row r="244" spans="9:17" ht="13.8" hidden="1" x14ac:dyDescent="0.25">
      <c r="I244" s="934">
        <v>3668</v>
      </c>
      <c r="J244" s="989">
        <v>14</v>
      </c>
      <c r="K244" s="934" t="s">
        <v>321</v>
      </c>
      <c r="L244" s="968">
        <f>+O244+P244</f>
        <v>373</v>
      </c>
      <c r="M244" s="994">
        <f>+L244*$J$1</f>
        <v>589.34</v>
      </c>
      <c r="O244" s="934">
        <v>361</v>
      </c>
      <c r="P244" s="934">
        <v>12</v>
      </c>
    </row>
    <row r="245" spans="9:17" ht="13.8" hidden="1" x14ac:dyDescent="0.25">
      <c r="I245" s="934">
        <v>3668</v>
      </c>
      <c r="J245" s="989">
        <v>12</v>
      </c>
      <c r="K245" s="934" t="s">
        <v>321</v>
      </c>
      <c r="L245" s="968">
        <f>+O245+P245+Q245</f>
        <v>723</v>
      </c>
      <c r="M245" s="994">
        <f>+L245*$J$1</f>
        <v>1142.3400000000001</v>
      </c>
      <c r="O245" s="934">
        <v>361</v>
      </c>
      <c r="P245" s="934">
        <v>12</v>
      </c>
      <c r="Q245" s="934">
        <v>350</v>
      </c>
    </row>
    <row r="246" spans="9:17" ht="13.8" hidden="1" x14ac:dyDescent="0.25">
      <c r="I246" s="934">
        <v>3668</v>
      </c>
      <c r="J246" s="989">
        <v>18</v>
      </c>
      <c r="K246" s="934" t="s">
        <v>345</v>
      </c>
      <c r="L246" s="968">
        <v>891</v>
      </c>
      <c r="M246" s="995">
        <f>+L246*$J$2</f>
        <v>392.93099999999998</v>
      </c>
    </row>
    <row r="247" spans="9:17" ht="13.8" hidden="1" x14ac:dyDescent="0.25">
      <c r="I247" s="934">
        <v>3668</v>
      </c>
      <c r="J247" s="989">
        <v>16</v>
      </c>
      <c r="K247" s="934" t="s">
        <v>345</v>
      </c>
      <c r="L247" s="968">
        <v>1045</v>
      </c>
      <c r="M247" s="995">
        <f>+L247*$J$2</f>
        <v>460.84500000000003</v>
      </c>
    </row>
    <row r="248" spans="9:17" ht="13.8" hidden="1" x14ac:dyDescent="0.25">
      <c r="I248" s="934">
        <v>3668</v>
      </c>
      <c r="J248" s="989">
        <v>14</v>
      </c>
      <c r="K248" s="934" t="s">
        <v>345</v>
      </c>
      <c r="L248" s="968">
        <v>1192</v>
      </c>
      <c r="M248" s="995">
        <f>+L248*$J$2</f>
        <v>525.67200000000003</v>
      </c>
      <c r="N248" s="934">
        <v>236</v>
      </c>
      <c r="O248" s="990">
        <f>+N248+L248</f>
        <v>1428</v>
      </c>
    </row>
    <row r="249" spans="9:17" ht="13.8" hidden="1" x14ac:dyDescent="0.25">
      <c r="I249" s="934">
        <v>3668</v>
      </c>
      <c r="J249" s="989">
        <v>12</v>
      </c>
      <c r="K249" s="934" t="s">
        <v>345</v>
      </c>
      <c r="L249" s="968">
        <v>1928</v>
      </c>
      <c r="M249" s="995">
        <f>+L249*$J$2</f>
        <v>850.24800000000005</v>
      </c>
      <c r="N249" s="934">
        <v>236</v>
      </c>
      <c r="O249" s="990">
        <f>+N249+L249</f>
        <v>2164</v>
      </c>
    </row>
    <row r="250" spans="9:17" ht="13.8" hidden="1" x14ac:dyDescent="0.25">
      <c r="I250" s="934">
        <v>3668</v>
      </c>
      <c r="J250" s="989">
        <v>18</v>
      </c>
      <c r="K250" s="934" t="s">
        <v>1363</v>
      </c>
      <c r="L250" s="968">
        <f>+N250+O250</f>
        <v>846</v>
      </c>
      <c r="M250" s="995">
        <f>+L250*$J$3</f>
        <v>363.78</v>
      </c>
      <c r="N250" s="968">
        <v>637</v>
      </c>
      <c r="O250" s="968">
        <f>53+53+103</f>
        <v>209</v>
      </c>
    </row>
    <row r="251" spans="9:17" ht="13.8" hidden="1" x14ac:dyDescent="0.25">
      <c r="I251" s="934">
        <v>3668</v>
      </c>
      <c r="J251" s="989">
        <v>16</v>
      </c>
      <c r="K251" s="934" t="s">
        <v>1363</v>
      </c>
      <c r="L251" s="968">
        <f>+N251+O251</f>
        <v>1014</v>
      </c>
      <c r="M251" s="995">
        <f>+L251*$J$3</f>
        <v>436.02</v>
      </c>
      <c r="N251" s="968">
        <v>805</v>
      </c>
      <c r="O251" s="968">
        <f>53+53+103</f>
        <v>209</v>
      </c>
    </row>
    <row r="252" spans="9:17" ht="13.8" hidden="1" x14ac:dyDescent="0.25">
      <c r="I252" s="934">
        <v>3668</v>
      </c>
      <c r="J252" s="989">
        <v>14</v>
      </c>
      <c r="K252" s="934" t="s">
        <v>1363</v>
      </c>
      <c r="L252" s="968">
        <f>+N252+O252</f>
        <v>1308</v>
      </c>
      <c r="M252" s="995">
        <f>+L252*$J$3</f>
        <v>562.43999999999994</v>
      </c>
      <c r="N252" s="968">
        <v>1099</v>
      </c>
      <c r="O252" s="968">
        <f>53+53+103</f>
        <v>209</v>
      </c>
    </row>
    <row r="253" spans="9:17" ht="13.8" hidden="1" x14ac:dyDescent="0.25">
      <c r="I253" s="934">
        <v>3668</v>
      </c>
      <c r="J253" s="989">
        <v>12</v>
      </c>
      <c r="K253" s="934" t="s">
        <v>1363</v>
      </c>
      <c r="M253" s="995">
        <f>+L253*$J$3</f>
        <v>0</v>
      </c>
      <c r="N253" s="968"/>
      <c r="O253" s="968"/>
    </row>
    <row r="254" spans="9:17" ht="13.8" hidden="1" x14ac:dyDescent="0.25">
      <c r="I254" s="934">
        <v>3868</v>
      </c>
      <c r="J254" s="989">
        <v>18</v>
      </c>
      <c r="K254" s="934" t="s">
        <v>321</v>
      </c>
      <c r="L254" s="968">
        <f>+O254+P254</f>
        <v>317</v>
      </c>
      <c r="M254" s="994">
        <f>+L254*$J$1</f>
        <v>500.86</v>
      </c>
      <c r="O254" s="934">
        <v>305</v>
      </c>
      <c r="P254" s="934">
        <v>12</v>
      </c>
    </row>
    <row r="255" spans="9:17" ht="13.8" hidden="1" x14ac:dyDescent="0.25">
      <c r="I255" s="934">
        <v>3868</v>
      </c>
      <c r="J255" s="989">
        <v>16</v>
      </c>
      <c r="K255" s="934" t="s">
        <v>321</v>
      </c>
      <c r="L255" s="968">
        <f>+O255+P255</f>
        <v>12</v>
      </c>
      <c r="M255" s="994">
        <f>+L255*$J$1</f>
        <v>18.96</v>
      </c>
      <c r="P255" s="934">
        <v>12</v>
      </c>
    </row>
    <row r="256" spans="9:17" ht="13.8" hidden="1" x14ac:dyDescent="0.25">
      <c r="I256" s="934">
        <v>3868</v>
      </c>
      <c r="J256" s="989">
        <v>14</v>
      </c>
      <c r="K256" s="934" t="s">
        <v>321</v>
      </c>
      <c r="L256" s="968">
        <f>+O256+P256</f>
        <v>405</v>
      </c>
      <c r="M256" s="994">
        <f>+L256*$J$1</f>
        <v>639.9</v>
      </c>
      <c r="O256" s="934">
        <v>393</v>
      </c>
      <c r="P256" s="934">
        <v>12</v>
      </c>
    </row>
    <row r="257" spans="9:17" ht="13.8" hidden="1" x14ac:dyDescent="0.25">
      <c r="I257" s="934">
        <v>3868</v>
      </c>
      <c r="J257" s="989">
        <v>12</v>
      </c>
      <c r="K257" s="934" t="s">
        <v>321</v>
      </c>
      <c r="L257" s="968">
        <f>+O257+P257+Q257</f>
        <v>755</v>
      </c>
      <c r="M257" s="994">
        <f>+L257*$J$1</f>
        <v>1192.9000000000001</v>
      </c>
      <c r="O257" s="934">
        <v>393</v>
      </c>
      <c r="P257" s="934">
        <v>12</v>
      </c>
      <c r="Q257" s="934">
        <v>350</v>
      </c>
    </row>
    <row r="258" spans="9:17" ht="13.8" hidden="1" x14ac:dyDescent="0.25">
      <c r="I258" s="934">
        <v>3868</v>
      </c>
      <c r="J258" s="989">
        <v>18</v>
      </c>
      <c r="K258" s="934" t="s">
        <v>345</v>
      </c>
      <c r="L258" s="968">
        <v>977</v>
      </c>
      <c r="M258" s="995">
        <f>+L258*$J$2</f>
        <v>430.85700000000003</v>
      </c>
    </row>
    <row r="259" spans="9:17" ht="13.8" hidden="1" x14ac:dyDescent="0.25">
      <c r="I259" s="934">
        <v>3868</v>
      </c>
      <c r="J259" s="989">
        <v>16</v>
      </c>
      <c r="K259" s="934" t="s">
        <v>345</v>
      </c>
      <c r="L259" s="968">
        <v>1149</v>
      </c>
      <c r="M259" s="995">
        <f>+L259*$J$2</f>
        <v>506.709</v>
      </c>
    </row>
    <row r="260" spans="9:17" ht="13.8" hidden="1" x14ac:dyDescent="0.25">
      <c r="I260" s="934">
        <v>3868</v>
      </c>
      <c r="J260" s="989">
        <v>14</v>
      </c>
      <c r="K260" s="934" t="s">
        <v>345</v>
      </c>
      <c r="L260" s="968">
        <v>1342</v>
      </c>
      <c r="M260" s="995">
        <f>+L260*$J$2</f>
        <v>591.822</v>
      </c>
      <c r="N260" s="934">
        <v>236</v>
      </c>
      <c r="O260" s="990">
        <f>+N260+L260</f>
        <v>1578</v>
      </c>
    </row>
    <row r="261" spans="9:17" ht="13.8" hidden="1" x14ac:dyDescent="0.25">
      <c r="I261" s="934">
        <v>3868</v>
      </c>
      <c r="J261" s="989">
        <v>12</v>
      </c>
      <c r="K261" s="934" t="s">
        <v>345</v>
      </c>
      <c r="L261" s="968">
        <v>2167</v>
      </c>
      <c r="M261" s="995">
        <f>+L261*$J$2</f>
        <v>955.64700000000005</v>
      </c>
      <c r="N261" s="934">
        <v>236</v>
      </c>
      <c r="O261" s="990">
        <f>+N261+L261</f>
        <v>2403</v>
      </c>
    </row>
    <row r="262" spans="9:17" ht="13.8" hidden="1" x14ac:dyDescent="0.25">
      <c r="I262" s="934">
        <v>3868</v>
      </c>
      <c r="J262" s="989">
        <v>18</v>
      </c>
      <c r="K262" s="934" t="s">
        <v>1363</v>
      </c>
      <c r="L262" s="968">
        <f>+N262+O262</f>
        <v>846</v>
      </c>
      <c r="M262" s="995">
        <f>+L262*$J$3</f>
        <v>363.78</v>
      </c>
      <c r="N262" s="968">
        <v>637</v>
      </c>
      <c r="O262" s="968">
        <f>53+53+103</f>
        <v>209</v>
      </c>
    </row>
    <row r="263" spans="9:17" ht="13.8" hidden="1" x14ac:dyDescent="0.25">
      <c r="I263" s="934">
        <v>3868</v>
      </c>
      <c r="J263" s="989">
        <v>16</v>
      </c>
      <c r="K263" s="934" t="s">
        <v>1363</v>
      </c>
      <c r="L263" s="968">
        <f>+N263+O263</f>
        <v>1014</v>
      </c>
      <c r="M263" s="995">
        <f>+L263*$J$3</f>
        <v>436.02</v>
      </c>
      <c r="N263" s="968">
        <v>805</v>
      </c>
      <c r="O263" s="968">
        <f>53+53+103</f>
        <v>209</v>
      </c>
    </row>
    <row r="264" spans="9:17" ht="13.8" hidden="1" x14ac:dyDescent="0.25">
      <c r="I264" s="934">
        <v>3868</v>
      </c>
      <c r="J264" s="989">
        <v>14</v>
      </c>
      <c r="K264" s="934" t="s">
        <v>1363</v>
      </c>
      <c r="L264" s="968">
        <f>+N264+O264</f>
        <v>1308</v>
      </c>
      <c r="M264" s="995">
        <f>+L264*$J$3</f>
        <v>562.43999999999994</v>
      </c>
      <c r="N264" s="968">
        <v>1099</v>
      </c>
      <c r="O264" s="968">
        <f>53+53+103</f>
        <v>209</v>
      </c>
    </row>
    <row r="265" spans="9:17" ht="13.8" hidden="1" x14ac:dyDescent="0.25">
      <c r="I265" s="934">
        <v>3868</v>
      </c>
      <c r="J265" s="989">
        <v>12</v>
      </c>
      <c r="K265" s="934" t="s">
        <v>1363</v>
      </c>
      <c r="M265" s="995">
        <f>+L265*$J$3</f>
        <v>0</v>
      </c>
      <c r="N265" s="968"/>
      <c r="O265" s="968"/>
    </row>
    <row r="266" spans="9:17" ht="13.8" hidden="1" x14ac:dyDescent="0.25">
      <c r="I266" s="934">
        <v>3070</v>
      </c>
      <c r="J266" s="989">
        <v>18</v>
      </c>
      <c r="K266" s="934" t="s">
        <v>321</v>
      </c>
      <c r="L266" s="968">
        <f>+O266+P266</f>
        <v>252</v>
      </c>
      <c r="M266" s="994">
        <f>+L266*$J$1</f>
        <v>398.16</v>
      </c>
      <c r="O266" s="934">
        <v>240</v>
      </c>
      <c r="P266" s="934">
        <v>12</v>
      </c>
    </row>
    <row r="267" spans="9:17" ht="13.8" hidden="1" x14ac:dyDescent="0.25">
      <c r="I267" s="934">
        <v>3070</v>
      </c>
      <c r="J267" s="989">
        <v>16</v>
      </c>
      <c r="K267" s="934" t="s">
        <v>321</v>
      </c>
      <c r="L267" s="968">
        <f>+O267+P267</f>
        <v>12</v>
      </c>
      <c r="M267" s="994">
        <f>+L267*$J$1</f>
        <v>18.96</v>
      </c>
      <c r="P267" s="934">
        <v>12</v>
      </c>
    </row>
    <row r="268" spans="9:17" ht="13.8" hidden="1" x14ac:dyDescent="0.25">
      <c r="I268" s="934">
        <v>3070</v>
      </c>
      <c r="J268" s="989">
        <v>14</v>
      </c>
      <c r="K268" s="934" t="s">
        <v>321</v>
      </c>
      <c r="L268" s="968">
        <f>+O268+P268</f>
        <v>351</v>
      </c>
      <c r="M268" s="994">
        <f>+L268*$J$1</f>
        <v>554.58000000000004</v>
      </c>
      <c r="O268" s="934">
        <v>339</v>
      </c>
      <c r="P268" s="934">
        <v>12</v>
      </c>
    </row>
    <row r="269" spans="9:17" ht="13.8" hidden="1" x14ac:dyDescent="0.25">
      <c r="I269" s="934">
        <v>3070</v>
      </c>
      <c r="J269" s="989">
        <v>12</v>
      </c>
      <c r="K269" s="934" t="s">
        <v>321</v>
      </c>
      <c r="L269" s="968">
        <f>+O269+P269+Q269</f>
        <v>701</v>
      </c>
      <c r="M269" s="994">
        <f>+L269*$J$1</f>
        <v>1107.5800000000002</v>
      </c>
      <c r="O269" s="934">
        <v>339</v>
      </c>
      <c r="P269" s="934">
        <v>12</v>
      </c>
      <c r="Q269" s="934">
        <v>350</v>
      </c>
    </row>
    <row r="270" spans="9:17" ht="13.8" hidden="1" x14ac:dyDescent="0.25">
      <c r="I270" s="934">
        <v>3070</v>
      </c>
      <c r="J270" s="989">
        <v>18</v>
      </c>
      <c r="K270" s="934" t="s">
        <v>345</v>
      </c>
      <c r="L270" s="968">
        <v>792</v>
      </c>
      <c r="M270" s="995">
        <f>+L270*$J$2</f>
        <v>349.27199999999999</v>
      </c>
    </row>
    <row r="271" spans="9:17" ht="13.8" hidden="1" x14ac:dyDescent="0.25">
      <c r="I271" s="934">
        <v>3070</v>
      </c>
      <c r="J271" s="989">
        <v>16</v>
      </c>
      <c r="K271" s="934" t="s">
        <v>345</v>
      </c>
      <c r="L271" s="968">
        <v>925</v>
      </c>
      <c r="M271" s="995">
        <f>+L271*$J$2</f>
        <v>407.92500000000001</v>
      </c>
    </row>
    <row r="272" spans="9:17" ht="13.8" hidden="1" x14ac:dyDescent="0.25">
      <c r="I272" s="934">
        <v>3070</v>
      </c>
      <c r="J272" s="989">
        <v>14</v>
      </c>
      <c r="K272" s="934" t="s">
        <v>345</v>
      </c>
      <c r="L272" s="968">
        <v>1032</v>
      </c>
      <c r="M272" s="995">
        <f>+L272*$J$2</f>
        <v>455.11200000000002</v>
      </c>
      <c r="N272" s="934">
        <v>236</v>
      </c>
      <c r="O272" s="990">
        <f>+N272+L272</f>
        <v>1268</v>
      </c>
      <c r="Q272" s="934">
        <f>30+45+18+16</f>
        <v>109</v>
      </c>
    </row>
    <row r="273" spans="9:17" ht="13.8" hidden="1" x14ac:dyDescent="0.25">
      <c r="I273" s="934">
        <v>3070</v>
      </c>
      <c r="J273" s="989">
        <v>12</v>
      </c>
      <c r="K273" s="934" t="s">
        <v>345</v>
      </c>
      <c r="L273" s="968">
        <v>1667</v>
      </c>
      <c r="M273" s="995">
        <f>+L273*$J$2</f>
        <v>735.14700000000005</v>
      </c>
      <c r="N273" s="934">
        <v>236</v>
      </c>
      <c r="O273" s="990">
        <f>+N273+L273</f>
        <v>1903</v>
      </c>
    </row>
    <row r="274" spans="9:17" ht="13.8" hidden="1" x14ac:dyDescent="0.25">
      <c r="I274" s="934">
        <v>3070</v>
      </c>
      <c r="J274" s="989">
        <v>18</v>
      </c>
      <c r="K274" s="934" t="s">
        <v>1363</v>
      </c>
      <c r="L274" s="968">
        <f>+N274+O274</f>
        <v>776</v>
      </c>
      <c r="M274" s="995">
        <f>+L274*$J$3</f>
        <v>333.68</v>
      </c>
      <c r="N274" s="968">
        <v>567</v>
      </c>
      <c r="O274" s="968">
        <f>53+53+103</f>
        <v>209</v>
      </c>
    </row>
    <row r="275" spans="9:17" ht="13.8" hidden="1" x14ac:dyDescent="0.25">
      <c r="I275" s="934">
        <v>3070</v>
      </c>
      <c r="J275" s="989">
        <v>16</v>
      </c>
      <c r="K275" s="934" t="s">
        <v>1363</v>
      </c>
      <c r="L275" s="968">
        <f>+N275+O275</f>
        <v>944</v>
      </c>
      <c r="M275" s="995">
        <f>+L275*$J$3</f>
        <v>405.92</v>
      </c>
      <c r="N275" s="968">
        <v>735</v>
      </c>
      <c r="O275" s="968">
        <f>53+53+103</f>
        <v>209</v>
      </c>
    </row>
    <row r="276" spans="9:17" ht="13.8" hidden="1" x14ac:dyDescent="0.25">
      <c r="I276" s="934">
        <v>3070</v>
      </c>
      <c r="J276" s="989">
        <v>14</v>
      </c>
      <c r="K276" s="934" t="s">
        <v>1363</v>
      </c>
      <c r="L276" s="968">
        <f>+N276+O276</f>
        <v>1238</v>
      </c>
      <c r="M276" s="995">
        <f>+L276*$J$3</f>
        <v>532.34</v>
      </c>
      <c r="N276" s="968">
        <v>1029</v>
      </c>
      <c r="O276" s="968">
        <f>53+53+103</f>
        <v>209</v>
      </c>
    </row>
    <row r="277" spans="9:17" ht="13.8" hidden="1" x14ac:dyDescent="0.25">
      <c r="I277" s="934">
        <v>3070</v>
      </c>
      <c r="J277" s="989">
        <v>12</v>
      </c>
      <c r="K277" s="934" t="s">
        <v>1363</v>
      </c>
      <c r="M277" s="995">
        <f>+L277*$J$3</f>
        <v>0</v>
      </c>
      <c r="N277" s="968"/>
      <c r="O277" s="968"/>
    </row>
    <row r="278" spans="9:17" ht="13.8" hidden="1" x14ac:dyDescent="0.25">
      <c r="I278" s="934">
        <v>3470</v>
      </c>
      <c r="J278" s="989">
        <v>18</v>
      </c>
      <c r="K278" s="934" t="s">
        <v>321</v>
      </c>
      <c r="L278" s="968">
        <f>+O278+P278</f>
        <v>297</v>
      </c>
      <c r="M278" s="994">
        <f>+L278*$J$1</f>
        <v>469.26000000000005</v>
      </c>
      <c r="O278" s="934">
        <v>285</v>
      </c>
      <c r="P278" s="934">
        <v>12</v>
      </c>
    </row>
    <row r="279" spans="9:17" ht="13.8" hidden="1" x14ac:dyDescent="0.25">
      <c r="I279" s="934">
        <v>3470</v>
      </c>
      <c r="J279" s="989">
        <v>16</v>
      </c>
      <c r="K279" s="934" t="s">
        <v>321</v>
      </c>
      <c r="L279" s="968">
        <f>+O279+P279</f>
        <v>12</v>
      </c>
      <c r="M279" s="994">
        <f>+L279*$J$1</f>
        <v>18.96</v>
      </c>
      <c r="P279" s="934">
        <v>12</v>
      </c>
    </row>
    <row r="280" spans="9:17" ht="13.8" hidden="1" x14ac:dyDescent="0.25">
      <c r="I280" s="934">
        <v>3470</v>
      </c>
      <c r="J280" s="989">
        <v>14</v>
      </c>
      <c r="K280" s="934" t="s">
        <v>321</v>
      </c>
      <c r="L280" s="968">
        <f>+O280+P280</f>
        <v>386</v>
      </c>
      <c r="M280" s="994">
        <f>+L280*$J$1</f>
        <v>609.88</v>
      </c>
      <c r="O280" s="934">
        <v>374</v>
      </c>
      <c r="P280" s="934">
        <v>12</v>
      </c>
    </row>
    <row r="281" spans="9:17" ht="13.8" hidden="1" x14ac:dyDescent="0.25">
      <c r="I281" s="934">
        <v>3470</v>
      </c>
      <c r="J281" s="989">
        <v>12</v>
      </c>
      <c r="K281" s="934" t="s">
        <v>321</v>
      </c>
      <c r="L281" s="968">
        <f>+O281+P281+Q281</f>
        <v>736</v>
      </c>
      <c r="M281" s="994">
        <f>+L281*$J$1</f>
        <v>1162.8800000000001</v>
      </c>
      <c r="O281" s="934">
        <v>374</v>
      </c>
      <c r="P281" s="934">
        <v>12</v>
      </c>
      <c r="Q281" s="934">
        <v>350</v>
      </c>
    </row>
    <row r="282" spans="9:17" ht="13.8" hidden="1" x14ac:dyDescent="0.25">
      <c r="I282" s="934">
        <v>3470</v>
      </c>
      <c r="J282" s="989">
        <v>18</v>
      </c>
      <c r="K282" s="934" t="s">
        <v>345</v>
      </c>
      <c r="L282" s="968">
        <v>926</v>
      </c>
      <c r="M282" s="995">
        <f>+L282*$J$2</f>
        <v>408.36599999999999</v>
      </c>
    </row>
    <row r="283" spans="9:17" ht="13.8" hidden="1" x14ac:dyDescent="0.25">
      <c r="I283" s="934">
        <v>3470</v>
      </c>
      <c r="J283" s="989">
        <v>16</v>
      </c>
      <c r="K283" s="934" t="s">
        <v>345</v>
      </c>
      <c r="L283" s="968">
        <v>1087</v>
      </c>
      <c r="M283" s="995">
        <f>+L283*$J$2</f>
        <v>479.36700000000002</v>
      </c>
    </row>
    <row r="284" spans="9:17" ht="13.8" hidden="1" x14ac:dyDescent="0.25">
      <c r="I284" s="934">
        <v>3470</v>
      </c>
      <c r="J284" s="989">
        <v>14</v>
      </c>
      <c r="K284" s="934" t="s">
        <v>345</v>
      </c>
      <c r="L284" s="968">
        <v>1256</v>
      </c>
      <c r="M284" s="995">
        <f>+L284*$J$2</f>
        <v>553.89599999999996</v>
      </c>
      <c r="N284" s="934">
        <v>236</v>
      </c>
      <c r="O284" s="990">
        <f>+N284+L284</f>
        <v>1492</v>
      </c>
    </row>
    <row r="285" spans="9:17" ht="13.8" hidden="1" x14ac:dyDescent="0.25">
      <c r="I285" s="934">
        <v>3470</v>
      </c>
      <c r="J285" s="989">
        <v>12</v>
      </c>
      <c r="K285" s="934" t="s">
        <v>345</v>
      </c>
      <c r="L285" s="968">
        <v>2030</v>
      </c>
      <c r="M285" s="995">
        <f>+L285*$J$2</f>
        <v>895.23</v>
      </c>
      <c r="N285" s="934">
        <v>236</v>
      </c>
      <c r="O285" s="990">
        <f>+N285+L285</f>
        <v>2266</v>
      </c>
    </row>
    <row r="286" spans="9:17" ht="13.8" hidden="1" x14ac:dyDescent="0.25">
      <c r="I286" s="934">
        <v>3470</v>
      </c>
      <c r="J286" s="989">
        <v>18</v>
      </c>
      <c r="K286" s="934" t="s">
        <v>1363</v>
      </c>
      <c r="L286" s="968">
        <f>+N286+O286</f>
        <v>883</v>
      </c>
      <c r="M286" s="995">
        <f>+L286*$J$3</f>
        <v>379.69</v>
      </c>
      <c r="N286" s="968">
        <v>674</v>
      </c>
      <c r="O286" s="968">
        <f>53+53+103</f>
        <v>209</v>
      </c>
    </row>
    <row r="287" spans="9:17" ht="13.8" hidden="1" x14ac:dyDescent="0.25">
      <c r="I287" s="934">
        <v>3470</v>
      </c>
      <c r="J287" s="989">
        <v>16</v>
      </c>
      <c r="K287" s="934" t="s">
        <v>1363</v>
      </c>
      <c r="L287" s="968">
        <f>+N287+O287</f>
        <v>1051</v>
      </c>
      <c r="M287" s="995">
        <f>+L287*$J$3</f>
        <v>451.93</v>
      </c>
      <c r="N287" s="968">
        <v>842</v>
      </c>
      <c r="O287" s="968">
        <f>53+53+103</f>
        <v>209</v>
      </c>
    </row>
    <row r="288" spans="9:17" ht="13.8" hidden="1" x14ac:dyDescent="0.25">
      <c r="I288" s="934">
        <v>3470</v>
      </c>
      <c r="J288" s="989">
        <v>14</v>
      </c>
      <c r="K288" s="934" t="s">
        <v>1363</v>
      </c>
      <c r="L288" s="968">
        <f>+N288+O288</f>
        <v>1345</v>
      </c>
      <c r="M288" s="995">
        <f>+L288*$J$3</f>
        <v>578.35</v>
      </c>
      <c r="N288" s="968">
        <v>1136</v>
      </c>
      <c r="O288" s="968">
        <f>53+53+103</f>
        <v>209</v>
      </c>
    </row>
    <row r="289" spans="9:17" ht="13.8" hidden="1" x14ac:dyDescent="0.25">
      <c r="I289" s="934">
        <v>3470</v>
      </c>
      <c r="J289" s="989">
        <v>12</v>
      </c>
      <c r="K289" s="934" t="s">
        <v>1363</v>
      </c>
      <c r="M289" s="995">
        <f>+L289*$J$3</f>
        <v>0</v>
      </c>
      <c r="N289" s="968"/>
      <c r="O289" s="968"/>
    </row>
    <row r="290" spans="9:17" ht="13.8" hidden="1" x14ac:dyDescent="0.25">
      <c r="I290" s="934">
        <v>3670</v>
      </c>
      <c r="J290" s="989">
        <v>18</v>
      </c>
      <c r="K290" s="934" t="s">
        <v>321</v>
      </c>
      <c r="L290" s="968">
        <f>+O290+P290</f>
        <v>297</v>
      </c>
      <c r="M290" s="994">
        <f>+L290*$J$1</f>
        <v>469.26000000000005</v>
      </c>
      <c r="O290" s="934">
        <v>285</v>
      </c>
      <c r="P290" s="934">
        <v>12</v>
      </c>
    </row>
    <row r="291" spans="9:17" ht="13.8" hidden="1" x14ac:dyDescent="0.25">
      <c r="I291" s="934">
        <v>3670</v>
      </c>
      <c r="J291" s="989">
        <v>16</v>
      </c>
      <c r="K291" s="934" t="s">
        <v>321</v>
      </c>
      <c r="L291" s="968">
        <f>+O291+P291</f>
        <v>12</v>
      </c>
      <c r="M291" s="994">
        <f>+L291*$J$1</f>
        <v>18.96</v>
      </c>
      <c r="P291" s="934">
        <v>12</v>
      </c>
    </row>
    <row r="292" spans="9:17" ht="13.8" hidden="1" x14ac:dyDescent="0.25">
      <c r="I292" s="934">
        <v>3670</v>
      </c>
      <c r="J292" s="989">
        <v>14</v>
      </c>
      <c r="K292" s="934" t="s">
        <v>321</v>
      </c>
      <c r="L292" s="968">
        <f>+O292+P292</f>
        <v>386</v>
      </c>
      <c r="M292" s="994">
        <f>+L292*$J$1</f>
        <v>609.88</v>
      </c>
      <c r="O292" s="934">
        <v>374</v>
      </c>
      <c r="P292" s="934">
        <v>12</v>
      </c>
    </row>
    <row r="293" spans="9:17" ht="13.8" hidden="1" x14ac:dyDescent="0.25">
      <c r="I293" s="934">
        <v>3670</v>
      </c>
      <c r="J293" s="989">
        <v>12</v>
      </c>
      <c r="K293" s="934" t="s">
        <v>321</v>
      </c>
      <c r="L293" s="968">
        <f>+O293+P293+Q293</f>
        <v>736</v>
      </c>
      <c r="M293" s="994">
        <f>+L293*$J$1</f>
        <v>1162.8800000000001</v>
      </c>
      <c r="O293" s="934">
        <v>374</v>
      </c>
      <c r="P293" s="934">
        <v>12</v>
      </c>
      <c r="Q293" s="934">
        <v>350</v>
      </c>
    </row>
    <row r="294" spans="9:17" ht="13.8" hidden="1" x14ac:dyDescent="0.25">
      <c r="I294" s="934">
        <v>3670</v>
      </c>
      <c r="J294" s="989">
        <v>18</v>
      </c>
      <c r="K294" s="934" t="s">
        <v>345</v>
      </c>
      <c r="L294" s="968">
        <v>933</v>
      </c>
      <c r="M294" s="995">
        <f>+L294*$J$2</f>
        <v>411.45299999999997</v>
      </c>
    </row>
    <row r="295" spans="9:17" ht="13.8" hidden="1" x14ac:dyDescent="0.25">
      <c r="I295" s="934">
        <v>3670</v>
      </c>
      <c r="J295" s="989">
        <v>16</v>
      </c>
      <c r="K295" s="934" t="s">
        <v>345</v>
      </c>
      <c r="L295" s="968">
        <v>1095</v>
      </c>
      <c r="M295" s="995">
        <f>+L295*$J$2</f>
        <v>482.89499999999998</v>
      </c>
    </row>
    <row r="296" spans="9:17" ht="13.8" hidden="1" x14ac:dyDescent="0.25">
      <c r="I296" s="934">
        <v>3670</v>
      </c>
      <c r="J296" s="989">
        <v>14</v>
      </c>
      <c r="K296" s="934" t="s">
        <v>345</v>
      </c>
      <c r="L296" s="968">
        <v>1256</v>
      </c>
      <c r="M296" s="995">
        <f>+L296*$J$2</f>
        <v>553.89599999999996</v>
      </c>
      <c r="N296" s="934">
        <v>236</v>
      </c>
      <c r="O296" s="990">
        <f>+N296+L296</f>
        <v>1492</v>
      </c>
    </row>
    <row r="297" spans="9:17" ht="13.8" hidden="1" x14ac:dyDescent="0.25">
      <c r="I297" s="934">
        <v>3670</v>
      </c>
      <c r="J297" s="989">
        <v>12</v>
      </c>
      <c r="K297" s="934" t="s">
        <v>345</v>
      </c>
      <c r="L297" s="968">
        <v>2030</v>
      </c>
      <c r="M297" s="995">
        <f>+L297*$J$2</f>
        <v>895.23</v>
      </c>
      <c r="N297" s="934">
        <v>236</v>
      </c>
      <c r="O297" s="990">
        <f>+N297+L297</f>
        <v>2266</v>
      </c>
    </row>
    <row r="298" spans="9:17" ht="13.8" hidden="1" x14ac:dyDescent="0.25">
      <c r="I298" s="934">
        <v>3670</v>
      </c>
      <c r="J298" s="989">
        <v>18</v>
      </c>
      <c r="K298" s="934" t="s">
        <v>1363</v>
      </c>
      <c r="L298" s="968">
        <f>+N298+O298</f>
        <v>883</v>
      </c>
      <c r="M298" s="995">
        <f>+L298*$J$3</f>
        <v>379.69</v>
      </c>
      <c r="N298" s="968">
        <v>674</v>
      </c>
      <c r="O298" s="968">
        <f>53+53+103</f>
        <v>209</v>
      </c>
    </row>
    <row r="299" spans="9:17" ht="13.8" hidden="1" x14ac:dyDescent="0.25">
      <c r="I299" s="934">
        <v>3670</v>
      </c>
      <c r="J299" s="989">
        <v>16</v>
      </c>
      <c r="K299" s="934" t="s">
        <v>1363</v>
      </c>
      <c r="L299" s="968">
        <f>+N299+O299</f>
        <v>1051</v>
      </c>
      <c r="M299" s="995">
        <f>+L299*$J$3</f>
        <v>451.93</v>
      </c>
      <c r="N299" s="968">
        <v>842</v>
      </c>
      <c r="O299" s="968">
        <f>53+53+103</f>
        <v>209</v>
      </c>
    </row>
    <row r="300" spans="9:17" ht="13.8" hidden="1" x14ac:dyDescent="0.25">
      <c r="I300" s="934">
        <v>3670</v>
      </c>
      <c r="J300" s="989">
        <v>14</v>
      </c>
      <c r="K300" s="934" t="s">
        <v>1363</v>
      </c>
      <c r="L300" s="968">
        <f>+N300+O300</f>
        <v>1345</v>
      </c>
      <c r="M300" s="995">
        <f>+L300*$J$3</f>
        <v>578.35</v>
      </c>
      <c r="N300" s="968">
        <v>1136</v>
      </c>
      <c r="O300" s="968">
        <f>53+53+103</f>
        <v>209</v>
      </c>
    </row>
    <row r="301" spans="9:17" ht="13.8" hidden="1" x14ac:dyDescent="0.25">
      <c r="I301" s="934">
        <v>3670</v>
      </c>
      <c r="J301" s="989">
        <v>12</v>
      </c>
      <c r="K301" s="934" t="s">
        <v>1363</v>
      </c>
      <c r="M301" s="995">
        <f>+L301*$J$3</f>
        <v>0</v>
      </c>
      <c r="N301" s="968"/>
      <c r="O301" s="968"/>
    </row>
    <row r="302" spans="9:17" ht="13.8" hidden="1" x14ac:dyDescent="0.25">
      <c r="I302" s="934">
        <v>3870</v>
      </c>
      <c r="J302" s="989">
        <v>18</v>
      </c>
      <c r="K302" s="934" t="s">
        <v>321</v>
      </c>
      <c r="L302" s="968">
        <f>+O302+P302</f>
        <v>329</v>
      </c>
      <c r="M302" s="994">
        <f>+L302*$J$1</f>
        <v>519.82000000000005</v>
      </c>
      <c r="O302" s="934">
        <v>317</v>
      </c>
      <c r="P302" s="934">
        <v>12</v>
      </c>
    </row>
    <row r="303" spans="9:17" ht="13.8" hidden="1" x14ac:dyDescent="0.25">
      <c r="I303" s="934">
        <v>3870</v>
      </c>
      <c r="J303" s="989">
        <v>16</v>
      </c>
      <c r="K303" s="934" t="s">
        <v>321</v>
      </c>
      <c r="L303" s="968">
        <f>+O303+P303</f>
        <v>12</v>
      </c>
      <c r="M303" s="994">
        <f>+L303*$J$1</f>
        <v>18.96</v>
      </c>
      <c r="P303" s="934">
        <v>12</v>
      </c>
    </row>
    <row r="304" spans="9:17" ht="13.8" hidden="1" x14ac:dyDescent="0.25">
      <c r="I304" s="934">
        <v>3870</v>
      </c>
      <c r="J304" s="989">
        <v>14</v>
      </c>
      <c r="K304" s="934" t="s">
        <v>321</v>
      </c>
      <c r="L304" s="968">
        <f>+O304+P304</f>
        <v>420</v>
      </c>
      <c r="M304" s="994">
        <f>+L304*$J$1</f>
        <v>663.6</v>
      </c>
      <c r="O304" s="934">
        <v>408</v>
      </c>
      <c r="P304" s="934">
        <v>12</v>
      </c>
    </row>
    <row r="305" spans="9:17" ht="13.8" hidden="1" x14ac:dyDescent="0.25">
      <c r="I305" s="934">
        <v>3870</v>
      </c>
      <c r="J305" s="989">
        <v>12</v>
      </c>
      <c r="K305" s="934" t="s">
        <v>321</v>
      </c>
      <c r="L305" s="968">
        <f>+O305+P305+Q305</f>
        <v>770</v>
      </c>
      <c r="M305" s="994">
        <f>+L305*$J$1</f>
        <v>1216.6000000000001</v>
      </c>
      <c r="O305" s="934">
        <v>408</v>
      </c>
      <c r="P305" s="934">
        <v>12</v>
      </c>
      <c r="Q305" s="934">
        <v>350</v>
      </c>
    </row>
    <row r="306" spans="9:17" ht="13.8" hidden="1" x14ac:dyDescent="0.25">
      <c r="I306" s="934">
        <v>3870</v>
      </c>
      <c r="J306" s="989">
        <v>18</v>
      </c>
      <c r="K306" s="934" t="s">
        <v>345</v>
      </c>
      <c r="L306" s="968">
        <v>1024</v>
      </c>
      <c r="M306" s="995">
        <f>+L306*$J$2</f>
        <v>451.584</v>
      </c>
    </row>
    <row r="307" spans="9:17" ht="13.8" hidden="1" x14ac:dyDescent="0.25">
      <c r="I307" s="934">
        <v>3870</v>
      </c>
      <c r="J307" s="989">
        <v>16</v>
      </c>
      <c r="K307" s="934" t="s">
        <v>345</v>
      </c>
      <c r="L307" s="968">
        <v>1206</v>
      </c>
      <c r="M307" s="995">
        <f>+L307*$J$2</f>
        <v>531.846</v>
      </c>
    </row>
    <row r="308" spans="9:17" ht="13.8" hidden="1" x14ac:dyDescent="0.25">
      <c r="I308" s="934">
        <v>3870</v>
      </c>
      <c r="J308" s="989">
        <v>14</v>
      </c>
      <c r="K308" s="934" t="s">
        <v>345</v>
      </c>
      <c r="L308" s="968">
        <v>1411</v>
      </c>
      <c r="M308" s="995">
        <f>+L308*$J$2</f>
        <v>622.25099999999998</v>
      </c>
      <c r="N308" s="934">
        <v>236</v>
      </c>
      <c r="O308" s="990">
        <f>+N308+L308</f>
        <v>1647</v>
      </c>
    </row>
    <row r="309" spans="9:17" ht="13.8" hidden="1" x14ac:dyDescent="0.25">
      <c r="I309" s="934">
        <v>3870</v>
      </c>
      <c r="J309" s="989">
        <v>12</v>
      </c>
      <c r="K309" s="934" t="s">
        <v>345</v>
      </c>
      <c r="L309" s="968">
        <v>2280</v>
      </c>
      <c r="M309" s="995">
        <f>+L309*$J$2</f>
        <v>1005.48</v>
      </c>
      <c r="N309" s="934">
        <v>236</v>
      </c>
      <c r="O309" s="990">
        <f>+N309+L309</f>
        <v>2516</v>
      </c>
    </row>
    <row r="310" spans="9:17" ht="13.8" hidden="1" x14ac:dyDescent="0.25">
      <c r="I310" s="934">
        <v>3870</v>
      </c>
      <c r="J310" s="989">
        <v>18</v>
      </c>
      <c r="K310" s="934" t="s">
        <v>1363</v>
      </c>
      <c r="L310" s="968">
        <f>+N310+O310</f>
        <v>883</v>
      </c>
      <c r="M310" s="995">
        <f>+L310*$J$3</f>
        <v>379.69</v>
      </c>
      <c r="N310" s="968">
        <v>674</v>
      </c>
      <c r="O310" s="968">
        <f>53+53+103</f>
        <v>209</v>
      </c>
    </row>
    <row r="311" spans="9:17" ht="13.8" hidden="1" x14ac:dyDescent="0.25">
      <c r="I311" s="934">
        <v>3870</v>
      </c>
      <c r="J311" s="989">
        <v>16</v>
      </c>
      <c r="K311" s="934" t="s">
        <v>1363</v>
      </c>
      <c r="L311" s="968">
        <f>+N311+O311</f>
        <v>1051</v>
      </c>
      <c r="M311" s="995">
        <f>+L311*$J$3</f>
        <v>451.93</v>
      </c>
      <c r="N311" s="968">
        <v>842</v>
      </c>
      <c r="O311" s="968">
        <f>53+53+103</f>
        <v>209</v>
      </c>
    </row>
    <row r="312" spans="9:17" ht="13.8" hidden="1" x14ac:dyDescent="0.25">
      <c r="I312" s="934">
        <v>3870</v>
      </c>
      <c r="J312" s="989">
        <v>14</v>
      </c>
      <c r="K312" s="934" t="s">
        <v>1363</v>
      </c>
      <c r="L312" s="968">
        <f>+N312+O312</f>
        <v>1345</v>
      </c>
      <c r="M312" s="995">
        <f>+L312*$J$3</f>
        <v>578.35</v>
      </c>
      <c r="N312" s="968">
        <v>1136</v>
      </c>
      <c r="O312" s="968">
        <f>53+53+103</f>
        <v>209</v>
      </c>
    </row>
    <row r="313" spans="9:17" ht="13.8" hidden="1" x14ac:dyDescent="0.25">
      <c r="I313" s="934">
        <v>3870</v>
      </c>
      <c r="J313" s="989">
        <v>12</v>
      </c>
      <c r="K313" s="934" t="s">
        <v>1363</v>
      </c>
      <c r="M313" s="995">
        <f>+L313*$J$3</f>
        <v>0</v>
      </c>
      <c r="N313" s="968"/>
      <c r="O313" s="968"/>
    </row>
    <row r="314" spans="9:17" ht="13.8" hidden="1" x14ac:dyDescent="0.25">
      <c r="I314" s="934">
        <v>3080</v>
      </c>
      <c r="J314" s="989">
        <v>18</v>
      </c>
      <c r="K314" s="934" t="s">
        <v>321</v>
      </c>
      <c r="L314" s="968">
        <f>+O314+P314</f>
        <v>321</v>
      </c>
      <c r="M314" s="994">
        <f>+L314*$J$1</f>
        <v>507.18</v>
      </c>
      <c r="O314" s="934">
        <v>309</v>
      </c>
      <c r="P314" s="934">
        <v>12</v>
      </c>
    </row>
    <row r="315" spans="9:17" ht="13.8" hidden="1" x14ac:dyDescent="0.25">
      <c r="I315" s="934">
        <v>3080</v>
      </c>
      <c r="J315" s="989">
        <v>16</v>
      </c>
      <c r="K315" s="934" t="s">
        <v>321</v>
      </c>
      <c r="L315" s="968">
        <f>+O315+P315</f>
        <v>12</v>
      </c>
      <c r="M315" s="994">
        <f>+L315*$J$1</f>
        <v>18.96</v>
      </c>
      <c r="P315" s="934">
        <v>12</v>
      </c>
    </row>
    <row r="316" spans="9:17" ht="13.8" hidden="1" x14ac:dyDescent="0.25">
      <c r="I316" s="934">
        <v>3080</v>
      </c>
      <c r="J316" s="989">
        <v>14</v>
      </c>
      <c r="K316" s="934" t="s">
        <v>321</v>
      </c>
      <c r="L316" s="968">
        <f>+O316+P316</f>
        <v>442</v>
      </c>
      <c r="M316" s="994">
        <f>+L316*$J$1</f>
        <v>698.36</v>
      </c>
      <c r="O316" s="934">
        <v>430</v>
      </c>
      <c r="P316" s="934">
        <v>12</v>
      </c>
    </row>
    <row r="317" spans="9:17" ht="13.8" hidden="1" x14ac:dyDescent="0.25">
      <c r="I317" s="934">
        <v>3080</v>
      </c>
      <c r="J317" s="989">
        <v>12</v>
      </c>
      <c r="K317" s="934" t="s">
        <v>321</v>
      </c>
      <c r="L317" s="968">
        <f>+O317+P317+Q317</f>
        <v>792</v>
      </c>
      <c r="M317" s="994">
        <f>+L317*$J$1</f>
        <v>1251.3600000000001</v>
      </c>
      <c r="O317" s="934">
        <v>430</v>
      </c>
      <c r="P317" s="934">
        <v>12</v>
      </c>
      <c r="Q317" s="934">
        <v>350</v>
      </c>
    </row>
    <row r="318" spans="9:17" ht="13.8" hidden="1" x14ac:dyDescent="0.25">
      <c r="I318" s="934">
        <v>3080</v>
      </c>
      <c r="J318" s="989">
        <v>18</v>
      </c>
      <c r="K318" s="934" t="s">
        <v>345</v>
      </c>
      <c r="L318" s="968">
        <v>901</v>
      </c>
      <c r="M318" s="995">
        <f>+L318*$J$2</f>
        <v>397.34100000000001</v>
      </c>
    </row>
    <row r="319" spans="9:17" ht="13.8" hidden="1" x14ac:dyDescent="0.25">
      <c r="I319" s="934">
        <v>3080</v>
      </c>
      <c r="J319" s="989">
        <v>16</v>
      </c>
      <c r="K319" s="934" t="s">
        <v>345</v>
      </c>
      <c r="L319" s="968">
        <v>1056</v>
      </c>
      <c r="M319" s="995">
        <f>+L319*$J$2</f>
        <v>465.69600000000003</v>
      </c>
    </row>
    <row r="320" spans="9:17" ht="13.8" hidden="1" x14ac:dyDescent="0.25">
      <c r="I320" s="934">
        <v>3080</v>
      </c>
      <c r="J320" s="989">
        <v>14</v>
      </c>
      <c r="K320" s="934" t="s">
        <v>345</v>
      </c>
      <c r="L320" s="968">
        <v>1553</v>
      </c>
      <c r="M320" s="995">
        <f>+L320*$J$2</f>
        <v>684.87300000000005</v>
      </c>
      <c r="N320" s="934">
        <v>236</v>
      </c>
      <c r="O320" s="990">
        <f>+N320+L320</f>
        <v>1789</v>
      </c>
    </row>
    <row r="321" spans="9:17" ht="13.8" hidden="1" x14ac:dyDescent="0.25">
      <c r="I321" s="934">
        <v>3080</v>
      </c>
      <c r="J321" s="989">
        <v>12</v>
      </c>
      <c r="K321" s="934" t="s">
        <v>345</v>
      </c>
      <c r="L321" s="968">
        <v>2518</v>
      </c>
      <c r="M321" s="995">
        <f>+L321*$J$2</f>
        <v>1110.4380000000001</v>
      </c>
      <c r="N321" s="934">
        <v>236</v>
      </c>
      <c r="O321" s="990">
        <f>+N321+L321</f>
        <v>2754</v>
      </c>
    </row>
    <row r="322" spans="9:17" ht="13.8" hidden="1" x14ac:dyDescent="0.25">
      <c r="I322" s="934">
        <v>3080</v>
      </c>
      <c r="J322" s="989">
        <v>18</v>
      </c>
      <c r="K322" s="934" t="s">
        <v>1363</v>
      </c>
      <c r="L322" s="968">
        <f>+N322+O322</f>
        <v>868</v>
      </c>
      <c r="M322" s="995">
        <f>+L322*$J$3</f>
        <v>373.24</v>
      </c>
      <c r="N322" s="968">
        <v>659</v>
      </c>
      <c r="O322" s="968">
        <f>53+53+103</f>
        <v>209</v>
      </c>
    </row>
    <row r="323" spans="9:17" ht="13.8" hidden="1" x14ac:dyDescent="0.25">
      <c r="I323" s="934">
        <v>3080</v>
      </c>
      <c r="J323" s="989">
        <v>16</v>
      </c>
      <c r="K323" s="934" t="s">
        <v>1363</v>
      </c>
      <c r="L323" s="968">
        <f>+N323+O323</f>
        <v>1036</v>
      </c>
      <c r="M323" s="995">
        <f>+L323*$J$3</f>
        <v>445.48</v>
      </c>
      <c r="N323" s="968">
        <v>827</v>
      </c>
      <c r="O323" s="968">
        <f>53+53+103</f>
        <v>209</v>
      </c>
    </row>
    <row r="324" spans="9:17" ht="13.8" hidden="1" x14ac:dyDescent="0.25">
      <c r="I324" s="934">
        <v>3080</v>
      </c>
      <c r="J324" s="989">
        <v>14</v>
      </c>
      <c r="K324" s="934" t="s">
        <v>1363</v>
      </c>
      <c r="L324" s="968">
        <f>+N324+O324</f>
        <v>1330</v>
      </c>
      <c r="M324" s="995">
        <f>+L324*$J$3</f>
        <v>571.9</v>
      </c>
      <c r="N324" s="968">
        <v>1121</v>
      </c>
      <c r="O324" s="968">
        <f>53+53+103</f>
        <v>209</v>
      </c>
    </row>
    <row r="325" spans="9:17" ht="13.8" hidden="1" x14ac:dyDescent="0.25">
      <c r="I325" s="934">
        <v>3080</v>
      </c>
      <c r="J325" s="989">
        <v>12</v>
      </c>
      <c r="K325" s="934" t="s">
        <v>1363</v>
      </c>
      <c r="M325" s="995">
        <f>+L325*$J$3</f>
        <v>0</v>
      </c>
      <c r="N325" s="968"/>
      <c r="O325" s="968"/>
    </row>
    <row r="326" spans="9:17" ht="13.8" hidden="1" x14ac:dyDescent="0.25">
      <c r="I326" s="934">
        <v>3480</v>
      </c>
      <c r="J326" s="989">
        <v>18</v>
      </c>
      <c r="K326" s="934" t="s">
        <v>321</v>
      </c>
      <c r="L326" s="968">
        <f>+O326+P326</f>
        <v>363</v>
      </c>
      <c r="M326" s="994">
        <f>+L326*$J$1</f>
        <v>573.54000000000008</v>
      </c>
      <c r="O326" s="934">
        <v>351</v>
      </c>
      <c r="P326" s="934">
        <v>12</v>
      </c>
    </row>
    <row r="327" spans="9:17" ht="13.8" hidden="1" x14ac:dyDescent="0.25">
      <c r="I327" s="934">
        <v>3480</v>
      </c>
      <c r="J327" s="989">
        <v>16</v>
      </c>
      <c r="K327" s="934" t="s">
        <v>321</v>
      </c>
      <c r="L327" s="968">
        <f>+O327+P327</f>
        <v>12</v>
      </c>
      <c r="M327" s="994">
        <f>+L327*$J$1</f>
        <v>18.96</v>
      </c>
      <c r="P327" s="934">
        <v>12</v>
      </c>
    </row>
    <row r="328" spans="9:17" ht="13.8" hidden="1" x14ac:dyDescent="0.25">
      <c r="I328" s="934">
        <v>3480</v>
      </c>
      <c r="J328" s="989">
        <v>14</v>
      </c>
      <c r="K328" s="934" t="s">
        <v>321</v>
      </c>
      <c r="L328" s="968">
        <f>+O328+P328</f>
        <v>500</v>
      </c>
      <c r="M328" s="994">
        <f>+L328*$J$1</f>
        <v>790</v>
      </c>
      <c r="O328" s="934">
        <v>488</v>
      </c>
      <c r="P328" s="934">
        <v>12</v>
      </c>
    </row>
    <row r="329" spans="9:17" ht="13.8" hidden="1" x14ac:dyDescent="0.25">
      <c r="I329" s="934">
        <v>3480</v>
      </c>
      <c r="J329" s="989">
        <v>12</v>
      </c>
      <c r="K329" s="934" t="s">
        <v>321</v>
      </c>
      <c r="L329" s="968">
        <f>+O329+P329+Q329</f>
        <v>850</v>
      </c>
      <c r="M329" s="994">
        <f>+L329*$J$1</f>
        <v>1343</v>
      </c>
      <c r="O329" s="934">
        <v>488</v>
      </c>
      <c r="P329" s="934">
        <v>12</v>
      </c>
      <c r="Q329" s="934">
        <v>350</v>
      </c>
    </row>
    <row r="330" spans="9:17" ht="13.8" hidden="1" x14ac:dyDescent="0.25">
      <c r="I330" s="934">
        <v>3480</v>
      </c>
      <c r="J330" s="989">
        <v>18</v>
      </c>
      <c r="K330" s="934" t="s">
        <v>345</v>
      </c>
      <c r="L330" s="968">
        <v>1121</v>
      </c>
      <c r="M330" s="995">
        <f>+L330*$J$2</f>
        <v>494.36099999999999</v>
      </c>
    </row>
    <row r="331" spans="9:17" ht="13.8" hidden="1" x14ac:dyDescent="0.25">
      <c r="I331" s="934">
        <v>3480</v>
      </c>
      <c r="J331" s="989">
        <v>16</v>
      </c>
      <c r="K331" s="934" t="s">
        <v>345</v>
      </c>
      <c r="L331" s="968">
        <v>1322</v>
      </c>
      <c r="M331" s="995">
        <f>+L331*$J$2</f>
        <v>583.00199999999995</v>
      </c>
    </row>
    <row r="332" spans="9:17" ht="13.8" hidden="1" x14ac:dyDescent="0.25">
      <c r="I332" s="934">
        <v>3480</v>
      </c>
      <c r="J332" s="989">
        <v>14</v>
      </c>
      <c r="K332" s="934" t="s">
        <v>345</v>
      </c>
      <c r="L332" s="968">
        <v>1553</v>
      </c>
      <c r="M332" s="995">
        <f>+L332*$J$2</f>
        <v>684.87300000000005</v>
      </c>
      <c r="N332" s="934">
        <v>236</v>
      </c>
      <c r="O332" s="990">
        <f>+N332+L332</f>
        <v>1789</v>
      </c>
    </row>
    <row r="333" spans="9:17" ht="13.8" hidden="1" x14ac:dyDescent="0.25">
      <c r="I333" s="934">
        <v>3480</v>
      </c>
      <c r="J333" s="989">
        <v>12</v>
      </c>
      <c r="K333" s="934" t="s">
        <v>345</v>
      </c>
      <c r="L333" s="968">
        <v>2518</v>
      </c>
      <c r="M333" s="995">
        <f>+L333*$J$2</f>
        <v>1110.4380000000001</v>
      </c>
      <c r="N333" s="934">
        <v>236</v>
      </c>
      <c r="O333" s="990">
        <f>+N333+L333</f>
        <v>2754</v>
      </c>
    </row>
    <row r="334" spans="9:17" ht="13.8" hidden="1" x14ac:dyDescent="0.25">
      <c r="I334" s="934">
        <v>3480</v>
      </c>
      <c r="J334" s="989">
        <v>18</v>
      </c>
      <c r="K334" s="934" t="s">
        <v>1363</v>
      </c>
      <c r="L334" s="968">
        <f>+N334+O334</f>
        <v>974</v>
      </c>
      <c r="M334" s="995">
        <f>+L334*$J$3</f>
        <v>418.82</v>
      </c>
      <c r="N334" s="968">
        <v>765</v>
      </c>
      <c r="O334" s="968">
        <f>53+53+103</f>
        <v>209</v>
      </c>
    </row>
    <row r="335" spans="9:17" ht="13.8" hidden="1" x14ac:dyDescent="0.25">
      <c r="I335" s="934">
        <v>3480</v>
      </c>
      <c r="J335" s="989">
        <v>16</v>
      </c>
      <c r="K335" s="934" t="s">
        <v>1363</v>
      </c>
      <c r="L335" s="968">
        <f>+N335+O335</f>
        <v>1142</v>
      </c>
      <c r="M335" s="995">
        <f>+L335*$J$3</f>
        <v>491.06</v>
      </c>
      <c r="N335" s="968">
        <v>933</v>
      </c>
      <c r="O335" s="968">
        <f>53+53+103</f>
        <v>209</v>
      </c>
    </row>
    <row r="336" spans="9:17" ht="13.8" hidden="1" x14ac:dyDescent="0.25">
      <c r="I336" s="934">
        <v>3480</v>
      </c>
      <c r="J336" s="989">
        <v>14</v>
      </c>
      <c r="K336" s="934" t="s">
        <v>1363</v>
      </c>
      <c r="L336" s="968">
        <f>+N336+O336</f>
        <v>1436</v>
      </c>
      <c r="M336" s="995">
        <f>+L336*$J$3</f>
        <v>617.48</v>
      </c>
      <c r="N336" s="968">
        <v>1227</v>
      </c>
      <c r="O336" s="968">
        <f>53+53+103</f>
        <v>209</v>
      </c>
    </row>
    <row r="337" spans="9:17" ht="13.8" hidden="1" x14ac:dyDescent="0.25">
      <c r="I337" s="934">
        <v>3480</v>
      </c>
      <c r="J337" s="989">
        <v>12</v>
      </c>
      <c r="K337" s="934" t="s">
        <v>1363</v>
      </c>
      <c r="M337" s="995">
        <f>+L337*$J$3</f>
        <v>0</v>
      </c>
      <c r="N337" s="968"/>
      <c r="O337" s="968"/>
    </row>
    <row r="338" spans="9:17" ht="13.8" hidden="1" x14ac:dyDescent="0.25">
      <c r="I338" s="934">
        <v>3680</v>
      </c>
      <c r="J338" s="989">
        <v>18</v>
      </c>
      <c r="K338" s="934" t="s">
        <v>321</v>
      </c>
      <c r="L338" s="968">
        <f>+O338+P338</f>
        <v>363</v>
      </c>
      <c r="M338" s="994">
        <f>+L338*$J$1</f>
        <v>573.54000000000008</v>
      </c>
      <c r="O338" s="934">
        <v>351</v>
      </c>
      <c r="P338" s="934">
        <v>12</v>
      </c>
    </row>
    <row r="339" spans="9:17" ht="13.8" hidden="1" x14ac:dyDescent="0.25">
      <c r="I339" s="934">
        <v>3680</v>
      </c>
      <c r="J339" s="989">
        <v>16</v>
      </c>
      <c r="K339" s="934" t="s">
        <v>321</v>
      </c>
      <c r="L339" s="968">
        <f>+O339+P339</f>
        <v>12</v>
      </c>
      <c r="M339" s="994">
        <f>+L339*$J$1</f>
        <v>18.96</v>
      </c>
      <c r="P339" s="934">
        <v>12</v>
      </c>
    </row>
    <row r="340" spans="9:17" ht="13.8" hidden="1" x14ac:dyDescent="0.25">
      <c r="I340" s="934">
        <v>3680</v>
      </c>
      <c r="J340" s="989">
        <v>14</v>
      </c>
      <c r="K340" s="934" t="s">
        <v>321</v>
      </c>
      <c r="L340" s="968">
        <f>+O340+P340</f>
        <v>500</v>
      </c>
      <c r="M340" s="994">
        <f>+L340*$J$1</f>
        <v>790</v>
      </c>
      <c r="O340" s="934">
        <v>488</v>
      </c>
      <c r="P340" s="934">
        <v>12</v>
      </c>
    </row>
    <row r="341" spans="9:17" ht="13.8" hidden="1" x14ac:dyDescent="0.25">
      <c r="I341" s="934">
        <v>3680</v>
      </c>
      <c r="J341" s="989">
        <v>12</v>
      </c>
      <c r="K341" s="934" t="s">
        <v>321</v>
      </c>
      <c r="L341" s="968">
        <f>+O341+P341+Q341</f>
        <v>825</v>
      </c>
      <c r="M341" s="994">
        <f>+L341*$J$1</f>
        <v>1303.5</v>
      </c>
      <c r="O341" s="934">
        <v>463</v>
      </c>
      <c r="P341" s="934">
        <v>12</v>
      </c>
      <c r="Q341" s="934">
        <v>350</v>
      </c>
    </row>
    <row r="342" spans="9:17" ht="13.8" hidden="1" x14ac:dyDescent="0.25">
      <c r="I342" s="934">
        <v>3680</v>
      </c>
      <c r="J342" s="989">
        <v>18</v>
      </c>
      <c r="K342" s="934" t="s">
        <v>345</v>
      </c>
      <c r="L342" s="968">
        <v>1125</v>
      </c>
      <c r="M342" s="995">
        <f>+L342*$J$2</f>
        <v>496.125</v>
      </c>
    </row>
    <row r="343" spans="9:17" ht="13.8" hidden="1" x14ac:dyDescent="0.25">
      <c r="I343" s="934">
        <v>3680</v>
      </c>
      <c r="J343" s="989">
        <v>16</v>
      </c>
      <c r="K343" s="934" t="s">
        <v>345</v>
      </c>
      <c r="L343" s="968">
        <v>1326</v>
      </c>
      <c r="M343" s="995">
        <f>+L343*$J$2</f>
        <v>584.76599999999996</v>
      </c>
    </row>
    <row r="344" spans="9:17" ht="13.8" hidden="1" x14ac:dyDescent="0.25">
      <c r="I344" s="934">
        <v>3680</v>
      </c>
      <c r="J344" s="989">
        <v>14</v>
      </c>
      <c r="K344" s="934" t="s">
        <v>345</v>
      </c>
      <c r="L344" s="968">
        <v>1734</v>
      </c>
      <c r="M344" s="995">
        <f>+L344*$J$2</f>
        <v>764.69399999999996</v>
      </c>
      <c r="N344" s="934">
        <v>236</v>
      </c>
      <c r="O344" s="990">
        <f>+N344+L344</f>
        <v>1970</v>
      </c>
    </row>
    <row r="345" spans="9:17" ht="13.8" hidden="1" x14ac:dyDescent="0.25">
      <c r="I345" s="934">
        <v>3680</v>
      </c>
      <c r="J345" s="989">
        <v>12</v>
      </c>
      <c r="K345" s="934" t="s">
        <v>345</v>
      </c>
      <c r="L345" s="968">
        <v>2808</v>
      </c>
      <c r="M345" s="995">
        <f>+L345*$J$2</f>
        <v>1238.328</v>
      </c>
      <c r="N345" s="934">
        <v>236</v>
      </c>
      <c r="O345" s="990">
        <f>+N345+L345</f>
        <v>3044</v>
      </c>
    </row>
    <row r="346" spans="9:17" ht="13.8" hidden="1" x14ac:dyDescent="0.25">
      <c r="I346" s="934">
        <v>3680</v>
      </c>
      <c r="J346" s="989">
        <v>18</v>
      </c>
      <c r="K346" s="934" t="s">
        <v>1363</v>
      </c>
      <c r="L346" s="968">
        <f>+N346+O346</f>
        <v>974</v>
      </c>
      <c r="M346" s="995">
        <f>+L346*$J$3</f>
        <v>418.82</v>
      </c>
      <c r="N346" s="968">
        <v>765</v>
      </c>
      <c r="O346" s="968">
        <f>53+53+103</f>
        <v>209</v>
      </c>
    </row>
    <row r="347" spans="9:17" ht="13.8" hidden="1" x14ac:dyDescent="0.25">
      <c r="I347" s="934">
        <v>3680</v>
      </c>
      <c r="J347" s="989">
        <v>16</v>
      </c>
      <c r="K347" s="934" t="s">
        <v>1363</v>
      </c>
      <c r="L347" s="968">
        <f>+N347+O347</f>
        <v>1142</v>
      </c>
      <c r="M347" s="995">
        <f>+L347*$J$3</f>
        <v>491.06</v>
      </c>
      <c r="N347" s="968">
        <v>933</v>
      </c>
      <c r="O347" s="968">
        <f>53+53+103</f>
        <v>209</v>
      </c>
    </row>
    <row r="348" spans="9:17" ht="13.8" hidden="1" x14ac:dyDescent="0.25">
      <c r="I348" s="934">
        <v>3680</v>
      </c>
      <c r="J348" s="989">
        <v>14</v>
      </c>
      <c r="K348" s="934" t="s">
        <v>1363</v>
      </c>
      <c r="L348" s="968">
        <f>+N348+O348</f>
        <v>1436</v>
      </c>
      <c r="M348" s="995">
        <f>+L348*$J$3</f>
        <v>617.48</v>
      </c>
      <c r="N348" s="968">
        <v>1227</v>
      </c>
      <c r="O348" s="968">
        <f>53+53+103</f>
        <v>209</v>
      </c>
    </row>
    <row r="349" spans="9:17" ht="13.8" hidden="1" x14ac:dyDescent="0.25">
      <c r="I349" s="934">
        <v>3680</v>
      </c>
      <c r="J349" s="989">
        <v>12</v>
      </c>
      <c r="K349" s="934" t="s">
        <v>1363</v>
      </c>
      <c r="M349" s="995">
        <f>+L349*$J$3</f>
        <v>0</v>
      </c>
      <c r="N349" s="968"/>
      <c r="O349" s="968"/>
    </row>
    <row r="350" spans="9:17" ht="13.8" hidden="1" x14ac:dyDescent="0.25">
      <c r="I350" s="934">
        <v>3880</v>
      </c>
      <c r="J350" s="989">
        <v>18</v>
      </c>
      <c r="K350" s="934" t="s">
        <v>321</v>
      </c>
      <c r="L350" s="968">
        <f>+O350+P350</f>
        <v>393</v>
      </c>
      <c r="M350" s="994">
        <f>+L350*$J$1</f>
        <v>620.94000000000005</v>
      </c>
      <c r="O350" s="934">
        <v>381</v>
      </c>
      <c r="P350" s="934">
        <v>12</v>
      </c>
    </row>
    <row r="351" spans="9:17" ht="13.8" hidden="1" x14ac:dyDescent="0.25">
      <c r="I351" s="934">
        <v>3880</v>
      </c>
      <c r="J351" s="989">
        <v>16</v>
      </c>
      <c r="K351" s="934" t="s">
        <v>321</v>
      </c>
      <c r="L351" s="968">
        <f>+O351+P351</f>
        <v>12</v>
      </c>
      <c r="M351" s="994">
        <f>+L351*$J$1</f>
        <v>18.96</v>
      </c>
      <c r="P351" s="934">
        <v>12</v>
      </c>
    </row>
    <row r="352" spans="9:17" ht="13.8" hidden="1" x14ac:dyDescent="0.25">
      <c r="I352" s="934">
        <v>3880</v>
      </c>
      <c r="J352" s="989">
        <v>14</v>
      </c>
      <c r="K352" s="934" t="s">
        <v>321</v>
      </c>
      <c r="L352" s="968">
        <f>+O352+P352</f>
        <v>500</v>
      </c>
      <c r="M352" s="994">
        <f>+L352*$J$1</f>
        <v>790</v>
      </c>
      <c r="O352" s="934">
        <v>488</v>
      </c>
      <c r="P352" s="934">
        <v>12</v>
      </c>
    </row>
    <row r="353" spans="9:17" ht="13.8" hidden="1" x14ac:dyDescent="0.25">
      <c r="I353" s="934">
        <v>3880</v>
      </c>
      <c r="J353" s="989">
        <v>12</v>
      </c>
      <c r="K353" s="934" t="s">
        <v>321</v>
      </c>
      <c r="L353" s="968">
        <f>+O353+P353+Q353</f>
        <v>850</v>
      </c>
      <c r="M353" s="994">
        <f>+L353*$J$1</f>
        <v>1343</v>
      </c>
      <c r="O353" s="934">
        <v>488</v>
      </c>
      <c r="P353" s="934">
        <v>12</v>
      </c>
      <c r="Q353" s="934">
        <v>350</v>
      </c>
    </row>
    <row r="354" spans="9:17" ht="13.8" hidden="1" x14ac:dyDescent="0.25">
      <c r="I354" s="934">
        <v>3880</v>
      </c>
      <c r="J354" s="989">
        <v>18</v>
      </c>
      <c r="K354" s="934" t="s">
        <v>345</v>
      </c>
      <c r="L354" s="968">
        <v>1228</v>
      </c>
      <c r="M354" s="995">
        <f>+L354*$J$2</f>
        <v>541.548</v>
      </c>
    </row>
    <row r="355" spans="9:17" ht="13.8" hidden="1" x14ac:dyDescent="0.25">
      <c r="I355" s="934">
        <v>3880</v>
      </c>
      <c r="J355" s="989">
        <v>16</v>
      </c>
      <c r="K355" s="934" t="s">
        <v>345</v>
      </c>
      <c r="L355" s="968">
        <v>1453</v>
      </c>
      <c r="M355" s="995">
        <f>+L355*$J$2</f>
        <v>640.77300000000002</v>
      </c>
    </row>
    <row r="356" spans="9:17" ht="13.8" hidden="1" x14ac:dyDescent="0.25">
      <c r="I356" s="934">
        <v>3880</v>
      </c>
      <c r="J356" s="989">
        <v>14</v>
      </c>
      <c r="K356" s="934" t="s">
        <v>345</v>
      </c>
      <c r="L356" s="968">
        <v>1734</v>
      </c>
      <c r="M356" s="995">
        <f>+L356*$J$2</f>
        <v>764.69399999999996</v>
      </c>
      <c r="N356" s="934">
        <v>236</v>
      </c>
      <c r="O356" s="990">
        <f>+N356+L356</f>
        <v>1970</v>
      </c>
    </row>
    <row r="357" spans="9:17" ht="13.8" hidden="1" x14ac:dyDescent="0.25">
      <c r="I357" s="934">
        <v>3880</v>
      </c>
      <c r="J357" s="989">
        <v>12</v>
      </c>
      <c r="K357" s="934" t="s">
        <v>345</v>
      </c>
      <c r="L357" s="968">
        <v>2808</v>
      </c>
      <c r="M357" s="995">
        <f>+L357*$J$2</f>
        <v>1238.328</v>
      </c>
      <c r="N357" s="934">
        <v>236</v>
      </c>
      <c r="O357" s="990">
        <f>+N357+L357</f>
        <v>3044</v>
      </c>
    </row>
    <row r="358" spans="9:17" ht="13.8" hidden="1" x14ac:dyDescent="0.25">
      <c r="I358" s="934">
        <v>3880</v>
      </c>
      <c r="J358" s="989">
        <v>18</v>
      </c>
      <c r="K358" s="934" t="s">
        <v>1363</v>
      </c>
      <c r="L358" s="968">
        <f>+N358+O358</f>
        <v>974</v>
      </c>
      <c r="M358" s="995">
        <f>+L358*$J$3</f>
        <v>418.82</v>
      </c>
      <c r="N358" s="968">
        <v>765</v>
      </c>
      <c r="O358" s="968">
        <f>53+53+103</f>
        <v>209</v>
      </c>
    </row>
    <row r="359" spans="9:17" ht="13.8" hidden="1" x14ac:dyDescent="0.25">
      <c r="I359" s="934">
        <v>3880</v>
      </c>
      <c r="J359" s="989">
        <v>16</v>
      </c>
      <c r="K359" s="934" t="s">
        <v>1363</v>
      </c>
      <c r="L359" s="968">
        <f>+N359+O359</f>
        <v>1142</v>
      </c>
      <c r="M359" s="995">
        <f>+L359*$J$3</f>
        <v>491.06</v>
      </c>
      <c r="N359" s="968">
        <v>933</v>
      </c>
      <c r="O359" s="968">
        <f>53+53+103</f>
        <v>209</v>
      </c>
    </row>
    <row r="360" spans="9:17" ht="13.8" hidden="1" x14ac:dyDescent="0.25">
      <c r="I360" s="934">
        <v>3880</v>
      </c>
      <c r="J360" s="989">
        <v>14</v>
      </c>
      <c r="K360" s="934" t="s">
        <v>1363</v>
      </c>
      <c r="L360" s="968">
        <f>+N360+O360</f>
        <v>1436</v>
      </c>
      <c r="M360" s="995">
        <f>+L360*$J$3</f>
        <v>617.48</v>
      </c>
      <c r="N360" s="968">
        <v>1227</v>
      </c>
      <c r="O360" s="968">
        <f>53+53+103</f>
        <v>209</v>
      </c>
    </row>
    <row r="361" spans="9:17" ht="13.8" hidden="1" x14ac:dyDescent="0.25">
      <c r="I361" s="934">
        <v>3880</v>
      </c>
      <c r="J361" s="989">
        <v>12</v>
      </c>
      <c r="K361" s="934" t="s">
        <v>1363</v>
      </c>
      <c r="M361" s="995">
        <f>+L361*$J$3</f>
        <v>0</v>
      </c>
      <c r="N361" s="968"/>
      <c r="O361" s="968"/>
    </row>
    <row r="362" spans="9:17" ht="13.8" hidden="1" x14ac:dyDescent="0.25">
      <c r="I362" s="934">
        <v>3090</v>
      </c>
      <c r="J362" s="989">
        <v>18</v>
      </c>
      <c r="K362" s="934" t="s">
        <v>321</v>
      </c>
      <c r="L362" s="968">
        <f>+O362+P362</f>
        <v>444</v>
      </c>
      <c r="M362" s="994">
        <f>+L362*$J$1</f>
        <v>701.52</v>
      </c>
      <c r="O362" s="934">
        <v>432</v>
      </c>
      <c r="P362" s="934">
        <v>12</v>
      </c>
    </row>
    <row r="363" spans="9:17" ht="13.8" hidden="1" x14ac:dyDescent="0.25">
      <c r="I363" s="934">
        <v>3090</v>
      </c>
      <c r="J363" s="989">
        <v>16</v>
      </c>
      <c r="K363" s="934" t="s">
        <v>321</v>
      </c>
      <c r="L363" s="968">
        <f>+O363+P363</f>
        <v>12</v>
      </c>
      <c r="M363" s="994">
        <f>+L363*$J$1</f>
        <v>18.96</v>
      </c>
      <c r="P363" s="934">
        <v>12</v>
      </c>
    </row>
    <row r="364" spans="9:17" ht="13.8" hidden="1" x14ac:dyDescent="0.25">
      <c r="I364" s="934">
        <v>3090</v>
      </c>
      <c r="J364" s="989">
        <v>14</v>
      </c>
      <c r="K364" s="934" t="s">
        <v>321</v>
      </c>
      <c r="L364" s="968">
        <f>+O364+P364</f>
        <v>565</v>
      </c>
      <c r="M364" s="994">
        <f>+L364*$J$1</f>
        <v>892.7</v>
      </c>
      <c r="O364" s="934">
        <v>553</v>
      </c>
      <c r="P364" s="934">
        <v>12</v>
      </c>
    </row>
    <row r="365" spans="9:17" ht="13.8" hidden="1" x14ac:dyDescent="0.25">
      <c r="I365" s="934">
        <v>3090</v>
      </c>
      <c r="J365" s="989">
        <v>12</v>
      </c>
      <c r="K365" s="934" t="s">
        <v>321</v>
      </c>
      <c r="L365" s="968">
        <f>+O365+P365+Q365</f>
        <v>915</v>
      </c>
      <c r="M365" s="994">
        <f>+L365*$J$1</f>
        <v>1445.7</v>
      </c>
      <c r="O365" s="934">
        <v>553</v>
      </c>
      <c r="P365" s="934">
        <v>12</v>
      </c>
      <c r="Q365" s="934">
        <v>350</v>
      </c>
    </row>
    <row r="366" spans="9:17" ht="13.8" hidden="1" x14ac:dyDescent="0.25">
      <c r="I366" s="934">
        <v>3090</v>
      </c>
      <c r="J366" s="989">
        <v>18</v>
      </c>
      <c r="K366" s="934" t="s">
        <v>345</v>
      </c>
      <c r="L366" s="968">
        <v>1102</v>
      </c>
      <c r="M366" s="995">
        <f>+L366*$J$2</f>
        <v>485.98200000000003</v>
      </c>
    </row>
    <row r="367" spans="9:17" ht="13.8" hidden="1" x14ac:dyDescent="0.25">
      <c r="I367" s="934">
        <v>3090</v>
      </c>
      <c r="J367" s="989">
        <v>16</v>
      </c>
      <c r="K367" s="934" t="s">
        <v>345</v>
      </c>
      <c r="L367" s="968">
        <v>1300</v>
      </c>
      <c r="M367" s="995">
        <f>+L367*$J$2</f>
        <v>573.29999999999995</v>
      </c>
    </row>
    <row r="368" spans="9:17" ht="13.8" hidden="1" x14ac:dyDescent="0.25">
      <c r="I368" s="934">
        <v>3090</v>
      </c>
      <c r="J368" s="989">
        <v>14</v>
      </c>
      <c r="K368" s="934" t="s">
        <v>345</v>
      </c>
      <c r="L368" s="968">
        <v>1721</v>
      </c>
      <c r="M368" s="995">
        <f>+L368*$J$2</f>
        <v>758.96100000000001</v>
      </c>
      <c r="N368" s="934">
        <v>236</v>
      </c>
      <c r="O368" s="990">
        <f>+N368+L368</f>
        <v>1957</v>
      </c>
    </row>
    <row r="369" spans="9:17" ht="13.8" hidden="1" x14ac:dyDescent="0.25">
      <c r="I369" s="934">
        <v>3090</v>
      </c>
      <c r="J369" s="989">
        <v>12</v>
      </c>
      <c r="K369" s="934" t="s">
        <v>345</v>
      </c>
      <c r="L369" s="968">
        <v>2786</v>
      </c>
      <c r="M369" s="995">
        <f>+L369*$J$2</f>
        <v>1228.626</v>
      </c>
      <c r="N369" s="934">
        <v>236</v>
      </c>
      <c r="O369" s="990">
        <f>+N369+L369</f>
        <v>3022</v>
      </c>
    </row>
    <row r="370" spans="9:17" ht="13.8" hidden="1" x14ac:dyDescent="0.25">
      <c r="I370" s="934">
        <v>3090</v>
      </c>
      <c r="J370" s="989">
        <v>18</v>
      </c>
      <c r="K370" s="934" t="s">
        <v>1363</v>
      </c>
      <c r="M370" s="995">
        <f>+L370*$J$3</f>
        <v>0</v>
      </c>
      <c r="N370" s="968"/>
      <c r="O370" s="968"/>
    </row>
    <row r="371" spans="9:17" ht="13.8" hidden="1" x14ac:dyDescent="0.25">
      <c r="I371" s="934">
        <v>3090</v>
      </c>
      <c r="J371" s="989">
        <v>16</v>
      </c>
      <c r="K371" s="934" t="s">
        <v>1363</v>
      </c>
      <c r="M371" s="995">
        <f>+L371*$J$3</f>
        <v>0</v>
      </c>
      <c r="N371" s="968"/>
      <c r="O371" s="968"/>
    </row>
    <row r="372" spans="9:17" ht="13.8" hidden="1" x14ac:dyDescent="0.25">
      <c r="I372" s="934">
        <v>3090</v>
      </c>
      <c r="J372" s="989">
        <v>14</v>
      </c>
      <c r="K372" s="934" t="s">
        <v>1363</v>
      </c>
      <c r="M372" s="995">
        <f>+L372*$J$3</f>
        <v>0</v>
      </c>
      <c r="N372" s="968"/>
      <c r="O372" s="968"/>
    </row>
    <row r="373" spans="9:17" ht="13.8" hidden="1" x14ac:dyDescent="0.25">
      <c r="I373" s="934">
        <v>3090</v>
      </c>
      <c r="J373" s="989">
        <v>12</v>
      </c>
      <c r="K373" s="934" t="s">
        <v>1363</v>
      </c>
      <c r="M373" s="995">
        <f>+L373*$J$3</f>
        <v>0</v>
      </c>
      <c r="N373" s="968"/>
      <c r="O373" s="968"/>
    </row>
    <row r="374" spans="9:17" ht="13.8" hidden="1" x14ac:dyDescent="0.25">
      <c r="I374" s="934">
        <v>3490</v>
      </c>
      <c r="J374" s="989">
        <v>18</v>
      </c>
      <c r="K374" s="934" t="s">
        <v>321</v>
      </c>
      <c r="L374" s="968">
        <f>+O374+P374</f>
        <v>508</v>
      </c>
      <c r="M374" s="994">
        <f>+L374*$J$1</f>
        <v>802.64</v>
      </c>
      <c r="O374" s="934">
        <v>496</v>
      </c>
      <c r="P374" s="934">
        <v>12</v>
      </c>
    </row>
    <row r="375" spans="9:17" ht="13.8" hidden="1" x14ac:dyDescent="0.25">
      <c r="I375" s="934">
        <v>3490</v>
      </c>
      <c r="J375" s="989">
        <v>16</v>
      </c>
      <c r="K375" s="934" t="s">
        <v>321</v>
      </c>
      <c r="L375" s="968">
        <f>+O375+P375</f>
        <v>12</v>
      </c>
      <c r="M375" s="994">
        <f>+L375*$J$1</f>
        <v>18.96</v>
      </c>
      <c r="P375" s="934">
        <v>12</v>
      </c>
    </row>
    <row r="376" spans="9:17" ht="13.8" hidden="1" x14ac:dyDescent="0.25">
      <c r="I376" s="934">
        <v>3490</v>
      </c>
      <c r="J376" s="989">
        <v>14</v>
      </c>
      <c r="K376" s="934" t="s">
        <v>321</v>
      </c>
      <c r="L376" s="968">
        <f>+O376+P376</f>
        <v>613</v>
      </c>
      <c r="M376" s="994">
        <f>+L376*$J$1</f>
        <v>968.54000000000008</v>
      </c>
      <c r="O376" s="934">
        <v>601</v>
      </c>
      <c r="P376" s="934">
        <v>12</v>
      </c>
    </row>
    <row r="377" spans="9:17" ht="13.8" hidden="1" x14ac:dyDescent="0.25">
      <c r="I377" s="934">
        <v>3490</v>
      </c>
      <c r="J377" s="989">
        <v>12</v>
      </c>
      <c r="K377" s="934" t="s">
        <v>321</v>
      </c>
      <c r="L377" s="968">
        <f>+O377+P377+Q377</f>
        <v>940</v>
      </c>
      <c r="M377" s="994">
        <f>+L377*$J$1</f>
        <v>1485.2</v>
      </c>
      <c r="O377" s="934">
        <v>578</v>
      </c>
      <c r="P377" s="934">
        <v>12</v>
      </c>
      <c r="Q377" s="934">
        <v>350</v>
      </c>
    </row>
    <row r="378" spans="9:17" ht="13.8" hidden="1" x14ac:dyDescent="0.25">
      <c r="I378" s="934">
        <v>3490</v>
      </c>
      <c r="J378" s="989">
        <v>18</v>
      </c>
      <c r="K378" s="934" t="s">
        <v>345</v>
      </c>
      <c r="L378" s="968">
        <v>1224</v>
      </c>
      <c r="M378" s="995">
        <f>+L378*$J$2</f>
        <v>539.78399999999999</v>
      </c>
    </row>
    <row r="379" spans="9:17" ht="13.8" hidden="1" x14ac:dyDescent="0.25">
      <c r="I379" s="934">
        <v>3490</v>
      </c>
      <c r="J379" s="989">
        <v>16</v>
      </c>
      <c r="K379" s="934" t="s">
        <v>345</v>
      </c>
      <c r="L379" s="968">
        <v>1447</v>
      </c>
      <c r="M379" s="995">
        <f>+L379*$J$2</f>
        <v>638.12699999999995</v>
      </c>
    </row>
    <row r="380" spans="9:17" ht="13.8" hidden="1" x14ac:dyDescent="0.25">
      <c r="I380" s="934">
        <v>3490</v>
      </c>
      <c r="J380" s="989">
        <v>14</v>
      </c>
      <c r="K380" s="934" t="s">
        <v>345</v>
      </c>
      <c r="L380" s="968">
        <v>1721</v>
      </c>
      <c r="M380" s="995">
        <f>+L380*$J$2</f>
        <v>758.96100000000001</v>
      </c>
      <c r="N380" s="934">
        <v>236</v>
      </c>
      <c r="O380" s="990">
        <f>+N380+L380</f>
        <v>1957</v>
      </c>
    </row>
    <row r="381" spans="9:17" ht="13.8" hidden="1" x14ac:dyDescent="0.25">
      <c r="I381" s="934">
        <v>3490</v>
      </c>
      <c r="J381" s="989">
        <v>12</v>
      </c>
      <c r="K381" s="934" t="s">
        <v>345</v>
      </c>
      <c r="L381" s="968">
        <v>2786</v>
      </c>
      <c r="M381" s="995">
        <f>+L381*$J$2</f>
        <v>1228.626</v>
      </c>
      <c r="N381" s="934">
        <v>236</v>
      </c>
      <c r="O381" s="990">
        <f>+N381+L381</f>
        <v>3022</v>
      </c>
    </row>
    <row r="382" spans="9:17" ht="13.8" hidden="1" x14ac:dyDescent="0.25">
      <c r="I382" s="934">
        <v>3490</v>
      </c>
      <c r="J382" s="989">
        <v>18</v>
      </c>
      <c r="K382" s="934" t="s">
        <v>1363</v>
      </c>
      <c r="L382" s="968">
        <f>+N382+O382</f>
        <v>209</v>
      </c>
      <c r="M382" s="995">
        <f>+L382*$J$3</f>
        <v>89.87</v>
      </c>
      <c r="N382" s="968"/>
      <c r="O382" s="968">
        <f>53+53+103</f>
        <v>209</v>
      </c>
    </row>
    <row r="383" spans="9:17" ht="13.8" hidden="1" x14ac:dyDescent="0.25">
      <c r="I383" s="934">
        <v>3490</v>
      </c>
      <c r="J383" s="989">
        <v>16</v>
      </c>
      <c r="K383" s="934" t="s">
        <v>1363</v>
      </c>
      <c r="L383" s="968">
        <f>+N383+O383</f>
        <v>209</v>
      </c>
      <c r="M383" s="995">
        <f>+L383*$J$3</f>
        <v>89.87</v>
      </c>
      <c r="N383" s="968"/>
      <c r="O383" s="968">
        <f>53+53+103</f>
        <v>209</v>
      </c>
    </row>
    <row r="384" spans="9:17" ht="13.8" hidden="1" x14ac:dyDescent="0.25">
      <c r="I384" s="934">
        <v>3490</v>
      </c>
      <c r="J384" s="989">
        <v>14</v>
      </c>
      <c r="K384" s="934" t="s">
        <v>1363</v>
      </c>
      <c r="L384" s="968">
        <f>+N384+O384</f>
        <v>209</v>
      </c>
      <c r="M384" s="995">
        <f>+L384*$J$3</f>
        <v>89.87</v>
      </c>
      <c r="N384" s="968"/>
      <c r="O384" s="968">
        <f>53+53+103</f>
        <v>209</v>
      </c>
    </row>
    <row r="385" spans="9:17" ht="13.8" hidden="1" x14ac:dyDescent="0.25">
      <c r="I385" s="934">
        <v>3490</v>
      </c>
      <c r="J385" s="989">
        <v>12</v>
      </c>
      <c r="K385" s="934" t="s">
        <v>1363</v>
      </c>
      <c r="M385" s="995">
        <f>+L385*$J$3</f>
        <v>0</v>
      </c>
      <c r="N385" s="968"/>
      <c r="O385" s="968"/>
    </row>
    <row r="386" spans="9:17" ht="13.8" hidden="1" x14ac:dyDescent="0.25">
      <c r="I386" s="934">
        <v>3690</v>
      </c>
      <c r="J386" s="989">
        <v>18</v>
      </c>
      <c r="K386" s="934" t="s">
        <v>321</v>
      </c>
      <c r="L386" s="968">
        <f>+O386+P386</f>
        <v>508</v>
      </c>
      <c r="M386" s="994">
        <f>+L386*$J$1</f>
        <v>802.64</v>
      </c>
      <c r="O386" s="934">
        <v>496</v>
      </c>
      <c r="P386" s="934">
        <v>12</v>
      </c>
    </row>
    <row r="387" spans="9:17" ht="13.8" hidden="1" x14ac:dyDescent="0.25">
      <c r="I387" s="934">
        <v>3690</v>
      </c>
      <c r="J387" s="989">
        <v>16</v>
      </c>
      <c r="K387" s="934" t="s">
        <v>321</v>
      </c>
      <c r="L387" s="968">
        <f>+O387+P387</f>
        <v>12</v>
      </c>
      <c r="M387" s="994">
        <f>+L387*$J$1</f>
        <v>18.96</v>
      </c>
      <c r="P387" s="934">
        <v>12</v>
      </c>
    </row>
    <row r="388" spans="9:17" ht="13.8" hidden="1" x14ac:dyDescent="0.25">
      <c r="I388" s="934">
        <v>3690</v>
      </c>
      <c r="J388" s="989">
        <v>14</v>
      </c>
      <c r="K388" s="934" t="s">
        <v>321</v>
      </c>
      <c r="L388" s="968">
        <f>+O388+P388</f>
        <v>613</v>
      </c>
      <c r="M388" s="994">
        <f>+L388*$J$1</f>
        <v>968.54000000000008</v>
      </c>
      <c r="O388" s="934">
        <v>601</v>
      </c>
      <c r="P388" s="934">
        <v>12</v>
      </c>
    </row>
    <row r="389" spans="9:17" ht="13.8" hidden="1" x14ac:dyDescent="0.25">
      <c r="I389" s="934">
        <v>3690</v>
      </c>
      <c r="J389" s="989">
        <v>12</v>
      </c>
      <c r="K389" s="934" t="s">
        <v>321</v>
      </c>
      <c r="L389" s="968">
        <f>+O389+P389+Q389</f>
        <v>940</v>
      </c>
      <c r="M389" s="994">
        <f>+L389*$J$1</f>
        <v>1485.2</v>
      </c>
      <c r="O389" s="934">
        <v>578</v>
      </c>
      <c r="P389" s="934">
        <v>12</v>
      </c>
      <c r="Q389" s="934">
        <v>350</v>
      </c>
    </row>
    <row r="390" spans="9:17" ht="13.8" hidden="1" x14ac:dyDescent="0.25">
      <c r="I390" s="934">
        <v>3690</v>
      </c>
      <c r="J390" s="989">
        <v>18</v>
      </c>
      <c r="K390" s="934" t="s">
        <v>345</v>
      </c>
      <c r="L390" s="968">
        <v>1232</v>
      </c>
      <c r="M390" s="995">
        <f>+L390*$J$2</f>
        <v>543.31200000000001</v>
      </c>
    </row>
    <row r="391" spans="9:17" ht="13.8" hidden="1" x14ac:dyDescent="0.25">
      <c r="I391" s="934">
        <v>3690</v>
      </c>
      <c r="J391" s="989">
        <v>16</v>
      </c>
      <c r="K391" s="934" t="s">
        <v>345</v>
      </c>
      <c r="L391" s="968">
        <v>1455</v>
      </c>
      <c r="M391" s="995">
        <f>+L391*$J$2</f>
        <v>641.65499999999997</v>
      </c>
    </row>
    <row r="392" spans="9:17" ht="13.8" hidden="1" x14ac:dyDescent="0.25">
      <c r="I392" s="934">
        <v>3690</v>
      </c>
      <c r="J392" s="989">
        <v>14</v>
      </c>
      <c r="K392" s="934" t="s">
        <v>345</v>
      </c>
      <c r="L392" s="968">
        <v>1721</v>
      </c>
      <c r="M392" s="995">
        <f>+L392*$J$2</f>
        <v>758.96100000000001</v>
      </c>
      <c r="N392" s="934">
        <v>236</v>
      </c>
      <c r="O392" s="990">
        <f>+N392+L392</f>
        <v>1957</v>
      </c>
    </row>
    <row r="393" spans="9:17" ht="13.8" hidden="1" x14ac:dyDescent="0.25">
      <c r="I393" s="934">
        <v>3690</v>
      </c>
      <c r="J393" s="989">
        <v>12</v>
      </c>
      <c r="K393" s="934" t="s">
        <v>345</v>
      </c>
      <c r="L393" s="968">
        <v>2786</v>
      </c>
      <c r="M393" s="995">
        <f>+L393*$J$2</f>
        <v>1228.626</v>
      </c>
      <c r="N393" s="934">
        <v>236</v>
      </c>
      <c r="O393" s="990">
        <f>+N393+L393</f>
        <v>3022</v>
      </c>
    </row>
    <row r="394" spans="9:17" ht="13.8" hidden="1" x14ac:dyDescent="0.25">
      <c r="I394" s="934">
        <v>3690</v>
      </c>
      <c r="J394" s="989">
        <v>18</v>
      </c>
      <c r="K394" s="934" t="s">
        <v>1363</v>
      </c>
      <c r="M394" s="995">
        <f>+L394*$J$3</f>
        <v>0</v>
      </c>
      <c r="N394" s="968"/>
      <c r="O394" s="968"/>
    </row>
    <row r="395" spans="9:17" ht="13.8" hidden="1" x14ac:dyDescent="0.25">
      <c r="I395" s="934">
        <v>3690</v>
      </c>
      <c r="J395" s="989">
        <v>16</v>
      </c>
      <c r="K395" s="934" t="s">
        <v>1363</v>
      </c>
      <c r="M395" s="995">
        <f>+L395*$J$3</f>
        <v>0</v>
      </c>
      <c r="N395" s="968"/>
      <c r="O395" s="968"/>
    </row>
    <row r="396" spans="9:17" ht="13.8" hidden="1" x14ac:dyDescent="0.25">
      <c r="I396" s="934">
        <v>3690</v>
      </c>
      <c r="J396" s="989">
        <v>14</v>
      </c>
      <c r="K396" s="934" t="s">
        <v>1363</v>
      </c>
      <c r="M396" s="995">
        <f>+L396*$J$3</f>
        <v>0</v>
      </c>
      <c r="N396" s="968"/>
      <c r="O396" s="968"/>
    </row>
    <row r="397" spans="9:17" ht="13.8" hidden="1" x14ac:dyDescent="0.25">
      <c r="I397" s="934">
        <v>3690</v>
      </c>
      <c r="J397" s="989">
        <v>12</v>
      </c>
      <c r="K397" s="934" t="s">
        <v>1363</v>
      </c>
      <c r="M397" s="995">
        <f>+L397*$J$3</f>
        <v>0</v>
      </c>
      <c r="N397" s="968"/>
      <c r="O397" s="968"/>
    </row>
    <row r="398" spans="9:17" ht="13.8" hidden="1" x14ac:dyDescent="0.25">
      <c r="I398" s="934">
        <v>3890</v>
      </c>
      <c r="J398" s="989">
        <v>18</v>
      </c>
      <c r="K398" s="934" t="s">
        <v>321</v>
      </c>
      <c r="L398" s="968">
        <f>+O398+P398</f>
        <v>508</v>
      </c>
      <c r="M398" s="994">
        <f>+L398*$J$1</f>
        <v>802.64</v>
      </c>
      <c r="O398" s="934">
        <v>496</v>
      </c>
      <c r="P398" s="934">
        <v>12</v>
      </c>
    </row>
    <row r="399" spans="9:17" ht="13.8" hidden="1" x14ac:dyDescent="0.25">
      <c r="I399" s="934">
        <v>3890</v>
      </c>
      <c r="J399" s="989">
        <v>16</v>
      </c>
      <c r="K399" s="934" t="s">
        <v>321</v>
      </c>
      <c r="L399" s="968">
        <f>+O399+P399</f>
        <v>12</v>
      </c>
      <c r="M399" s="994">
        <f>+L399*$J$1</f>
        <v>18.96</v>
      </c>
      <c r="P399" s="934">
        <v>12</v>
      </c>
    </row>
    <row r="400" spans="9:17" ht="13.8" hidden="1" x14ac:dyDescent="0.25">
      <c r="I400" s="934">
        <v>3890</v>
      </c>
      <c r="J400" s="989">
        <v>14</v>
      </c>
      <c r="K400" s="934" t="s">
        <v>321</v>
      </c>
      <c r="L400" s="968">
        <f>+O400+P400</f>
        <v>613</v>
      </c>
      <c r="M400" s="994">
        <f>+L400*$J$1</f>
        <v>968.54000000000008</v>
      </c>
      <c r="O400" s="934">
        <v>601</v>
      </c>
      <c r="P400" s="934">
        <v>12</v>
      </c>
    </row>
    <row r="401" spans="9:17" ht="13.8" hidden="1" x14ac:dyDescent="0.25">
      <c r="I401" s="934">
        <v>3890</v>
      </c>
      <c r="J401" s="989">
        <v>12</v>
      </c>
      <c r="K401" s="934" t="s">
        <v>321</v>
      </c>
      <c r="L401" s="968">
        <f>+O401+P401+Q401</f>
        <v>963</v>
      </c>
      <c r="M401" s="994">
        <f>+L401*$J$1</f>
        <v>1521.54</v>
      </c>
      <c r="O401" s="934">
        <v>601</v>
      </c>
      <c r="P401" s="934">
        <v>12</v>
      </c>
      <c r="Q401" s="934">
        <v>350</v>
      </c>
    </row>
    <row r="402" spans="9:17" ht="13.8" hidden="1" x14ac:dyDescent="0.25">
      <c r="I402" s="934">
        <v>3890</v>
      </c>
      <c r="J402" s="989">
        <v>18</v>
      </c>
      <c r="K402" s="934" t="s">
        <v>345</v>
      </c>
      <c r="L402" s="968">
        <v>1354</v>
      </c>
      <c r="M402" s="995">
        <f>+L402*$J$2</f>
        <v>597.11400000000003</v>
      </c>
    </row>
    <row r="403" spans="9:17" ht="13.8" hidden="1" x14ac:dyDescent="0.25">
      <c r="I403" s="934">
        <v>3890</v>
      </c>
      <c r="J403" s="989">
        <v>16</v>
      </c>
      <c r="K403" s="934" t="s">
        <v>345</v>
      </c>
      <c r="L403" s="968">
        <v>1604</v>
      </c>
      <c r="M403" s="995">
        <f>+L403*$J$2</f>
        <v>707.36400000000003</v>
      </c>
    </row>
    <row r="404" spans="9:17" ht="13.8" hidden="1" x14ac:dyDescent="0.25">
      <c r="I404" s="934">
        <v>3890</v>
      </c>
      <c r="J404" s="989">
        <v>14</v>
      </c>
      <c r="K404" s="934" t="s">
        <v>345</v>
      </c>
      <c r="L404" s="968">
        <v>1931</v>
      </c>
      <c r="M404" s="995">
        <f>+L404*$J$2</f>
        <v>851.57100000000003</v>
      </c>
      <c r="N404" s="934">
        <v>236</v>
      </c>
      <c r="O404" s="990">
        <f>+N404+L404</f>
        <v>2167</v>
      </c>
    </row>
    <row r="405" spans="9:17" ht="13.8" hidden="1" x14ac:dyDescent="0.25">
      <c r="I405" s="934">
        <v>3890</v>
      </c>
      <c r="J405" s="989">
        <v>12</v>
      </c>
      <c r="K405" s="934" t="s">
        <v>345</v>
      </c>
      <c r="L405" s="968">
        <v>3127</v>
      </c>
      <c r="M405" s="995">
        <f>+L405*$J$2</f>
        <v>1379.0070000000001</v>
      </c>
      <c r="N405" s="934">
        <v>236</v>
      </c>
      <c r="O405" s="990">
        <f>+N405+L405</f>
        <v>3363</v>
      </c>
    </row>
    <row r="406" spans="9:17" ht="13.8" hidden="1" x14ac:dyDescent="0.25">
      <c r="I406" s="934">
        <v>3890</v>
      </c>
      <c r="J406" s="989">
        <v>18</v>
      </c>
      <c r="K406" s="934" t="s">
        <v>1363</v>
      </c>
      <c r="M406" s="995">
        <f>+L406*$J$3</f>
        <v>0</v>
      </c>
      <c r="N406" s="968"/>
      <c r="O406" s="968"/>
    </row>
    <row r="407" spans="9:17" ht="13.8" hidden="1" x14ac:dyDescent="0.25">
      <c r="I407" s="934">
        <v>3890</v>
      </c>
      <c r="J407" s="989">
        <v>16</v>
      </c>
      <c r="K407" s="934" t="s">
        <v>1363</v>
      </c>
      <c r="M407" s="995">
        <f>+L407*$J$3</f>
        <v>0</v>
      </c>
      <c r="N407" s="968"/>
      <c r="O407" s="968"/>
    </row>
    <row r="408" spans="9:17" ht="13.8" hidden="1" x14ac:dyDescent="0.25">
      <c r="I408" s="934">
        <v>3890</v>
      </c>
      <c r="J408" s="989">
        <v>14</v>
      </c>
      <c r="K408" s="934" t="s">
        <v>1363</v>
      </c>
      <c r="M408" s="995">
        <f>+L408*$J$3</f>
        <v>0</v>
      </c>
      <c r="N408" s="968"/>
      <c r="O408" s="968"/>
    </row>
    <row r="409" spans="9:17" ht="13.8" hidden="1" x14ac:dyDescent="0.25">
      <c r="I409" s="934">
        <v>3890</v>
      </c>
      <c r="J409" s="989">
        <v>12</v>
      </c>
      <c r="K409" s="934" t="s">
        <v>1363</v>
      </c>
      <c r="M409" s="995">
        <f>+L409*$J$3</f>
        <v>0</v>
      </c>
      <c r="N409" s="968"/>
      <c r="O409" s="968"/>
    </row>
    <row r="410" spans="9:17" ht="13.8" hidden="1" x14ac:dyDescent="0.25">
      <c r="I410" s="934">
        <v>4068</v>
      </c>
      <c r="J410" s="989">
        <v>18</v>
      </c>
      <c r="K410" s="934" t="s">
        <v>321</v>
      </c>
      <c r="L410" s="968">
        <f>+O410+P410</f>
        <v>317</v>
      </c>
      <c r="M410" s="994">
        <f>+L410*$J$1</f>
        <v>500.86</v>
      </c>
      <c r="O410" s="934">
        <v>305</v>
      </c>
      <c r="P410" s="934">
        <v>12</v>
      </c>
    </row>
    <row r="411" spans="9:17" ht="13.8" hidden="1" x14ac:dyDescent="0.25">
      <c r="I411" s="934">
        <v>4068</v>
      </c>
      <c r="J411" s="989">
        <v>16</v>
      </c>
      <c r="K411" s="934" t="s">
        <v>321</v>
      </c>
      <c r="L411" s="968">
        <f>+O411+P411</f>
        <v>12</v>
      </c>
      <c r="M411" s="994">
        <f>+L411*$J$1</f>
        <v>18.96</v>
      </c>
      <c r="P411" s="934">
        <v>12</v>
      </c>
    </row>
    <row r="412" spans="9:17" ht="13.8" hidden="1" x14ac:dyDescent="0.25">
      <c r="I412" s="934">
        <v>4068</v>
      </c>
      <c r="J412" s="989">
        <v>14</v>
      </c>
      <c r="K412" s="934" t="s">
        <v>321</v>
      </c>
      <c r="L412" s="968">
        <f>+O412+P412</f>
        <v>405</v>
      </c>
      <c r="M412" s="994">
        <f>+L412*$J$1</f>
        <v>639.9</v>
      </c>
      <c r="O412" s="934">
        <v>393</v>
      </c>
      <c r="P412" s="934">
        <v>12</v>
      </c>
    </row>
    <row r="413" spans="9:17" ht="13.8" hidden="1" x14ac:dyDescent="0.25">
      <c r="I413" s="934">
        <v>4068</v>
      </c>
      <c r="J413" s="989">
        <v>12</v>
      </c>
      <c r="K413" s="934" t="s">
        <v>321</v>
      </c>
      <c r="L413" s="968">
        <f>+O413+P413+Q413</f>
        <v>755</v>
      </c>
      <c r="M413" s="994">
        <f>+L413*$J$1</f>
        <v>1192.9000000000001</v>
      </c>
      <c r="O413" s="934">
        <v>393</v>
      </c>
      <c r="P413" s="934">
        <v>12</v>
      </c>
      <c r="Q413" s="934">
        <v>350</v>
      </c>
    </row>
    <row r="414" spans="9:17" ht="13.8" hidden="1" x14ac:dyDescent="0.25">
      <c r="I414" s="934">
        <v>4068</v>
      </c>
      <c r="J414" s="989">
        <v>18</v>
      </c>
      <c r="K414" s="934" t="s">
        <v>345</v>
      </c>
      <c r="L414" s="968">
        <v>898</v>
      </c>
      <c r="M414" s="995">
        <f>+L414*$J$2</f>
        <v>396.01800000000003</v>
      </c>
    </row>
    <row r="415" spans="9:17" ht="13.8" hidden="1" x14ac:dyDescent="0.25">
      <c r="I415" s="934">
        <v>4068</v>
      </c>
      <c r="J415" s="989">
        <v>16</v>
      </c>
      <c r="K415" s="934" t="s">
        <v>345</v>
      </c>
      <c r="L415" s="968">
        <v>1161</v>
      </c>
      <c r="M415" s="995">
        <f>+L415*$J$2</f>
        <v>512.00099999999998</v>
      </c>
    </row>
    <row r="416" spans="9:17" ht="13.8" hidden="1" x14ac:dyDescent="0.25">
      <c r="I416" s="934">
        <v>4068</v>
      </c>
      <c r="J416" s="989">
        <v>14</v>
      </c>
      <c r="K416" s="934" t="s">
        <v>345</v>
      </c>
      <c r="L416" s="968">
        <v>1342</v>
      </c>
      <c r="M416" s="995">
        <f>+L416*$J$2</f>
        <v>591.822</v>
      </c>
      <c r="N416" s="934">
        <v>236</v>
      </c>
      <c r="O416" s="990">
        <f>+N416+L416</f>
        <v>1578</v>
      </c>
    </row>
    <row r="417" spans="9:17" ht="13.8" hidden="1" x14ac:dyDescent="0.25">
      <c r="I417" s="934">
        <v>4068</v>
      </c>
      <c r="J417" s="989">
        <v>12</v>
      </c>
      <c r="K417" s="934" t="s">
        <v>345</v>
      </c>
      <c r="L417" s="968">
        <v>2167</v>
      </c>
      <c r="M417" s="995">
        <f>+L417*$J$2</f>
        <v>955.64700000000005</v>
      </c>
      <c r="N417" s="934">
        <v>236</v>
      </c>
      <c r="O417" s="990">
        <f>+N417+L417</f>
        <v>2403</v>
      </c>
    </row>
    <row r="418" spans="9:17" ht="13.8" hidden="1" x14ac:dyDescent="0.25">
      <c r="I418" s="934">
        <v>4068</v>
      </c>
      <c r="J418" s="989">
        <v>18</v>
      </c>
      <c r="K418" s="934" t="s">
        <v>1363</v>
      </c>
      <c r="L418" s="968">
        <f>+N418+O418</f>
        <v>960</v>
      </c>
      <c r="M418" s="995">
        <f>+L418*$J$3</f>
        <v>412.8</v>
      </c>
      <c r="N418" s="968">
        <v>751</v>
      </c>
      <c r="O418" s="968">
        <f>53+53+103</f>
        <v>209</v>
      </c>
    </row>
    <row r="419" spans="9:17" ht="13.8" hidden="1" x14ac:dyDescent="0.25">
      <c r="I419" s="934">
        <v>4068</v>
      </c>
      <c r="J419" s="989">
        <v>16</v>
      </c>
      <c r="K419" s="934" t="s">
        <v>1363</v>
      </c>
      <c r="L419" s="968">
        <f>+N419+O419</f>
        <v>1128</v>
      </c>
      <c r="M419" s="995">
        <f>+L419*$J$3</f>
        <v>485.04</v>
      </c>
      <c r="N419" s="968">
        <v>919</v>
      </c>
      <c r="O419" s="968">
        <f>53+53+103</f>
        <v>209</v>
      </c>
    </row>
    <row r="420" spans="9:17" ht="13.8" hidden="1" x14ac:dyDescent="0.25">
      <c r="I420" s="934">
        <v>4068</v>
      </c>
      <c r="J420" s="989">
        <v>14</v>
      </c>
      <c r="K420" s="934" t="s">
        <v>1363</v>
      </c>
      <c r="L420" s="968">
        <f>+N420+O420</f>
        <v>1422</v>
      </c>
      <c r="M420" s="995">
        <f>+L420*$J$3</f>
        <v>611.46</v>
      </c>
      <c r="N420" s="968">
        <v>1213</v>
      </c>
      <c r="O420" s="968">
        <f>53+53+103</f>
        <v>209</v>
      </c>
    </row>
    <row r="421" spans="9:17" ht="13.8" hidden="1" x14ac:dyDescent="0.25">
      <c r="I421" s="934">
        <v>4068</v>
      </c>
      <c r="J421" s="989">
        <v>12</v>
      </c>
      <c r="K421" s="934" t="s">
        <v>1363</v>
      </c>
      <c r="M421" s="995">
        <f>+L421*$J$3</f>
        <v>0</v>
      </c>
      <c r="N421" s="968"/>
      <c r="O421" s="968"/>
    </row>
    <row r="422" spans="9:17" ht="13.8" hidden="1" x14ac:dyDescent="0.25">
      <c r="I422" s="934">
        <v>4070</v>
      </c>
      <c r="J422" s="989">
        <v>18</v>
      </c>
      <c r="K422" s="934" t="s">
        <v>321</v>
      </c>
      <c r="L422" s="968">
        <f>+O422+P422</f>
        <v>329</v>
      </c>
      <c r="M422" s="994">
        <f>+L422*$J$1</f>
        <v>519.82000000000005</v>
      </c>
      <c r="O422" s="934">
        <v>317</v>
      </c>
      <c r="P422" s="934">
        <v>12</v>
      </c>
    </row>
    <row r="423" spans="9:17" ht="13.8" hidden="1" x14ac:dyDescent="0.25">
      <c r="I423" s="934">
        <v>4070</v>
      </c>
      <c r="J423" s="989">
        <v>16</v>
      </c>
      <c r="K423" s="934" t="s">
        <v>321</v>
      </c>
      <c r="L423" s="968">
        <f>+O423+P423</f>
        <v>12</v>
      </c>
      <c r="M423" s="994">
        <f>+L423*$J$1</f>
        <v>18.96</v>
      </c>
      <c r="P423" s="934">
        <v>12</v>
      </c>
    </row>
    <row r="424" spans="9:17" ht="13.8" hidden="1" x14ac:dyDescent="0.25">
      <c r="I424" s="934">
        <v>4070</v>
      </c>
      <c r="J424" s="989">
        <v>14</v>
      </c>
      <c r="K424" s="934" t="s">
        <v>321</v>
      </c>
      <c r="L424" s="968">
        <v>0</v>
      </c>
      <c r="M424" s="994">
        <f>+L424*$J$1</f>
        <v>0</v>
      </c>
      <c r="O424" s="934">
        <v>0</v>
      </c>
      <c r="P424" s="934">
        <v>12</v>
      </c>
    </row>
    <row r="425" spans="9:17" ht="13.8" hidden="1" x14ac:dyDescent="0.25">
      <c r="I425" s="934">
        <v>4070</v>
      </c>
      <c r="J425" s="989">
        <v>12</v>
      </c>
      <c r="K425" s="934" t="s">
        <v>321</v>
      </c>
      <c r="L425" s="968">
        <f>+O425+P425+Q425</f>
        <v>770</v>
      </c>
      <c r="M425" s="994">
        <f>+L425*$J$1</f>
        <v>1216.6000000000001</v>
      </c>
      <c r="O425" s="934">
        <v>408</v>
      </c>
      <c r="P425" s="934">
        <v>12</v>
      </c>
      <c r="Q425" s="934">
        <v>350</v>
      </c>
    </row>
    <row r="426" spans="9:17" ht="13.8" hidden="1" x14ac:dyDescent="0.25">
      <c r="I426" s="934">
        <v>4070</v>
      </c>
      <c r="J426" s="989">
        <v>18</v>
      </c>
      <c r="K426" s="934" t="s">
        <v>345</v>
      </c>
      <c r="L426" s="968">
        <v>1032</v>
      </c>
      <c r="M426" s="995">
        <f>+L426*$J$2</f>
        <v>455.11200000000002</v>
      </c>
    </row>
    <row r="427" spans="9:17" ht="13.8" hidden="1" x14ac:dyDescent="0.25">
      <c r="I427" s="934">
        <v>4070</v>
      </c>
      <c r="J427" s="989">
        <v>16</v>
      </c>
      <c r="K427" s="934" t="s">
        <v>345</v>
      </c>
      <c r="L427" s="968">
        <v>1214</v>
      </c>
      <c r="M427" s="995">
        <f>+L427*$J$2</f>
        <v>535.37400000000002</v>
      </c>
    </row>
    <row r="428" spans="9:17" ht="13.8" hidden="1" x14ac:dyDescent="0.25">
      <c r="I428" s="934">
        <v>4070</v>
      </c>
      <c r="J428" s="989">
        <v>14</v>
      </c>
      <c r="K428" s="934" t="s">
        <v>345</v>
      </c>
      <c r="L428" s="968">
        <v>1411</v>
      </c>
      <c r="M428" s="995">
        <f>+L428*$J$2</f>
        <v>622.25099999999998</v>
      </c>
      <c r="N428" s="934">
        <v>236</v>
      </c>
      <c r="O428" s="990">
        <f>+N428+L428</f>
        <v>1647</v>
      </c>
    </row>
    <row r="429" spans="9:17" ht="13.8" hidden="1" x14ac:dyDescent="0.25">
      <c r="I429" s="934">
        <v>4070</v>
      </c>
      <c r="J429" s="989">
        <v>12</v>
      </c>
      <c r="K429" s="934" t="s">
        <v>345</v>
      </c>
      <c r="L429" s="968">
        <v>2280</v>
      </c>
      <c r="M429" s="995">
        <f>+L429*$J$2</f>
        <v>1005.48</v>
      </c>
      <c r="N429" s="934">
        <v>236</v>
      </c>
      <c r="O429" s="990">
        <f>+N429+L429</f>
        <v>2516</v>
      </c>
    </row>
    <row r="430" spans="9:17" ht="13.8" hidden="1" x14ac:dyDescent="0.25">
      <c r="I430" s="934">
        <v>4070</v>
      </c>
      <c r="J430" s="989">
        <v>18</v>
      </c>
      <c r="K430" s="934" t="s">
        <v>1363</v>
      </c>
      <c r="L430" s="968">
        <f>+N430+O430</f>
        <v>982</v>
      </c>
      <c r="M430" s="995">
        <f>+L430*$J$3</f>
        <v>422.26</v>
      </c>
      <c r="N430" s="968">
        <v>773</v>
      </c>
      <c r="O430" s="968">
        <f>53+53+103</f>
        <v>209</v>
      </c>
    </row>
    <row r="431" spans="9:17" ht="13.8" hidden="1" x14ac:dyDescent="0.25">
      <c r="I431" s="934">
        <v>4070</v>
      </c>
      <c r="J431" s="989">
        <v>16</v>
      </c>
      <c r="K431" s="934" t="s">
        <v>1363</v>
      </c>
      <c r="L431" s="968">
        <f>+N431+O431</f>
        <v>1150</v>
      </c>
      <c r="M431" s="995">
        <f>+L431*$J$3</f>
        <v>494.5</v>
      </c>
      <c r="N431" s="968">
        <v>941</v>
      </c>
      <c r="O431" s="968">
        <f>53+53+103</f>
        <v>209</v>
      </c>
    </row>
    <row r="432" spans="9:17" ht="13.8" hidden="1" x14ac:dyDescent="0.25">
      <c r="I432" s="934">
        <v>4070</v>
      </c>
      <c r="J432" s="989">
        <v>14</v>
      </c>
      <c r="K432" s="934" t="s">
        <v>1363</v>
      </c>
      <c r="L432" s="968">
        <f>+N432+O432</f>
        <v>1444</v>
      </c>
      <c r="M432" s="995">
        <f>+L432*$J$3</f>
        <v>620.91999999999996</v>
      </c>
      <c r="N432" s="968">
        <v>1235</v>
      </c>
      <c r="O432" s="968">
        <f>53+53+103</f>
        <v>209</v>
      </c>
    </row>
    <row r="433" spans="9:17" ht="13.8" hidden="1" x14ac:dyDescent="0.25">
      <c r="I433" s="934">
        <v>4070</v>
      </c>
      <c r="J433" s="989">
        <v>12</v>
      </c>
      <c r="K433" s="934" t="s">
        <v>1363</v>
      </c>
      <c r="M433" s="995">
        <f>+L433*$J$3</f>
        <v>0</v>
      </c>
      <c r="N433" s="968"/>
      <c r="O433" s="968"/>
    </row>
    <row r="434" spans="9:17" ht="13.8" hidden="1" x14ac:dyDescent="0.25">
      <c r="I434" s="934">
        <v>4670</v>
      </c>
      <c r="J434" s="989">
        <v>18</v>
      </c>
      <c r="K434" s="934" t="s">
        <v>321</v>
      </c>
      <c r="L434" s="968">
        <v>0</v>
      </c>
      <c r="M434" s="994">
        <f>+L434*$J$1</f>
        <v>0</v>
      </c>
      <c r="O434" s="934">
        <v>0</v>
      </c>
      <c r="P434" s="934">
        <v>12</v>
      </c>
    </row>
    <row r="435" spans="9:17" ht="13.8" hidden="1" x14ac:dyDescent="0.25">
      <c r="I435" s="934">
        <v>4670</v>
      </c>
      <c r="J435" s="989">
        <v>16</v>
      </c>
      <c r="K435" s="934" t="s">
        <v>321</v>
      </c>
      <c r="L435" s="968">
        <f>+O435+P435</f>
        <v>12</v>
      </c>
      <c r="M435" s="994">
        <f>+L435*$J$1</f>
        <v>18.96</v>
      </c>
      <c r="P435" s="934">
        <v>12</v>
      </c>
    </row>
    <row r="436" spans="9:17" ht="13.8" hidden="1" x14ac:dyDescent="0.25">
      <c r="I436" s="934">
        <v>4670</v>
      </c>
      <c r="J436" s="989">
        <v>14</v>
      </c>
      <c r="K436" s="934" t="s">
        <v>321</v>
      </c>
      <c r="L436" s="968">
        <v>0</v>
      </c>
      <c r="M436" s="994">
        <f>+L436*$J$1</f>
        <v>0</v>
      </c>
      <c r="P436" s="934">
        <v>12</v>
      </c>
    </row>
    <row r="437" spans="9:17" ht="13.8" hidden="1" x14ac:dyDescent="0.25">
      <c r="I437" s="934">
        <v>4670</v>
      </c>
      <c r="J437" s="989">
        <v>12</v>
      </c>
      <c r="K437" s="934" t="s">
        <v>321</v>
      </c>
      <c r="L437" s="968">
        <v>0</v>
      </c>
      <c r="M437" s="994">
        <f>+L437*$J$1</f>
        <v>0</v>
      </c>
      <c r="O437" s="934">
        <v>0</v>
      </c>
      <c r="P437" s="934">
        <v>12</v>
      </c>
      <c r="Q437" s="934">
        <v>350</v>
      </c>
    </row>
    <row r="438" spans="9:17" ht="13.8" hidden="1" x14ac:dyDescent="0.25">
      <c r="I438" s="934">
        <v>4670</v>
      </c>
      <c r="J438" s="989">
        <v>18</v>
      </c>
      <c r="K438" s="934" t="s">
        <v>345</v>
      </c>
      <c r="L438" s="968">
        <v>1384</v>
      </c>
      <c r="M438" s="995">
        <f>+L438*$J$2</f>
        <v>610.34400000000005</v>
      </c>
    </row>
    <row r="439" spans="9:17" ht="13.8" hidden="1" x14ac:dyDescent="0.25">
      <c r="I439" s="934">
        <v>4670</v>
      </c>
      <c r="J439" s="989">
        <v>16</v>
      </c>
      <c r="K439" s="934" t="s">
        <v>345</v>
      </c>
      <c r="L439" s="968">
        <v>1643</v>
      </c>
      <c r="M439" s="995">
        <f>+L439*$J$2</f>
        <v>724.56299999999999</v>
      </c>
    </row>
    <row r="440" spans="9:17" ht="13.8" hidden="1" x14ac:dyDescent="0.25">
      <c r="I440" s="934">
        <v>4670</v>
      </c>
      <c r="J440" s="989">
        <v>14</v>
      </c>
      <c r="K440" s="934" t="s">
        <v>345</v>
      </c>
      <c r="L440" s="968">
        <v>1981</v>
      </c>
      <c r="M440" s="995">
        <f>+L440*$J$2</f>
        <v>873.62099999999998</v>
      </c>
      <c r="N440" s="934">
        <v>236</v>
      </c>
      <c r="O440" s="990">
        <f>+N440+L440</f>
        <v>2217</v>
      </c>
    </row>
    <row r="441" spans="9:17" ht="13.8" hidden="1" x14ac:dyDescent="0.25">
      <c r="I441" s="934">
        <v>4670</v>
      </c>
      <c r="J441" s="989">
        <v>12</v>
      </c>
      <c r="K441" s="934" t="s">
        <v>345</v>
      </c>
      <c r="L441" s="968">
        <v>3219</v>
      </c>
      <c r="M441" s="995">
        <f>+L441*$J$2</f>
        <v>1419.579</v>
      </c>
      <c r="N441" s="934">
        <v>236</v>
      </c>
      <c r="O441" s="990">
        <f>+N441+L441</f>
        <v>3455</v>
      </c>
    </row>
    <row r="442" spans="9:17" ht="13.8" hidden="1" x14ac:dyDescent="0.25">
      <c r="I442" s="934">
        <v>4670</v>
      </c>
      <c r="J442" s="989">
        <v>18</v>
      </c>
      <c r="K442" s="934" t="s">
        <v>1363</v>
      </c>
      <c r="L442" s="968">
        <v>0</v>
      </c>
      <c r="M442" s="995">
        <v>0</v>
      </c>
      <c r="N442" s="968"/>
      <c r="O442" s="968"/>
    </row>
    <row r="443" spans="9:17" ht="13.8" hidden="1" x14ac:dyDescent="0.25">
      <c r="I443" s="934">
        <v>4670</v>
      </c>
      <c r="J443" s="989">
        <v>16</v>
      </c>
      <c r="K443" s="934" t="s">
        <v>1363</v>
      </c>
      <c r="L443" s="968">
        <v>0</v>
      </c>
      <c r="M443" s="995">
        <v>0</v>
      </c>
      <c r="N443" s="968"/>
      <c r="O443" s="968"/>
    </row>
    <row r="444" spans="9:17" ht="13.8" hidden="1" x14ac:dyDescent="0.25">
      <c r="I444" s="934">
        <v>4670</v>
      </c>
      <c r="J444" s="989">
        <v>14</v>
      </c>
      <c r="K444" s="934" t="s">
        <v>1363</v>
      </c>
      <c r="L444" s="968">
        <v>0</v>
      </c>
      <c r="M444" s="995">
        <v>0</v>
      </c>
      <c r="N444" s="968"/>
      <c r="O444" s="968"/>
    </row>
    <row r="445" spans="9:17" ht="13.8" hidden="1" x14ac:dyDescent="0.25">
      <c r="I445" s="934">
        <v>4670</v>
      </c>
      <c r="J445" s="989">
        <v>12</v>
      </c>
      <c r="K445" s="934" t="s">
        <v>1363</v>
      </c>
      <c r="M445" s="995">
        <f>+L445*$J$3</f>
        <v>0</v>
      </c>
      <c r="N445" s="968"/>
      <c r="O445" s="968"/>
    </row>
    <row r="446" spans="9:17" ht="13.8" hidden="1" x14ac:dyDescent="0.25">
      <c r="I446" s="934">
        <v>4080</v>
      </c>
      <c r="J446" s="989">
        <v>18</v>
      </c>
      <c r="K446" s="934" t="s">
        <v>321</v>
      </c>
      <c r="L446" s="968">
        <f>+O446+P446</f>
        <v>393</v>
      </c>
      <c r="M446" s="994">
        <f>+L446*$J$1</f>
        <v>620.94000000000005</v>
      </c>
      <c r="O446" s="934">
        <v>381</v>
      </c>
      <c r="P446" s="934">
        <v>12</v>
      </c>
    </row>
    <row r="447" spans="9:17" ht="13.8" hidden="1" x14ac:dyDescent="0.25">
      <c r="I447" s="934">
        <v>4080</v>
      </c>
      <c r="J447" s="989">
        <v>16</v>
      </c>
      <c r="K447" s="934" t="s">
        <v>321</v>
      </c>
      <c r="L447" s="968">
        <f>+O447+P447</f>
        <v>12</v>
      </c>
      <c r="M447" s="994">
        <f>+L447*$J$1</f>
        <v>18.96</v>
      </c>
      <c r="P447" s="934">
        <v>12</v>
      </c>
    </row>
    <row r="448" spans="9:17" ht="13.8" hidden="1" x14ac:dyDescent="0.25">
      <c r="I448" s="934">
        <v>4080</v>
      </c>
      <c r="J448" s="989">
        <v>14</v>
      </c>
      <c r="K448" s="934" t="s">
        <v>321</v>
      </c>
      <c r="L448" s="968">
        <f>+O448+P448</f>
        <v>500</v>
      </c>
      <c r="M448" s="994">
        <f>+L448*$J$1</f>
        <v>790</v>
      </c>
      <c r="O448" s="934">
        <v>488</v>
      </c>
      <c r="P448" s="934">
        <v>12</v>
      </c>
    </row>
    <row r="449" spans="9:17" ht="13.8" hidden="1" x14ac:dyDescent="0.25">
      <c r="I449" s="934">
        <v>4080</v>
      </c>
      <c r="J449" s="989">
        <v>12</v>
      </c>
      <c r="K449" s="934" t="s">
        <v>321</v>
      </c>
      <c r="L449" s="968">
        <f>+O449+P449+Q449</f>
        <v>850</v>
      </c>
      <c r="M449" s="994">
        <f>+L449*$J$1</f>
        <v>1343</v>
      </c>
      <c r="O449" s="934">
        <v>488</v>
      </c>
      <c r="P449" s="934">
        <v>12</v>
      </c>
      <c r="Q449" s="934">
        <v>350</v>
      </c>
    </row>
    <row r="450" spans="9:17" ht="13.8" hidden="1" x14ac:dyDescent="0.25">
      <c r="I450" s="934">
        <v>4080</v>
      </c>
      <c r="J450" s="989">
        <v>18</v>
      </c>
      <c r="K450" s="934" t="s">
        <v>345</v>
      </c>
      <c r="L450" s="968">
        <v>1240</v>
      </c>
      <c r="M450" s="995">
        <f>+L450*$J$2</f>
        <v>546.84</v>
      </c>
    </row>
    <row r="451" spans="9:17" ht="13.8" hidden="1" x14ac:dyDescent="0.25">
      <c r="I451" s="934">
        <v>4080</v>
      </c>
      <c r="J451" s="989">
        <v>16</v>
      </c>
      <c r="K451" s="934" t="s">
        <v>345</v>
      </c>
      <c r="L451" s="968">
        <v>1465</v>
      </c>
      <c r="M451" s="995">
        <f>+L451*$J$2</f>
        <v>646.06500000000005</v>
      </c>
    </row>
    <row r="452" spans="9:17" ht="13.8" hidden="1" x14ac:dyDescent="0.25">
      <c r="I452" s="934">
        <v>4080</v>
      </c>
      <c r="J452" s="989">
        <v>14</v>
      </c>
      <c r="K452" s="934" t="s">
        <v>345</v>
      </c>
      <c r="L452" s="968">
        <v>1734</v>
      </c>
      <c r="M452" s="995">
        <f>+L452*$J$2</f>
        <v>764.69399999999996</v>
      </c>
      <c r="N452" s="934">
        <v>236</v>
      </c>
      <c r="O452" s="990">
        <f>+N452+L452</f>
        <v>1970</v>
      </c>
    </row>
    <row r="453" spans="9:17" ht="13.8" hidden="1" x14ac:dyDescent="0.25">
      <c r="I453" s="934">
        <v>4080</v>
      </c>
      <c r="J453" s="989">
        <v>12</v>
      </c>
      <c r="K453" s="934" t="s">
        <v>345</v>
      </c>
      <c r="L453" s="968">
        <v>2808</v>
      </c>
      <c r="M453" s="995">
        <f>+L453*$J$2</f>
        <v>1238.328</v>
      </c>
      <c r="N453" s="934">
        <v>236</v>
      </c>
      <c r="O453" s="990">
        <f>+N453+L453</f>
        <v>3044</v>
      </c>
    </row>
    <row r="454" spans="9:17" ht="13.8" hidden="1" x14ac:dyDescent="0.25">
      <c r="I454" s="934">
        <v>4080</v>
      </c>
      <c r="J454" s="989">
        <v>18</v>
      </c>
      <c r="K454" s="934" t="s">
        <v>1363</v>
      </c>
      <c r="L454" s="968">
        <f>+N454+O454</f>
        <v>1074</v>
      </c>
      <c r="M454" s="995">
        <f>+L454*$J$3</f>
        <v>461.82</v>
      </c>
      <c r="N454" s="968">
        <v>865</v>
      </c>
      <c r="O454" s="968">
        <f>53+53+103</f>
        <v>209</v>
      </c>
    </row>
    <row r="455" spans="9:17" ht="13.8" hidden="1" x14ac:dyDescent="0.25">
      <c r="I455" s="934">
        <v>4080</v>
      </c>
      <c r="J455" s="989">
        <v>16</v>
      </c>
      <c r="K455" s="934" t="s">
        <v>1363</v>
      </c>
      <c r="L455" s="968">
        <f>+N455+O455</f>
        <v>1242</v>
      </c>
      <c r="M455" s="995">
        <f>+L455*$J$3</f>
        <v>534.05999999999995</v>
      </c>
      <c r="N455" s="968">
        <v>1033</v>
      </c>
      <c r="O455" s="968">
        <f>53+53+103</f>
        <v>209</v>
      </c>
    </row>
    <row r="456" spans="9:17" ht="13.8" hidden="1" x14ac:dyDescent="0.25">
      <c r="I456" s="934">
        <v>4080</v>
      </c>
      <c r="J456" s="989">
        <v>14</v>
      </c>
      <c r="K456" s="934" t="s">
        <v>1363</v>
      </c>
      <c r="L456" s="968">
        <f>+N456+O456</f>
        <v>1536</v>
      </c>
      <c r="M456" s="995">
        <f>+L456*$J$3</f>
        <v>660.48</v>
      </c>
      <c r="N456" s="968">
        <v>1327</v>
      </c>
      <c r="O456" s="968">
        <f>53+53+103</f>
        <v>209</v>
      </c>
    </row>
    <row r="457" spans="9:17" ht="13.8" hidden="1" x14ac:dyDescent="0.25">
      <c r="I457" s="934">
        <v>4080</v>
      </c>
      <c r="J457" s="989">
        <v>12</v>
      </c>
      <c r="K457" s="934" t="s">
        <v>1363</v>
      </c>
      <c r="M457" s="995">
        <f>+L457*$J$3</f>
        <v>0</v>
      </c>
      <c r="N457" s="968"/>
      <c r="O457" s="968"/>
    </row>
    <row r="458" spans="9:17" ht="13.8" hidden="1" x14ac:dyDescent="0.25">
      <c r="I458" s="934">
        <v>4680</v>
      </c>
      <c r="J458" s="989">
        <v>18</v>
      </c>
      <c r="K458" s="934" t="s">
        <v>321</v>
      </c>
      <c r="L458" s="968">
        <v>0</v>
      </c>
      <c r="M458" s="994">
        <f>+L458*$J$1</f>
        <v>0</v>
      </c>
      <c r="P458" s="934">
        <v>12</v>
      </c>
    </row>
    <row r="459" spans="9:17" ht="13.8" hidden="1" x14ac:dyDescent="0.25">
      <c r="I459" s="934">
        <v>4680</v>
      </c>
      <c r="J459" s="989">
        <v>16</v>
      </c>
      <c r="K459" s="934" t="s">
        <v>321</v>
      </c>
      <c r="L459" s="968">
        <f>+O459+P459</f>
        <v>12</v>
      </c>
      <c r="M459" s="994">
        <f>+L459*$J$1</f>
        <v>18.96</v>
      </c>
      <c r="P459" s="934">
        <v>12</v>
      </c>
    </row>
    <row r="460" spans="9:17" ht="13.8" hidden="1" x14ac:dyDescent="0.25">
      <c r="I460" s="934">
        <v>4680</v>
      </c>
      <c r="J460" s="989">
        <v>14</v>
      </c>
      <c r="K460" s="934" t="s">
        <v>321</v>
      </c>
      <c r="L460" s="968">
        <v>0</v>
      </c>
      <c r="M460" s="994">
        <f>+L460*$J$1</f>
        <v>0</v>
      </c>
      <c r="P460" s="934">
        <v>12</v>
      </c>
    </row>
    <row r="461" spans="9:17" ht="13.8" hidden="1" x14ac:dyDescent="0.25">
      <c r="I461" s="934">
        <v>4680</v>
      </c>
      <c r="J461" s="989">
        <v>12</v>
      </c>
      <c r="K461" s="934" t="s">
        <v>321</v>
      </c>
      <c r="L461" s="968">
        <v>0</v>
      </c>
      <c r="M461" s="994">
        <f>+L461*$J$1</f>
        <v>0</v>
      </c>
      <c r="O461" s="934">
        <v>0</v>
      </c>
      <c r="P461" s="934">
        <v>12</v>
      </c>
      <c r="Q461" s="934">
        <v>350</v>
      </c>
    </row>
    <row r="462" spans="9:17" ht="13.8" hidden="1" x14ac:dyDescent="0.25">
      <c r="I462" s="934">
        <v>4680</v>
      </c>
      <c r="J462" s="989">
        <v>18</v>
      </c>
      <c r="K462" s="934" t="s">
        <v>345</v>
      </c>
      <c r="L462" s="968">
        <v>1552</v>
      </c>
      <c r="M462" s="995">
        <f>+L462*$J$2</f>
        <v>684.43200000000002</v>
      </c>
    </row>
    <row r="463" spans="9:17" ht="13.8" hidden="1" x14ac:dyDescent="0.25">
      <c r="I463" s="934">
        <v>4680</v>
      </c>
      <c r="J463" s="989">
        <v>16</v>
      </c>
      <c r="K463" s="934" t="s">
        <v>345</v>
      </c>
      <c r="L463" s="968">
        <v>1845</v>
      </c>
      <c r="M463" s="995">
        <f>+L463*$J$2</f>
        <v>813.64499999999998</v>
      </c>
    </row>
    <row r="464" spans="9:17" ht="13.8" hidden="1" x14ac:dyDescent="0.25">
      <c r="I464" s="934">
        <v>4680</v>
      </c>
      <c r="J464" s="989">
        <v>14</v>
      </c>
      <c r="K464" s="934" t="s">
        <v>345</v>
      </c>
      <c r="L464" s="968">
        <v>2239</v>
      </c>
      <c r="M464" s="995">
        <f>+L464*$J$2</f>
        <v>987.399</v>
      </c>
      <c r="N464" s="934">
        <v>236</v>
      </c>
      <c r="O464" s="990">
        <f>+N464+L464</f>
        <v>2475</v>
      </c>
    </row>
    <row r="465" spans="9:17" ht="13.8" hidden="1" x14ac:dyDescent="0.25">
      <c r="I465" s="934">
        <v>4680</v>
      </c>
      <c r="J465" s="989">
        <v>12</v>
      </c>
      <c r="K465" s="934" t="s">
        <v>345</v>
      </c>
      <c r="L465" s="968">
        <v>3639</v>
      </c>
      <c r="M465" s="995">
        <f>+L465*$J$2</f>
        <v>1604.799</v>
      </c>
      <c r="N465" s="934">
        <v>236</v>
      </c>
      <c r="O465" s="990">
        <f>+N465+L465</f>
        <v>3875</v>
      </c>
    </row>
    <row r="466" spans="9:17" ht="13.8" hidden="1" x14ac:dyDescent="0.25">
      <c r="I466" s="934">
        <v>4680</v>
      </c>
      <c r="J466" s="989">
        <v>18</v>
      </c>
      <c r="K466" s="934" t="s">
        <v>1363</v>
      </c>
      <c r="L466" s="968">
        <v>0</v>
      </c>
      <c r="M466" s="995">
        <v>0</v>
      </c>
      <c r="N466" s="968"/>
      <c r="O466" s="968"/>
    </row>
    <row r="467" spans="9:17" ht="13.8" hidden="1" x14ac:dyDescent="0.25">
      <c r="I467" s="934">
        <v>4680</v>
      </c>
      <c r="J467" s="989">
        <v>16</v>
      </c>
      <c r="K467" s="934" t="s">
        <v>1363</v>
      </c>
      <c r="L467" s="968">
        <v>0</v>
      </c>
      <c r="M467" s="995">
        <v>0</v>
      </c>
      <c r="N467" s="968"/>
      <c r="O467" s="968"/>
    </row>
    <row r="468" spans="9:17" ht="13.8" hidden="1" x14ac:dyDescent="0.25">
      <c r="I468" s="934">
        <v>4680</v>
      </c>
      <c r="J468" s="989">
        <v>14</v>
      </c>
      <c r="K468" s="934" t="s">
        <v>1363</v>
      </c>
      <c r="L468" s="968">
        <v>0</v>
      </c>
      <c r="M468" s="995">
        <v>0</v>
      </c>
      <c r="N468" s="968"/>
      <c r="O468" s="968"/>
    </row>
    <row r="469" spans="9:17" ht="13.8" hidden="1" x14ac:dyDescent="0.25">
      <c r="I469" s="934">
        <v>4680</v>
      </c>
      <c r="J469" s="989">
        <v>12</v>
      </c>
      <c r="K469" s="934" t="s">
        <v>1363</v>
      </c>
      <c r="L469" s="968">
        <v>0</v>
      </c>
      <c r="M469" s="995">
        <f>+L469*$J$3</f>
        <v>0</v>
      </c>
      <c r="N469" s="968"/>
      <c r="O469" s="968"/>
    </row>
    <row r="470" spans="9:17" ht="13.8" hidden="1" x14ac:dyDescent="0.25">
      <c r="I470" s="934">
        <v>4090</v>
      </c>
      <c r="J470" s="989">
        <v>18</v>
      </c>
      <c r="K470" s="934" t="s">
        <v>321</v>
      </c>
      <c r="L470" s="968">
        <f>+O470+P470</f>
        <v>508</v>
      </c>
      <c r="M470" s="994">
        <f>+L470*$J$1</f>
        <v>802.64</v>
      </c>
      <c r="O470" s="934">
        <v>496</v>
      </c>
      <c r="P470" s="934">
        <v>12</v>
      </c>
    </row>
    <row r="471" spans="9:17" ht="13.8" hidden="1" x14ac:dyDescent="0.25">
      <c r="I471" s="934">
        <v>4090</v>
      </c>
      <c r="J471" s="989">
        <v>16</v>
      </c>
      <c r="K471" s="934" t="s">
        <v>321</v>
      </c>
      <c r="L471" s="968">
        <f>+O471+P471</f>
        <v>12</v>
      </c>
      <c r="M471" s="994">
        <f>+L471*$J$1</f>
        <v>18.96</v>
      </c>
      <c r="P471" s="934">
        <v>12</v>
      </c>
    </row>
    <row r="472" spans="9:17" ht="13.8" hidden="1" x14ac:dyDescent="0.25">
      <c r="I472" s="934">
        <v>4090</v>
      </c>
      <c r="J472" s="989">
        <v>14</v>
      </c>
      <c r="K472" s="934" t="s">
        <v>321</v>
      </c>
      <c r="L472" s="968">
        <f>+O472+P472</f>
        <v>613</v>
      </c>
      <c r="M472" s="994">
        <f>+L472*$J$1</f>
        <v>968.54000000000008</v>
      </c>
      <c r="O472" s="934">
        <v>601</v>
      </c>
      <c r="P472" s="934">
        <v>12</v>
      </c>
    </row>
    <row r="473" spans="9:17" ht="13.8" hidden="1" x14ac:dyDescent="0.25">
      <c r="I473" s="934">
        <v>4090</v>
      </c>
      <c r="J473" s="989">
        <v>12</v>
      </c>
      <c r="K473" s="934" t="s">
        <v>321</v>
      </c>
      <c r="L473" s="968">
        <f>+O473+P473+Q473</f>
        <v>963</v>
      </c>
      <c r="M473" s="994">
        <f>+L473*$J$1</f>
        <v>1521.54</v>
      </c>
      <c r="O473" s="934">
        <v>601</v>
      </c>
      <c r="P473" s="934">
        <v>12</v>
      </c>
      <c r="Q473" s="934">
        <v>350</v>
      </c>
    </row>
    <row r="474" spans="9:17" ht="13.8" hidden="1" x14ac:dyDescent="0.25">
      <c r="I474" s="934">
        <v>4090</v>
      </c>
      <c r="J474" s="989">
        <v>18</v>
      </c>
      <c r="K474" s="934" t="s">
        <v>345</v>
      </c>
      <c r="L474" s="968">
        <v>1366</v>
      </c>
      <c r="M474" s="995">
        <f>+L474*$J$2</f>
        <v>602.40599999999995</v>
      </c>
    </row>
    <row r="475" spans="9:17" ht="13.8" hidden="1" x14ac:dyDescent="0.25">
      <c r="I475" s="934">
        <v>4090</v>
      </c>
      <c r="J475" s="989">
        <v>16</v>
      </c>
      <c r="K475" s="934" t="s">
        <v>345</v>
      </c>
      <c r="L475" s="968">
        <v>1616</v>
      </c>
      <c r="M475" s="995">
        <f>+L475*$J$2</f>
        <v>712.65599999999995</v>
      </c>
    </row>
    <row r="476" spans="9:17" ht="13.8" hidden="1" x14ac:dyDescent="0.25">
      <c r="I476" s="934">
        <v>4090</v>
      </c>
      <c r="J476" s="989">
        <v>14</v>
      </c>
      <c r="K476" s="934" t="s">
        <v>345</v>
      </c>
      <c r="L476" s="968">
        <v>1931</v>
      </c>
      <c r="M476" s="995">
        <f>+L476*$J$2</f>
        <v>851.57100000000003</v>
      </c>
      <c r="N476" s="934">
        <v>236</v>
      </c>
      <c r="O476" s="990">
        <f>+N476+L476</f>
        <v>2167</v>
      </c>
    </row>
    <row r="477" spans="9:17" ht="13.8" hidden="1" x14ac:dyDescent="0.25">
      <c r="I477" s="934">
        <v>4090</v>
      </c>
      <c r="J477" s="989">
        <v>12</v>
      </c>
      <c r="K477" s="934" t="s">
        <v>345</v>
      </c>
      <c r="L477" s="968">
        <v>3127</v>
      </c>
      <c r="M477" s="995">
        <f>+L477*$J$2</f>
        <v>1379.0070000000001</v>
      </c>
      <c r="N477" s="934">
        <v>236</v>
      </c>
      <c r="O477" s="990">
        <f>+N477+L477</f>
        <v>3363</v>
      </c>
    </row>
    <row r="478" spans="9:17" ht="13.8" hidden="1" x14ac:dyDescent="0.25">
      <c r="I478" s="934">
        <v>4090</v>
      </c>
      <c r="J478" s="989">
        <v>18</v>
      </c>
      <c r="K478" s="934" t="s">
        <v>1363</v>
      </c>
      <c r="L478" s="968">
        <v>0</v>
      </c>
      <c r="M478" s="995">
        <f>+L478*$J$3</f>
        <v>0</v>
      </c>
      <c r="N478" s="968"/>
      <c r="O478" s="968"/>
    </row>
    <row r="479" spans="9:17" ht="13.8" hidden="1" x14ac:dyDescent="0.25">
      <c r="I479" s="934">
        <v>4090</v>
      </c>
      <c r="J479" s="989">
        <v>16</v>
      </c>
      <c r="K479" s="934" t="s">
        <v>1363</v>
      </c>
      <c r="L479" s="968">
        <v>0</v>
      </c>
      <c r="M479" s="995">
        <f>+L479*$J$3</f>
        <v>0</v>
      </c>
      <c r="N479" s="968"/>
      <c r="O479" s="968"/>
    </row>
    <row r="480" spans="9:17" ht="13.8" hidden="1" x14ac:dyDescent="0.25">
      <c r="I480" s="934">
        <v>4090</v>
      </c>
      <c r="J480" s="989">
        <v>14</v>
      </c>
      <c r="K480" s="934" t="s">
        <v>1363</v>
      </c>
      <c r="L480" s="968">
        <v>0</v>
      </c>
      <c r="M480" s="995">
        <f>+L480*$J$3</f>
        <v>0</v>
      </c>
      <c r="N480" s="968"/>
      <c r="O480" s="968"/>
    </row>
    <row r="481" spans="9:17" ht="13.8" hidden="1" x14ac:dyDescent="0.25">
      <c r="I481" s="934">
        <v>4090</v>
      </c>
      <c r="J481" s="989">
        <v>12</v>
      </c>
      <c r="K481" s="934" t="s">
        <v>1363</v>
      </c>
      <c r="L481" s="968">
        <v>0</v>
      </c>
      <c r="M481" s="995">
        <f>+L481*$J$3</f>
        <v>0</v>
      </c>
      <c r="N481" s="968"/>
      <c r="O481" s="968"/>
    </row>
    <row r="482" spans="9:17" ht="13.8" hidden="1" x14ac:dyDescent="0.25">
      <c r="I482" s="934">
        <v>4690</v>
      </c>
      <c r="J482" s="989">
        <v>18</v>
      </c>
      <c r="K482" s="934" t="s">
        <v>321</v>
      </c>
      <c r="L482" s="968">
        <v>0</v>
      </c>
      <c r="M482" s="994">
        <f>+L482*$J$1</f>
        <v>0</v>
      </c>
      <c r="P482" s="934">
        <v>12</v>
      </c>
    </row>
    <row r="483" spans="9:17" ht="13.8" hidden="1" x14ac:dyDescent="0.25">
      <c r="I483" s="934">
        <v>4690</v>
      </c>
      <c r="J483" s="989">
        <v>16</v>
      </c>
      <c r="K483" s="934" t="s">
        <v>321</v>
      </c>
      <c r="L483" s="968">
        <f>+O483+P483</f>
        <v>12</v>
      </c>
      <c r="M483" s="994">
        <f>+L483*$J$1</f>
        <v>18.96</v>
      </c>
      <c r="P483" s="934">
        <v>12</v>
      </c>
    </row>
    <row r="484" spans="9:17" ht="13.8" hidden="1" x14ac:dyDescent="0.25">
      <c r="I484" s="934">
        <v>4690</v>
      </c>
      <c r="J484" s="989">
        <v>14</v>
      </c>
      <c r="K484" s="934" t="s">
        <v>321</v>
      </c>
      <c r="L484" s="968">
        <v>0</v>
      </c>
      <c r="M484" s="994">
        <f>+L484*$J$1</f>
        <v>0</v>
      </c>
      <c r="P484" s="934">
        <v>12</v>
      </c>
    </row>
    <row r="485" spans="9:17" ht="13.8" hidden="1" x14ac:dyDescent="0.25">
      <c r="I485" s="934">
        <v>4690</v>
      </c>
      <c r="J485" s="989">
        <v>12</v>
      </c>
      <c r="K485" s="934" t="s">
        <v>321</v>
      </c>
      <c r="L485" s="968">
        <v>0</v>
      </c>
      <c r="M485" s="994">
        <f>+L485*$J$1</f>
        <v>0</v>
      </c>
      <c r="O485" s="934">
        <v>0</v>
      </c>
      <c r="P485" s="934">
        <v>12</v>
      </c>
      <c r="Q485" s="934">
        <v>350</v>
      </c>
    </row>
    <row r="486" spans="9:17" ht="13.8" hidden="1" x14ac:dyDescent="0.25">
      <c r="I486" s="934">
        <v>4690</v>
      </c>
      <c r="J486" s="989">
        <v>18</v>
      </c>
      <c r="K486" s="934" t="s">
        <v>345</v>
      </c>
      <c r="L486" s="968">
        <v>1719</v>
      </c>
      <c r="M486" s="995">
        <f>+L486*$J$2</f>
        <v>758.07899999999995</v>
      </c>
    </row>
    <row r="487" spans="9:17" ht="13.8" hidden="1" x14ac:dyDescent="0.25">
      <c r="I487" s="934">
        <v>4690</v>
      </c>
      <c r="J487" s="989">
        <v>16</v>
      </c>
      <c r="K487" s="934" t="s">
        <v>345</v>
      </c>
      <c r="L487" s="968">
        <v>2046</v>
      </c>
      <c r="M487" s="995">
        <f>+L487*$J$2</f>
        <v>902.28600000000006</v>
      </c>
    </row>
    <row r="488" spans="9:17" ht="13.8" hidden="1" x14ac:dyDescent="0.25">
      <c r="I488" s="934">
        <v>4690</v>
      </c>
      <c r="J488" s="989">
        <v>14</v>
      </c>
      <c r="K488" s="934" t="s">
        <v>345</v>
      </c>
      <c r="L488" s="968">
        <v>2501</v>
      </c>
      <c r="M488" s="995">
        <f>+L488*$J$2</f>
        <v>1102.941</v>
      </c>
      <c r="N488" s="934">
        <v>236</v>
      </c>
      <c r="O488" s="990">
        <f>+N488+L488</f>
        <v>2737</v>
      </c>
    </row>
    <row r="489" spans="9:17" ht="13.8" hidden="1" x14ac:dyDescent="0.25">
      <c r="I489" s="934">
        <v>4690</v>
      </c>
      <c r="J489" s="989">
        <v>12</v>
      </c>
      <c r="K489" s="934" t="s">
        <v>345</v>
      </c>
      <c r="L489" s="968">
        <v>4063</v>
      </c>
      <c r="M489" s="995">
        <f>+L489*$J$2</f>
        <v>1791.7829999999999</v>
      </c>
      <c r="N489" s="934">
        <v>236</v>
      </c>
      <c r="O489" s="990">
        <f>+N489+L489</f>
        <v>4299</v>
      </c>
    </row>
    <row r="490" spans="9:17" ht="13.8" hidden="1" x14ac:dyDescent="0.25">
      <c r="I490" s="934">
        <v>4690</v>
      </c>
      <c r="J490" s="989">
        <v>18</v>
      </c>
      <c r="K490" s="934" t="s">
        <v>1363</v>
      </c>
      <c r="L490" s="968">
        <v>0</v>
      </c>
      <c r="M490" s="995">
        <f>+L490*$J$3</f>
        <v>0</v>
      </c>
      <c r="N490" s="968"/>
      <c r="O490" s="968"/>
    </row>
    <row r="491" spans="9:17" ht="13.8" hidden="1" x14ac:dyDescent="0.25">
      <c r="I491" s="934">
        <v>4690</v>
      </c>
      <c r="J491" s="989">
        <v>16</v>
      </c>
      <c r="K491" s="934" t="s">
        <v>1363</v>
      </c>
      <c r="L491" s="968">
        <v>0</v>
      </c>
      <c r="M491" s="995">
        <f>+L491*$J$3</f>
        <v>0</v>
      </c>
      <c r="N491" s="968"/>
      <c r="O491" s="968"/>
    </row>
    <row r="492" spans="9:17" ht="13.8" hidden="1" x14ac:dyDescent="0.25">
      <c r="I492" s="934">
        <v>4690</v>
      </c>
      <c r="J492" s="989">
        <v>14</v>
      </c>
      <c r="K492" s="934" t="s">
        <v>1363</v>
      </c>
      <c r="L492" s="968">
        <v>0</v>
      </c>
      <c r="M492" s="995">
        <f>+L492*$J$3</f>
        <v>0</v>
      </c>
      <c r="N492" s="968"/>
      <c r="O492" s="968"/>
    </row>
    <row r="493" spans="9:17" ht="13.8" hidden="1" x14ac:dyDescent="0.25">
      <c r="I493" s="934">
        <v>4690</v>
      </c>
      <c r="J493" s="989">
        <v>12</v>
      </c>
      <c r="K493" s="934" t="s">
        <v>1363</v>
      </c>
      <c r="L493" s="968">
        <v>0</v>
      </c>
      <c r="M493" s="995">
        <f>+L493*$J$3</f>
        <v>0</v>
      </c>
      <c r="N493" s="968"/>
      <c r="O493" s="968"/>
    </row>
    <row r="494" spans="9:17" ht="13.8" hidden="1" x14ac:dyDescent="0.25">
      <c r="I494" s="934">
        <v>3010</v>
      </c>
      <c r="J494" s="989">
        <v>16</v>
      </c>
      <c r="K494" s="934" t="s">
        <v>321</v>
      </c>
      <c r="L494" s="968">
        <f t="shared" ref="L494:L500" si="0">+O494+P494</f>
        <v>528</v>
      </c>
      <c r="M494" s="994">
        <f t="shared" ref="M494:M501" si="1">+L494*$J$1</f>
        <v>834.24</v>
      </c>
      <c r="O494" s="934">
        <v>516</v>
      </c>
      <c r="P494" s="934">
        <v>12</v>
      </c>
    </row>
    <row r="495" spans="9:17" ht="13.8" hidden="1" x14ac:dyDescent="0.25">
      <c r="I495" s="934">
        <v>3010</v>
      </c>
      <c r="J495" s="989">
        <v>14</v>
      </c>
      <c r="K495" s="934" t="s">
        <v>321</v>
      </c>
      <c r="L495" s="968">
        <f>+O495+P495</f>
        <v>607</v>
      </c>
      <c r="M495" s="994">
        <f t="shared" si="1"/>
        <v>959.06000000000006</v>
      </c>
      <c r="O495" s="934">
        <v>595</v>
      </c>
      <c r="P495" s="934">
        <v>12</v>
      </c>
    </row>
    <row r="496" spans="9:17" ht="13.8" hidden="1" x14ac:dyDescent="0.25">
      <c r="I496" s="934">
        <v>30110</v>
      </c>
      <c r="J496" s="989">
        <v>16</v>
      </c>
      <c r="K496" s="934" t="s">
        <v>321</v>
      </c>
      <c r="L496" s="968">
        <f t="shared" si="0"/>
        <v>1062</v>
      </c>
      <c r="M496" s="994">
        <f t="shared" si="1"/>
        <v>1677.96</v>
      </c>
      <c r="O496" s="934">
        <v>1050</v>
      </c>
      <c r="P496" s="934">
        <v>12</v>
      </c>
    </row>
    <row r="497" spans="9:16" ht="13.8" hidden="1" x14ac:dyDescent="0.25">
      <c r="I497" s="934">
        <v>30110</v>
      </c>
      <c r="J497" s="989">
        <v>14</v>
      </c>
      <c r="K497" s="934" t="s">
        <v>321</v>
      </c>
      <c r="L497" s="968">
        <f>+O497+P497</f>
        <v>1137</v>
      </c>
      <c r="M497" s="994">
        <f t="shared" si="1"/>
        <v>1796.46</v>
      </c>
      <c r="O497" s="934">
        <v>1125</v>
      </c>
      <c r="P497" s="934">
        <v>12</v>
      </c>
    </row>
    <row r="498" spans="9:16" ht="13.8" hidden="1" x14ac:dyDescent="0.25">
      <c r="I498" s="934">
        <v>4010</v>
      </c>
      <c r="J498" s="989">
        <v>16</v>
      </c>
      <c r="K498" s="934" t="s">
        <v>321</v>
      </c>
      <c r="L498" s="968">
        <f t="shared" si="0"/>
        <v>572</v>
      </c>
      <c r="M498" s="994">
        <f t="shared" si="1"/>
        <v>903.76</v>
      </c>
      <c r="O498" s="934">
        <v>560</v>
      </c>
      <c r="P498" s="934">
        <v>12</v>
      </c>
    </row>
    <row r="499" spans="9:16" ht="13.8" hidden="1" x14ac:dyDescent="0.25">
      <c r="I499" s="934">
        <v>4010</v>
      </c>
      <c r="J499" s="989">
        <v>14</v>
      </c>
      <c r="K499" s="934" t="s">
        <v>321</v>
      </c>
      <c r="L499" s="968">
        <f>+O499+P499</f>
        <v>655</v>
      </c>
      <c r="M499" s="994">
        <f t="shared" si="1"/>
        <v>1034.9000000000001</v>
      </c>
      <c r="O499" s="934">
        <v>643</v>
      </c>
      <c r="P499" s="934">
        <v>12</v>
      </c>
    </row>
    <row r="500" spans="9:16" ht="13.8" hidden="1" x14ac:dyDescent="0.25">
      <c r="I500" s="934">
        <v>4011</v>
      </c>
      <c r="J500" s="989">
        <v>16</v>
      </c>
      <c r="K500" s="934" t="s">
        <v>321</v>
      </c>
      <c r="L500" s="968">
        <f t="shared" si="0"/>
        <v>1112</v>
      </c>
      <c r="M500" s="994">
        <f t="shared" si="1"/>
        <v>1756.96</v>
      </c>
      <c r="O500" s="934">
        <v>1100</v>
      </c>
      <c r="P500" s="934">
        <v>12</v>
      </c>
    </row>
    <row r="501" spans="9:16" ht="13.8" hidden="1" x14ac:dyDescent="0.25">
      <c r="I501" s="934">
        <v>4011</v>
      </c>
      <c r="J501" s="989">
        <v>14</v>
      </c>
      <c r="K501" s="934" t="s">
        <v>321</v>
      </c>
      <c r="L501" s="968">
        <f>+O501+P501</f>
        <v>1212</v>
      </c>
      <c r="M501" s="994">
        <f t="shared" si="1"/>
        <v>1914.96</v>
      </c>
      <c r="O501" s="934">
        <v>1200</v>
      </c>
      <c r="P501" s="934">
        <v>12</v>
      </c>
    </row>
  </sheetData>
  <autoFilter ref="A37:GM501" xr:uid="{9DA7D444-4270-40E5-A2F2-20114F673FF0}">
    <filterColumn colId="8">
      <filters>
        <filter val="3068"/>
      </filters>
    </filterColumn>
    <filterColumn colId="9">
      <filters>
        <filter val="18"/>
      </filters>
    </filterColumn>
  </autoFilter>
  <mergeCells count="67">
    <mergeCell ref="A129:B129"/>
    <mergeCell ref="I4:J4"/>
    <mergeCell ref="AD2:AF2"/>
    <mergeCell ref="L2:N2"/>
    <mergeCell ref="R2:T2"/>
    <mergeCell ref="U2:W2"/>
    <mergeCell ref="X2:Z2"/>
    <mergeCell ref="AA2:AC2"/>
    <mergeCell ref="I5:J5"/>
    <mergeCell ref="I6:J6"/>
    <mergeCell ref="I7:J7"/>
    <mergeCell ref="A31:A34"/>
    <mergeCell ref="BN2:BP2"/>
    <mergeCell ref="AG2:AI2"/>
    <mergeCell ref="AJ2:AL2"/>
    <mergeCell ref="AM2:AO2"/>
    <mergeCell ref="AP2:AR2"/>
    <mergeCell ref="AS2:AU2"/>
    <mergeCell ref="AV2:AX2"/>
    <mergeCell ref="AY2:BA2"/>
    <mergeCell ref="BB2:BD2"/>
    <mergeCell ref="BE2:BG2"/>
    <mergeCell ref="BH2:BJ2"/>
    <mergeCell ref="BK2:BM2"/>
    <mergeCell ref="CX2:CZ2"/>
    <mergeCell ref="BQ2:BS2"/>
    <mergeCell ref="BT2:BV2"/>
    <mergeCell ref="BW2:BY2"/>
    <mergeCell ref="BZ2:CB2"/>
    <mergeCell ref="CC2:CE2"/>
    <mergeCell ref="CF2:CH2"/>
    <mergeCell ref="CI2:CK2"/>
    <mergeCell ref="CL2:CN2"/>
    <mergeCell ref="CO2:CQ2"/>
    <mergeCell ref="CR2:CT2"/>
    <mergeCell ref="CU2:CW2"/>
    <mergeCell ref="EH2:EJ2"/>
    <mergeCell ref="DA2:DC2"/>
    <mergeCell ref="DD2:DF2"/>
    <mergeCell ref="DG2:DI2"/>
    <mergeCell ref="DJ2:DL2"/>
    <mergeCell ref="DM2:DO2"/>
    <mergeCell ref="DP2:DR2"/>
    <mergeCell ref="GH2:GJ2"/>
    <mergeCell ref="GK2:GM2"/>
    <mergeCell ref="FD2:FF2"/>
    <mergeCell ref="FG2:FI2"/>
    <mergeCell ref="FJ2:FL2"/>
    <mergeCell ref="FM2:FO2"/>
    <mergeCell ref="FP2:FR2"/>
    <mergeCell ref="FS2:FU2"/>
    <mergeCell ref="A130:B130"/>
    <mergeCell ref="FV2:FX2"/>
    <mergeCell ref="FY2:GA2"/>
    <mergeCell ref="GB2:GD2"/>
    <mergeCell ref="GE2:GG2"/>
    <mergeCell ref="EK2:EM2"/>
    <mergeCell ref="EN2:EP2"/>
    <mergeCell ref="EQ2:ES2"/>
    <mergeCell ref="ET2:EV2"/>
    <mergeCell ref="EX2:EZ2"/>
    <mergeCell ref="FA2:FC2"/>
    <mergeCell ref="DS2:DU2"/>
    <mergeCell ref="DV2:DX2"/>
    <mergeCell ref="DY2:EA2"/>
    <mergeCell ref="EB2:ED2"/>
    <mergeCell ref="EE2:E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0617D-C73D-4DB4-9748-1894600B01CE}">
  <dimension ref="A1:GB9"/>
  <sheetViews>
    <sheetView topLeftCell="N1" workbookViewId="0">
      <selection activeCell="N4" sqref="N4"/>
    </sheetView>
  </sheetViews>
  <sheetFormatPr defaultRowHeight="12.6" x14ac:dyDescent="0.2"/>
  <cols>
    <col min="4" max="4" width="8.7265625" hidden="1" customWidth="1"/>
    <col min="6" max="7" width="8.7265625" hidden="1" customWidth="1"/>
    <col min="9" max="10" width="0" hidden="1" customWidth="1"/>
    <col min="12" max="13" width="0" hidden="1" customWidth="1"/>
    <col min="15" max="16" width="0" hidden="1" customWidth="1"/>
    <col min="18" max="19" width="0" hidden="1" customWidth="1"/>
    <col min="21" max="22" width="0" hidden="1" customWidth="1"/>
    <col min="24" max="25" width="0" hidden="1" customWidth="1"/>
    <col min="27" max="28" width="0" hidden="1" customWidth="1"/>
    <col min="30" max="31" width="0" hidden="1" customWidth="1"/>
    <col min="33" max="34" width="0" hidden="1" customWidth="1"/>
    <col min="36" max="37" width="0" hidden="1" customWidth="1"/>
    <col min="39" max="40" width="0" hidden="1" customWidth="1"/>
    <col min="42" max="43" width="0" hidden="1" customWidth="1"/>
    <col min="45" max="46" width="0" hidden="1" customWidth="1"/>
    <col min="48" max="49" width="0" hidden="1" customWidth="1"/>
    <col min="51" max="52" width="0" hidden="1" customWidth="1"/>
    <col min="54" max="55" width="0" hidden="1" customWidth="1"/>
    <col min="57" max="58" width="0" hidden="1" customWidth="1"/>
    <col min="60" max="61" width="0" hidden="1" customWidth="1"/>
  </cols>
  <sheetData>
    <row r="1" spans="1:184" ht="13.95" customHeight="1" thickBot="1" x14ac:dyDescent="0.25">
      <c r="A1" s="934" t="s">
        <v>321</v>
      </c>
      <c r="B1" s="935">
        <v>1.58</v>
      </c>
      <c r="C1" s="934"/>
      <c r="D1" s="934"/>
      <c r="E1" s="934"/>
      <c r="F1" s="934"/>
      <c r="G1" s="934"/>
      <c r="H1" s="934"/>
      <c r="I1" s="934"/>
      <c r="L1" s="128"/>
    </row>
    <row r="2" spans="1:184" s="1294" customFormat="1" ht="14.4" thickBot="1" x14ac:dyDescent="0.3">
      <c r="A2" s="1289" t="s">
        <v>345</v>
      </c>
      <c r="B2" s="1290">
        <v>0.441</v>
      </c>
      <c r="C2" s="1291"/>
      <c r="D2" s="3991">
        <v>2068</v>
      </c>
      <c r="E2" s="3990"/>
      <c r="F2" s="3992"/>
      <c r="G2" s="3989">
        <v>2070</v>
      </c>
      <c r="H2" s="3990"/>
      <c r="I2" s="1292"/>
      <c r="J2" s="3993">
        <v>2080</v>
      </c>
      <c r="K2" s="3988"/>
      <c r="L2" s="3994"/>
      <c r="M2" s="3993">
        <v>2090</v>
      </c>
      <c r="N2" s="3988"/>
      <c r="O2" s="3995"/>
      <c r="P2" s="3993">
        <v>2468</v>
      </c>
      <c r="Q2" s="3988"/>
      <c r="R2" s="3995"/>
      <c r="S2" s="3996">
        <v>2470</v>
      </c>
      <c r="T2" s="3988"/>
      <c r="U2" s="3988"/>
      <c r="V2" s="3988">
        <v>2480</v>
      </c>
      <c r="W2" s="3988"/>
      <c r="X2" s="3988"/>
      <c r="Y2" s="3988">
        <v>2490</v>
      </c>
      <c r="Z2" s="3988"/>
      <c r="AA2" s="3988"/>
      <c r="AB2" s="3988">
        <v>2668</v>
      </c>
      <c r="AC2" s="3988"/>
      <c r="AD2" s="3988"/>
      <c r="AE2" s="3988">
        <v>2670</v>
      </c>
      <c r="AF2" s="3988"/>
      <c r="AG2" s="3988"/>
      <c r="AH2" s="3988">
        <v>2680</v>
      </c>
      <c r="AI2" s="3988"/>
      <c r="AJ2" s="3988"/>
      <c r="AK2" s="3988">
        <v>2690</v>
      </c>
      <c r="AL2" s="3988"/>
      <c r="AM2" s="3988"/>
      <c r="AN2" s="3988">
        <v>2868</v>
      </c>
      <c r="AO2" s="3988"/>
      <c r="AP2" s="3988"/>
      <c r="AQ2" s="3988">
        <v>2870</v>
      </c>
      <c r="AR2" s="3988"/>
      <c r="AS2" s="3988"/>
      <c r="AT2" s="3988">
        <v>2880</v>
      </c>
      <c r="AU2" s="3988"/>
      <c r="AV2" s="3988"/>
      <c r="AW2" s="3988">
        <v>2890</v>
      </c>
      <c r="AX2" s="3988"/>
      <c r="AY2" s="3988"/>
      <c r="AZ2" s="3988">
        <v>3068</v>
      </c>
      <c r="BA2" s="3988"/>
      <c r="BB2" s="3988"/>
      <c r="BC2" s="3988">
        <v>3468</v>
      </c>
      <c r="BD2" s="3988"/>
      <c r="BE2" s="3988"/>
      <c r="BF2" s="3988">
        <v>3668</v>
      </c>
      <c r="BG2" s="3988"/>
      <c r="BH2" s="3988"/>
      <c r="BI2" s="3988">
        <v>3868</v>
      </c>
      <c r="BJ2" s="3988"/>
      <c r="BK2" s="3988"/>
      <c r="BL2" s="3988">
        <v>3070</v>
      </c>
      <c r="BM2" s="3988"/>
      <c r="BN2" s="3988"/>
      <c r="BO2" s="3988">
        <v>3470</v>
      </c>
      <c r="BP2" s="3988"/>
      <c r="BQ2" s="3988"/>
      <c r="BR2" s="3988">
        <v>3670</v>
      </c>
      <c r="BS2" s="3988"/>
      <c r="BT2" s="3988"/>
      <c r="BU2" s="3988">
        <v>3870</v>
      </c>
      <c r="BV2" s="3988"/>
      <c r="BW2" s="3988"/>
      <c r="BX2" s="3988">
        <v>3080</v>
      </c>
      <c r="BY2" s="3988"/>
      <c r="BZ2" s="3988"/>
      <c r="CA2" s="3988">
        <v>3480</v>
      </c>
      <c r="CB2" s="3988"/>
      <c r="CC2" s="3988"/>
      <c r="CD2" s="3988">
        <v>3680</v>
      </c>
      <c r="CE2" s="3988"/>
      <c r="CF2" s="3988"/>
      <c r="CG2" s="3988">
        <v>3880</v>
      </c>
      <c r="CH2" s="3988"/>
      <c r="CI2" s="3988"/>
      <c r="CJ2" s="3988">
        <v>3090</v>
      </c>
      <c r="CK2" s="3988"/>
      <c r="CL2" s="3988"/>
      <c r="CM2" s="3988">
        <v>3490</v>
      </c>
      <c r="CN2" s="3988"/>
      <c r="CO2" s="3988"/>
      <c r="CP2" s="3988">
        <v>3690</v>
      </c>
      <c r="CQ2" s="3988"/>
      <c r="CR2" s="3988"/>
      <c r="CS2" s="3997">
        <v>3890</v>
      </c>
      <c r="CT2" s="3998"/>
      <c r="CU2" s="3999"/>
      <c r="CV2" s="3997">
        <v>4068</v>
      </c>
      <c r="CW2" s="3998"/>
      <c r="CX2" s="3999"/>
      <c r="CY2" s="3997">
        <v>4668</v>
      </c>
      <c r="CZ2" s="3998"/>
      <c r="DA2" s="3999"/>
      <c r="DB2" s="3997">
        <v>4070</v>
      </c>
      <c r="DC2" s="3998"/>
      <c r="DD2" s="3999"/>
      <c r="DE2" s="3997">
        <v>4670</v>
      </c>
      <c r="DF2" s="3998"/>
      <c r="DG2" s="3999"/>
      <c r="DH2" s="4000">
        <v>4080</v>
      </c>
      <c r="DI2" s="3998"/>
      <c r="DJ2" s="3999"/>
      <c r="DK2" s="3997">
        <v>4680</v>
      </c>
      <c r="DL2" s="3998"/>
      <c r="DM2" s="3999"/>
      <c r="DN2" s="3997">
        <v>4090</v>
      </c>
      <c r="DO2" s="3998"/>
      <c r="DP2" s="3999"/>
      <c r="DQ2" s="3997">
        <v>4690</v>
      </c>
      <c r="DR2" s="3998"/>
      <c r="DS2" s="3999"/>
      <c r="DT2" s="3997">
        <v>5068</v>
      </c>
      <c r="DU2" s="3998"/>
      <c r="DV2" s="3999"/>
      <c r="DW2" s="3997">
        <v>5070</v>
      </c>
      <c r="DX2" s="3998"/>
      <c r="DY2" s="3999"/>
      <c r="DZ2" s="4000">
        <v>5080</v>
      </c>
      <c r="EA2" s="3998"/>
      <c r="EB2" s="3999"/>
      <c r="EC2" s="3997">
        <v>5090</v>
      </c>
      <c r="ED2" s="3998"/>
      <c r="EE2" s="3999"/>
      <c r="EF2" s="3997">
        <v>6068</v>
      </c>
      <c r="EG2" s="3998"/>
      <c r="EH2" s="3999"/>
      <c r="EI2" s="3997">
        <v>6070</v>
      </c>
      <c r="EJ2" s="3998"/>
      <c r="EK2" s="3999"/>
      <c r="EL2" s="1293"/>
      <c r="EM2" s="3997">
        <v>6080</v>
      </c>
      <c r="EN2" s="3998"/>
      <c r="EO2" s="3999"/>
      <c r="EP2" s="3997">
        <v>6090</v>
      </c>
      <c r="EQ2" s="3998"/>
      <c r="ER2" s="3999"/>
      <c r="ES2" s="3997">
        <v>7068</v>
      </c>
      <c r="ET2" s="3998"/>
      <c r="EU2" s="3999"/>
      <c r="EV2" s="4000">
        <v>7070</v>
      </c>
      <c r="EW2" s="3998"/>
      <c r="EX2" s="3999"/>
      <c r="EY2" s="3997">
        <v>7080</v>
      </c>
      <c r="EZ2" s="3998"/>
      <c r="FA2" s="3999"/>
      <c r="FB2" s="3997">
        <v>7090</v>
      </c>
      <c r="FC2" s="3998"/>
      <c r="FD2" s="3999"/>
      <c r="FE2" s="3997">
        <v>8068</v>
      </c>
      <c r="FF2" s="3998"/>
      <c r="FG2" s="3999"/>
      <c r="FH2" s="3997">
        <v>8070</v>
      </c>
      <c r="FI2" s="3998"/>
      <c r="FJ2" s="3999"/>
      <c r="FK2" s="3997">
        <v>8080</v>
      </c>
      <c r="FL2" s="3998"/>
      <c r="FM2" s="3999"/>
      <c r="FN2" s="4000">
        <v>8090</v>
      </c>
      <c r="FO2" s="3998"/>
      <c r="FP2" s="3999"/>
      <c r="FQ2" s="3997">
        <v>9068</v>
      </c>
      <c r="FR2" s="3998"/>
      <c r="FS2" s="3999"/>
      <c r="FT2" s="3997">
        <v>9070</v>
      </c>
      <c r="FU2" s="3998"/>
      <c r="FV2" s="3999"/>
      <c r="FW2" s="3997">
        <v>9080</v>
      </c>
      <c r="FX2" s="3998"/>
      <c r="FY2" s="3999"/>
      <c r="FZ2" s="3997">
        <v>9090</v>
      </c>
      <c r="GA2" s="3998"/>
      <c r="GB2" s="3999"/>
    </row>
    <row r="3" spans="1:184" s="403" customFormat="1" ht="18.600000000000001" customHeight="1" thickBot="1" x14ac:dyDescent="0.25">
      <c r="A3" s="940" t="s">
        <v>1363</v>
      </c>
      <c r="B3" s="941">
        <v>0.43</v>
      </c>
      <c r="C3" s="942" t="s">
        <v>2313</v>
      </c>
      <c r="D3" s="943" t="s">
        <v>321</v>
      </c>
      <c r="E3" s="944" t="s">
        <v>345</v>
      </c>
      <c r="F3" s="945" t="s">
        <v>1363</v>
      </c>
      <c r="G3" s="946" t="s">
        <v>321</v>
      </c>
      <c r="H3" s="944" t="s">
        <v>345</v>
      </c>
      <c r="I3" s="947" t="s">
        <v>1363</v>
      </c>
      <c r="J3" s="633" t="s">
        <v>321</v>
      </c>
      <c r="K3" s="634" t="s">
        <v>345</v>
      </c>
      <c r="L3" s="638" t="s">
        <v>1363</v>
      </c>
      <c r="M3" s="633" t="s">
        <v>321</v>
      </c>
      <c r="N3" s="634" t="s">
        <v>345</v>
      </c>
      <c r="O3" s="635" t="s">
        <v>1363</v>
      </c>
      <c r="P3" s="633" t="s">
        <v>321</v>
      </c>
      <c r="Q3" s="634" t="s">
        <v>345</v>
      </c>
      <c r="R3" s="635" t="s">
        <v>1363</v>
      </c>
      <c r="S3" s="633" t="s">
        <v>321</v>
      </c>
      <c r="T3" s="634" t="s">
        <v>345</v>
      </c>
      <c r="U3" s="635" t="s">
        <v>1363</v>
      </c>
      <c r="V3" s="633" t="s">
        <v>321</v>
      </c>
      <c r="W3" s="634" t="s">
        <v>345</v>
      </c>
      <c r="X3" s="635" t="s">
        <v>1363</v>
      </c>
      <c r="Y3" s="636" t="s">
        <v>321</v>
      </c>
      <c r="Z3" s="634" t="s">
        <v>345</v>
      </c>
      <c r="AA3" s="635" t="s">
        <v>1363</v>
      </c>
      <c r="AB3" s="633" t="s">
        <v>321</v>
      </c>
      <c r="AC3" s="634" t="s">
        <v>345</v>
      </c>
      <c r="AD3" s="635" t="s">
        <v>1363</v>
      </c>
      <c r="AE3" s="633" t="s">
        <v>321</v>
      </c>
      <c r="AF3" s="634" t="s">
        <v>345</v>
      </c>
      <c r="AG3" s="635" t="s">
        <v>1363</v>
      </c>
      <c r="AH3" s="633" t="s">
        <v>321</v>
      </c>
      <c r="AI3" s="634" t="s">
        <v>345</v>
      </c>
      <c r="AJ3" s="635" t="s">
        <v>1363</v>
      </c>
      <c r="AK3" s="633" t="s">
        <v>321</v>
      </c>
      <c r="AL3" s="634" t="s">
        <v>345</v>
      </c>
      <c r="AM3" s="635" t="s">
        <v>1363</v>
      </c>
      <c r="AN3" s="633" t="s">
        <v>321</v>
      </c>
      <c r="AO3" s="634" t="s">
        <v>345</v>
      </c>
      <c r="AP3" s="635" t="s">
        <v>1363</v>
      </c>
      <c r="AQ3" s="636" t="s">
        <v>321</v>
      </c>
      <c r="AR3" s="634" t="s">
        <v>345</v>
      </c>
      <c r="AS3" s="635" t="s">
        <v>1363</v>
      </c>
      <c r="AT3" s="633" t="s">
        <v>321</v>
      </c>
      <c r="AU3" s="634" t="s">
        <v>345</v>
      </c>
      <c r="AV3" s="635" t="s">
        <v>1363</v>
      </c>
      <c r="AW3" s="633" t="s">
        <v>321</v>
      </c>
      <c r="AX3" s="634" t="s">
        <v>345</v>
      </c>
      <c r="AY3" s="635" t="s">
        <v>1363</v>
      </c>
      <c r="AZ3" s="633" t="s">
        <v>321</v>
      </c>
      <c r="BA3" s="634" t="s">
        <v>345</v>
      </c>
      <c r="BB3" s="635" t="s">
        <v>1363</v>
      </c>
      <c r="BC3" s="633" t="s">
        <v>321</v>
      </c>
      <c r="BD3" s="634" t="s">
        <v>345</v>
      </c>
      <c r="BE3" s="635" t="s">
        <v>1363</v>
      </c>
      <c r="BF3" s="633" t="s">
        <v>321</v>
      </c>
      <c r="BG3" s="634" t="s">
        <v>345</v>
      </c>
      <c r="BH3" s="635" t="s">
        <v>1363</v>
      </c>
      <c r="BI3" s="633" t="s">
        <v>321</v>
      </c>
      <c r="BJ3" s="634" t="s">
        <v>345</v>
      </c>
      <c r="BK3" s="635" t="s">
        <v>1363</v>
      </c>
      <c r="BL3" s="633" t="s">
        <v>321</v>
      </c>
      <c r="BM3" s="634" t="s">
        <v>345</v>
      </c>
      <c r="BN3" s="635" t="s">
        <v>1363</v>
      </c>
      <c r="BO3" s="633" t="s">
        <v>321</v>
      </c>
      <c r="BP3" s="634" t="s">
        <v>345</v>
      </c>
      <c r="BQ3" s="635" t="s">
        <v>1363</v>
      </c>
      <c r="BR3" s="633" t="s">
        <v>321</v>
      </c>
      <c r="BS3" s="634" t="s">
        <v>345</v>
      </c>
      <c r="BT3" s="635" t="s">
        <v>1363</v>
      </c>
      <c r="BU3" s="633" t="s">
        <v>321</v>
      </c>
      <c r="BV3" s="634" t="s">
        <v>345</v>
      </c>
      <c r="BW3" s="635" t="s">
        <v>1363</v>
      </c>
      <c r="BX3" s="633" t="s">
        <v>321</v>
      </c>
      <c r="BY3" s="634" t="s">
        <v>345</v>
      </c>
      <c r="BZ3" s="635" t="s">
        <v>1363</v>
      </c>
      <c r="CA3" s="633" t="s">
        <v>321</v>
      </c>
      <c r="CB3" s="634" t="s">
        <v>345</v>
      </c>
      <c r="CC3" s="635" t="s">
        <v>1363</v>
      </c>
      <c r="CD3" s="633" t="s">
        <v>321</v>
      </c>
      <c r="CE3" s="634" t="s">
        <v>345</v>
      </c>
      <c r="CF3" s="635" t="s">
        <v>1363</v>
      </c>
      <c r="CG3" s="633" t="s">
        <v>321</v>
      </c>
      <c r="CH3" s="634" t="s">
        <v>345</v>
      </c>
      <c r="CI3" s="635" t="s">
        <v>1363</v>
      </c>
      <c r="CJ3" s="633" t="s">
        <v>321</v>
      </c>
      <c r="CK3" s="634" t="s">
        <v>345</v>
      </c>
      <c r="CL3" s="635" t="s">
        <v>1363</v>
      </c>
      <c r="CM3" s="633" t="s">
        <v>321</v>
      </c>
      <c r="CN3" s="634" t="s">
        <v>345</v>
      </c>
      <c r="CO3" s="635" t="s">
        <v>1363</v>
      </c>
      <c r="CP3" s="636" t="s">
        <v>321</v>
      </c>
      <c r="CQ3" s="634" t="s">
        <v>345</v>
      </c>
      <c r="CR3" s="635" t="s">
        <v>1363</v>
      </c>
      <c r="CS3" s="636" t="s">
        <v>321</v>
      </c>
      <c r="CT3" s="634" t="s">
        <v>345</v>
      </c>
      <c r="CU3" s="635" t="s">
        <v>1363</v>
      </c>
      <c r="CV3" s="633" t="s">
        <v>321</v>
      </c>
      <c r="CW3" s="634" t="s">
        <v>345</v>
      </c>
      <c r="CX3" s="635" t="s">
        <v>1363</v>
      </c>
      <c r="CY3" s="633" t="s">
        <v>321</v>
      </c>
      <c r="CZ3" s="634" t="s">
        <v>345</v>
      </c>
      <c r="DA3" s="635" t="s">
        <v>1363</v>
      </c>
      <c r="DB3" s="633" t="s">
        <v>321</v>
      </c>
      <c r="DC3" s="634" t="s">
        <v>345</v>
      </c>
      <c r="DD3" s="635" t="s">
        <v>1363</v>
      </c>
      <c r="DE3" s="633" t="s">
        <v>321</v>
      </c>
      <c r="DF3" s="634" t="s">
        <v>345</v>
      </c>
      <c r="DG3" s="635" t="s">
        <v>1363</v>
      </c>
      <c r="DH3" s="636" t="s">
        <v>321</v>
      </c>
      <c r="DI3" s="634" t="s">
        <v>345</v>
      </c>
      <c r="DJ3" s="635" t="s">
        <v>1363</v>
      </c>
      <c r="DK3" s="633" t="s">
        <v>321</v>
      </c>
      <c r="DL3" s="634" t="s">
        <v>345</v>
      </c>
      <c r="DM3" s="635" t="s">
        <v>1363</v>
      </c>
      <c r="DN3" s="633" t="s">
        <v>321</v>
      </c>
      <c r="DO3" s="634" t="s">
        <v>345</v>
      </c>
      <c r="DP3" s="635" t="s">
        <v>1363</v>
      </c>
      <c r="DQ3" s="633" t="s">
        <v>321</v>
      </c>
      <c r="DR3" s="634" t="s">
        <v>345</v>
      </c>
      <c r="DS3" s="635" t="s">
        <v>1363</v>
      </c>
      <c r="DT3" s="633" t="s">
        <v>321</v>
      </c>
      <c r="DU3" s="634" t="s">
        <v>345</v>
      </c>
      <c r="DV3" s="635" t="s">
        <v>1363</v>
      </c>
      <c r="DW3" s="633" t="s">
        <v>321</v>
      </c>
      <c r="DX3" s="634" t="s">
        <v>345</v>
      </c>
      <c r="DY3" s="635" t="s">
        <v>1363</v>
      </c>
      <c r="DZ3" s="636" t="s">
        <v>321</v>
      </c>
      <c r="EA3" s="634" t="s">
        <v>345</v>
      </c>
      <c r="EB3" s="635" t="s">
        <v>1363</v>
      </c>
      <c r="EC3" s="633" t="s">
        <v>321</v>
      </c>
      <c r="ED3" s="634" t="s">
        <v>345</v>
      </c>
      <c r="EE3" s="635" t="s">
        <v>1363</v>
      </c>
      <c r="EF3" s="633" t="s">
        <v>321</v>
      </c>
      <c r="EG3" s="634" t="s">
        <v>345</v>
      </c>
      <c r="EH3" s="635" t="s">
        <v>1363</v>
      </c>
      <c r="EI3" s="633" t="s">
        <v>321</v>
      </c>
      <c r="EJ3" s="634" t="s">
        <v>345</v>
      </c>
      <c r="EK3" s="635" t="s">
        <v>1363</v>
      </c>
      <c r="EL3" s="639"/>
      <c r="EM3" s="633" t="s">
        <v>321</v>
      </c>
      <c r="EN3" s="634" t="s">
        <v>345</v>
      </c>
      <c r="EO3" s="635" t="s">
        <v>1363</v>
      </c>
      <c r="EP3" s="633" t="s">
        <v>321</v>
      </c>
      <c r="EQ3" s="634" t="s">
        <v>345</v>
      </c>
      <c r="ER3" s="635" t="s">
        <v>1363</v>
      </c>
      <c r="ES3" s="633" t="s">
        <v>321</v>
      </c>
      <c r="ET3" s="634" t="s">
        <v>345</v>
      </c>
      <c r="EU3" s="635" t="s">
        <v>1363</v>
      </c>
      <c r="EV3" s="636" t="s">
        <v>321</v>
      </c>
      <c r="EW3" s="634" t="s">
        <v>345</v>
      </c>
      <c r="EX3" s="635" t="s">
        <v>1363</v>
      </c>
      <c r="EY3" s="633" t="s">
        <v>321</v>
      </c>
      <c r="EZ3" s="634" t="s">
        <v>345</v>
      </c>
      <c r="FA3" s="635" t="s">
        <v>1363</v>
      </c>
      <c r="FB3" s="633" t="s">
        <v>321</v>
      </c>
      <c r="FC3" s="634" t="s">
        <v>345</v>
      </c>
      <c r="FD3" s="635" t="s">
        <v>1363</v>
      </c>
      <c r="FE3" s="633" t="s">
        <v>321</v>
      </c>
      <c r="FF3" s="634" t="s">
        <v>345</v>
      </c>
      <c r="FG3" s="635" t="s">
        <v>1363</v>
      </c>
      <c r="FH3" s="633" t="s">
        <v>321</v>
      </c>
      <c r="FI3" s="634" t="s">
        <v>345</v>
      </c>
      <c r="FJ3" s="635" t="s">
        <v>1363</v>
      </c>
      <c r="FK3" s="633" t="s">
        <v>321</v>
      </c>
      <c r="FL3" s="634" t="s">
        <v>345</v>
      </c>
      <c r="FM3" s="635" t="s">
        <v>1363</v>
      </c>
      <c r="FN3" s="636" t="s">
        <v>321</v>
      </c>
      <c r="FO3" s="634" t="s">
        <v>345</v>
      </c>
      <c r="FP3" s="635" t="s">
        <v>1363</v>
      </c>
      <c r="FQ3" s="633" t="s">
        <v>321</v>
      </c>
      <c r="FR3" s="634" t="s">
        <v>345</v>
      </c>
      <c r="FS3" s="635" t="s">
        <v>1363</v>
      </c>
      <c r="FT3" s="633" t="s">
        <v>321</v>
      </c>
      <c r="FU3" s="634" t="s">
        <v>345</v>
      </c>
      <c r="FV3" s="635" t="s">
        <v>1363</v>
      </c>
      <c r="FW3" s="633" t="s">
        <v>321</v>
      </c>
      <c r="FX3" s="634" t="s">
        <v>345</v>
      </c>
      <c r="FY3" s="635" t="s">
        <v>1363</v>
      </c>
      <c r="FZ3" s="633" t="s">
        <v>321</v>
      </c>
      <c r="GA3" s="634" t="s">
        <v>345</v>
      </c>
      <c r="GB3" s="635" t="s">
        <v>1363</v>
      </c>
    </row>
    <row r="4" spans="1:184" s="732" customFormat="1" ht="51" customHeight="1" x14ac:dyDescent="0.2">
      <c r="A4" s="3979" t="s">
        <v>2960</v>
      </c>
      <c r="B4" s="3979"/>
      <c r="C4" s="978">
        <v>16</v>
      </c>
      <c r="D4" s="1232"/>
      <c r="E4" s="1233">
        <v>336</v>
      </c>
      <c r="F4" s="1234"/>
      <c r="G4" s="1235"/>
      <c r="H4" s="1233">
        <v>336</v>
      </c>
      <c r="I4" s="1236"/>
      <c r="J4" s="1237"/>
      <c r="K4" s="1238">
        <v>364</v>
      </c>
      <c r="L4" s="1239"/>
      <c r="M4" s="1240"/>
      <c r="N4" s="1238">
        <v>392</v>
      </c>
      <c r="O4" s="1239"/>
      <c r="P4" s="1237"/>
      <c r="Q4" s="1241">
        <v>344</v>
      </c>
      <c r="R4" s="1242"/>
      <c r="S4" s="1237"/>
      <c r="T4" s="1241">
        <v>344</v>
      </c>
      <c r="U4" s="1242"/>
      <c r="V4" s="1237"/>
      <c r="W4" s="1241">
        <v>378</v>
      </c>
      <c r="X4" s="1242"/>
      <c r="Y4" s="1243"/>
      <c r="Z4" s="1238">
        <v>406</v>
      </c>
      <c r="AA4" s="1239"/>
      <c r="AB4" s="1237"/>
      <c r="AC4" s="1238">
        <v>344</v>
      </c>
      <c r="AD4" s="1239"/>
      <c r="AE4" s="1237"/>
      <c r="AF4" s="1297">
        <v>344</v>
      </c>
      <c r="AG4" s="1298"/>
      <c r="AH4" s="1299"/>
      <c r="AI4" s="1297">
        <v>378</v>
      </c>
      <c r="AJ4" s="1298"/>
      <c r="AK4" s="1299"/>
      <c r="AL4" s="1297">
        <v>406</v>
      </c>
      <c r="AM4" s="1298"/>
      <c r="AN4" s="1299"/>
      <c r="AO4" s="1297"/>
      <c r="AP4" s="1298"/>
      <c r="AQ4" s="1300"/>
      <c r="AR4" s="1297"/>
      <c r="AS4" s="1298"/>
      <c r="AT4" s="1299"/>
      <c r="AU4" s="1297"/>
      <c r="AV4" s="1298"/>
      <c r="AW4" s="1299"/>
      <c r="AX4" s="1297"/>
      <c r="AY4" s="1239"/>
      <c r="AZ4" s="1240"/>
      <c r="BA4" s="1305">
        <v>344</v>
      </c>
      <c r="BB4" s="1306"/>
      <c r="BC4" s="1296"/>
      <c r="BD4" s="1295"/>
      <c r="BE4" s="1306"/>
      <c r="BF4" s="1307"/>
      <c r="BG4" s="1295">
        <v>358</v>
      </c>
      <c r="BH4" s="1306"/>
      <c r="BI4" s="1296"/>
      <c r="BJ4" s="1295">
        <v>358</v>
      </c>
      <c r="BK4" s="1306"/>
      <c r="BL4" s="1307"/>
      <c r="BM4" s="1305">
        <v>344</v>
      </c>
      <c r="BN4" s="1242"/>
      <c r="BO4" s="1237"/>
      <c r="BP4" s="1305">
        <v>358</v>
      </c>
      <c r="BQ4" s="1306"/>
      <c r="BR4" s="1307"/>
      <c r="BS4" s="1305">
        <v>358</v>
      </c>
      <c r="BT4" s="1306"/>
      <c r="BU4" s="1308"/>
      <c r="BV4" s="1309">
        <v>358</v>
      </c>
      <c r="BW4" s="1310"/>
      <c r="BX4" s="1296"/>
      <c r="BY4" s="1309">
        <v>378</v>
      </c>
      <c r="BZ4" s="1242"/>
      <c r="CA4" s="1244"/>
      <c r="CB4" s="1309">
        <v>392</v>
      </c>
      <c r="CC4" s="1310"/>
      <c r="CD4" s="1307"/>
      <c r="CE4" s="1311">
        <v>392</v>
      </c>
      <c r="CF4" s="1306"/>
      <c r="CG4" s="1312"/>
      <c r="CH4" s="1311">
        <v>392</v>
      </c>
      <c r="CI4" s="1313"/>
      <c r="CJ4" s="1307"/>
      <c r="CK4" s="1305">
        <v>406</v>
      </c>
      <c r="CL4" s="1242"/>
      <c r="CM4" s="1244"/>
      <c r="CN4" s="1314">
        <v>420</v>
      </c>
      <c r="CO4" s="1315"/>
      <c r="CP4" s="1316"/>
      <c r="CQ4" s="1314">
        <v>420</v>
      </c>
      <c r="CR4" s="1315"/>
      <c r="CS4" s="1316"/>
      <c r="CT4" s="1314">
        <v>420</v>
      </c>
      <c r="CU4" s="1246"/>
      <c r="CV4" s="1240"/>
      <c r="CW4" s="1314">
        <v>364</v>
      </c>
      <c r="CX4" s="1306"/>
      <c r="CY4" s="1307"/>
      <c r="CZ4" s="1314">
        <v>378</v>
      </c>
      <c r="DA4" s="1315"/>
      <c r="DB4" s="1307"/>
      <c r="DC4" s="1314"/>
      <c r="DD4" s="1246"/>
      <c r="DE4" s="1240"/>
      <c r="DF4" s="1245"/>
      <c r="DG4" s="1246"/>
      <c r="DH4" s="1247"/>
      <c r="DI4" s="1245"/>
      <c r="DJ4" s="1242"/>
      <c r="DK4" s="1240"/>
      <c r="DL4" s="1245"/>
      <c r="DM4" s="1246"/>
      <c r="DN4" s="1240"/>
      <c r="DO4" s="1245"/>
      <c r="DP4" s="1246"/>
      <c r="DQ4" s="1240"/>
      <c r="DR4" s="1245"/>
      <c r="DS4" s="1246"/>
      <c r="DT4" s="1240"/>
      <c r="DU4" s="1245"/>
      <c r="DV4" s="1246"/>
      <c r="DW4" s="1240"/>
      <c r="DX4" s="1314">
        <v>406</v>
      </c>
      <c r="DY4" s="1315"/>
      <c r="DZ4" s="1316"/>
      <c r="EA4" s="1314">
        <v>434</v>
      </c>
      <c r="EB4" s="1315"/>
      <c r="EC4" s="1307"/>
      <c r="ED4" s="1314"/>
      <c r="EE4" s="1315"/>
      <c r="EF4" s="1307"/>
      <c r="EG4" s="1314">
        <v>420</v>
      </c>
      <c r="EH4" s="1246"/>
      <c r="EI4" s="1240"/>
      <c r="EJ4" s="1314">
        <v>420</v>
      </c>
      <c r="EK4" s="1315"/>
      <c r="EL4" s="1317"/>
      <c r="EM4" s="1307"/>
      <c r="EN4" s="1314">
        <v>448</v>
      </c>
      <c r="EO4" s="1246"/>
      <c r="EP4" s="1240"/>
      <c r="EQ4" s="1245"/>
      <c r="ER4" s="1246"/>
      <c r="ES4" s="1240"/>
      <c r="ET4" s="1245"/>
      <c r="EU4" s="1246"/>
      <c r="EV4" s="1247"/>
      <c r="EW4" s="1245"/>
      <c r="EX4" s="1246"/>
      <c r="EY4" s="1240"/>
      <c r="EZ4" s="1245"/>
      <c r="FA4" s="1246"/>
      <c r="FB4" s="1240"/>
      <c r="FC4" s="1245"/>
      <c r="FD4" s="1246"/>
      <c r="FE4" s="1240"/>
      <c r="FF4" s="1245"/>
      <c r="FG4" s="1246"/>
      <c r="FH4" s="1240"/>
      <c r="FI4" s="1245"/>
      <c r="FJ4" s="1246"/>
      <c r="FK4" s="1240"/>
      <c r="FL4" s="1245"/>
      <c r="FM4" s="1246"/>
      <c r="FN4" s="1247"/>
      <c r="FO4" s="1245"/>
      <c r="FP4" s="1246"/>
      <c r="FQ4" s="1240"/>
      <c r="FR4" s="1245"/>
      <c r="FS4" s="1246"/>
      <c r="FT4" s="1240"/>
      <c r="FU4" s="1245"/>
      <c r="FV4" s="1246"/>
      <c r="FW4" s="1240"/>
      <c r="FX4" s="1245"/>
      <c r="FY4" s="1246"/>
      <c r="FZ4" s="1240"/>
      <c r="GA4" s="1245"/>
      <c r="GB4" s="1246"/>
    </row>
    <row r="5" spans="1:184" s="1270" customFormat="1" ht="51" customHeight="1" x14ac:dyDescent="0.2">
      <c r="A5" s="3979" t="s">
        <v>2960</v>
      </c>
      <c r="B5" s="3979"/>
      <c r="C5" s="978">
        <v>14</v>
      </c>
      <c r="D5" s="1248"/>
      <c r="E5" s="1249">
        <v>402</v>
      </c>
      <c r="F5" s="1250"/>
      <c r="G5" s="1251"/>
      <c r="H5" s="1249">
        <v>402</v>
      </c>
      <c r="I5" s="1252"/>
      <c r="J5" s="1253"/>
      <c r="K5" s="1254">
        <v>445</v>
      </c>
      <c r="L5" s="1255"/>
      <c r="M5" s="1256"/>
      <c r="N5" s="1254">
        <v>481</v>
      </c>
      <c r="O5" s="1255"/>
      <c r="P5" s="1253"/>
      <c r="Q5" s="1257">
        <v>420</v>
      </c>
      <c r="R5" s="1258"/>
      <c r="S5" s="1253"/>
      <c r="T5" s="1257">
        <v>420</v>
      </c>
      <c r="U5" s="1258"/>
      <c r="V5" s="1253"/>
      <c r="W5" s="1257">
        <v>463</v>
      </c>
      <c r="X5" s="1258"/>
      <c r="Y5" s="1259"/>
      <c r="Z5" s="1254">
        <v>500</v>
      </c>
      <c r="AA5" s="1255"/>
      <c r="AB5" s="1253"/>
      <c r="AC5" s="1254">
        <v>421</v>
      </c>
      <c r="AD5" s="1255"/>
      <c r="AE5" s="1253"/>
      <c r="AF5" s="1301">
        <v>421</v>
      </c>
      <c r="AG5" s="1302"/>
      <c r="AH5" s="1303"/>
      <c r="AI5" s="1301">
        <v>464</v>
      </c>
      <c r="AJ5" s="1302"/>
      <c r="AK5" s="1303"/>
      <c r="AL5" s="1301">
        <v>500</v>
      </c>
      <c r="AM5" s="1302"/>
      <c r="AN5" s="1303"/>
      <c r="AO5" s="1301"/>
      <c r="AP5" s="1302"/>
      <c r="AQ5" s="1304"/>
      <c r="AR5" s="1301"/>
      <c r="AS5" s="1302"/>
      <c r="AT5" s="1303"/>
      <c r="AU5" s="1301"/>
      <c r="AV5" s="1302"/>
      <c r="AW5" s="1303"/>
      <c r="AX5" s="1301"/>
      <c r="AY5" s="1255"/>
      <c r="AZ5" s="1256"/>
      <c r="BA5" s="1261"/>
      <c r="BB5" s="1258"/>
      <c r="BC5" s="1253"/>
      <c r="BD5" s="1260"/>
      <c r="BE5" s="1258"/>
      <c r="BF5" s="1256"/>
      <c r="BG5" s="1260"/>
      <c r="BH5" s="1258"/>
      <c r="BI5" s="1253"/>
      <c r="BJ5" s="1260"/>
      <c r="BK5" s="1258"/>
      <c r="BL5" s="1256"/>
      <c r="BM5" s="1261"/>
      <c r="BN5" s="1258"/>
      <c r="BO5" s="1253"/>
      <c r="BP5" s="1261"/>
      <c r="BQ5" s="1258"/>
      <c r="BR5" s="1256"/>
      <c r="BS5" s="1261"/>
      <c r="BT5" s="1258"/>
      <c r="BU5" s="1262"/>
      <c r="BV5" s="1263"/>
      <c r="BW5" s="1264"/>
      <c r="BX5" s="1253"/>
      <c r="BY5" s="1263"/>
      <c r="BZ5" s="1258"/>
      <c r="CA5" s="1262"/>
      <c r="CB5" s="1263"/>
      <c r="CC5" s="1264"/>
      <c r="CD5" s="1256"/>
      <c r="CE5" s="1265"/>
      <c r="CF5" s="1258"/>
      <c r="CG5" s="1262"/>
      <c r="CH5" s="1263"/>
      <c r="CI5" s="1264"/>
      <c r="CJ5" s="1256"/>
      <c r="CK5" s="1261"/>
      <c r="CL5" s="1258"/>
      <c r="CM5" s="1262"/>
      <c r="CN5" s="1266"/>
      <c r="CO5" s="1267"/>
      <c r="CP5" s="1268"/>
      <c r="CQ5" s="1266"/>
      <c r="CR5" s="1267"/>
      <c r="CS5" s="1268"/>
      <c r="CT5" s="1266"/>
      <c r="CU5" s="1267"/>
      <c r="CV5" s="1256"/>
      <c r="CW5" s="1266"/>
      <c r="CX5" s="1258"/>
      <c r="CY5" s="1256"/>
      <c r="CZ5" s="1266"/>
      <c r="DA5" s="1267"/>
      <c r="DB5" s="1256"/>
      <c r="DC5" s="1266"/>
      <c r="DD5" s="1267"/>
      <c r="DE5" s="1256"/>
      <c r="DF5" s="1266"/>
      <c r="DG5" s="1267"/>
      <c r="DH5" s="1268"/>
      <c r="DI5" s="1266"/>
      <c r="DJ5" s="1258"/>
      <c r="DK5" s="1256"/>
      <c r="DL5" s="1266"/>
      <c r="DM5" s="1267"/>
      <c r="DN5" s="1256"/>
      <c r="DO5" s="1266"/>
      <c r="DP5" s="1267"/>
      <c r="DQ5" s="1256"/>
      <c r="DR5" s="1266"/>
      <c r="DS5" s="1267"/>
      <c r="DT5" s="1256"/>
      <c r="DU5" s="1266"/>
      <c r="DV5" s="1267"/>
      <c r="DW5" s="1256"/>
      <c r="DX5" s="1266"/>
      <c r="DY5" s="1267"/>
      <c r="DZ5" s="1268"/>
      <c r="EA5" s="1266"/>
      <c r="EB5" s="1267"/>
      <c r="EC5" s="1256"/>
      <c r="ED5" s="1266"/>
      <c r="EE5" s="1267"/>
      <c r="EF5" s="1256"/>
      <c r="EG5" s="1266"/>
      <c r="EH5" s="1267"/>
      <c r="EI5" s="1256"/>
      <c r="EJ5" s="1266"/>
      <c r="EK5" s="1267"/>
      <c r="EL5" s="1269"/>
      <c r="EM5" s="1256"/>
      <c r="EN5" s="1266"/>
      <c r="EO5" s="1267"/>
      <c r="EP5" s="1256"/>
      <c r="EQ5" s="1266"/>
      <c r="ER5" s="1267"/>
      <c r="ES5" s="1256"/>
      <c r="ET5" s="1266"/>
      <c r="EU5" s="1267"/>
      <c r="EV5" s="1268"/>
      <c r="EW5" s="1266"/>
      <c r="EX5" s="1267"/>
      <c r="EY5" s="1256"/>
      <c r="EZ5" s="1266"/>
      <c r="FA5" s="1267"/>
      <c r="FB5" s="1256"/>
      <c r="FC5" s="1266"/>
      <c r="FD5" s="1267"/>
      <c r="FE5" s="1256"/>
      <c r="FF5" s="1266"/>
      <c r="FG5" s="1267"/>
      <c r="FH5" s="1256"/>
      <c r="FI5" s="1266"/>
      <c r="FJ5" s="1267"/>
      <c r="FK5" s="1256"/>
      <c r="FL5" s="1266"/>
      <c r="FM5" s="1267"/>
      <c r="FN5" s="1268"/>
      <c r="FO5" s="1266"/>
      <c r="FP5" s="1267"/>
      <c r="FQ5" s="1256"/>
      <c r="FR5" s="1266"/>
      <c r="FS5" s="1267"/>
      <c r="FT5" s="1256"/>
      <c r="FU5" s="1266"/>
      <c r="FV5" s="1267"/>
      <c r="FW5" s="1256"/>
      <c r="FX5" s="1266"/>
      <c r="FY5" s="1267"/>
      <c r="FZ5" s="1256"/>
      <c r="GA5" s="1266"/>
      <c r="GB5" s="1267"/>
    </row>
    <row r="6" spans="1:184" s="732" customFormat="1" ht="51" customHeight="1" x14ac:dyDescent="0.2">
      <c r="A6" s="3979" t="s">
        <v>2960</v>
      </c>
      <c r="B6" s="3979"/>
      <c r="C6" s="978">
        <v>12</v>
      </c>
      <c r="D6" s="1248"/>
      <c r="E6" s="1271"/>
      <c r="F6" s="1250"/>
      <c r="G6" s="1251"/>
      <c r="H6" s="1271"/>
      <c r="I6" s="1252">
        <f>999+106+103+15</f>
        <v>1223</v>
      </c>
      <c r="J6" s="1272"/>
      <c r="K6" s="1273"/>
      <c r="L6" s="1274"/>
      <c r="M6" s="1275">
        <f>545.6431+12</f>
        <v>557.6431</v>
      </c>
      <c r="N6" s="1273"/>
      <c r="O6" s="1274"/>
      <c r="P6" s="1272"/>
      <c r="Q6" s="1273"/>
      <c r="R6" s="1276"/>
      <c r="S6" s="1272"/>
      <c r="T6" s="1273"/>
      <c r="U6" s="1276"/>
      <c r="V6" s="1272"/>
      <c r="W6" s="1273"/>
      <c r="X6" s="1276"/>
      <c r="Y6" s="1277"/>
      <c r="Z6" s="1273"/>
      <c r="AA6" s="1274"/>
      <c r="AB6" s="1272"/>
      <c r="AC6" s="1273"/>
      <c r="AD6" s="1274"/>
      <c r="AE6" s="1272"/>
      <c r="AF6" s="1273"/>
      <c r="AG6" s="1274"/>
      <c r="AH6" s="1272"/>
      <c r="AI6" s="1273"/>
      <c r="AJ6" s="1274"/>
      <c r="AK6" s="1272"/>
      <c r="AL6" s="1273"/>
      <c r="AM6" s="1274"/>
      <c r="AN6" s="1272"/>
      <c r="AO6" s="1273"/>
      <c r="AP6" s="1274"/>
      <c r="AQ6" s="1277"/>
      <c r="AR6" s="1273"/>
      <c r="AS6" s="1274"/>
      <c r="AT6" s="1272"/>
      <c r="AU6" s="1273"/>
      <c r="AV6" s="1274"/>
      <c r="AW6" s="1272"/>
      <c r="AX6" s="1273"/>
      <c r="AY6" s="1274"/>
      <c r="AZ6" s="1275"/>
      <c r="BA6" s="1273"/>
      <c r="BB6" s="1276"/>
      <c r="BC6" s="1272"/>
      <c r="BD6" s="1278"/>
      <c r="BE6" s="1276"/>
      <c r="BF6" s="1275"/>
      <c r="BG6" s="1278"/>
      <c r="BH6" s="1276"/>
      <c r="BI6" s="1272"/>
      <c r="BJ6" s="1278"/>
      <c r="BK6" s="1276"/>
      <c r="BL6" s="1275"/>
      <c r="BM6" s="1273"/>
      <c r="BN6" s="1276"/>
      <c r="BO6" s="1272"/>
      <c r="BP6" s="1273"/>
      <c r="BQ6" s="1276"/>
      <c r="BR6" s="1275"/>
      <c r="BS6" s="1273"/>
      <c r="BT6" s="1276"/>
      <c r="BU6" s="1279"/>
      <c r="BV6" s="1280"/>
      <c r="BW6" s="1281"/>
      <c r="BX6" s="1272"/>
      <c r="BY6" s="1280"/>
      <c r="BZ6" s="1276"/>
      <c r="CA6" s="1279"/>
      <c r="CB6" s="1280"/>
      <c r="CC6" s="1281"/>
      <c r="CD6" s="1275"/>
      <c r="CE6" s="1282"/>
      <c r="CF6" s="1276"/>
      <c r="CG6" s="1279"/>
      <c r="CH6" s="1280"/>
      <c r="CI6" s="1281"/>
      <c r="CJ6" s="1275"/>
      <c r="CK6" s="1273"/>
      <c r="CL6" s="1276"/>
      <c r="CM6" s="1279"/>
      <c r="CN6" s="1283"/>
      <c r="CO6" s="1284"/>
      <c r="CP6" s="1285"/>
      <c r="CQ6" s="1283"/>
      <c r="CR6" s="1284"/>
      <c r="CS6" s="1285"/>
      <c r="CT6" s="1283"/>
      <c r="CU6" s="1284"/>
      <c r="CV6" s="1275"/>
      <c r="CW6" s="1283"/>
      <c r="CX6" s="1276"/>
      <c r="CY6" s="1275"/>
      <c r="CZ6" s="1283"/>
      <c r="DA6" s="1284"/>
      <c r="DB6" s="1275"/>
      <c r="DC6" s="1283"/>
      <c r="DD6" s="1284"/>
      <c r="DE6" s="1275"/>
      <c r="DF6" s="1283"/>
      <c r="DG6" s="1284"/>
      <c r="DH6" s="1285"/>
      <c r="DI6" s="1283"/>
      <c r="DJ6" s="1276"/>
      <c r="DK6" s="1275"/>
      <c r="DL6" s="1283"/>
      <c r="DM6" s="1284"/>
      <c r="DN6" s="1275"/>
      <c r="DO6" s="1283"/>
      <c r="DP6" s="1284"/>
      <c r="DQ6" s="1275"/>
      <c r="DR6" s="1283"/>
      <c r="DS6" s="1284"/>
      <c r="DT6" s="1275"/>
      <c r="DU6" s="1283"/>
      <c r="DV6" s="1284"/>
      <c r="DW6" s="1275"/>
      <c r="DX6" s="1283"/>
      <c r="DY6" s="1284"/>
      <c r="DZ6" s="1285"/>
      <c r="EA6" s="1283"/>
      <c r="EB6" s="1284"/>
      <c r="EC6" s="1275"/>
      <c r="ED6" s="1283"/>
      <c r="EE6" s="1284"/>
      <c r="EF6" s="1275"/>
      <c r="EG6" s="1283"/>
      <c r="EH6" s="1284"/>
      <c r="EI6" s="1275"/>
      <c r="EJ6" s="1283"/>
      <c r="EK6" s="1284"/>
      <c r="EL6" s="1286"/>
      <c r="EM6" s="1275"/>
      <c r="EN6" s="1283"/>
      <c r="EO6" s="1284"/>
      <c r="EP6" s="1275"/>
      <c r="EQ6" s="1283"/>
      <c r="ER6" s="1284"/>
      <c r="ES6" s="1275"/>
      <c r="ET6" s="1283"/>
      <c r="EU6" s="1284"/>
      <c r="EV6" s="1285"/>
      <c r="EW6" s="1283"/>
      <c r="EX6" s="1284"/>
      <c r="EY6" s="1275"/>
      <c r="EZ6" s="1283"/>
      <c r="FA6" s="1284"/>
      <c r="FB6" s="1275"/>
      <c r="FC6" s="1283"/>
      <c r="FD6" s="1284"/>
      <c r="FE6" s="1275"/>
      <c r="FF6" s="1283"/>
      <c r="FG6" s="1284"/>
      <c r="FH6" s="1275"/>
      <c r="FI6" s="1283"/>
      <c r="FJ6" s="1284"/>
      <c r="FK6" s="1275"/>
      <c r="FL6" s="1283"/>
      <c r="FM6" s="1284"/>
      <c r="FN6" s="1285"/>
      <c r="FO6" s="1283"/>
      <c r="FP6" s="1284"/>
      <c r="FQ6" s="1275"/>
      <c r="FR6" s="1283"/>
      <c r="FS6" s="1284"/>
      <c r="FT6" s="1275"/>
      <c r="FU6" s="1283"/>
      <c r="FV6" s="1284"/>
      <c r="FW6" s="1275"/>
      <c r="FX6" s="1283"/>
      <c r="FY6" s="1284"/>
      <c r="FZ6" s="1275"/>
      <c r="GA6" s="1283"/>
      <c r="GB6" s="1284"/>
    </row>
    <row r="9" spans="1:184" x14ac:dyDescent="0.2">
      <c r="A9" t="s">
        <v>2961</v>
      </c>
    </row>
  </sheetData>
  <mergeCells count="63">
    <mergeCell ref="A4:B4"/>
    <mergeCell ref="A5:B5"/>
    <mergeCell ref="A6:B6"/>
    <mergeCell ref="FK2:FM2"/>
    <mergeCell ref="FN2:FP2"/>
    <mergeCell ref="DZ2:EB2"/>
    <mergeCell ref="EC2:EE2"/>
    <mergeCell ref="EF2:EH2"/>
    <mergeCell ref="EI2:EK2"/>
    <mergeCell ref="EM2:EO2"/>
    <mergeCell ref="EP2:ER2"/>
    <mergeCell ref="DH2:DJ2"/>
    <mergeCell ref="DK2:DM2"/>
    <mergeCell ref="DN2:DP2"/>
    <mergeCell ref="DQ2:DS2"/>
    <mergeCell ref="DT2:DV2"/>
    <mergeCell ref="FQ2:FS2"/>
    <mergeCell ref="FT2:FV2"/>
    <mergeCell ref="FW2:FY2"/>
    <mergeCell ref="FZ2:GB2"/>
    <mergeCell ref="ES2:EU2"/>
    <mergeCell ref="EV2:EX2"/>
    <mergeCell ref="EY2:FA2"/>
    <mergeCell ref="FB2:FD2"/>
    <mergeCell ref="FE2:FG2"/>
    <mergeCell ref="FH2:FJ2"/>
    <mergeCell ref="DW2:DY2"/>
    <mergeCell ref="CS2:CU2"/>
    <mergeCell ref="CV2:CX2"/>
    <mergeCell ref="CY2:DA2"/>
    <mergeCell ref="DB2:DD2"/>
    <mergeCell ref="DE2:DG2"/>
    <mergeCell ref="CP2:CR2"/>
    <mergeCell ref="BI2:BK2"/>
    <mergeCell ref="BL2:BN2"/>
    <mergeCell ref="BO2:BQ2"/>
    <mergeCell ref="BR2:BT2"/>
    <mergeCell ref="BU2:BW2"/>
    <mergeCell ref="BX2:BZ2"/>
    <mergeCell ref="CA2:CC2"/>
    <mergeCell ref="CD2:CF2"/>
    <mergeCell ref="CG2:CI2"/>
    <mergeCell ref="CJ2:CL2"/>
    <mergeCell ref="CM2:CO2"/>
    <mergeCell ref="BF2:BH2"/>
    <mergeCell ref="Y2:AA2"/>
    <mergeCell ref="AB2:AD2"/>
    <mergeCell ref="AE2:AG2"/>
    <mergeCell ref="AH2:AJ2"/>
    <mergeCell ref="AK2:AM2"/>
    <mergeCell ref="AN2:AP2"/>
    <mergeCell ref="AQ2:AS2"/>
    <mergeCell ref="AT2:AV2"/>
    <mergeCell ref="AW2:AY2"/>
    <mergeCell ref="AZ2:BB2"/>
    <mergeCell ref="BC2:BE2"/>
    <mergeCell ref="V2:X2"/>
    <mergeCell ref="G2:H2"/>
    <mergeCell ref="D2:F2"/>
    <mergeCell ref="J2:L2"/>
    <mergeCell ref="M2:O2"/>
    <mergeCell ref="P2:R2"/>
    <mergeCell ref="S2:U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89E0-98D3-419E-B28D-04C66CF9C400}">
  <dimension ref="A1:Q151"/>
  <sheetViews>
    <sheetView topLeftCell="A109" workbookViewId="0">
      <selection activeCell="D141" sqref="D141"/>
    </sheetView>
  </sheetViews>
  <sheetFormatPr defaultColWidth="8.08984375" defaultRowHeight="12.6" x14ac:dyDescent="0.2"/>
  <cols>
    <col min="1" max="1" width="37.08984375" style="79" customWidth="1"/>
    <col min="2" max="2" width="9.08984375" style="87" customWidth="1"/>
    <col min="3" max="3" width="10.7265625" style="87" customWidth="1"/>
    <col min="4" max="4" width="10.7265625" style="101" customWidth="1"/>
    <col min="5" max="5" width="9.90625" customWidth="1"/>
    <col min="6" max="7" width="6.90625" customWidth="1"/>
    <col min="8" max="11" width="6.6328125" customWidth="1"/>
    <col min="12" max="12" width="10.36328125" customWidth="1"/>
    <col min="13" max="13" width="7.26953125" bestFit="1" customWidth="1"/>
    <col min="14" max="14" width="9.08984375" customWidth="1"/>
  </cols>
  <sheetData>
    <row r="1" spans="1:16" ht="14.4" x14ac:dyDescent="0.3">
      <c r="B1" s="4001" t="s">
        <v>100</v>
      </c>
      <c r="C1" s="4001"/>
      <c r="D1" s="4001"/>
      <c r="E1" s="4001"/>
      <c r="F1" s="4001"/>
      <c r="G1" s="4001"/>
      <c r="H1" s="4001"/>
      <c r="J1" s="81" t="s">
        <v>101</v>
      </c>
    </row>
    <row r="2" spans="1:16" ht="14.4" x14ac:dyDescent="0.3">
      <c r="A2" s="82"/>
      <c r="B2" s="83" t="s">
        <v>102</v>
      </c>
      <c r="C2" s="83"/>
      <c r="D2" s="83"/>
      <c r="E2" s="83" t="s">
        <v>103</v>
      </c>
      <c r="F2" s="83"/>
      <c r="G2" s="83"/>
      <c r="H2" s="84" t="s">
        <v>104</v>
      </c>
      <c r="I2" s="84"/>
      <c r="J2" s="84">
        <f>344+155</f>
        <v>499</v>
      </c>
      <c r="K2" s="85">
        <f>+J2+344</f>
        <v>843</v>
      </c>
      <c r="L2" s="85"/>
      <c r="O2" s="85"/>
      <c r="P2" s="85"/>
    </row>
    <row r="3" spans="1:16" x14ac:dyDescent="0.2">
      <c r="B3" s="80">
        <v>4.2000000000000003E-2</v>
      </c>
      <c r="C3" s="80"/>
      <c r="D3" s="80"/>
      <c r="E3" s="80">
        <v>5.2999999999999999E-2</v>
      </c>
      <c r="F3" s="80"/>
      <c r="G3" s="80"/>
      <c r="H3" s="86">
        <v>7.1999999999999995E-2</v>
      </c>
      <c r="I3" s="86"/>
      <c r="J3" s="86">
        <f>+J2*0.85</f>
        <v>424.15</v>
      </c>
    </row>
    <row r="4" spans="1:16" ht="14.4" x14ac:dyDescent="0.3">
      <c r="A4" s="82" t="s">
        <v>105</v>
      </c>
      <c r="C4" s="87" t="s">
        <v>106</v>
      </c>
      <c r="D4" s="87"/>
      <c r="E4" s="87"/>
      <c r="F4" s="87"/>
      <c r="G4" s="87"/>
      <c r="H4" s="84"/>
      <c r="I4" s="84"/>
      <c r="J4" s="84"/>
      <c r="L4" s="82"/>
      <c r="O4" s="82"/>
      <c r="P4" s="85"/>
    </row>
    <row r="5" spans="1:16" x14ac:dyDescent="0.2">
      <c r="A5" s="79" t="s">
        <v>107</v>
      </c>
      <c r="B5" s="88">
        <v>221.70599999999999</v>
      </c>
      <c r="C5" s="88">
        <f>+B5+$E$26</f>
        <v>245.70599999999999</v>
      </c>
      <c r="D5" s="88"/>
      <c r="E5" s="88">
        <v>259.88869999999997</v>
      </c>
      <c r="F5" s="88">
        <f>+E5+$E$26</f>
        <v>283.88869999999997</v>
      </c>
      <c r="G5" s="88"/>
      <c r="H5" s="88">
        <v>315.3152</v>
      </c>
      <c r="I5" s="88">
        <f>+H5+$E$26</f>
        <v>339.3152</v>
      </c>
      <c r="J5" s="88"/>
      <c r="L5" s="89"/>
      <c r="O5" s="79"/>
      <c r="P5" s="97"/>
    </row>
    <row r="6" spans="1:16" x14ac:dyDescent="0.2">
      <c r="A6" s="79" t="s">
        <v>108</v>
      </c>
      <c r="B6" s="88">
        <v>232.79130000000001</v>
      </c>
      <c r="C6" s="88">
        <f t="shared" ref="C6:C16" si="0">+B6+$E$26</f>
        <v>256.79129999999998</v>
      </c>
      <c r="D6" s="88"/>
      <c r="E6" s="88">
        <v>270.97399999999999</v>
      </c>
      <c r="F6" s="88">
        <f t="shared" ref="F6:F17" si="1">+E6+$E$26</f>
        <v>294.97399999999999</v>
      </c>
      <c r="G6" s="88"/>
      <c r="H6" s="88">
        <v>331.32730000000004</v>
      </c>
      <c r="I6" s="88">
        <f t="shared" ref="I6:I16" si="2">+H6+$E$26</f>
        <v>355.32730000000004</v>
      </c>
      <c r="J6" s="88"/>
      <c r="L6" s="79"/>
      <c r="O6" s="79"/>
      <c r="P6" s="90"/>
    </row>
    <row r="7" spans="1:16" x14ac:dyDescent="0.2">
      <c r="A7" s="79" t="s">
        <v>109</v>
      </c>
      <c r="B7" s="88">
        <v>424.93649999999997</v>
      </c>
      <c r="C7" s="88">
        <f>+B7+$E$27</f>
        <v>468.93649999999997</v>
      </c>
      <c r="D7" s="88"/>
      <c r="E7" s="88">
        <v>466.81429999999995</v>
      </c>
      <c r="F7" s="88">
        <f>+E7+$E$27</f>
        <v>510.81429999999995</v>
      </c>
      <c r="G7" s="88"/>
      <c r="H7" s="88">
        <v>545.6431</v>
      </c>
      <c r="I7" s="88">
        <f t="shared" si="2"/>
        <v>569.6431</v>
      </c>
      <c r="J7" s="88"/>
      <c r="L7" s="79"/>
      <c r="N7" s="93"/>
      <c r="O7" s="79"/>
      <c r="P7" s="90"/>
    </row>
    <row r="8" spans="1:16" x14ac:dyDescent="0.2">
      <c r="A8" s="79" t="s">
        <v>110</v>
      </c>
      <c r="B8" s="88">
        <v>229.09619999999998</v>
      </c>
      <c r="C8" s="88">
        <f t="shared" si="0"/>
        <v>253.09619999999998</v>
      </c>
      <c r="D8" s="88"/>
      <c r="E8" s="88">
        <v>267.27890000000002</v>
      </c>
      <c r="F8" s="88">
        <f t="shared" si="1"/>
        <v>291.27890000000002</v>
      </c>
      <c r="G8" s="88"/>
      <c r="H8" s="88">
        <v>322.7054</v>
      </c>
      <c r="I8" s="88">
        <f t="shared" si="2"/>
        <v>346.7054</v>
      </c>
      <c r="J8" s="88"/>
      <c r="L8" s="79"/>
      <c r="O8" s="79"/>
      <c r="P8" s="90"/>
    </row>
    <row r="9" spans="1:16" ht="14.4" x14ac:dyDescent="0.3">
      <c r="A9" s="79" t="s">
        <v>111</v>
      </c>
      <c r="B9" s="88">
        <v>240.1815</v>
      </c>
      <c r="C9" s="88">
        <f t="shared" si="0"/>
        <v>264.18150000000003</v>
      </c>
      <c r="D9" s="88"/>
      <c r="E9" s="88">
        <v>278.36419999999998</v>
      </c>
      <c r="F9" s="88">
        <f t="shared" si="1"/>
        <v>302.36419999999998</v>
      </c>
      <c r="G9" s="88"/>
      <c r="H9" s="88">
        <v>338.71749999999997</v>
      </c>
      <c r="I9" s="88">
        <f t="shared" si="2"/>
        <v>362.71749999999997</v>
      </c>
      <c r="J9" s="91"/>
      <c r="L9" s="89"/>
      <c r="O9" s="79"/>
      <c r="P9" s="90"/>
    </row>
    <row r="10" spans="1:16" x14ac:dyDescent="0.2">
      <c r="A10" s="79" t="s">
        <v>112</v>
      </c>
      <c r="B10" s="88">
        <v>275.9008</v>
      </c>
      <c r="C10" s="88">
        <f t="shared" si="0"/>
        <v>299.9008</v>
      </c>
      <c r="D10" s="88">
        <f>432+37</f>
        <v>469</v>
      </c>
      <c r="E10" s="88">
        <v>307.92499999999995</v>
      </c>
      <c r="F10" s="88">
        <f t="shared" si="1"/>
        <v>331.92499999999995</v>
      </c>
      <c r="G10" s="92"/>
      <c r="H10" s="88">
        <v>360.88809999999995</v>
      </c>
      <c r="I10" s="88">
        <f t="shared" si="2"/>
        <v>384.88809999999995</v>
      </c>
      <c r="J10" s="88"/>
      <c r="L10" s="79"/>
      <c r="O10" s="79"/>
      <c r="P10" s="90"/>
    </row>
    <row r="11" spans="1:16" x14ac:dyDescent="0.2">
      <c r="A11" s="79" t="s">
        <v>113</v>
      </c>
      <c r="B11" s="88">
        <v>284.52269999999999</v>
      </c>
      <c r="C11" s="88">
        <f t="shared" si="0"/>
        <v>308.52269999999999</v>
      </c>
      <c r="D11" s="88">
        <f>+D10*1.58</f>
        <v>741.02</v>
      </c>
      <c r="E11" s="88">
        <v>312.85179999999997</v>
      </c>
      <c r="F11" s="88">
        <f t="shared" si="1"/>
        <v>336.85179999999997</v>
      </c>
      <c r="G11" s="88"/>
      <c r="H11" s="88">
        <v>374.43680000000001</v>
      </c>
      <c r="I11" s="88">
        <f t="shared" si="2"/>
        <v>398.43680000000001</v>
      </c>
      <c r="J11" s="88"/>
      <c r="L11" s="89"/>
      <c r="O11" s="79"/>
      <c r="P11" s="90"/>
    </row>
    <row r="12" spans="1:16" x14ac:dyDescent="0.2">
      <c r="A12" s="79" t="s">
        <v>114</v>
      </c>
      <c r="B12" s="88">
        <v>309.1567</v>
      </c>
      <c r="C12" s="88">
        <f t="shared" si="0"/>
        <v>333.1567</v>
      </c>
      <c r="D12" s="88"/>
      <c r="E12" s="88">
        <v>351.03449999999998</v>
      </c>
      <c r="F12" s="88">
        <f t="shared" si="1"/>
        <v>375.03449999999998</v>
      </c>
      <c r="G12" s="88"/>
      <c r="H12" s="88">
        <v>430</v>
      </c>
      <c r="I12" s="88">
        <f t="shared" si="2"/>
        <v>454</v>
      </c>
      <c r="J12" s="88"/>
      <c r="L12" s="79"/>
      <c r="O12" s="79"/>
      <c r="P12" s="90"/>
    </row>
    <row r="13" spans="1:16" x14ac:dyDescent="0.2">
      <c r="A13" s="79" t="s">
        <v>115</v>
      </c>
      <c r="B13" s="88">
        <v>351.03449999999998</v>
      </c>
      <c r="C13" s="88">
        <f t="shared" si="0"/>
        <v>375.03449999999998</v>
      </c>
      <c r="D13" s="96"/>
      <c r="E13" s="88">
        <v>375.66849999999999</v>
      </c>
      <c r="F13" s="88">
        <f t="shared" si="1"/>
        <v>399.66849999999999</v>
      </c>
      <c r="G13" s="88"/>
      <c r="H13" s="88">
        <v>463.11919999999998</v>
      </c>
      <c r="I13" s="88">
        <f t="shared" si="2"/>
        <v>487.11919999999998</v>
      </c>
      <c r="J13" s="88"/>
      <c r="L13" s="79"/>
      <c r="O13" s="79"/>
      <c r="P13" s="90"/>
    </row>
    <row r="14" spans="1:16" x14ac:dyDescent="0.2">
      <c r="A14" s="79" t="s">
        <v>116</v>
      </c>
      <c r="B14" s="88">
        <v>305.46159999999998</v>
      </c>
      <c r="C14" s="88">
        <f t="shared" si="0"/>
        <v>329.46159999999998</v>
      </c>
      <c r="D14" s="88"/>
      <c r="E14" s="88">
        <v>341.18089999999995</v>
      </c>
      <c r="F14" s="88">
        <f t="shared" si="1"/>
        <v>365.18089999999995</v>
      </c>
      <c r="G14" s="88"/>
      <c r="H14" s="88">
        <v>392.91230000000002</v>
      </c>
      <c r="I14" s="88">
        <f t="shared" si="2"/>
        <v>416.91230000000002</v>
      </c>
      <c r="J14" s="88"/>
      <c r="L14" s="79"/>
      <c r="O14" s="79"/>
      <c r="P14" s="90"/>
    </row>
    <row r="15" spans="1:16" x14ac:dyDescent="0.2">
      <c r="A15" s="79" t="s">
        <v>117</v>
      </c>
      <c r="B15" s="88">
        <v>316.54689999999994</v>
      </c>
      <c r="C15" s="88">
        <f t="shared" si="0"/>
        <v>340.54689999999994</v>
      </c>
      <c r="D15" s="88">
        <f>320*0.58</f>
        <v>185.6</v>
      </c>
      <c r="E15" s="88">
        <v>347.33939999999996</v>
      </c>
      <c r="F15" s="88">
        <f t="shared" si="1"/>
        <v>371.33939999999996</v>
      </c>
      <c r="G15" s="88"/>
      <c r="H15" s="88">
        <v>407.6927</v>
      </c>
      <c r="I15" s="88">
        <f t="shared" si="2"/>
        <v>431.6927</v>
      </c>
      <c r="J15" s="88"/>
      <c r="L15" s="79"/>
      <c r="O15" s="79"/>
      <c r="P15" s="97"/>
    </row>
    <row r="16" spans="1:16" x14ac:dyDescent="0.2">
      <c r="A16" s="79" t="s">
        <v>118</v>
      </c>
      <c r="B16" s="88">
        <v>380.59529999999995</v>
      </c>
      <c r="C16" s="88">
        <f t="shared" si="0"/>
        <v>404.59529999999995</v>
      </c>
      <c r="D16" s="98">
        <f>+D15+320</f>
        <v>505.6</v>
      </c>
      <c r="E16" s="88">
        <v>424</v>
      </c>
      <c r="F16" s="88">
        <f t="shared" si="1"/>
        <v>448</v>
      </c>
      <c r="G16" s="88"/>
      <c r="H16" s="88">
        <v>487.75319999999999</v>
      </c>
      <c r="I16" s="88">
        <f t="shared" si="2"/>
        <v>511.75319999999999</v>
      </c>
      <c r="J16" s="88"/>
      <c r="L16" s="79"/>
      <c r="O16" s="79"/>
      <c r="P16" s="90"/>
    </row>
    <row r="17" spans="1:16" ht="14.4" x14ac:dyDescent="0.3">
      <c r="A17" s="79" t="s">
        <v>119</v>
      </c>
      <c r="B17" s="88"/>
      <c r="C17" s="88"/>
      <c r="D17" s="88"/>
      <c r="E17" s="88">
        <v>925</v>
      </c>
      <c r="F17" s="88">
        <f t="shared" si="1"/>
        <v>949</v>
      </c>
      <c r="G17" s="88"/>
      <c r="H17" s="88" t="s">
        <v>120</v>
      </c>
      <c r="I17" s="88"/>
      <c r="J17" s="88"/>
      <c r="K17" s="99"/>
      <c r="L17" s="79"/>
      <c r="N17" s="85"/>
      <c r="O17" s="79"/>
      <c r="P17" s="90"/>
    </row>
    <row r="18" spans="1:16" x14ac:dyDescent="0.2">
      <c r="A18" s="79" t="s">
        <v>121</v>
      </c>
      <c r="B18" s="88">
        <v>432.32670000000002</v>
      </c>
      <c r="C18" s="88">
        <f>+B18+$E$27</f>
        <v>476.32670000000002</v>
      </c>
      <c r="D18" s="88">
        <f>432+12+12+25</f>
        <v>481</v>
      </c>
      <c r="E18" s="88"/>
      <c r="F18" s="88">
        <f t="shared" ref="F18:F24" si="3">+E18+$E$27</f>
        <v>44</v>
      </c>
      <c r="G18" s="88"/>
      <c r="H18" s="88">
        <v>553.03329999999994</v>
      </c>
      <c r="I18" s="88">
        <f>+H18+$E$27</f>
        <v>597.03329999999994</v>
      </c>
      <c r="J18" s="88"/>
      <c r="L18" s="79"/>
      <c r="O18" s="79"/>
      <c r="P18" s="90"/>
    </row>
    <row r="19" spans="1:16" x14ac:dyDescent="0.2">
      <c r="A19" s="79" t="s">
        <v>122</v>
      </c>
      <c r="B19" s="88">
        <v>468.04599999999999</v>
      </c>
      <c r="C19" s="88">
        <f>+B19+$E$27</f>
        <v>512.04600000000005</v>
      </c>
      <c r="D19" s="88"/>
      <c r="E19" s="88">
        <v>491.44829999999996</v>
      </c>
      <c r="F19" s="88">
        <f t="shared" si="3"/>
        <v>535.44830000000002</v>
      </c>
      <c r="G19" s="88"/>
      <c r="H19" s="88">
        <v>577.66729999999995</v>
      </c>
      <c r="I19" s="88">
        <f t="shared" ref="I19:I24" si="4">+H19+$E$27</f>
        <v>621.66729999999995</v>
      </c>
      <c r="J19" s="88"/>
      <c r="L19" s="79"/>
      <c r="O19" s="79"/>
      <c r="P19" s="90"/>
    </row>
    <row r="20" spans="1:16" x14ac:dyDescent="0.2">
      <c r="A20" s="79" t="s">
        <v>123</v>
      </c>
      <c r="B20" s="88">
        <v>496.37509999999997</v>
      </c>
      <c r="C20" s="88">
        <f>+B20+$E$27</f>
        <v>540.37509999999997</v>
      </c>
      <c r="D20" s="88"/>
      <c r="E20" s="88">
        <v>518.54570000000001</v>
      </c>
      <c r="F20" s="88">
        <f t="shared" si="3"/>
        <v>562.54570000000001</v>
      </c>
      <c r="G20" s="88"/>
      <c r="H20" s="88">
        <v>601.06960000000004</v>
      </c>
      <c r="I20" s="88">
        <f t="shared" si="4"/>
        <v>645.06960000000004</v>
      </c>
      <c r="J20" s="88"/>
      <c r="L20" s="79"/>
      <c r="O20" s="79"/>
      <c r="P20" s="90"/>
    </row>
    <row r="21" spans="1:16" ht="14.4" x14ac:dyDescent="0.3">
      <c r="A21" s="79" t="s">
        <v>124</v>
      </c>
      <c r="B21" s="88">
        <v>474.2045</v>
      </c>
      <c r="C21" s="88">
        <f>+B21+$E$27</f>
        <v>518.20450000000005</v>
      </c>
      <c r="D21" s="88"/>
      <c r="E21" s="88">
        <v>516.08230000000003</v>
      </c>
      <c r="F21" s="88">
        <f t="shared" si="3"/>
        <v>560.08230000000003</v>
      </c>
      <c r="G21" s="88"/>
      <c r="H21" s="88">
        <v>594.91109999999992</v>
      </c>
      <c r="I21" s="88">
        <f t="shared" si="4"/>
        <v>638.91109999999992</v>
      </c>
      <c r="J21" s="88"/>
      <c r="K21" s="85"/>
      <c r="L21" s="79"/>
      <c r="N21" s="85"/>
      <c r="O21" s="79"/>
      <c r="P21" s="90"/>
    </row>
    <row r="22" spans="1:16" ht="14.4" x14ac:dyDescent="0.3">
      <c r="A22" s="79" t="s">
        <v>125</v>
      </c>
      <c r="B22" s="88">
        <v>538.25289999999995</v>
      </c>
      <c r="C22" s="88">
        <f>+B22+$E$27</f>
        <v>582.25289999999995</v>
      </c>
      <c r="D22" s="88"/>
      <c r="E22" s="88">
        <v>560.42349999999999</v>
      </c>
      <c r="F22" s="88">
        <f t="shared" si="3"/>
        <v>604.42349999999999</v>
      </c>
      <c r="G22" s="88"/>
      <c r="H22" s="88">
        <v>642.94740000000002</v>
      </c>
      <c r="I22" s="88">
        <f t="shared" si="4"/>
        <v>686.94740000000002</v>
      </c>
      <c r="J22" s="88"/>
      <c r="K22" s="85"/>
      <c r="L22" s="79"/>
      <c r="N22" s="85"/>
      <c r="O22" s="79"/>
      <c r="P22" s="90"/>
    </row>
    <row r="23" spans="1:16" x14ac:dyDescent="0.2">
      <c r="A23" s="79" t="s">
        <v>126</v>
      </c>
      <c r="B23" s="88"/>
      <c r="C23" s="88"/>
      <c r="D23" s="88"/>
      <c r="E23" s="88">
        <v>1050</v>
      </c>
      <c r="F23" s="88">
        <f t="shared" si="3"/>
        <v>1094</v>
      </c>
      <c r="G23" s="88"/>
      <c r="H23" s="88">
        <v>1125</v>
      </c>
      <c r="I23" s="88">
        <f t="shared" si="4"/>
        <v>1169</v>
      </c>
      <c r="J23" s="88"/>
      <c r="O23" s="79"/>
      <c r="P23" s="90"/>
    </row>
    <row r="24" spans="1:16" ht="14.4" x14ac:dyDescent="0.3">
      <c r="A24" s="79" t="s">
        <v>127</v>
      </c>
      <c r="B24" s="88"/>
      <c r="C24" s="88"/>
      <c r="D24" s="88"/>
      <c r="E24" s="88">
        <v>1100</v>
      </c>
      <c r="F24" s="88">
        <f t="shared" si="3"/>
        <v>1144</v>
      </c>
      <c r="G24" s="88"/>
      <c r="H24" s="88">
        <v>1200</v>
      </c>
      <c r="I24" s="88">
        <f t="shared" si="4"/>
        <v>1244</v>
      </c>
      <c r="J24" s="88"/>
      <c r="K24" s="99"/>
      <c r="L24" s="79"/>
      <c r="N24" s="85"/>
      <c r="O24" s="79"/>
      <c r="P24" s="90"/>
    </row>
    <row r="25" spans="1:16" ht="30.75" customHeight="1" x14ac:dyDescent="0.3">
      <c r="B25" s="100"/>
      <c r="C25" s="83"/>
      <c r="E25" s="90"/>
      <c r="F25" s="90"/>
      <c r="G25" s="90"/>
      <c r="I25" s="79"/>
      <c r="J25" s="79"/>
      <c r="K25" s="4002" t="s">
        <v>128</v>
      </c>
      <c r="L25" s="4003"/>
      <c r="M25" s="4003"/>
      <c r="N25" s="4003"/>
      <c r="O25" s="4004"/>
    </row>
    <row r="26" spans="1:16" ht="14.4" x14ac:dyDescent="0.3">
      <c r="A26" s="82" t="s">
        <v>129</v>
      </c>
      <c r="B26" s="88"/>
      <c r="D26" s="102" t="s">
        <v>130</v>
      </c>
      <c r="E26" s="103">
        <f>12+12</f>
        <v>24</v>
      </c>
    </row>
    <row r="27" spans="1:16" ht="14.4" x14ac:dyDescent="0.3">
      <c r="A27" s="79" t="s">
        <v>131</v>
      </c>
      <c r="B27" s="88">
        <v>43.109500000000004</v>
      </c>
      <c r="D27" s="102" t="s">
        <v>132</v>
      </c>
      <c r="E27" s="103">
        <f>32+12</f>
        <v>44</v>
      </c>
    </row>
    <row r="28" spans="1:16" x14ac:dyDescent="0.2">
      <c r="G28">
        <f>278+12+24+22</f>
        <v>336</v>
      </c>
    </row>
    <row r="29" spans="1:16" x14ac:dyDescent="0.2">
      <c r="A29" s="79" t="s">
        <v>133</v>
      </c>
      <c r="B29" s="88" t="s">
        <v>134</v>
      </c>
    </row>
    <row r="30" spans="1:16" ht="14.4" x14ac:dyDescent="0.3">
      <c r="A30" s="104" t="s">
        <v>135</v>
      </c>
      <c r="B30" s="105">
        <v>12.316999999999998</v>
      </c>
      <c r="E30" s="106"/>
    </row>
    <row r="31" spans="1:16" x14ac:dyDescent="0.2">
      <c r="B31" s="88"/>
    </row>
    <row r="32" spans="1:16" x14ac:dyDescent="0.2">
      <c r="A32" s="79" t="s">
        <v>136</v>
      </c>
      <c r="B32" s="88">
        <v>21</v>
      </c>
      <c r="N32" s="107"/>
    </row>
    <row r="33" spans="1:15" x14ac:dyDescent="0.2">
      <c r="A33" s="79" t="s">
        <v>137</v>
      </c>
      <c r="B33" s="88">
        <v>146.57229999999998</v>
      </c>
      <c r="E33" s="106">
        <f>32+12</f>
        <v>44</v>
      </c>
    </row>
    <row r="34" spans="1:15" x14ac:dyDescent="0.2">
      <c r="A34" s="108" t="s">
        <v>138</v>
      </c>
      <c r="B34" s="109">
        <v>32</v>
      </c>
      <c r="E34" s="106"/>
      <c r="N34" s="107"/>
    </row>
    <row r="35" spans="1:15" ht="14.4" x14ac:dyDescent="0.3">
      <c r="A35" s="79" t="s">
        <v>139</v>
      </c>
      <c r="B35" s="88">
        <v>38.182699999999997</v>
      </c>
      <c r="E35" s="106"/>
      <c r="F35" t="s">
        <v>140</v>
      </c>
    </row>
    <row r="36" spans="1:15" ht="14.4" x14ac:dyDescent="0.3">
      <c r="A36" s="79" t="s">
        <v>141</v>
      </c>
      <c r="B36" s="110">
        <v>25</v>
      </c>
      <c r="C36" s="87" t="s">
        <v>142</v>
      </c>
      <c r="E36" s="106"/>
      <c r="F36" t="s">
        <v>143</v>
      </c>
    </row>
    <row r="37" spans="1:15" ht="14.4" x14ac:dyDescent="0.3">
      <c r="A37" s="104" t="s">
        <v>144</v>
      </c>
      <c r="B37" s="105">
        <v>12</v>
      </c>
      <c r="C37" s="87" t="s">
        <v>145</v>
      </c>
      <c r="E37" s="106"/>
      <c r="F37" t="s">
        <v>146</v>
      </c>
    </row>
    <row r="38" spans="1:15" ht="14.4" x14ac:dyDescent="0.3">
      <c r="A38" s="79" t="s">
        <v>147</v>
      </c>
      <c r="B38" s="110">
        <v>44.341200000000001</v>
      </c>
      <c r="E38" s="106"/>
      <c r="O38">
        <f>421+12+12</f>
        <v>445</v>
      </c>
    </row>
    <row r="39" spans="1:15" x14ac:dyDescent="0.2">
      <c r="A39" s="79" t="s">
        <v>148</v>
      </c>
      <c r="B39" s="88">
        <v>29.5608</v>
      </c>
      <c r="D39" s="101">
        <v>60375</v>
      </c>
      <c r="E39" s="111"/>
      <c r="I39" s="111"/>
      <c r="J39" s="111"/>
      <c r="K39" s="111"/>
    </row>
    <row r="40" spans="1:15" ht="14.4" x14ac:dyDescent="0.3">
      <c r="A40" s="79" t="s">
        <v>149</v>
      </c>
      <c r="B40" s="110">
        <v>6.1584999999999992</v>
      </c>
      <c r="D40" s="101">
        <f>18570+12187.5</f>
        <v>30757.5</v>
      </c>
      <c r="E40" s="111"/>
      <c r="I40" s="70"/>
      <c r="J40" s="111"/>
      <c r="K40" s="111"/>
    </row>
    <row r="41" spans="1:15" ht="14.4" x14ac:dyDescent="0.3">
      <c r="A41" s="79" t="s">
        <v>150</v>
      </c>
      <c r="B41" s="110">
        <v>15</v>
      </c>
    </row>
    <row r="42" spans="1:15" x14ac:dyDescent="0.2">
      <c r="A42" s="79" t="s">
        <v>151</v>
      </c>
      <c r="B42" s="88">
        <v>35.719299999999997</v>
      </c>
      <c r="D42" s="101">
        <f>+D39-D40</f>
        <v>29617.5</v>
      </c>
      <c r="E42" s="111"/>
      <c r="I42" s="111"/>
      <c r="J42" s="111"/>
      <c r="K42" s="111"/>
    </row>
    <row r="43" spans="1:15" x14ac:dyDescent="0.2">
      <c r="A43" s="79" t="s">
        <v>152</v>
      </c>
      <c r="B43" s="87" t="s">
        <v>134</v>
      </c>
      <c r="D43" s="101">
        <f>+D42/D39</f>
        <v>0.49055900621118015</v>
      </c>
      <c r="E43" s="111"/>
      <c r="H43">
        <f>432+12+25+22</f>
        <v>491</v>
      </c>
      <c r="I43" s="111"/>
      <c r="J43" s="111"/>
      <c r="K43" s="111"/>
      <c r="L43">
        <f>9661+4400</f>
        <v>14061</v>
      </c>
    </row>
    <row r="44" spans="1:15" x14ac:dyDescent="0.2">
      <c r="A44" s="79" t="s">
        <v>153</v>
      </c>
      <c r="B44" s="88">
        <v>49.267999999999994</v>
      </c>
      <c r="E44" s="111"/>
      <c r="H44">
        <f>432+22+12+12</f>
        <v>478</v>
      </c>
      <c r="I44" s="111">
        <f>+H44*1.5</f>
        <v>717</v>
      </c>
      <c r="J44" s="111"/>
      <c r="K44" s="111"/>
      <c r="L44">
        <f>+L43*0.1</f>
        <v>1406.1000000000001</v>
      </c>
    </row>
    <row r="45" spans="1:15" x14ac:dyDescent="0.2">
      <c r="A45" s="79" t="s">
        <v>154</v>
      </c>
      <c r="B45" s="88">
        <v>18.4755</v>
      </c>
      <c r="D45" s="101">
        <f>+D39-D40</f>
        <v>29617.5</v>
      </c>
      <c r="E45" s="70">
        <f>19261/D39%</f>
        <v>31.902277432712214</v>
      </c>
      <c r="H45">
        <f>650-478</f>
        <v>172</v>
      </c>
      <c r="I45" s="111"/>
      <c r="J45" s="111"/>
      <c r="K45" s="111"/>
    </row>
    <row r="46" spans="1:15" x14ac:dyDescent="0.2">
      <c r="A46" s="79" t="s">
        <v>155</v>
      </c>
      <c r="B46" s="88">
        <v>43.109500000000004</v>
      </c>
      <c r="D46" s="101">
        <f>+D45-10000</f>
        <v>19617.5</v>
      </c>
      <c r="E46" s="111"/>
      <c r="H46">
        <f>+H45/650</f>
        <v>0.26461538461538464</v>
      </c>
      <c r="I46" s="111"/>
      <c r="J46" s="111"/>
      <c r="K46" s="111"/>
    </row>
    <row r="47" spans="1:15" x14ac:dyDescent="0.2">
      <c r="A47" s="79" t="s">
        <v>156</v>
      </c>
      <c r="B47" s="88" t="s">
        <v>157</v>
      </c>
      <c r="D47" s="101">
        <f>+D46/D39</f>
        <v>0.32492753623188408</v>
      </c>
      <c r="E47" s="111"/>
      <c r="H47">
        <f>575-475</f>
        <v>100</v>
      </c>
      <c r="I47" s="111"/>
      <c r="J47" s="111"/>
      <c r="K47" s="111"/>
    </row>
    <row r="48" spans="1:15" x14ac:dyDescent="0.2">
      <c r="A48" s="79" t="s">
        <v>158</v>
      </c>
      <c r="B48" s="88" t="s">
        <v>157</v>
      </c>
      <c r="E48" s="111"/>
      <c r="I48" s="111"/>
      <c r="J48" s="111"/>
      <c r="K48" s="111"/>
    </row>
    <row r="50" spans="1:9" x14ac:dyDescent="0.2">
      <c r="A50" s="79" t="s">
        <v>159</v>
      </c>
      <c r="B50" s="112" t="s">
        <v>26</v>
      </c>
      <c r="G50">
        <f>432+12+22</f>
        <v>466</v>
      </c>
      <c r="H50">
        <f>432+12+25+12</f>
        <v>481</v>
      </c>
    </row>
    <row r="51" spans="1:9" ht="14.4" x14ac:dyDescent="0.3">
      <c r="A51" s="113" t="s">
        <v>160</v>
      </c>
      <c r="B51" s="114">
        <v>24.633999999999997</v>
      </c>
    </row>
    <row r="52" spans="1:9" x14ac:dyDescent="0.2">
      <c r="A52" s="79" t="s">
        <v>161</v>
      </c>
      <c r="B52" s="88">
        <v>36.951000000000001</v>
      </c>
    </row>
    <row r="53" spans="1:9" x14ac:dyDescent="0.2">
      <c r="A53" s="115"/>
      <c r="B53" s="88"/>
      <c r="G53">
        <f>278+24+22</f>
        <v>324</v>
      </c>
      <c r="H53">
        <f>525-322</f>
        <v>203</v>
      </c>
      <c r="I53">
        <f>+H53/525</f>
        <v>0.38666666666666666</v>
      </c>
    </row>
    <row r="54" spans="1:9" ht="14.4" x14ac:dyDescent="0.3">
      <c r="A54" s="116" t="s">
        <v>162</v>
      </c>
      <c r="B54" s="114">
        <v>22.1706</v>
      </c>
      <c r="G54">
        <f>3941.6-1365.6</f>
        <v>2576</v>
      </c>
    </row>
    <row r="55" spans="1:9" x14ac:dyDescent="0.2">
      <c r="A55" s="79" t="s">
        <v>163</v>
      </c>
      <c r="B55" s="117">
        <v>73.902000000000001</v>
      </c>
      <c r="G55">
        <f>+G54*0.65</f>
        <v>1674.4</v>
      </c>
    </row>
    <row r="56" spans="1:9" x14ac:dyDescent="0.2">
      <c r="A56" s="79" t="s">
        <v>164</v>
      </c>
      <c r="B56" s="117">
        <v>84.987300000000005</v>
      </c>
      <c r="G56">
        <f>+G55+G54</f>
        <v>4250.3999999999996</v>
      </c>
    </row>
    <row r="57" spans="1:9" x14ac:dyDescent="0.2">
      <c r="A57" s="79" t="s">
        <v>165</v>
      </c>
      <c r="B57" s="117">
        <v>197.07199999999997</v>
      </c>
    </row>
    <row r="58" spans="1:9" x14ac:dyDescent="0.2">
      <c r="A58" s="79" t="s">
        <v>166</v>
      </c>
      <c r="B58" s="117">
        <v>262.35210000000001</v>
      </c>
    </row>
    <row r="59" spans="1:9" x14ac:dyDescent="0.2">
      <c r="A59" s="79" t="s">
        <v>167</v>
      </c>
      <c r="B59" s="117">
        <v>102.23110000000001</v>
      </c>
    </row>
    <row r="60" spans="1:9" x14ac:dyDescent="0.2">
      <c r="A60" s="79" t="s">
        <v>168</v>
      </c>
      <c r="B60" s="117">
        <v>156.42589999999998</v>
      </c>
    </row>
    <row r="61" spans="1:9" x14ac:dyDescent="0.2">
      <c r="A61" s="79" t="s">
        <v>169</v>
      </c>
      <c r="B61" s="88" t="s">
        <v>170</v>
      </c>
    </row>
    <row r="62" spans="1:9" x14ac:dyDescent="0.2">
      <c r="A62" s="79" t="s">
        <v>171</v>
      </c>
      <c r="B62" s="88" t="s">
        <v>172</v>
      </c>
    </row>
    <row r="63" spans="1:9" x14ac:dyDescent="0.2">
      <c r="A63" s="79" t="s">
        <v>173</v>
      </c>
      <c r="B63" s="88">
        <v>338.71749999999997</v>
      </c>
      <c r="C63" s="87" t="s">
        <v>174</v>
      </c>
    </row>
    <row r="64" spans="1:9" x14ac:dyDescent="0.2">
      <c r="A64" s="79" t="s">
        <v>175</v>
      </c>
      <c r="B64" s="88">
        <v>739.02</v>
      </c>
      <c r="C64" s="87" t="s">
        <v>174</v>
      </c>
      <c r="D64" s="101" t="s">
        <v>176</v>
      </c>
    </row>
    <row r="65" spans="1:15" x14ac:dyDescent="0.2">
      <c r="B65" s="88"/>
      <c r="M65">
        <f>96+12+26+20</f>
        <v>154</v>
      </c>
      <c r="N65">
        <f>+M65*1.58</f>
        <v>243.32000000000002</v>
      </c>
      <c r="O65">
        <f>+N65*1.6</f>
        <v>389.31200000000007</v>
      </c>
    </row>
    <row r="66" spans="1:15" ht="14.4" x14ac:dyDescent="0.3">
      <c r="A66" s="82" t="s">
        <v>177</v>
      </c>
      <c r="B66" s="88"/>
      <c r="C66" s="84" t="s">
        <v>178</v>
      </c>
      <c r="H66">
        <f>128+12+26+17</f>
        <v>183</v>
      </c>
    </row>
    <row r="67" spans="1:15" x14ac:dyDescent="0.2">
      <c r="A67" s="79" t="s">
        <v>179</v>
      </c>
      <c r="B67" s="88"/>
      <c r="C67" s="88">
        <v>24.633999999999997</v>
      </c>
      <c r="D67" s="88"/>
    </row>
    <row r="68" spans="1:15" x14ac:dyDescent="0.2">
      <c r="A68" s="79" t="s">
        <v>180</v>
      </c>
      <c r="B68" s="88"/>
      <c r="C68" s="88">
        <v>38.182699999999997</v>
      </c>
      <c r="D68" s="88"/>
      <c r="M68">
        <f>583-128</f>
        <v>455</v>
      </c>
      <c r="N68">
        <f>+M68*0.465</f>
        <v>211.57500000000002</v>
      </c>
    </row>
    <row r="69" spans="1:15" x14ac:dyDescent="0.2">
      <c r="A69" s="79" t="s">
        <v>181</v>
      </c>
      <c r="B69" s="88"/>
      <c r="C69" s="88">
        <v>34.4876</v>
      </c>
      <c r="D69" s="88"/>
    </row>
    <row r="70" spans="1:15" x14ac:dyDescent="0.2">
      <c r="A70" s="79" t="s">
        <v>182</v>
      </c>
      <c r="B70" s="88"/>
      <c r="C70" s="88">
        <v>30.7925</v>
      </c>
      <c r="D70" s="88"/>
      <c r="G70">
        <f>278+12+43</f>
        <v>333</v>
      </c>
    </row>
    <row r="71" spans="1:15" x14ac:dyDescent="0.2">
      <c r="A71" s="115" t="s">
        <v>183</v>
      </c>
      <c r="B71" s="88"/>
      <c r="C71" s="88" t="s">
        <v>184</v>
      </c>
      <c r="D71" s="88"/>
      <c r="E71" s="90"/>
      <c r="H71" s="115"/>
      <c r="I71" s="90"/>
      <c r="J71" s="90"/>
      <c r="K71" s="90"/>
    </row>
    <row r="72" spans="1:15" x14ac:dyDescent="0.2">
      <c r="A72" s="115"/>
      <c r="B72" s="88"/>
      <c r="C72" s="88"/>
      <c r="D72" s="88"/>
      <c r="E72" s="90"/>
      <c r="H72" s="115"/>
      <c r="I72" s="90"/>
      <c r="J72" s="90"/>
      <c r="K72" s="90"/>
    </row>
    <row r="73" spans="1:15" ht="15" thickBot="1" x14ac:dyDescent="0.35">
      <c r="A73" s="115"/>
      <c r="B73" s="88"/>
      <c r="C73" s="88"/>
      <c r="D73" s="118">
        <f>12+26+7</f>
        <v>45</v>
      </c>
      <c r="E73" s="99" t="s">
        <v>185</v>
      </c>
      <c r="G73" s="119"/>
      <c r="H73" s="120"/>
      <c r="I73" s="120"/>
      <c r="J73" s="120"/>
      <c r="L73" s="120"/>
    </row>
    <row r="74" spans="1:15" ht="58.2" thickBot="1" x14ac:dyDescent="0.35">
      <c r="A74" s="82" t="s">
        <v>186</v>
      </c>
      <c r="B74" s="88"/>
      <c r="C74" s="121" t="s">
        <v>187</v>
      </c>
      <c r="D74" s="122" t="s">
        <v>188</v>
      </c>
      <c r="E74" s="123" t="s">
        <v>189</v>
      </c>
      <c r="F74" s="124" t="s">
        <v>190</v>
      </c>
      <c r="G74" s="125" t="s">
        <v>191</v>
      </c>
      <c r="H74" s="126"/>
      <c r="I74" s="127" t="s">
        <v>192</v>
      </c>
    </row>
    <row r="75" spans="1:15" x14ac:dyDescent="0.2">
      <c r="A75" s="79" t="s">
        <v>193</v>
      </c>
      <c r="C75" s="128">
        <v>93.609200000000001</v>
      </c>
      <c r="D75" s="129">
        <f>+C75+12+26+7</f>
        <v>138.60919999999999</v>
      </c>
      <c r="E75" s="130">
        <v>94</v>
      </c>
      <c r="F75" s="129">
        <f>+E75+45</f>
        <v>139</v>
      </c>
      <c r="G75" s="131">
        <v>180</v>
      </c>
      <c r="H75" s="130" t="s">
        <v>194</v>
      </c>
      <c r="I75" s="132">
        <f>+G75+45</f>
        <v>225</v>
      </c>
      <c r="J75" s="133"/>
      <c r="K75" s="134"/>
      <c r="L75">
        <f>132+26+36</f>
        <v>194</v>
      </c>
      <c r="M75">
        <f>+L75*1.61</f>
        <v>312.34000000000003</v>
      </c>
    </row>
    <row r="76" spans="1:15" x14ac:dyDescent="0.2">
      <c r="A76" s="79" t="s">
        <v>195</v>
      </c>
      <c r="C76" s="128">
        <v>96.072600000000008</v>
      </c>
      <c r="D76" s="129">
        <f t="shared" ref="D76:D100" si="5">+C76+12+26+7</f>
        <v>141.07260000000002</v>
      </c>
      <c r="E76" s="130">
        <v>96</v>
      </c>
      <c r="F76" s="129">
        <f t="shared" ref="F76:F100" si="6">+E76+45</f>
        <v>141</v>
      </c>
      <c r="G76" s="131">
        <v>184</v>
      </c>
      <c r="H76" s="130"/>
      <c r="I76" s="132">
        <f t="shared" ref="I76:I99" si="7">+G76+45</f>
        <v>229</v>
      </c>
      <c r="J76" s="133"/>
      <c r="K76" s="134"/>
      <c r="O76">
        <f>108*1.58</f>
        <v>170.64000000000001</v>
      </c>
    </row>
    <row r="77" spans="1:15" x14ac:dyDescent="0.2">
      <c r="A77" s="79" t="s">
        <v>196</v>
      </c>
      <c r="C77" s="128">
        <v>108.38959999999999</v>
      </c>
      <c r="D77" s="129">
        <f t="shared" si="5"/>
        <v>153.38959999999997</v>
      </c>
      <c r="E77" s="130">
        <v>108</v>
      </c>
      <c r="F77" s="129">
        <f t="shared" si="6"/>
        <v>153</v>
      </c>
      <c r="G77" s="131">
        <v>213</v>
      </c>
      <c r="H77" s="130"/>
      <c r="I77" s="132">
        <f t="shared" si="7"/>
        <v>258</v>
      </c>
      <c r="J77" s="133"/>
      <c r="K77" s="135"/>
    </row>
    <row r="78" spans="1:15" x14ac:dyDescent="0.2">
      <c r="A78" s="79" t="s">
        <v>197</v>
      </c>
      <c r="C78" s="128">
        <v>97.304299999999984</v>
      </c>
      <c r="D78" s="129">
        <f t="shared" si="5"/>
        <v>142.30429999999998</v>
      </c>
      <c r="E78" s="130">
        <v>97</v>
      </c>
      <c r="F78" s="129">
        <f t="shared" si="6"/>
        <v>142</v>
      </c>
      <c r="G78" s="131">
        <v>186</v>
      </c>
      <c r="H78" s="130"/>
      <c r="I78" s="132">
        <f t="shared" si="7"/>
        <v>231</v>
      </c>
      <c r="J78" s="133"/>
      <c r="K78" s="134"/>
    </row>
    <row r="79" spans="1:15" x14ac:dyDescent="0.2">
      <c r="A79" s="79" t="s">
        <v>198</v>
      </c>
      <c r="C79" s="128">
        <v>98.536000000000001</v>
      </c>
      <c r="D79" s="129">
        <f t="shared" si="5"/>
        <v>143.536</v>
      </c>
      <c r="E79" s="130">
        <v>111</v>
      </c>
      <c r="F79" s="129">
        <f t="shared" si="6"/>
        <v>156</v>
      </c>
      <c r="G79" s="131">
        <v>190</v>
      </c>
      <c r="H79" s="130"/>
      <c r="I79" s="132">
        <f t="shared" si="7"/>
        <v>235</v>
      </c>
      <c r="J79" s="133"/>
      <c r="K79" s="134"/>
    </row>
    <row r="80" spans="1:15" x14ac:dyDescent="0.2">
      <c r="A80" s="79" t="s">
        <v>199</v>
      </c>
      <c r="C80" s="128">
        <v>112.0847</v>
      </c>
      <c r="D80" s="129">
        <f t="shared" si="5"/>
        <v>157.0847</v>
      </c>
      <c r="E80" s="130">
        <v>116</v>
      </c>
      <c r="F80" s="129">
        <f t="shared" si="6"/>
        <v>161</v>
      </c>
      <c r="G80" s="131">
        <v>209</v>
      </c>
      <c r="H80" s="130"/>
      <c r="I80" s="132">
        <f t="shared" si="7"/>
        <v>254</v>
      </c>
      <c r="J80" s="133"/>
      <c r="K80" s="134"/>
    </row>
    <row r="81" spans="1:14" x14ac:dyDescent="0.2">
      <c r="A81" s="79" t="s">
        <v>200</v>
      </c>
      <c r="C81" s="128">
        <v>112.0847</v>
      </c>
      <c r="D81" s="129">
        <f t="shared" si="5"/>
        <v>157.0847</v>
      </c>
      <c r="E81" s="130">
        <v>128</v>
      </c>
      <c r="F81" s="129">
        <f t="shared" si="6"/>
        <v>173</v>
      </c>
      <c r="G81" s="131">
        <v>216</v>
      </c>
      <c r="H81" s="130"/>
      <c r="I81" s="132">
        <f t="shared" si="7"/>
        <v>261</v>
      </c>
      <c r="J81" s="133"/>
      <c r="K81" s="134"/>
    </row>
    <row r="82" spans="1:14" x14ac:dyDescent="0.2">
      <c r="A82" s="79" t="s">
        <v>201</v>
      </c>
      <c r="C82" s="128">
        <v>114.54809999999999</v>
      </c>
      <c r="D82" s="129">
        <f t="shared" si="5"/>
        <v>159.54809999999998</v>
      </c>
      <c r="E82" s="130">
        <v>132</v>
      </c>
      <c r="F82" s="129">
        <f t="shared" si="6"/>
        <v>177</v>
      </c>
      <c r="G82" s="131">
        <v>222</v>
      </c>
      <c r="H82" s="130"/>
      <c r="I82" s="132">
        <f t="shared" si="7"/>
        <v>267</v>
      </c>
      <c r="J82" s="133"/>
      <c r="K82" s="134"/>
      <c r="N82">
        <f>583*0.465</f>
        <v>271.09500000000003</v>
      </c>
    </row>
    <row r="83" spans="1:14" x14ac:dyDescent="0.2">
      <c r="A83" s="79" t="s">
        <v>202</v>
      </c>
      <c r="C83" s="128">
        <v>128.0968</v>
      </c>
      <c r="D83" s="129">
        <f t="shared" si="5"/>
        <v>173.0968</v>
      </c>
      <c r="E83" s="130">
        <v>144.10890000000001</v>
      </c>
      <c r="F83" s="129">
        <f t="shared" si="6"/>
        <v>189.10890000000001</v>
      </c>
      <c r="G83" s="131">
        <v>230</v>
      </c>
      <c r="H83" s="130"/>
      <c r="I83" s="132">
        <f t="shared" si="7"/>
        <v>275</v>
      </c>
      <c r="J83" s="133"/>
      <c r="K83" s="134"/>
      <c r="L83">
        <f>112+12+26+7</f>
        <v>157</v>
      </c>
    </row>
    <row r="84" spans="1:14" x14ac:dyDescent="0.2">
      <c r="A84" s="79" t="s">
        <v>203</v>
      </c>
      <c r="B84" s="87">
        <f>(189250/50)*2</f>
        <v>7570</v>
      </c>
      <c r="C84" s="128">
        <v>133.02360000000002</v>
      </c>
      <c r="D84" s="129">
        <f t="shared" si="5"/>
        <v>178.02360000000002</v>
      </c>
      <c r="E84" s="130">
        <v>150.26740000000001</v>
      </c>
      <c r="F84" s="129">
        <f t="shared" si="6"/>
        <v>195.26740000000001</v>
      </c>
      <c r="G84" s="131">
        <v>235</v>
      </c>
      <c r="H84" s="130"/>
      <c r="I84" s="132">
        <f t="shared" si="7"/>
        <v>280</v>
      </c>
      <c r="J84" s="133"/>
      <c r="K84" s="134"/>
    </row>
    <row r="85" spans="1:14" x14ac:dyDescent="0.2">
      <c r="A85" s="79" t="s">
        <v>204</v>
      </c>
      <c r="C85" s="128">
        <v>144.10890000000001</v>
      </c>
      <c r="D85" s="129">
        <f t="shared" si="5"/>
        <v>189.10890000000001</v>
      </c>
      <c r="E85" s="130">
        <v>160.12100000000001</v>
      </c>
      <c r="F85" s="129">
        <f t="shared" si="6"/>
        <v>205.12100000000001</v>
      </c>
      <c r="G85" s="131">
        <v>275</v>
      </c>
      <c r="H85" s="130"/>
      <c r="I85" s="132">
        <f t="shared" si="7"/>
        <v>320</v>
      </c>
      <c r="J85" s="133"/>
      <c r="K85" s="134"/>
    </row>
    <row r="86" spans="1:14" x14ac:dyDescent="0.2">
      <c r="A86" s="79" t="s">
        <v>205</v>
      </c>
      <c r="C86" s="128">
        <v>150</v>
      </c>
      <c r="D86" s="129">
        <f t="shared" si="5"/>
        <v>195</v>
      </c>
      <c r="E86" s="130">
        <v>166.27949999999998</v>
      </c>
      <c r="F86" s="129">
        <f t="shared" si="6"/>
        <v>211.27949999999998</v>
      </c>
      <c r="G86" s="131">
        <v>282</v>
      </c>
      <c r="H86" s="130"/>
      <c r="I86" s="132">
        <f t="shared" si="7"/>
        <v>327</v>
      </c>
      <c r="J86" s="133"/>
      <c r="K86" s="134"/>
      <c r="M86">
        <f>140+'PIONEER $'!E18</f>
        <v>967</v>
      </c>
    </row>
    <row r="87" spans="1:14" x14ac:dyDescent="0.2">
      <c r="A87" s="79" t="s">
        <v>206</v>
      </c>
      <c r="C87" s="128">
        <v>110.85299999999999</v>
      </c>
      <c r="D87" s="129">
        <f t="shared" si="5"/>
        <v>155.85300000000001</v>
      </c>
      <c r="E87" s="130">
        <v>128.0968</v>
      </c>
      <c r="F87" s="129">
        <f t="shared" si="6"/>
        <v>173.0968</v>
      </c>
      <c r="G87" s="131">
        <v>208</v>
      </c>
      <c r="H87" s="130"/>
      <c r="I87" s="132">
        <f t="shared" si="7"/>
        <v>253</v>
      </c>
      <c r="J87" s="133"/>
      <c r="K87" s="134"/>
    </row>
    <row r="88" spans="1:14" x14ac:dyDescent="0.2">
      <c r="A88" s="79" t="s">
        <v>207</v>
      </c>
      <c r="C88" s="128">
        <v>110.85299999999999</v>
      </c>
      <c r="D88" s="129">
        <f t="shared" si="5"/>
        <v>155.85300000000001</v>
      </c>
      <c r="E88" s="130">
        <v>128.0968</v>
      </c>
      <c r="F88" s="129">
        <f t="shared" si="6"/>
        <v>173.0968</v>
      </c>
      <c r="G88" s="131">
        <v>208</v>
      </c>
      <c r="H88" s="130"/>
      <c r="I88" s="132">
        <f t="shared" si="7"/>
        <v>253</v>
      </c>
      <c r="J88" s="133"/>
      <c r="K88" s="134"/>
    </row>
    <row r="89" spans="1:14" x14ac:dyDescent="0.2">
      <c r="A89" s="79" t="s">
        <v>208</v>
      </c>
      <c r="C89" s="128">
        <v>112.0847</v>
      </c>
      <c r="D89" s="129">
        <f t="shared" si="5"/>
        <v>157.0847</v>
      </c>
      <c r="E89" s="130">
        <v>131.7919</v>
      </c>
      <c r="F89" s="129">
        <f t="shared" si="6"/>
        <v>176.7919</v>
      </c>
      <c r="G89" s="131">
        <v>212</v>
      </c>
      <c r="H89" s="130"/>
      <c r="I89" s="132">
        <f t="shared" si="7"/>
        <v>257</v>
      </c>
      <c r="J89" s="133"/>
      <c r="K89" s="134"/>
      <c r="L89" s="136">
        <f>0.75*112</f>
        <v>84</v>
      </c>
      <c r="M89">
        <f>112+26+12+7</f>
        <v>157</v>
      </c>
    </row>
    <row r="90" spans="1:14" x14ac:dyDescent="0.2">
      <c r="A90" s="79" t="s">
        <v>209</v>
      </c>
      <c r="C90" s="128">
        <v>128.0968</v>
      </c>
      <c r="D90" s="129">
        <f t="shared" si="5"/>
        <v>173.0968</v>
      </c>
      <c r="E90" s="130">
        <v>149</v>
      </c>
      <c r="F90" s="129">
        <f t="shared" si="6"/>
        <v>194</v>
      </c>
      <c r="G90" s="131">
        <v>235</v>
      </c>
      <c r="H90" s="130"/>
      <c r="I90" s="132">
        <f t="shared" si="7"/>
        <v>280</v>
      </c>
      <c r="J90" s="133"/>
      <c r="K90" s="134"/>
      <c r="L90" s="93"/>
      <c r="M90" s="94"/>
    </row>
    <row r="91" spans="1:14" x14ac:dyDescent="0.2">
      <c r="A91" s="79" t="s">
        <v>210</v>
      </c>
      <c r="C91" s="128">
        <v>131.7919</v>
      </c>
      <c r="D91" s="129">
        <f t="shared" si="5"/>
        <v>176.7919</v>
      </c>
      <c r="E91" s="130">
        <v>152.73079999999999</v>
      </c>
      <c r="F91" s="129">
        <f t="shared" si="6"/>
        <v>197.73079999999999</v>
      </c>
      <c r="G91" s="131">
        <v>248</v>
      </c>
      <c r="H91" s="130"/>
      <c r="I91" s="132">
        <f t="shared" si="7"/>
        <v>293</v>
      </c>
      <c r="J91" s="133"/>
      <c r="K91" s="134"/>
      <c r="L91" s="137"/>
    </row>
    <row r="92" spans="1:14" x14ac:dyDescent="0.2">
      <c r="A92" s="79" t="s">
        <v>211</v>
      </c>
      <c r="C92" s="128">
        <v>117.0115</v>
      </c>
      <c r="D92" s="129">
        <f t="shared" si="5"/>
        <v>162.01150000000001</v>
      </c>
      <c r="E92" s="130">
        <v>133.02360000000002</v>
      </c>
      <c r="F92" s="129">
        <f t="shared" si="6"/>
        <v>178.02360000000002</v>
      </c>
      <c r="G92" s="131">
        <v>221</v>
      </c>
      <c r="H92" s="130"/>
      <c r="I92" s="132">
        <f t="shared" si="7"/>
        <v>266</v>
      </c>
      <c r="J92" s="133"/>
      <c r="K92" s="134"/>
    </row>
    <row r="93" spans="1:14" x14ac:dyDescent="0.2">
      <c r="A93" s="79" t="s">
        <v>212</v>
      </c>
      <c r="C93" s="128">
        <v>117.0115</v>
      </c>
      <c r="D93" s="129">
        <f t="shared" si="5"/>
        <v>162.01150000000001</v>
      </c>
      <c r="E93" s="130">
        <v>133.02360000000002</v>
      </c>
      <c r="F93" s="129">
        <f t="shared" si="6"/>
        <v>178.02360000000002</v>
      </c>
      <c r="G93" s="131">
        <v>221</v>
      </c>
      <c r="H93" s="130"/>
      <c r="I93" s="132">
        <f t="shared" si="7"/>
        <v>266</v>
      </c>
      <c r="J93" s="133"/>
      <c r="K93" s="134"/>
    </row>
    <row r="94" spans="1:14" x14ac:dyDescent="0.2">
      <c r="A94" s="79" t="s">
        <v>213</v>
      </c>
      <c r="C94" s="128">
        <v>118.2432</v>
      </c>
      <c r="D94" s="129">
        <f t="shared" si="5"/>
        <v>163.2432</v>
      </c>
      <c r="E94" s="130">
        <v>136.71869999999998</v>
      </c>
      <c r="F94" s="129">
        <f t="shared" si="6"/>
        <v>181.71869999999998</v>
      </c>
      <c r="G94" s="131">
        <v>225</v>
      </c>
      <c r="H94" s="130"/>
      <c r="I94" s="132">
        <f t="shared" si="7"/>
        <v>270</v>
      </c>
      <c r="J94" s="133"/>
      <c r="K94" s="134"/>
    </row>
    <row r="95" spans="1:14" x14ac:dyDescent="0.2">
      <c r="A95" s="79" t="s">
        <v>214</v>
      </c>
      <c r="C95" s="128">
        <v>134.25529999999998</v>
      </c>
      <c r="D95" s="129">
        <f t="shared" si="5"/>
        <v>179.25529999999998</v>
      </c>
      <c r="E95" s="130">
        <v>153.96249999999998</v>
      </c>
      <c r="F95" s="129">
        <f t="shared" si="6"/>
        <v>198.96249999999998</v>
      </c>
      <c r="G95" s="131">
        <v>248</v>
      </c>
      <c r="H95" s="130"/>
      <c r="I95" s="132">
        <f t="shared" si="7"/>
        <v>293</v>
      </c>
      <c r="J95" s="133"/>
      <c r="K95" s="134"/>
    </row>
    <row r="96" spans="1:14" x14ac:dyDescent="0.2">
      <c r="A96" s="79" t="s">
        <v>215</v>
      </c>
      <c r="C96" s="128">
        <v>136.71869999999998</v>
      </c>
      <c r="D96" s="129">
        <f t="shared" si="5"/>
        <v>181.71869999999998</v>
      </c>
      <c r="E96" s="130">
        <v>157.6576</v>
      </c>
      <c r="F96" s="129">
        <f t="shared" si="6"/>
        <v>202.6576</v>
      </c>
      <c r="G96" s="131">
        <v>261</v>
      </c>
      <c r="H96" s="130"/>
      <c r="I96" s="132">
        <f t="shared" si="7"/>
        <v>306</v>
      </c>
      <c r="J96" s="133"/>
      <c r="K96" s="134"/>
    </row>
    <row r="97" spans="1:11" x14ac:dyDescent="0.2">
      <c r="A97" s="79" t="s">
        <v>216</v>
      </c>
      <c r="C97" s="128">
        <v>144.10890000000001</v>
      </c>
      <c r="D97" s="129">
        <f t="shared" si="5"/>
        <v>189.10890000000001</v>
      </c>
      <c r="E97" s="130">
        <v>165</v>
      </c>
      <c r="F97" s="129">
        <f t="shared" si="6"/>
        <v>210</v>
      </c>
      <c r="G97" s="131">
        <v>270</v>
      </c>
      <c r="H97" s="130"/>
      <c r="I97" s="132">
        <f t="shared" si="7"/>
        <v>315</v>
      </c>
      <c r="J97" s="133"/>
      <c r="K97" s="134"/>
    </row>
    <row r="98" spans="1:11" x14ac:dyDescent="0.2">
      <c r="A98" s="79" t="s">
        <v>217</v>
      </c>
      <c r="C98" s="128">
        <v>153.96249999999998</v>
      </c>
      <c r="D98" s="129">
        <f t="shared" si="5"/>
        <v>198.96249999999998</v>
      </c>
      <c r="E98" s="130">
        <v>170</v>
      </c>
      <c r="F98" s="129">
        <f t="shared" si="6"/>
        <v>215</v>
      </c>
      <c r="G98" s="131">
        <v>280</v>
      </c>
      <c r="H98" s="130"/>
      <c r="I98" s="132">
        <f t="shared" si="7"/>
        <v>325</v>
      </c>
      <c r="J98" s="133"/>
      <c r="K98" s="134"/>
    </row>
    <row r="99" spans="1:11" x14ac:dyDescent="0.2">
      <c r="A99" s="79" t="s">
        <v>218</v>
      </c>
      <c r="C99" s="128">
        <v>161.3527</v>
      </c>
      <c r="D99" s="129">
        <f t="shared" si="5"/>
        <v>206.3527</v>
      </c>
      <c r="E99" s="130">
        <v>184.755</v>
      </c>
      <c r="F99" s="129">
        <f t="shared" si="6"/>
        <v>229.755</v>
      </c>
      <c r="G99" s="131">
        <v>290</v>
      </c>
      <c r="H99" s="130"/>
      <c r="I99" s="132">
        <f t="shared" si="7"/>
        <v>335</v>
      </c>
      <c r="J99" s="133"/>
      <c r="K99" s="134"/>
    </row>
    <row r="100" spans="1:11" ht="13.2" thickBot="1" x14ac:dyDescent="0.25">
      <c r="A100" s="79" t="s">
        <v>219</v>
      </c>
      <c r="C100" s="128">
        <v>172.43800000000002</v>
      </c>
      <c r="D100" s="138">
        <f t="shared" si="5"/>
        <v>217.43800000000002</v>
      </c>
      <c r="E100" s="130">
        <v>197.07199999999997</v>
      </c>
      <c r="F100" s="138">
        <f t="shared" si="6"/>
        <v>242.07199999999997</v>
      </c>
      <c r="G100" s="139">
        <v>302</v>
      </c>
      <c r="H100" s="140"/>
      <c r="I100" s="141">
        <v>12</v>
      </c>
      <c r="J100" s="133"/>
      <c r="K100" s="134"/>
    </row>
    <row r="101" spans="1:11" x14ac:dyDescent="0.2">
      <c r="C101" s="88"/>
      <c r="D101" s="88"/>
      <c r="E101" s="88"/>
      <c r="F101" s="88"/>
      <c r="G101" s="88"/>
      <c r="I101" s="79"/>
      <c r="J101" s="90"/>
    </row>
    <row r="102" spans="1:11" ht="14.4" x14ac:dyDescent="0.3">
      <c r="C102" s="88"/>
      <c r="D102" s="143">
        <f>12+26+7</f>
        <v>45</v>
      </c>
      <c r="E102" s="99" t="s">
        <v>185</v>
      </c>
      <c r="H102" s="79"/>
      <c r="I102" s="90"/>
    </row>
    <row r="103" spans="1:11" ht="14.4" x14ac:dyDescent="0.3">
      <c r="A103" s="82" t="s">
        <v>220</v>
      </c>
    </row>
    <row r="104" spans="1:11" x14ac:dyDescent="0.2">
      <c r="A104" s="79" t="s">
        <v>133</v>
      </c>
      <c r="B104" s="88" t="s">
        <v>134</v>
      </c>
      <c r="E104" s="106"/>
    </row>
    <row r="105" spans="1:11" x14ac:dyDescent="0.2">
      <c r="A105" s="79" t="s">
        <v>2959</v>
      </c>
      <c r="B105" s="88">
        <v>36</v>
      </c>
      <c r="E105" s="106"/>
    </row>
    <row r="106" spans="1:11" ht="14.4" x14ac:dyDescent="0.3">
      <c r="A106" s="144" t="s">
        <v>221</v>
      </c>
      <c r="B106" s="145">
        <v>12.316999999999998</v>
      </c>
    </row>
    <row r="107" spans="1:11" ht="14.4" x14ac:dyDescent="0.3">
      <c r="A107" s="146" t="s">
        <v>222</v>
      </c>
      <c r="B107" s="147"/>
      <c r="C107" s="148" t="s">
        <v>223</v>
      </c>
      <c r="D107" s="149"/>
      <c r="E107" s="150"/>
      <c r="F107" s="150"/>
      <c r="G107" s="150"/>
      <c r="H107" s="150"/>
      <c r="I107" s="150"/>
      <c r="J107" s="150"/>
      <c r="K107" s="150"/>
    </row>
    <row r="108" spans="1:11" x14ac:dyDescent="0.2">
      <c r="A108" s="79" t="s">
        <v>224</v>
      </c>
      <c r="B108" s="88">
        <v>3</v>
      </c>
      <c r="H108" t="s">
        <v>120</v>
      </c>
    </row>
    <row r="109" spans="1:11" x14ac:dyDescent="0.2">
      <c r="A109" s="79" t="s">
        <v>225</v>
      </c>
      <c r="B109" s="88" t="s">
        <v>134</v>
      </c>
      <c r="K109">
        <f>96+12+7+26</f>
        <v>141</v>
      </c>
    </row>
    <row r="110" spans="1:11" x14ac:dyDescent="0.2">
      <c r="A110" s="79" t="s">
        <v>226</v>
      </c>
      <c r="B110" s="88" t="s">
        <v>134</v>
      </c>
    </row>
    <row r="111" spans="1:11" s="154" customFormat="1" x14ac:dyDescent="0.2">
      <c r="A111" s="115" t="s">
        <v>227</v>
      </c>
      <c r="B111" s="88">
        <v>13.548699999999998</v>
      </c>
      <c r="C111" s="151"/>
      <c r="D111" s="152"/>
      <c r="E111" s="153"/>
    </row>
    <row r="112" spans="1:11" x14ac:dyDescent="0.2">
      <c r="A112" t="s">
        <v>177</v>
      </c>
      <c r="B112" t="s">
        <v>178</v>
      </c>
      <c r="C112"/>
      <c r="D112">
        <f>146*0.58</f>
        <v>84.679999999999993</v>
      </c>
      <c r="E112">
        <f>+D112+146</f>
        <v>230.68</v>
      </c>
      <c r="F112">
        <f>+E112*1.5</f>
        <v>346.02</v>
      </c>
    </row>
    <row r="113" spans="1:14" x14ac:dyDescent="0.2">
      <c r="A113" s="79" t="s">
        <v>228</v>
      </c>
      <c r="B113" s="111">
        <v>7</v>
      </c>
      <c r="C113" t="s">
        <v>229</v>
      </c>
      <c r="D113"/>
    </row>
    <row r="114" spans="1:14" x14ac:dyDescent="0.2">
      <c r="A114" t="s">
        <v>179</v>
      </c>
      <c r="B114" s="111">
        <v>25</v>
      </c>
      <c r="C114"/>
      <c r="D114"/>
    </row>
    <row r="115" spans="1:14" x14ac:dyDescent="0.2">
      <c r="A115" t="s">
        <v>180</v>
      </c>
      <c r="B115" s="111">
        <v>38</v>
      </c>
      <c r="C115"/>
      <c r="D115"/>
      <c r="N115">
        <f>96+12+26+7</f>
        <v>141</v>
      </c>
    </row>
    <row r="116" spans="1:14" x14ac:dyDescent="0.2">
      <c r="A116" t="s">
        <v>181</v>
      </c>
      <c r="B116" s="111">
        <v>34</v>
      </c>
      <c r="C116"/>
      <c r="D116"/>
      <c r="F116">
        <f>613166/1550693</f>
        <v>0.39541417933788314</v>
      </c>
      <c r="L116">
        <f>149+26+12</f>
        <v>187</v>
      </c>
    </row>
    <row r="117" spans="1:14" x14ac:dyDescent="0.2">
      <c r="A117" t="s">
        <v>182</v>
      </c>
      <c r="B117" s="111">
        <v>31</v>
      </c>
      <c r="C117"/>
      <c r="D117"/>
    </row>
    <row r="118" spans="1:14" x14ac:dyDescent="0.2">
      <c r="A118" s="155" t="s">
        <v>183</v>
      </c>
      <c r="B118" t="s">
        <v>184</v>
      </c>
      <c r="C118"/>
      <c r="D118"/>
    </row>
    <row r="119" spans="1:14" s="154" customFormat="1" ht="39.75" customHeight="1" x14ac:dyDescent="0.2">
      <c r="A119" s="115" t="s">
        <v>230</v>
      </c>
      <c r="B119" s="130">
        <v>18.4755</v>
      </c>
      <c r="C119" s="88"/>
      <c r="D119" s="101" t="s">
        <v>231</v>
      </c>
    </row>
    <row r="120" spans="1:14" s="161" customFormat="1" ht="21.75" customHeight="1" x14ac:dyDescent="0.2">
      <c r="A120" s="156" t="s">
        <v>232</v>
      </c>
      <c r="B120" s="157">
        <v>25.865699999999997</v>
      </c>
      <c r="C120" s="158"/>
      <c r="D120" s="159" t="s">
        <v>233</v>
      </c>
      <c r="E120" s="160"/>
      <c r="F120" s="160" t="s">
        <v>234</v>
      </c>
      <c r="G120" s="160"/>
    </row>
    <row r="121" spans="1:14" x14ac:dyDescent="0.2">
      <c r="A121" s="79" t="s">
        <v>235</v>
      </c>
      <c r="B121" s="130">
        <v>43.109500000000004</v>
      </c>
      <c r="C121" s="88"/>
      <c r="D121" s="101" t="s">
        <v>236</v>
      </c>
    </row>
    <row r="122" spans="1:14" x14ac:dyDescent="0.2">
      <c r="A122" s="79" t="s">
        <v>237</v>
      </c>
      <c r="B122" s="130">
        <v>29.5608</v>
      </c>
      <c r="D122" s="101" t="s">
        <v>238</v>
      </c>
    </row>
    <row r="123" spans="1:14" ht="14.4" x14ac:dyDescent="0.3">
      <c r="A123" s="79" t="s">
        <v>149</v>
      </c>
      <c r="B123" s="162">
        <v>23</v>
      </c>
      <c r="D123" s="101" t="s">
        <v>239</v>
      </c>
    </row>
    <row r="124" spans="1:14" ht="14.4" x14ac:dyDescent="0.3">
      <c r="A124" s="79" t="s">
        <v>150</v>
      </c>
      <c r="B124" s="162">
        <v>15</v>
      </c>
    </row>
    <row r="125" spans="1:14" ht="14.4" x14ac:dyDescent="0.3">
      <c r="A125" s="163" t="s">
        <v>240</v>
      </c>
      <c r="B125" s="162">
        <v>6</v>
      </c>
    </row>
    <row r="126" spans="1:14" x14ac:dyDescent="0.2">
      <c r="A126" s="79" t="s">
        <v>151</v>
      </c>
      <c r="B126" s="130">
        <v>35.719299999999997</v>
      </c>
      <c r="E126" s="106"/>
    </row>
    <row r="127" spans="1:14" x14ac:dyDescent="0.2">
      <c r="A127" s="79" t="s">
        <v>2725</v>
      </c>
      <c r="B127" s="130">
        <v>0</v>
      </c>
      <c r="E127" s="106"/>
    </row>
    <row r="128" spans="1:14" x14ac:dyDescent="0.2">
      <c r="A128" s="79" t="s">
        <v>136</v>
      </c>
      <c r="B128" s="130">
        <v>20.9389</v>
      </c>
      <c r="D128" s="101">
        <f>318*0.58</f>
        <v>184.44</v>
      </c>
      <c r="E128">
        <f>112+12+26+15</f>
        <v>165</v>
      </c>
      <c r="N128">
        <v>350</v>
      </c>
    </row>
    <row r="129" spans="1:17" x14ac:dyDescent="0.2">
      <c r="A129" s="79" t="s">
        <v>241</v>
      </c>
      <c r="B129" s="130">
        <v>34.4876</v>
      </c>
      <c r="D129" s="101">
        <f>+D128+146</f>
        <v>330.44</v>
      </c>
      <c r="E129" s="97"/>
      <c r="J129">
        <f>128+12+7+26</f>
        <v>173</v>
      </c>
      <c r="N129">
        <f>+N128-M128</f>
        <v>350</v>
      </c>
    </row>
    <row r="130" spans="1:17" x14ac:dyDescent="0.2">
      <c r="A130" s="79" t="s">
        <v>242</v>
      </c>
      <c r="B130" s="130">
        <v>14.7804</v>
      </c>
      <c r="E130" s="106"/>
      <c r="N130">
        <f>+N129/N128</f>
        <v>1</v>
      </c>
    </row>
    <row r="131" spans="1:17" ht="14.4" x14ac:dyDescent="0.3">
      <c r="A131" s="116" t="s">
        <v>243</v>
      </c>
      <c r="B131" s="164">
        <v>7.3902000000000001</v>
      </c>
      <c r="E131" s="106"/>
    </row>
    <row r="132" spans="1:17" x14ac:dyDescent="0.2">
      <c r="A132" s="79" t="s">
        <v>244</v>
      </c>
      <c r="B132" s="130">
        <v>36.951000000000001</v>
      </c>
      <c r="C132" s="165">
        <v>17</v>
      </c>
      <c r="D132" s="87" t="s">
        <v>245</v>
      </c>
      <c r="E132" s="79"/>
      <c r="F132" s="90"/>
      <c r="G132" s="90"/>
    </row>
    <row r="133" spans="1:17" ht="27.75" customHeight="1" x14ac:dyDescent="0.2">
      <c r="A133" s="115" t="s">
        <v>246</v>
      </c>
      <c r="B133" s="130">
        <v>2.4634</v>
      </c>
      <c r="E133" s="79"/>
      <c r="F133" s="90"/>
      <c r="G133" s="90"/>
    </row>
    <row r="134" spans="1:17" x14ac:dyDescent="0.2">
      <c r="A134" s="115" t="s">
        <v>247</v>
      </c>
      <c r="B134" s="130">
        <v>125</v>
      </c>
      <c r="G134">
        <f>112+12+26+7</f>
        <v>157</v>
      </c>
      <c r="K134">
        <f>2/5</f>
        <v>0.4</v>
      </c>
    </row>
    <row r="135" spans="1:17" x14ac:dyDescent="0.2">
      <c r="A135" s="79" t="s">
        <v>248</v>
      </c>
      <c r="B135" s="130">
        <v>7.3902000000000001</v>
      </c>
      <c r="D135" s="101">
        <f>128+26+12+7</f>
        <v>173</v>
      </c>
    </row>
    <row r="136" spans="1:17" x14ac:dyDescent="0.2">
      <c r="A136" s="79" t="s">
        <v>249</v>
      </c>
      <c r="B136" s="130">
        <v>11.0853</v>
      </c>
      <c r="K136">
        <f>4/9</f>
        <v>0.44444444444444442</v>
      </c>
      <c r="O136" t="s">
        <v>250</v>
      </c>
      <c r="P136">
        <v>33</v>
      </c>
    </row>
    <row r="137" spans="1:17" x14ac:dyDescent="0.2">
      <c r="A137" s="79" t="s">
        <v>251</v>
      </c>
      <c r="B137" s="130">
        <v>17.2438</v>
      </c>
      <c r="O137" t="s">
        <v>252</v>
      </c>
      <c r="P137">
        <v>7</v>
      </c>
    </row>
    <row r="138" spans="1:17" x14ac:dyDescent="0.2">
      <c r="B138" s="130"/>
      <c r="O138" t="s">
        <v>253</v>
      </c>
      <c r="P138">
        <v>195</v>
      </c>
    </row>
    <row r="139" spans="1:17" x14ac:dyDescent="0.2">
      <c r="A139" s="115" t="s">
        <v>254</v>
      </c>
      <c r="B139" s="130">
        <v>125.35000000000001</v>
      </c>
      <c r="D139" s="152"/>
      <c r="E139" s="90"/>
    </row>
    <row r="140" spans="1:17" x14ac:dyDescent="0.2">
      <c r="B140" s="80"/>
      <c r="O140" s="79" t="s">
        <v>255</v>
      </c>
      <c r="P140" t="s">
        <v>256</v>
      </c>
      <c r="Q140">
        <f>7/33*195</f>
        <v>41.363636363636367</v>
      </c>
    </row>
    <row r="141" spans="1:17" x14ac:dyDescent="0.2">
      <c r="A141" s="115" t="s">
        <v>257</v>
      </c>
      <c r="B141" s="80"/>
      <c r="C141" s="88">
        <v>208.15729999999999</v>
      </c>
      <c r="D141" s="88">
        <v>246.34</v>
      </c>
    </row>
    <row r="142" spans="1:17" x14ac:dyDescent="0.2">
      <c r="A142" s="115" t="s">
        <v>258</v>
      </c>
      <c r="B142" s="80"/>
      <c r="C142" s="88">
        <v>248.80339999999998</v>
      </c>
      <c r="D142" s="88">
        <v>293.14459999999997</v>
      </c>
    </row>
    <row r="143" spans="1:17" x14ac:dyDescent="0.2">
      <c r="A143" s="115" t="s">
        <v>259</v>
      </c>
      <c r="B143" s="80"/>
      <c r="C143" s="88">
        <v>211.85239999999999</v>
      </c>
      <c r="D143" s="88">
        <v>251.26679999999999</v>
      </c>
      <c r="O143" t="s">
        <v>260</v>
      </c>
    </row>
    <row r="144" spans="1:17" x14ac:dyDescent="0.2">
      <c r="A144" s="115" t="s">
        <v>261</v>
      </c>
      <c r="B144" s="80"/>
      <c r="C144" s="88">
        <v>252.49850000000001</v>
      </c>
      <c r="D144" s="88">
        <v>298.07139999999998</v>
      </c>
    </row>
    <row r="145" spans="1:16" x14ac:dyDescent="0.2">
      <c r="A145" s="115" t="s">
        <v>262</v>
      </c>
      <c r="B145" s="80"/>
      <c r="C145" s="88">
        <v>343.64429999999999</v>
      </c>
      <c r="D145" s="88">
        <v>405.22929999999997</v>
      </c>
      <c r="P145">
        <f>9.5*20.01</f>
        <v>190.09500000000003</v>
      </c>
    </row>
    <row r="146" spans="1:16" x14ac:dyDescent="0.2">
      <c r="A146" s="115" t="s">
        <v>263</v>
      </c>
      <c r="B146" s="80"/>
      <c r="C146" s="88">
        <v>346.10769999999997</v>
      </c>
      <c r="D146" s="88">
        <v>410.15609999999998</v>
      </c>
    </row>
    <row r="147" spans="1:16" x14ac:dyDescent="0.2">
      <c r="A147" s="115" t="s">
        <v>264</v>
      </c>
      <c r="B147" s="80"/>
      <c r="C147" s="88">
        <v>431.09499999999997</v>
      </c>
      <c r="D147" s="88">
        <v>498.83850000000001</v>
      </c>
      <c r="P147">
        <f>9.5*20.016</f>
        <v>190.15199999999999</v>
      </c>
    </row>
    <row r="148" spans="1:16" x14ac:dyDescent="0.2">
      <c r="A148" s="115" t="s">
        <v>265</v>
      </c>
      <c r="B148" s="80"/>
      <c r="C148" s="88">
        <v>437.25350000000003</v>
      </c>
      <c r="D148" s="88">
        <v>504.99700000000001</v>
      </c>
    </row>
    <row r="151" spans="1:16" ht="15.75" customHeight="1" x14ac:dyDescent="0.3">
      <c r="A151" s="166" t="s">
        <v>266</v>
      </c>
    </row>
  </sheetData>
  <mergeCells count="2">
    <mergeCell ref="B1:H1"/>
    <mergeCell ref="K25:O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D34E-C1CD-4368-8E40-950A937AADC2}">
  <dimension ref="A1:J141"/>
  <sheetViews>
    <sheetView topLeftCell="A45" workbookViewId="0">
      <selection activeCell="E13" sqref="E13"/>
    </sheetView>
  </sheetViews>
  <sheetFormatPr defaultColWidth="7.7265625" defaultRowHeight="12.6" x14ac:dyDescent="0.2"/>
  <cols>
    <col min="1" max="1" width="13.7265625" style="155" customWidth="1"/>
    <col min="2" max="2" width="7.7265625" style="155"/>
    <col min="3" max="3" width="11.26953125" style="155" customWidth="1"/>
    <col min="4" max="4" width="7.7265625" style="155"/>
    <col min="5" max="5" width="11.90625" style="155" customWidth="1"/>
    <col min="6" max="6" width="11.6328125" style="155" customWidth="1"/>
    <col min="7" max="16384" width="7.7265625" style="155"/>
  </cols>
  <sheetData>
    <row r="1" spans="1:9" x14ac:dyDescent="0.2">
      <c r="A1" s="155" t="s">
        <v>267</v>
      </c>
    </row>
    <row r="2" spans="1:9" ht="14.4" x14ac:dyDescent="0.3">
      <c r="A2" s="155" t="s">
        <v>268</v>
      </c>
      <c r="F2" s="155" t="s">
        <v>269</v>
      </c>
      <c r="I2" s="167">
        <v>0.43</v>
      </c>
    </row>
    <row r="3" spans="1:9" x14ac:dyDescent="0.2">
      <c r="B3" s="155" t="s">
        <v>270</v>
      </c>
      <c r="F3" s="155" t="s">
        <v>271</v>
      </c>
    </row>
    <row r="4" spans="1:9" x14ac:dyDescent="0.2">
      <c r="A4" s="168" t="s">
        <v>272</v>
      </c>
      <c r="B4" s="168">
        <v>18</v>
      </c>
      <c r="C4" s="168">
        <v>16</v>
      </c>
      <c r="D4" s="168">
        <v>14</v>
      </c>
      <c r="E4" s="168"/>
      <c r="F4" s="168"/>
      <c r="G4" s="168"/>
      <c r="H4" s="168"/>
      <c r="I4" s="168"/>
    </row>
    <row r="6" spans="1:9" x14ac:dyDescent="0.2">
      <c r="A6" s="155">
        <v>2068</v>
      </c>
      <c r="B6" s="155">
        <v>524</v>
      </c>
      <c r="C6" s="155">
        <v>692</v>
      </c>
      <c r="D6" s="155">
        <v>986</v>
      </c>
    </row>
    <row r="7" spans="1:9" x14ac:dyDescent="0.2">
      <c r="A7" s="155">
        <v>2868</v>
      </c>
      <c r="B7" s="155">
        <v>537</v>
      </c>
      <c r="C7" s="155">
        <v>692</v>
      </c>
      <c r="D7" s="155">
        <v>986</v>
      </c>
    </row>
    <row r="8" spans="1:9" x14ac:dyDescent="0.2">
      <c r="A8" s="155">
        <v>3068</v>
      </c>
      <c r="B8" s="155">
        <v>557</v>
      </c>
      <c r="C8" s="155">
        <v>725</v>
      </c>
      <c r="D8" s="155">
        <v>1019</v>
      </c>
    </row>
    <row r="9" spans="1:9" x14ac:dyDescent="0.2">
      <c r="A9" s="155">
        <v>3668</v>
      </c>
      <c r="B9" s="155">
        <v>637</v>
      </c>
      <c r="C9" s="155">
        <v>805</v>
      </c>
      <c r="D9" s="155">
        <v>1099</v>
      </c>
    </row>
    <row r="10" spans="1:9" x14ac:dyDescent="0.2">
      <c r="A10" s="155">
        <v>4068</v>
      </c>
      <c r="B10" s="155">
        <v>751</v>
      </c>
      <c r="C10" s="155">
        <v>919</v>
      </c>
      <c r="D10" s="155">
        <v>1213</v>
      </c>
    </row>
    <row r="12" spans="1:9" x14ac:dyDescent="0.2">
      <c r="A12" s="155">
        <v>2070</v>
      </c>
      <c r="B12" s="155">
        <v>537</v>
      </c>
      <c r="C12" s="155">
        <v>705</v>
      </c>
      <c r="D12" s="155">
        <v>999</v>
      </c>
    </row>
    <row r="13" spans="1:9" x14ac:dyDescent="0.2">
      <c r="A13" s="155">
        <v>3070</v>
      </c>
      <c r="B13" s="155">
        <v>567</v>
      </c>
      <c r="C13" s="155">
        <v>735</v>
      </c>
      <c r="D13" s="155">
        <v>1029</v>
      </c>
    </row>
    <row r="14" spans="1:9" x14ac:dyDescent="0.2">
      <c r="A14" s="155">
        <v>3670</v>
      </c>
      <c r="B14" s="155">
        <v>674</v>
      </c>
      <c r="C14" s="155">
        <v>842</v>
      </c>
      <c r="D14" s="155">
        <v>1136</v>
      </c>
    </row>
    <row r="15" spans="1:9" x14ac:dyDescent="0.2">
      <c r="A15" s="155">
        <v>4070</v>
      </c>
      <c r="B15" s="155">
        <v>773</v>
      </c>
      <c r="C15" s="155">
        <v>947</v>
      </c>
      <c r="D15" s="155">
        <v>1235</v>
      </c>
    </row>
    <row r="17" spans="1:10" x14ac:dyDescent="0.2">
      <c r="A17" s="155">
        <v>2080</v>
      </c>
      <c r="B17" s="155">
        <v>628</v>
      </c>
      <c r="C17" s="155">
        <v>796</v>
      </c>
      <c r="D17" s="155">
        <v>1090</v>
      </c>
    </row>
    <row r="18" spans="1:10" x14ac:dyDescent="0.2">
      <c r="A18" s="155">
        <v>3080</v>
      </c>
      <c r="B18" s="155">
        <v>659</v>
      </c>
      <c r="C18" s="155">
        <v>827</v>
      </c>
      <c r="D18" s="155">
        <v>1121</v>
      </c>
      <c r="E18" s="155">
        <f>+C18</f>
        <v>827</v>
      </c>
    </row>
    <row r="19" spans="1:10" x14ac:dyDescent="0.2">
      <c r="A19" s="155">
        <v>3680</v>
      </c>
      <c r="B19" s="155">
        <v>765</v>
      </c>
      <c r="C19" s="155">
        <v>933</v>
      </c>
      <c r="D19" s="155">
        <v>1227</v>
      </c>
    </row>
    <row r="20" spans="1:10" x14ac:dyDescent="0.2">
      <c r="A20" s="155">
        <v>4080</v>
      </c>
      <c r="B20" s="155">
        <v>865</v>
      </c>
      <c r="C20" s="155">
        <v>1033</v>
      </c>
      <c r="D20" s="155">
        <v>1327</v>
      </c>
    </row>
    <row r="21" spans="1:10" x14ac:dyDescent="0.2">
      <c r="A21" s="155" t="s">
        <v>273</v>
      </c>
      <c r="C21" s="155">
        <v>500</v>
      </c>
      <c r="D21" s="169"/>
      <c r="E21" s="170"/>
    </row>
    <row r="22" spans="1:10" x14ac:dyDescent="0.2">
      <c r="D22" s="169"/>
      <c r="E22" s="170"/>
    </row>
    <row r="24" spans="1:10" ht="14.4" x14ac:dyDescent="0.3">
      <c r="A24" s="155" t="s">
        <v>275</v>
      </c>
      <c r="E24" s="167">
        <f>SUM(E6:E23)</f>
        <v>827</v>
      </c>
      <c r="F24" s="927">
        <f>+E24</f>
        <v>827</v>
      </c>
    </row>
    <row r="25" spans="1:10" x14ac:dyDescent="0.2">
      <c r="F25" s="170"/>
    </row>
    <row r="26" spans="1:10" x14ac:dyDescent="0.2">
      <c r="F26" s="170"/>
    </row>
    <row r="27" spans="1:10" x14ac:dyDescent="0.2">
      <c r="F27" s="170"/>
    </row>
    <row r="28" spans="1:10" ht="13.8" x14ac:dyDescent="0.2">
      <c r="A28" s="155" t="s">
        <v>276</v>
      </c>
      <c r="C28" s="169" t="s">
        <v>277</v>
      </c>
      <c r="D28" s="169">
        <v>53</v>
      </c>
      <c r="E28" s="169">
        <f>D28</f>
        <v>53</v>
      </c>
      <c r="F28" s="4005"/>
      <c r="J28" s="172" t="s">
        <v>278</v>
      </c>
    </row>
    <row r="29" spans="1:10" ht="13.8" x14ac:dyDescent="0.2">
      <c r="C29" s="169" t="s">
        <v>279</v>
      </c>
      <c r="D29" s="169">
        <v>53</v>
      </c>
      <c r="E29" s="169">
        <v>53</v>
      </c>
      <c r="F29" s="4005"/>
      <c r="J29" s="172" t="s">
        <v>280</v>
      </c>
    </row>
    <row r="30" spans="1:10" ht="13.8" x14ac:dyDescent="0.2">
      <c r="C30" s="169" t="s">
        <v>281</v>
      </c>
      <c r="D30" s="169">
        <v>231</v>
      </c>
      <c r="E30" s="169"/>
      <c r="F30" s="4005"/>
      <c r="J30" s="172" t="s">
        <v>282</v>
      </c>
    </row>
    <row r="31" spans="1:10" ht="13.8" x14ac:dyDescent="0.2">
      <c r="C31" s="169" t="s">
        <v>283</v>
      </c>
      <c r="D31" s="169">
        <v>600</v>
      </c>
      <c r="E31" s="169"/>
      <c r="F31" s="4005"/>
      <c r="J31" s="172" t="s">
        <v>284</v>
      </c>
    </row>
    <row r="32" spans="1:10" ht="13.8" x14ac:dyDescent="0.2">
      <c r="C32" s="169" t="s">
        <v>285</v>
      </c>
      <c r="D32" s="169">
        <v>47</v>
      </c>
      <c r="E32" s="169">
        <f>+D32</f>
        <v>47</v>
      </c>
      <c r="F32" s="4005"/>
      <c r="J32" s="172" t="s">
        <v>286</v>
      </c>
    </row>
    <row r="33" spans="3:10" ht="13.8" x14ac:dyDescent="0.2">
      <c r="C33" s="169" t="s">
        <v>24</v>
      </c>
      <c r="D33" s="169">
        <v>15</v>
      </c>
      <c r="E33" s="169">
        <f>+D33</f>
        <v>15</v>
      </c>
      <c r="F33" s="4005"/>
      <c r="J33" s="172" t="s">
        <v>287</v>
      </c>
    </row>
    <row r="34" spans="3:10" ht="13.8" x14ac:dyDescent="0.2">
      <c r="C34" s="169" t="s">
        <v>288</v>
      </c>
      <c r="D34" s="169">
        <v>73</v>
      </c>
      <c r="E34" s="169"/>
      <c r="F34" s="171"/>
      <c r="J34" s="172" t="s">
        <v>289</v>
      </c>
    </row>
    <row r="35" spans="3:10" x14ac:dyDescent="0.2">
      <c r="C35" s="155" t="s">
        <v>290</v>
      </c>
      <c r="D35" s="155">
        <v>55</v>
      </c>
      <c r="E35" s="169"/>
      <c r="F35" s="170"/>
    </row>
    <row r="36" spans="3:10" x14ac:dyDescent="0.2">
      <c r="C36" s="155" t="s">
        <v>291</v>
      </c>
      <c r="D36" s="155">
        <v>57</v>
      </c>
      <c r="E36" s="169"/>
      <c r="F36" s="170"/>
    </row>
    <row r="37" spans="3:10" x14ac:dyDescent="0.2">
      <c r="C37" s="155" t="s">
        <v>292</v>
      </c>
      <c r="E37" s="169"/>
      <c r="F37" s="170"/>
    </row>
    <row r="38" spans="3:10" x14ac:dyDescent="0.2">
      <c r="C38" s="155" t="s">
        <v>293</v>
      </c>
      <c r="D38" s="155">
        <v>45</v>
      </c>
      <c r="E38" s="169"/>
      <c r="F38" s="170"/>
    </row>
    <row r="39" spans="3:10" x14ac:dyDescent="0.2">
      <c r="C39" s="155" t="s">
        <v>294</v>
      </c>
      <c r="D39" s="155">
        <v>23</v>
      </c>
      <c r="E39" s="169"/>
      <c r="F39" s="170"/>
    </row>
    <row r="40" spans="3:10" x14ac:dyDescent="0.2">
      <c r="C40" s="155" t="s">
        <v>151</v>
      </c>
      <c r="D40" s="155">
        <v>86</v>
      </c>
      <c r="E40" s="169"/>
      <c r="F40" s="170"/>
    </row>
    <row r="41" spans="3:10" x14ac:dyDescent="0.2">
      <c r="C41" s="155" t="s">
        <v>295</v>
      </c>
      <c r="D41" s="155">
        <v>32</v>
      </c>
      <c r="E41" s="169"/>
      <c r="F41" s="170"/>
    </row>
    <row r="42" spans="3:10" x14ac:dyDescent="0.2">
      <c r="C42" s="155" t="s">
        <v>296</v>
      </c>
      <c r="D42" s="155">
        <v>55</v>
      </c>
      <c r="E42" s="169"/>
      <c r="F42" s="170"/>
    </row>
    <row r="43" spans="3:10" x14ac:dyDescent="0.2">
      <c r="C43" s="155" t="s">
        <v>297</v>
      </c>
      <c r="D43" s="155">
        <v>79</v>
      </c>
      <c r="E43" s="169">
        <f>+D43</f>
        <v>79</v>
      </c>
      <c r="F43" s="170"/>
    </row>
    <row r="44" spans="3:10" x14ac:dyDescent="0.2">
      <c r="C44" s="155" t="s">
        <v>141</v>
      </c>
      <c r="D44" s="155">
        <v>119</v>
      </c>
      <c r="E44" s="169"/>
      <c r="F44" s="170"/>
    </row>
    <row r="45" spans="3:10" x14ac:dyDescent="0.2">
      <c r="C45" s="155" t="s">
        <v>298</v>
      </c>
      <c r="D45" s="155">
        <v>79</v>
      </c>
      <c r="E45" s="169"/>
      <c r="F45" s="170"/>
    </row>
    <row r="47" spans="3:10" x14ac:dyDescent="0.2">
      <c r="C47" s="155" t="s">
        <v>299</v>
      </c>
      <c r="D47" s="155">
        <v>160</v>
      </c>
      <c r="E47" s="169"/>
      <c r="F47" s="170"/>
    </row>
    <row r="48" spans="3:10" x14ac:dyDescent="0.2">
      <c r="C48" s="155" t="s">
        <v>300</v>
      </c>
      <c r="D48" s="155">
        <v>77</v>
      </c>
      <c r="E48" s="169"/>
      <c r="F48" s="170"/>
    </row>
    <row r="50" spans="1:6" x14ac:dyDescent="0.2">
      <c r="C50" s="155" t="s">
        <v>301</v>
      </c>
      <c r="E50" s="173">
        <f>SUM(E28:E48)</f>
        <v>247</v>
      </c>
      <c r="F50" s="170"/>
    </row>
    <row r="51" spans="1:6" x14ac:dyDescent="0.2">
      <c r="E51" s="169"/>
      <c r="F51" s="170"/>
    </row>
    <row r="52" spans="1:6" x14ac:dyDescent="0.2">
      <c r="E52" s="169" t="s">
        <v>38</v>
      </c>
      <c r="F52" s="170" t="s">
        <v>37</v>
      </c>
    </row>
    <row r="53" spans="1:6" ht="13.2" thickBot="1" x14ac:dyDescent="0.25">
      <c r="C53" s="155" t="s">
        <v>302</v>
      </c>
      <c r="E53" s="174">
        <f>+E50+E24</f>
        <v>1074</v>
      </c>
      <c r="F53" s="175">
        <f>+E53*$I$2</f>
        <v>461.82</v>
      </c>
    </row>
    <row r="54" spans="1:6" ht="13.2" thickTop="1" x14ac:dyDescent="0.2">
      <c r="F54" s="170"/>
    </row>
    <row r="55" spans="1:6" s="176" customFormat="1" ht="13.2" thickBot="1" x14ac:dyDescent="0.25">
      <c r="E55" s="177"/>
    </row>
    <row r="56" spans="1:6" x14ac:dyDescent="0.2">
      <c r="A56" s="155" t="s">
        <v>25</v>
      </c>
      <c r="E56" s="169"/>
    </row>
    <row r="57" spans="1:6" x14ac:dyDescent="0.2">
      <c r="B57" s="155" t="s">
        <v>270</v>
      </c>
      <c r="F57" s="155" t="s">
        <v>271</v>
      </c>
    </row>
    <row r="58" spans="1:6" x14ac:dyDescent="0.2">
      <c r="A58" s="168" t="s">
        <v>303</v>
      </c>
      <c r="B58" s="168">
        <v>18</v>
      </c>
      <c r="C58" s="168">
        <v>16</v>
      </c>
      <c r="D58" s="168">
        <v>14</v>
      </c>
      <c r="E58" s="168"/>
      <c r="F58" s="168"/>
    </row>
    <row r="60" spans="1:6" x14ac:dyDescent="0.2">
      <c r="A60" s="155">
        <v>2068</v>
      </c>
      <c r="B60" s="155">
        <v>524</v>
      </c>
      <c r="C60" s="155">
        <v>692</v>
      </c>
      <c r="D60" s="155">
        <v>986</v>
      </c>
    </row>
    <row r="61" spans="1:6" x14ac:dyDescent="0.2">
      <c r="A61" s="155">
        <v>3068</v>
      </c>
      <c r="B61" s="155">
        <v>557</v>
      </c>
      <c r="C61" s="155">
        <v>725</v>
      </c>
      <c r="D61" s="155">
        <v>1019</v>
      </c>
    </row>
    <row r="62" spans="1:6" x14ac:dyDescent="0.2">
      <c r="A62" s="155">
        <v>3668</v>
      </c>
      <c r="B62" s="155">
        <v>637</v>
      </c>
      <c r="C62" s="155">
        <v>805</v>
      </c>
      <c r="D62" s="155">
        <v>1099</v>
      </c>
    </row>
    <row r="63" spans="1:6" x14ac:dyDescent="0.2">
      <c r="A63" s="155">
        <v>4068</v>
      </c>
      <c r="B63" s="155">
        <v>751</v>
      </c>
      <c r="C63" s="155">
        <v>919</v>
      </c>
      <c r="D63" s="155">
        <v>1213</v>
      </c>
    </row>
    <row r="65" spans="1:6" x14ac:dyDescent="0.2">
      <c r="A65" s="155">
        <v>2070</v>
      </c>
      <c r="B65" s="155">
        <v>537</v>
      </c>
      <c r="C65" s="155">
        <v>705</v>
      </c>
      <c r="D65" s="155">
        <v>999</v>
      </c>
    </row>
    <row r="66" spans="1:6" x14ac:dyDescent="0.2">
      <c r="A66" s="155">
        <v>3070</v>
      </c>
      <c r="B66" s="155">
        <v>567</v>
      </c>
      <c r="C66" s="155">
        <v>735</v>
      </c>
      <c r="D66" s="155">
        <v>1029</v>
      </c>
    </row>
    <row r="67" spans="1:6" x14ac:dyDescent="0.2">
      <c r="A67" s="155">
        <v>3670</v>
      </c>
      <c r="B67" s="155">
        <v>674</v>
      </c>
      <c r="C67" s="155">
        <v>842</v>
      </c>
      <c r="D67" s="155">
        <v>1136</v>
      </c>
    </row>
    <row r="68" spans="1:6" x14ac:dyDescent="0.2">
      <c r="A68" s="155">
        <v>4070</v>
      </c>
      <c r="B68" s="155">
        <v>773</v>
      </c>
      <c r="C68" s="155">
        <v>947</v>
      </c>
      <c r="D68" s="155">
        <v>1235</v>
      </c>
    </row>
    <row r="70" spans="1:6" x14ac:dyDescent="0.2">
      <c r="A70" s="155">
        <v>2080</v>
      </c>
      <c r="B70" s="155">
        <v>628</v>
      </c>
      <c r="C70" s="155">
        <v>796</v>
      </c>
      <c r="D70" s="155">
        <v>1090</v>
      </c>
    </row>
    <row r="71" spans="1:6" x14ac:dyDescent="0.2">
      <c r="A71" s="155">
        <v>3080</v>
      </c>
      <c r="B71" s="155">
        <v>659</v>
      </c>
      <c r="C71" s="155">
        <v>827</v>
      </c>
      <c r="D71" s="155">
        <v>1121</v>
      </c>
    </row>
    <row r="72" spans="1:6" x14ac:dyDescent="0.2">
      <c r="A72" s="155">
        <v>3680</v>
      </c>
      <c r="B72" s="155">
        <v>765</v>
      </c>
      <c r="C72" s="155">
        <v>933</v>
      </c>
      <c r="D72" s="155">
        <v>1227</v>
      </c>
    </row>
    <row r="73" spans="1:6" x14ac:dyDescent="0.2">
      <c r="A73" s="155">
        <v>4080</v>
      </c>
      <c r="B73" s="155">
        <v>865</v>
      </c>
      <c r="C73" s="155">
        <v>1033</v>
      </c>
      <c r="D73" s="155">
        <v>1327</v>
      </c>
    </row>
    <row r="74" spans="1:6" x14ac:dyDescent="0.2">
      <c r="A74" s="155" t="s">
        <v>273</v>
      </c>
      <c r="C74" s="155">
        <v>500</v>
      </c>
      <c r="D74" s="169"/>
      <c r="E74" s="170"/>
    </row>
    <row r="75" spans="1:6" x14ac:dyDescent="0.2">
      <c r="A75" s="155" t="s">
        <v>274</v>
      </c>
      <c r="C75" s="155">
        <v>32</v>
      </c>
      <c r="D75" s="169"/>
      <c r="E75" s="170"/>
    </row>
    <row r="76" spans="1:6" x14ac:dyDescent="0.2">
      <c r="D76" s="169"/>
    </row>
    <row r="77" spans="1:6" x14ac:dyDescent="0.2">
      <c r="A77" s="155" t="s">
        <v>304</v>
      </c>
      <c r="D77" s="169"/>
      <c r="E77" s="170">
        <f>SUM(E60:E75)</f>
        <v>0</v>
      </c>
    </row>
    <row r="79" spans="1:6" x14ac:dyDescent="0.2">
      <c r="A79" s="155" t="s">
        <v>305</v>
      </c>
      <c r="C79" s="169" t="s">
        <v>277</v>
      </c>
      <c r="D79" s="169">
        <v>53</v>
      </c>
      <c r="E79" s="169">
        <f>+D79</f>
        <v>53</v>
      </c>
      <c r="F79" s="4006"/>
    </row>
    <row r="80" spans="1:6" x14ac:dyDescent="0.2">
      <c r="C80" s="169" t="s">
        <v>279</v>
      </c>
      <c r="D80" s="169">
        <v>53</v>
      </c>
      <c r="E80" s="169">
        <f>+D80</f>
        <v>53</v>
      </c>
      <c r="F80" s="4006"/>
    </row>
    <row r="81" spans="3:6" x14ac:dyDescent="0.2">
      <c r="C81" s="169" t="s">
        <v>281</v>
      </c>
      <c r="D81" s="169">
        <v>231</v>
      </c>
      <c r="E81" s="169"/>
      <c r="F81" s="4006"/>
    </row>
    <row r="82" spans="3:6" x14ac:dyDescent="0.2">
      <c r="C82" s="169" t="s">
        <v>285</v>
      </c>
      <c r="D82" s="169">
        <v>47</v>
      </c>
      <c r="E82" s="169">
        <f>+D82</f>
        <v>47</v>
      </c>
      <c r="F82" s="4006"/>
    </row>
    <row r="83" spans="3:6" x14ac:dyDescent="0.2">
      <c r="C83" s="169" t="s">
        <v>24</v>
      </c>
      <c r="D83" s="169">
        <v>15</v>
      </c>
      <c r="E83" s="169">
        <f>+D83</f>
        <v>15</v>
      </c>
      <c r="F83" s="4006"/>
    </row>
    <row r="84" spans="3:6" x14ac:dyDescent="0.2">
      <c r="C84" s="155" t="s">
        <v>293</v>
      </c>
      <c r="D84" s="155">
        <v>45</v>
      </c>
      <c r="E84" s="169"/>
      <c r="F84" s="170"/>
    </row>
    <row r="85" spans="3:6" x14ac:dyDescent="0.2">
      <c r="C85" s="155" t="s">
        <v>294</v>
      </c>
      <c r="D85" s="155">
        <v>23</v>
      </c>
      <c r="E85" s="169"/>
      <c r="F85" s="170"/>
    </row>
    <row r="86" spans="3:6" x14ac:dyDescent="0.2">
      <c r="C86" s="155" t="s">
        <v>151</v>
      </c>
      <c r="D86" s="155">
        <v>86</v>
      </c>
      <c r="E86" s="169"/>
      <c r="F86" s="170"/>
    </row>
    <row r="87" spans="3:6" x14ac:dyDescent="0.2">
      <c r="C87" s="155" t="s">
        <v>306</v>
      </c>
      <c r="D87" s="155">
        <v>57</v>
      </c>
      <c r="E87" s="169"/>
      <c r="F87" s="170"/>
    </row>
    <row r="88" spans="3:6" x14ac:dyDescent="0.2">
      <c r="C88" s="155" t="s">
        <v>307</v>
      </c>
      <c r="D88" s="155">
        <v>32</v>
      </c>
      <c r="E88" s="169">
        <f>+D88</f>
        <v>32</v>
      </c>
    </row>
    <row r="89" spans="3:6" x14ac:dyDescent="0.2">
      <c r="C89" s="155" t="s">
        <v>308</v>
      </c>
      <c r="D89" s="155">
        <v>38</v>
      </c>
      <c r="E89" s="169">
        <f>+D89</f>
        <v>38</v>
      </c>
    </row>
    <row r="90" spans="3:6" x14ac:dyDescent="0.2">
      <c r="C90" s="155" t="s">
        <v>309</v>
      </c>
      <c r="D90" s="155">
        <v>74</v>
      </c>
      <c r="E90" s="169"/>
    </row>
    <row r="91" spans="3:6" x14ac:dyDescent="0.2">
      <c r="C91" s="155" t="s">
        <v>299</v>
      </c>
      <c r="D91" s="155">
        <v>160</v>
      </c>
      <c r="E91" s="169"/>
      <c r="F91" s="170"/>
    </row>
    <row r="92" spans="3:6" x14ac:dyDescent="0.2">
      <c r="C92" s="155" t="s">
        <v>300</v>
      </c>
      <c r="D92" s="155">
        <v>77</v>
      </c>
      <c r="E92" s="169"/>
      <c r="F92" s="170"/>
    </row>
    <row r="94" spans="3:6" ht="13.2" thickBot="1" x14ac:dyDescent="0.25">
      <c r="E94" s="178">
        <f>SUM(E77:E93)</f>
        <v>238</v>
      </c>
    </row>
    <row r="95" spans="3:6" ht="13.2" thickTop="1" x14ac:dyDescent="0.2"/>
    <row r="96" spans="3:6" ht="14.4" x14ac:dyDescent="0.3">
      <c r="C96" s="155" t="s">
        <v>310</v>
      </c>
      <c r="E96" s="179">
        <f>+E53</f>
        <v>1074</v>
      </c>
      <c r="F96" s="155">
        <f>+E96*I$2</f>
        <v>461.82</v>
      </c>
    </row>
    <row r="97" spans="1:6" ht="14.4" x14ac:dyDescent="0.3">
      <c r="C97" s="155" t="s">
        <v>25</v>
      </c>
      <c r="E97" s="180">
        <f>E94</f>
        <v>238</v>
      </c>
      <c r="F97" s="155">
        <f>+E97*I$2</f>
        <v>102.34</v>
      </c>
    </row>
    <row r="98" spans="1:6" ht="13.2" thickBot="1" x14ac:dyDescent="0.25">
      <c r="E98" s="181">
        <f>+E97+E96</f>
        <v>1312</v>
      </c>
      <c r="F98" s="182">
        <f>+E98*I$2</f>
        <v>564.16</v>
      </c>
    </row>
    <row r="99" spans="1:6" s="183" customFormat="1" x14ac:dyDescent="0.2"/>
    <row r="102" spans="1:6" x14ac:dyDescent="0.2">
      <c r="A102" s="168" t="s">
        <v>21</v>
      </c>
      <c r="B102" s="168">
        <v>16</v>
      </c>
      <c r="C102" s="168">
        <v>14</v>
      </c>
      <c r="D102" s="168"/>
      <c r="E102" s="168"/>
      <c r="F102" s="168"/>
    </row>
    <row r="104" spans="1:6" x14ac:dyDescent="0.2">
      <c r="A104" s="155">
        <v>3068</v>
      </c>
      <c r="B104" s="155">
        <v>224</v>
      </c>
      <c r="C104" s="155">
        <v>299</v>
      </c>
    </row>
    <row r="105" spans="1:6" x14ac:dyDescent="0.2">
      <c r="A105" s="155">
        <v>3668</v>
      </c>
      <c r="B105" s="155">
        <v>231</v>
      </c>
      <c r="C105" s="155">
        <v>305</v>
      </c>
    </row>
    <row r="106" spans="1:6" x14ac:dyDescent="0.2">
      <c r="A106" s="155">
        <v>4068</v>
      </c>
      <c r="B106" s="155">
        <v>231</v>
      </c>
      <c r="C106" s="155">
        <v>305</v>
      </c>
    </row>
    <row r="107" spans="1:6" x14ac:dyDescent="0.2">
      <c r="A107" s="155">
        <v>5068</v>
      </c>
      <c r="B107" s="155">
        <v>294</v>
      </c>
      <c r="C107" s="155">
        <v>368</v>
      </c>
    </row>
    <row r="108" spans="1:6" x14ac:dyDescent="0.2">
      <c r="A108" s="155">
        <v>6068</v>
      </c>
      <c r="B108" s="155">
        <v>294</v>
      </c>
      <c r="C108" s="155">
        <v>368</v>
      </c>
    </row>
    <row r="109" spans="1:6" x14ac:dyDescent="0.2">
      <c r="A109" s="155">
        <v>8068</v>
      </c>
      <c r="B109" s="155">
        <v>309</v>
      </c>
      <c r="C109" s="155">
        <v>383</v>
      </c>
    </row>
    <row r="111" spans="1:6" x14ac:dyDescent="0.2">
      <c r="A111" s="155">
        <v>3070</v>
      </c>
      <c r="B111" s="155">
        <v>227</v>
      </c>
      <c r="C111" s="155">
        <v>302</v>
      </c>
      <c r="D111" s="155">
        <f>+B111</f>
        <v>227</v>
      </c>
    </row>
    <row r="112" spans="1:6" x14ac:dyDescent="0.2">
      <c r="A112" s="155">
        <v>3670</v>
      </c>
      <c r="B112" s="155">
        <v>234</v>
      </c>
      <c r="C112" s="155">
        <v>308</v>
      </c>
    </row>
    <row r="113" spans="1:9" x14ac:dyDescent="0.2">
      <c r="A113" s="155">
        <v>4070</v>
      </c>
      <c r="B113" s="155">
        <v>234</v>
      </c>
      <c r="C113" s="155">
        <v>308</v>
      </c>
    </row>
    <row r="114" spans="1:9" x14ac:dyDescent="0.2">
      <c r="A114" s="155">
        <v>6070</v>
      </c>
      <c r="B114" s="155">
        <v>298</v>
      </c>
      <c r="C114" s="155">
        <v>372</v>
      </c>
    </row>
    <row r="115" spans="1:9" x14ac:dyDescent="0.2">
      <c r="A115" s="155">
        <v>7070</v>
      </c>
      <c r="B115" s="155">
        <f>B116</f>
        <v>313</v>
      </c>
      <c r="C115" s="155">
        <f>C116</f>
        <v>387</v>
      </c>
    </row>
    <row r="116" spans="1:9" x14ac:dyDescent="0.2">
      <c r="A116" s="155">
        <v>8070</v>
      </c>
      <c r="B116" s="155">
        <v>313</v>
      </c>
      <c r="C116" s="155">
        <v>387</v>
      </c>
    </row>
    <row r="119" spans="1:9" x14ac:dyDescent="0.2">
      <c r="A119" s="155">
        <v>3080</v>
      </c>
      <c r="B119" s="155">
        <v>294</v>
      </c>
      <c r="C119" s="155">
        <v>368</v>
      </c>
    </row>
    <row r="120" spans="1:9" x14ac:dyDescent="0.2">
      <c r="A120" s="155">
        <v>3680</v>
      </c>
      <c r="B120" s="155">
        <v>301</v>
      </c>
      <c r="C120" s="155">
        <v>371</v>
      </c>
    </row>
    <row r="121" spans="1:9" x14ac:dyDescent="0.2">
      <c r="A121" s="155">
        <v>4080</v>
      </c>
      <c r="B121" s="155">
        <v>301</v>
      </c>
      <c r="C121" s="155">
        <v>371</v>
      </c>
    </row>
    <row r="122" spans="1:9" x14ac:dyDescent="0.2">
      <c r="A122" s="155">
        <v>6080</v>
      </c>
      <c r="B122" s="155">
        <v>368</v>
      </c>
      <c r="C122" s="155">
        <v>442</v>
      </c>
    </row>
    <row r="123" spans="1:9" x14ac:dyDescent="0.2">
      <c r="A123" s="155">
        <v>8080</v>
      </c>
      <c r="B123" s="155">
        <v>383</v>
      </c>
      <c r="C123" s="155">
        <v>457</v>
      </c>
    </row>
    <row r="125" spans="1:9" ht="15" thickBot="1" x14ac:dyDescent="0.35">
      <c r="A125" s="183" t="s">
        <v>311</v>
      </c>
      <c r="B125" s="183"/>
      <c r="C125" s="183"/>
      <c r="D125" s="184">
        <f>SUM(D104:D123)</f>
        <v>227</v>
      </c>
      <c r="E125" s="183"/>
      <c r="F125" s="183"/>
    </row>
    <row r="126" spans="1:9" ht="13.2" thickTop="1" x14ac:dyDescent="0.2">
      <c r="A126" s="155" t="s">
        <v>312</v>
      </c>
      <c r="C126" s="155">
        <v>36</v>
      </c>
      <c r="D126" s="155">
        <f>+C126</f>
        <v>36</v>
      </c>
    </row>
    <row r="127" spans="1:9" x14ac:dyDescent="0.2">
      <c r="A127" s="155" t="s">
        <v>313</v>
      </c>
      <c r="C127" s="155">
        <v>43</v>
      </c>
    </row>
    <row r="128" spans="1:9" x14ac:dyDescent="0.2">
      <c r="A128" s="155" t="s">
        <v>314</v>
      </c>
      <c r="C128" s="155">
        <v>14</v>
      </c>
      <c r="D128" s="155">
        <f>+C128</f>
        <v>14</v>
      </c>
      <c r="I128" s="155">
        <f>252603+2800</f>
        <v>255403</v>
      </c>
    </row>
    <row r="129" spans="1:5" x14ac:dyDescent="0.2">
      <c r="A129" s="155" t="s">
        <v>315</v>
      </c>
      <c r="C129" s="155">
        <v>28</v>
      </c>
    </row>
    <row r="130" spans="1:5" x14ac:dyDescent="0.2">
      <c r="A130" s="155" t="s">
        <v>316</v>
      </c>
      <c r="C130" s="155">
        <v>38</v>
      </c>
    </row>
    <row r="131" spans="1:5" x14ac:dyDescent="0.2">
      <c r="A131" s="155" t="s">
        <v>296</v>
      </c>
      <c r="C131" s="155">
        <v>45</v>
      </c>
    </row>
    <row r="132" spans="1:5" x14ac:dyDescent="0.2">
      <c r="A132" s="155" t="s">
        <v>2698</v>
      </c>
      <c r="C132" s="155">
        <v>78</v>
      </c>
    </row>
    <row r="133" spans="1:5" x14ac:dyDescent="0.2">
      <c r="A133" s="155" t="s">
        <v>317</v>
      </c>
      <c r="C133" s="155">
        <v>17</v>
      </c>
    </row>
    <row r="134" spans="1:5" x14ac:dyDescent="0.2">
      <c r="A134" s="155" t="s">
        <v>318</v>
      </c>
      <c r="C134" s="155">
        <v>42</v>
      </c>
    </row>
    <row r="135" spans="1:5" x14ac:dyDescent="0.2">
      <c r="A135" s="155" t="s">
        <v>319</v>
      </c>
      <c r="C135" s="155">
        <v>38</v>
      </c>
    </row>
    <row r="136" spans="1:5" x14ac:dyDescent="0.2">
      <c r="A136" s="155" t="s">
        <v>294</v>
      </c>
      <c r="C136" s="155">
        <v>46</v>
      </c>
    </row>
    <row r="137" spans="1:5" x14ac:dyDescent="0.2">
      <c r="A137" s="155" t="s">
        <v>293</v>
      </c>
      <c r="C137" s="155">
        <v>45</v>
      </c>
    </row>
    <row r="138" spans="1:5" x14ac:dyDescent="0.2">
      <c r="A138" s="155" t="s">
        <v>151</v>
      </c>
      <c r="C138" s="155">
        <v>92</v>
      </c>
    </row>
    <row r="139" spans="1:5" x14ac:dyDescent="0.2">
      <c r="A139" s="155" t="s">
        <v>320</v>
      </c>
      <c r="C139" s="155">
        <v>18</v>
      </c>
    </row>
    <row r="140" spans="1:5" ht="15" thickBot="1" x14ac:dyDescent="0.35">
      <c r="D140" s="185">
        <f>SUM(D126:D139)</f>
        <v>50</v>
      </c>
    </row>
    <row r="141" spans="1:5" ht="13.2" thickTop="1" x14ac:dyDescent="0.2">
      <c r="D141" s="155">
        <f>+D140+D125</f>
        <v>277</v>
      </c>
      <c r="E141" s="155">
        <f>+D141*I2</f>
        <v>119.11</v>
      </c>
    </row>
  </sheetData>
  <mergeCells count="2">
    <mergeCell ref="F28:F33"/>
    <mergeCell ref="F79:F8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C16DB-D2E7-400C-9FBC-6B5F2E56EB0C}">
  <sheetPr>
    <tabColor rgb="FF7030A0"/>
  </sheetPr>
  <dimension ref="A1:GE692"/>
  <sheetViews>
    <sheetView workbookViewId="0">
      <selection activeCell="A8" sqref="A8"/>
    </sheetView>
  </sheetViews>
  <sheetFormatPr defaultRowHeight="12.6" x14ac:dyDescent="0.2"/>
  <cols>
    <col min="1" max="1" width="26.453125" customWidth="1"/>
    <col min="2" max="2" width="11.453125" customWidth="1"/>
    <col min="3" max="3" width="12" customWidth="1"/>
    <col min="4" max="6" width="9.453125" customWidth="1"/>
    <col min="7" max="7" width="9.6328125" customWidth="1"/>
    <col min="8" max="11" width="9.453125" customWidth="1"/>
    <col min="12" max="12" width="16.90625" style="128" customWidth="1"/>
    <col min="13" max="144" width="9.453125" customWidth="1"/>
    <col min="145" max="145" width="9.453125" hidden="1" customWidth="1"/>
    <col min="146" max="213" width="9.453125" customWidth="1"/>
  </cols>
  <sheetData>
    <row r="1" spans="1:187" ht="13.95" customHeight="1" thickBot="1" x14ac:dyDescent="0.25">
      <c r="A1" t="s">
        <v>321</v>
      </c>
      <c r="B1" s="79">
        <v>1.58</v>
      </c>
    </row>
    <row r="2" spans="1:187" ht="14.4" thickBot="1" x14ac:dyDescent="0.3">
      <c r="A2" s="161" t="s">
        <v>345</v>
      </c>
      <c r="B2" s="79">
        <v>0.441</v>
      </c>
      <c r="D2" s="4009">
        <v>2068</v>
      </c>
      <c r="E2" s="4010"/>
      <c r="F2" s="3976"/>
      <c r="G2" s="4011">
        <v>2070</v>
      </c>
      <c r="H2" s="4010"/>
      <c r="I2" s="4012"/>
      <c r="J2" s="3983">
        <v>2080</v>
      </c>
      <c r="K2" s="3977"/>
      <c r="L2" s="3984"/>
      <c r="M2" s="3983">
        <v>2090</v>
      </c>
      <c r="N2" s="3977"/>
      <c r="O2" s="3985"/>
      <c r="P2" s="3983">
        <v>2468</v>
      </c>
      <c r="Q2" s="3977"/>
      <c r="R2" s="3985"/>
      <c r="S2" s="3986">
        <v>2470</v>
      </c>
      <c r="T2" s="3977"/>
      <c r="U2" s="3977"/>
      <c r="V2" s="3977">
        <v>2480</v>
      </c>
      <c r="W2" s="3977"/>
      <c r="X2" s="3977"/>
      <c r="Y2" s="3977">
        <v>2490</v>
      </c>
      <c r="Z2" s="3977"/>
      <c r="AA2" s="3977"/>
      <c r="AB2" s="3977">
        <v>2668</v>
      </c>
      <c r="AC2" s="3977"/>
      <c r="AD2" s="3977"/>
      <c r="AE2" s="3977">
        <v>2670</v>
      </c>
      <c r="AF2" s="3977"/>
      <c r="AG2" s="3977"/>
      <c r="AH2" s="3977">
        <v>2680</v>
      </c>
      <c r="AI2" s="3977"/>
      <c r="AJ2" s="3977"/>
      <c r="AK2" s="3977">
        <v>2690</v>
      </c>
      <c r="AL2" s="3977"/>
      <c r="AM2" s="3977"/>
      <c r="AN2" s="3977">
        <v>2868</v>
      </c>
      <c r="AO2" s="3977"/>
      <c r="AP2" s="3977"/>
      <c r="AQ2" s="3977">
        <v>2870</v>
      </c>
      <c r="AR2" s="3977"/>
      <c r="AS2" s="3977"/>
      <c r="AT2" s="3977">
        <v>2880</v>
      </c>
      <c r="AU2" s="3977"/>
      <c r="AV2" s="3977"/>
      <c r="AW2" s="3977">
        <v>2890</v>
      </c>
      <c r="AX2" s="3977"/>
      <c r="AY2" s="3977"/>
      <c r="AZ2" s="3977">
        <v>3068</v>
      </c>
      <c r="BA2" s="3977"/>
      <c r="BB2" s="3977"/>
      <c r="BC2" s="3977">
        <v>3468</v>
      </c>
      <c r="BD2" s="3977"/>
      <c r="BE2" s="3977"/>
      <c r="BF2" s="3977">
        <v>3668</v>
      </c>
      <c r="BG2" s="3977"/>
      <c r="BH2" s="3977"/>
      <c r="BI2" s="3977">
        <v>3868</v>
      </c>
      <c r="BJ2" s="3977"/>
      <c r="BK2" s="3977"/>
      <c r="BL2" s="3977">
        <v>3070</v>
      </c>
      <c r="BM2" s="3977"/>
      <c r="BN2" s="3977"/>
      <c r="BO2" s="3977">
        <v>3470</v>
      </c>
      <c r="BP2" s="3977"/>
      <c r="BQ2" s="3977"/>
      <c r="BR2" s="3977">
        <v>3670</v>
      </c>
      <c r="BS2" s="3977"/>
      <c r="BT2" s="3977"/>
      <c r="BU2" s="3977">
        <v>3870</v>
      </c>
      <c r="BV2" s="3977"/>
      <c r="BW2" s="3977"/>
      <c r="BX2" s="3977">
        <v>3080</v>
      </c>
      <c r="BY2" s="3977"/>
      <c r="BZ2" s="3977"/>
      <c r="CA2" s="3977">
        <v>3480</v>
      </c>
      <c r="CB2" s="3977"/>
      <c r="CC2" s="3977"/>
      <c r="CD2" s="3977">
        <v>3680</v>
      </c>
      <c r="CE2" s="3977"/>
      <c r="CF2" s="3977"/>
      <c r="CG2" s="3977">
        <v>3880</v>
      </c>
      <c r="CH2" s="3977"/>
      <c r="CI2" s="3977"/>
      <c r="CJ2" s="3977">
        <v>3090</v>
      </c>
      <c r="CK2" s="3977"/>
      <c r="CL2" s="3977"/>
      <c r="CM2" s="3977">
        <v>3490</v>
      </c>
      <c r="CN2" s="3977"/>
      <c r="CO2" s="3977"/>
      <c r="CP2" s="3977">
        <v>3690</v>
      </c>
      <c r="CQ2" s="3977"/>
      <c r="CR2" s="3977"/>
      <c r="CS2" s="3973">
        <v>3890</v>
      </c>
      <c r="CT2" s="3974"/>
      <c r="CU2" s="3975"/>
      <c r="CV2" s="3973">
        <v>4068</v>
      </c>
      <c r="CW2" s="3974"/>
      <c r="CX2" s="3975"/>
      <c r="CY2" s="3973">
        <v>4668</v>
      </c>
      <c r="CZ2" s="3974"/>
      <c r="DA2" s="3975"/>
      <c r="DB2" s="3973">
        <v>4068</v>
      </c>
      <c r="DC2" s="3974"/>
      <c r="DD2" s="3975"/>
      <c r="DE2" s="3973">
        <v>4070</v>
      </c>
      <c r="DF2" s="3974"/>
      <c r="DG2" s="3975"/>
      <c r="DH2" s="3973">
        <v>4670</v>
      </c>
      <c r="DI2" s="3974"/>
      <c r="DJ2" s="3975"/>
      <c r="DK2" s="3976">
        <v>4080</v>
      </c>
      <c r="DL2" s="3974"/>
      <c r="DM2" s="3975"/>
      <c r="DN2" s="3973">
        <v>4680</v>
      </c>
      <c r="DO2" s="3974"/>
      <c r="DP2" s="3975"/>
      <c r="DQ2" s="3973">
        <v>4090</v>
      </c>
      <c r="DR2" s="3974"/>
      <c r="DS2" s="3975"/>
      <c r="DT2" s="3973">
        <v>4690</v>
      </c>
      <c r="DU2" s="3974"/>
      <c r="DV2" s="3975"/>
      <c r="DW2" s="3973">
        <v>5068</v>
      </c>
      <c r="DX2" s="3974"/>
      <c r="DY2" s="3975"/>
      <c r="DZ2" s="3973">
        <v>5070</v>
      </c>
      <c r="EA2" s="3974"/>
      <c r="EB2" s="3975"/>
      <c r="EC2" s="3976">
        <v>5080</v>
      </c>
      <c r="ED2" s="3974"/>
      <c r="EE2" s="3975"/>
      <c r="EF2" s="3973">
        <v>5090</v>
      </c>
      <c r="EG2" s="3974"/>
      <c r="EH2" s="3975"/>
      <c r="EI2" s="3973">
        <v>6068</v>
      </c>
      <c r="EJ2" s="3974"/>
      <c r="EK2" s="3975"/>
      <c r="EL2" s="3973">
        <v>6070</v>
      </c>
      <c r="EM2" s="3974"/>
      <c r="EN2" s="3975"/>
      <c r="EO2" s="632"/>
      <c r="EP2" s="3973">
        <v>6080</v>
      </c>
      <c r="EQ2" s="3974"/>
      <c r="ER2" s="3975"/>
      <c r="ES2" s="3973">
        <v>6090</v>
      </c>
      <c r="ET2" s="3974"/>
      <c r="EU2" s="3975"/>
      <c r="EV2" s="3973">
        <v>7068</v>
      </c>
      <c r="EW2" s="3974"/>
      <c r="EX2" s="3975"/>
      <c r="EY2" s="3976">
        <v>7070</v>
      </c>
      <c r="EZ2" s="3974"/>
      <c r="FA2" s="3975"/>
      <c r="FB2" s="3973">
        <v>7080</v>
      </c>
      <c r="FC2" s="3974"/>
      <c r="FD2" s="3975"/>
      <c r="FE2" s="3973">
        <v>7090</v>
      </c>
      <c r="FF2" s="3974"/>
      <c r="FG2" s="3975"/>
      <c r="FH2" s="3973">
        <v>8068</v>
      </c>
      <c r="FI2" s="3974"/>
      <c r="FJ2" s="3975"/>
      <c r="FK2" s="3973">
        <v>8070</v>
      </c>
      <c r="FL2" s="3974"/>
      <c r="FM2" s="3975"/>
      <c r="FN2" s="3973">
        <v>8080</v>
      </c>
      <c r="FO2" s="3974"/>
      <c r="FP2" s="3975"/>
      <c r="FQ2" s="3976">
        <v>8090</v>
      </c>
      <c r="FR2" s="3974"/>
      <c r="FS2" s="3975"/>
      <c r="FT2" s="3973">
        <v>9068</v>
      </c>
      <c r="FU2" s="3974"/>
      <c r="FV2" s="3975"/>
      <c r="FW2" s="3973">
        <v>9070</v>
      </c>
      <c r="FX2" s="3974"/>
      <c r="FY2" s="3975"/>
      <c r="FZ2" s="3973">
        <v>9080</v>
      </c>
      <c r="GA2" s="3974"/>
      <c r="GB2" s="3975"/>
      <c r="GC2" s="3973">
        <v>9090</v>
      </c>
      <c r="GD2" s="3974"/>
      <c r="GE2" s="3975"/>
    </row>
    <row r="3" spans="1:187" s="403" customFormat="1" ht="18.600000000000001" customHeight="1" thickBot="1" x14ac:dyDescent="0.25">
      <c r="A3" s="401" t="s">
        <v>1363</v>
      </c>
      <c r="B3" s="819">
        <v>0.43</v>
      </c>
      <c r="C3" s="403" t="s">
        <v>2313</v>
      </c>
      <c r="D3" s="633" t="s">
        <v>321</v>
      </c>
      <c r="E3" s="634" t="s">
        <v>345</v>
      </c>
      <c r="F3" s="635" t="s">
        <v>1363</v>
      </c>
      <c r="G3" s="636" t="s">
        <v>321</v>
      </c>
      <c r="H3" s="634" t="s">
        <v>345</v>
      </c>
      <c r="I3" s="637" t="s">
        <v>1363</v>
      </c>
      <c r="J3" s="633" t="s">
        <v>321</v>
      </c>
      <c r="K3" s="634" t="s">
        <v>345</v>
      </c>
      <c r="L3" s="638" t="s">
        <v>1363</v>
      </c>
      <c r="M3" s="633" t="s">
        <v>321</v>
      </c>
      <c r="N3" s="634" t="s">
        <v>345</v>
      </c>
      <c r="O3" s="635" t="s">
        <v>1363</v>
      </c>
      <c r="P3" s="633" t="s">
        <v>321</v>
      </c>
      <c r="Q3" s="634" t="s">
        <v>345</v>
      </c>
      <c r="R3" s="635" t="s">
        <v>1363</v>
      </c>
      <c r="S3" s="633" t="s">
        <v>321</v>
      </c>
      <c r="T3" s="634" t="s">
        <v>345</v>
      </c>
      <c r="U3" s="635" t="s">
        <v>1363</v>
      </c>
      <c r="V3" s="633" t="s">
        <v>321</v>
      </c>
      <c r="W3" s="634" t="s">
        <v>345</v>
      </c>
      <c r="X3" s="635" t="s">
        <v>1363</v>
      </c>
      <c r="Y3" s="636" t="s">
        <v>321</v>
      </c>
      <c r="Z3" s="634" t="s">
        <v>345</v>
      </c>
      <c r="AA3" s="635" t="s">
        <v>1363</v>
      </c>
      <c r="AB3" s="633" t="s">
        <v>321</v>
      </c>
      <c r="AC3" s="634" t="s">
        <v>345</v>
      </c>
      <c r="AD3" s="635" t="s">
        <v>1363</v>
      </c>
      <c r="AE3" s="633" t="s">
        <v>321</v>
      </c>
      <c r="AF3" s="634" t="s">
        <v>345</v>
      </c>
      <c r="AG3" s="635" t="s">
        <v>1363</v>
      </c>
      <c r="AH3" s="633" t="s">
        <v>321</v>
      </c>
      <c r="AI3" s="634" t="s">
        <v>345</v>
      </c>
      <c r="AJ3" s="635" t="s">
        <v>1363</v>
      </c>
      <c r="AK3" s="633" t="s">
        <v>321</v>
      </c>
      <c r="AL3" s="634" t="s">
        <v>345</v>
      </c>
      <c r="AM3" s="635" t="s">
        <v>1363</v>
      </c>
      <c r="AN3" s="633" t="s">
        <v>321</v>
      </c>
      <c r="AO3" s="634" t="s">
        <v>345</v>
      </c>
      <c r="AP3" s="635" t="s">
        <v>1363</v>
      </c>
      <c r="AQ3" s="636" t="s">
        <v>321</v>
      </c>
      <c r="AR3" s="634" t="s">
        <v>345</v>
      </c>
      <c r="AS3" s="635" t="s">
        <v>1363</v>
      </c>
      <c r="AT3" s="633" t="s">
        <v>321</v>
      </c>
      <c r="AU3" s="634" t="s">
        <v>345</v>
      </c>
      <c r="AV3" s="635" t="s">
        <v>1363</v>
      </c>
      <c r="AW3" s="633" t="s">
        <v>321</v>
      </c>
      <c r="AX3" s="634" t="s">
        <v>345</v>
      </c>
      <c r="AY3" s="635" t="s">
        <v>1363</v>
      </c>
      <c r="AZ3" s="633" t="s">
        <v>321</v>
      </c>
      <c r="BA3" s="634" t="s">
        <v>345</v>
      </c>
      <c r="BB3" s="635" t="s">
        <v>1363</v>
      </c>
      <c r="BC3" s="633" t="s">
        <v>321</v>
      </c>
      <c r="BD3" s="634" t="s">
        <v>345</v>
      </c>
      <c r="BE3" s="635" t="s">
        <v>1363</v>
      </c>
      <c r="BF3" s="633" t="s">
        <v>321</v>
      </c>
      <c r="BG3" s="634" t="s">
        <v>345</v>
      </c>
      <c r="BH3" s="635" t="s">
        <v>1363</v>
      </c>
      <c r="BI3" s="633" t="s">
        <v>321</v>
      </c>
      <c r="BJ3" s="634" t="s">
        <v>345</v>
      </c>
      <c r="BK3" s="635" t="s">
        <v>1363</v>
      </c>
      <c r="BL3" s="830" t="s">
        <v>321</v>
      </c>
      <c r="BM3" s="831" t="s">
        <v>345</v>
      </c>
      <c r="BN3" s="832" t="s">
        <v>1363</v>
      </c>
      <c r="BO3" s="633" t="s">
        <v>321</v>
      </c>
      <c r="BP3" s="634" t="s">
        <v>345</v>
      </c>
      <c r="BQ3" s="635" t="s">
        <v>1363</v>
      </c>
      <c r="BR3" s="633" t="s">
        <v>321</v>
      </c>
      <c r="BS3" s="634" t="s">
        <v>345</v>
      </c>
      <c r="BT3" s="635" t="s">
        <v>1363</v>
      </c>
      <c r="BU3" s="633" t="s">
        <v>321</v>
      </c>
      <c r="BV3" s="634" t="s">
        <v>345</v>
      </c>
      <c r="BW3" s="635" t="s">
        <v>1363</v>
      </c>
      <c r="BX3" s="633" t="s">
        <v>321</v>
      </c>
      <c r="BY3" s="634" t="s">
        <v>345</v>
      </c>
      <c r="BZ3" s="635" t="s">
        <v>1363</v>
      </c>
      <c r="CA3" s="633" t="s">
        <v>321</v>
      </c>
      <c r="CB3" s="634" t="s">
        <v>345</v>
      </c>
      <c r="CC3" s="635" t="s">
        <v>1363</v>
      </c>
      <c r="CD3" s="633" t="s">
        <v>321</v>
      </c>
      <c r="CE3" s="634" t="s">
        <v>345</v>
      </c>
      <c r="CF3" s="635" t="s">
        <v>1363</v>
      </c>
      <c r="CG3" s="633" t="s">
        <v>321</v>
      </c>
      <c r="CH3" s="634" t="s">
        <v>345</v>
      </c>
      <c r="CI3" s="635" t="s">
        <v>1363</v>
      </c>
      <c r="CJ3" s="633" t="s">
        <v>321</v>
      </c>
      <c r="CK3" s="634" t="s">
        <v>345</v>
      </c>
      <c r="CL3" s="635" t="s">
        <v>1363</v>
      </c>
      <c r="CM3" s="633" t="s">
        <v>321</v>
      </c>
      <c r="CN3" s="634" t="s">
        <v>345</v>
      </c>
      <c r="CO3" s="635" t="s">
        <v>1363</v>
      </c>
      <c r="CP3" s="636" t="s">
        <v>321</v>
      </c>
      <c r="CQ3" s="634" t="s">
        <v>345</v>
      </c>
      <c r="CR3" s="635" t="s">
        <v>1363</v>
      </c>
      <c r="CS3" s="636" t="s">
        <v>321</v>
      </c>
      <c r="CT3" s="634" t="s">
        <v>345</v>
      </c>
      <c r="CU3" s="635" t="s">
        <v>1363</v>
      </c>
      <c r="CV3" s="633" t="s">
        <v>321</v>
      </c>
      <c r="CW3" s="634" t="s">
        <v>345</v>
      </c>
      <c r="CX3" s="635" t="s">
        <v>1363</v>
      </c>
      <c r="CY3" s="633" t="s">
        <v>321</v>
      </c>
      <c r="CZ3" s="634" t="s">
        <v>345</v>
      </c>
      <c r="DA3" s="635" t="s">
        <v>1363</v>
      </c>
      <c r="DB3" s="633" t="s">
        <v>321</v>
      </c>
      <c r="DC3" s="634" t="s">
        <v>345</v>
      </c>
      <c r="DD3" s="635" t="s">
        <v>1363</v>
      </c>
      <c r="DE3" s="633" t="s">
        <v>321</v>
      </c>
      <c r="DF3" s="634" t="s">
        <v>345</v>
      </c>
      <c r="DG3" s="635" t="s">
        <v>1363</v>
      </c>
      <c r="DH3" s="633" t="s">
        <v>321</v>
      </c>
      <c r="DI3" s="634" t="s">
        <v>345</v>
      </c>
      <c r="DJ3" s="635" t="s">
        <v>1363</v>
      </c>
      <c r="DK3" s="636" t="s">
        <v>321</v>
      </c>
      <c r="DL3" s="634" t="s">
        <v>345</v>
      </c>
      <c r="DM3" s="635" t="s">
        <v>1363</v>
      </c>
      <c r="DN3" s="633" t="s">
        <v>321</v>
      </c>
      <c r="DO3" s="634" t="s">
        <v>345</v>
      </c>
      <c r="DP3" s="635" t="s">
        <v>1363</v>
      </c>
      <c r="DQ3" s="633" t="s">
        <v>321</v>
      </c>
      <c r="DR3" s="634" t="s">
        <v>345</v>
      </c>
      <c r="DS3" s="635" t="s">
        <v>1363</v>
      </c>
      <c r="DT3" s="633" t="s">
        <v>321</v>
      </c>
      <c r="DU3" s="634" t="s">
        <v>345</v>
      </c>
      <c r="DV3" s="635" t="s">
        <v>1363</v>
      </c>
      <c r="DW3" s="633" t="s">
        <v>321</v>
      </c>
      <c r="DX3" s="634" t="s">
        <v>345</v>
      </c>
      <c r="DY3" s="635" t="s">
        <v>1363</v>
      </c>
      <c r="DZ3" s="633" t="s">
        <v>321</v>
      </c>
      <c r="EA3" s="634" t="s">
        <v>345</v>
      </c>
      <c r="EB3" s="635" t="s">
        <v>1363</v>
      </c>
      <c r="EC3" s="636" t="s">
        <v>321</v>
      </c>
      <c r="ED3" s="634" t="s">
        <v>345</v>
      </c>
      <c r="EE3" s="635" t="s">
        <v>1363</v>
      </c>
      <c r="EF3" s="633" t="s">
        <v>321</v>
      </c>
      <c r="EG3" s="634" t="s">
        <v>345</v>
      </c>
      <c r="EH3" s="635" t="s">
        <v>1363</v>
      </c>
      <c r="EI3" s="633" t="s">
        <v>321</v>
      </c>
      <c r="EJ3" s="634" t="s">
        <v>345</v>
      </c>
      <c r="EK3" s="635" t="s">
        <v>1363</v>
      </c>
      <c r="EL3" s="633" t="s">
        <v>321</v>
      </c>
      <c r="EM3" s="634" t="s">
        <v>345</v>
      </c>
      <c r="EN3" s="635" t="s">
        <v>1363</v>
      </c>
      <c r="EO3" s="639"/>
      <c r="EP3" s="633" t="s">
        <v>321</v>
      </c>
      <c r="EQ3" s="634" t="s">
        <v>345</v>
      </c>
      <c r="ER3" s="635" t="s">
        <v>1363</v>
      </c>
      <c r="ES3" s="633" t="s">
        <v>321</v>
      </c>
      <c r="ET3" s="634" t="s">
        <v>345</v>
      </c>
      <c r="EU3" s="635" t="s">
        <v>1363</v>
      </c>
      <c r="EV3" s="633" t="s">
        <v>321</v>
      </c>
      <c r="EW3" s="634" t="s">
        <v>345</v>
      </c>
      <c r="EX3" s="635" t="s">
        <v>1363</v>
      </c>
      <c r="EY3" s="636" t="s">
        <v>321</v>
      </c>
      <c r="EZ3" s="634" t="s">
        <v>345</v>
      </c>
      <c r="FA3" s="635" t="s">
        <v>1363</v>
      </c>
      <c r="FB3" s="633" t="s">
        <v>321</v>
      </c>
      <c r="FC3" s="634" t="s">
        <v>345</v>
      </c>
      <c r="FD3" s="635" t="s">
        <v>1363</v>
      </c>
      <c r="FE3" s="633" t="s">
        <v>321</v>
      </c>
      <c r="FF3" s="634" t="s">
        <v>345</v>
      </c>
      <c r="FG3" s="635" t="s">
        <v>1363</v>
      </c>
      <c r="FH3" s="633" t="s">
        <v>321</v>
      </c>
      <c r="FI3" s="634" t="s">
        <v>345</v>
      </c>
      <c r="FJ3" s="635" t="s">
        <v>1363</v>
      </c>
      <c r="FK3" s="633" t="s">
        <v>321</v>
      </c>
      <c r="FL3" s="634" t="s">
        <v>345</v>
      </c>
      <c r="FM3" s="635" t="s">
        <v>1363</v>
      </c>
      <c r="FN3" s="633" t="s">
        <v>321</v>
      </c>
      <c r="FO3" s="634" t="s">
        <v>345</v>
      </c>
      <c r="FP3" s="635" t="s">
        <v>1363</v>
      </c>
      <c r="FQ3" s="636" t="s">
        <v>321</v>
      </c>
      <c r="FR3" s="634" t="s">
        <v>345</v>
      </c>
      <c r="FS3" s="635" t="s">
        <v>1363</v>
      </c>
      <c r="FT3" s="633" t="s">
        <v>321</v>
      </c>
      <c r="FU3" s="634" t="s">
        <v>345</v>
      </c>
      <c r="FV3" s="635" t="s">
        <v>1363</v>
      </c>
      <c r="FW3" s="633" t="s">
        <v>321</v>
      </c>
      <c r="FX3" s="634" t="s">
        <v>345</v>
      </c>
      <c r="FY3" s="635" t="s">
        <v>1363</v>
      </c>
      <c r="FZ3" s="633" t="s">
        <v>321</v>
      </c>
      <c r="GA3" s="634" t="s">
        <v>345</v>
      </c>
      <c r="GB3" s="635" t="s">
        <v>1363</v>
      </c>
      <c r="GC3" s="633" t="s">
        <v>321</v>
      </c>
      <c r="GD3" s="634" t="s">
        <v>345</v>
      </c>
      <c r="GE3" s="635" t="s">
        <v>1363</v>
      </c>
    </row>
    <row r="4" spans="1:187" s="640" customFormat="1" ht="36" customHeight="1" x14ac:dyDescent="0.25">
      <c r="A4" s="4007" t="s">
        <v>2314</v>
      </c>
      <c r="B4" s="4007"/>
      <c r="C4" s="640">
        <v>18</v>
      </c>
      <c r="D4" s="641">
        <f>221.706+12</f>
        <v>233.70599999999999</v>
      </c>
      <c r="E4" s="642">
        <v>603</v>
      </c>
      <c r="F4" s="643">
        <f>524+53+53+103+15</f>
        <v>748</v>
      </c>
      <c r="G4" s="644">
        <f>232.7913+12</f>
        <v>244.79130000000001</v>
      </c>
      <c r="H4" s="642">
        <v>624</v>
      </c>
      <c r="I4" s="645">
        <f>537+53+53+103+15</f>
        <v>761</v>
      </c>
      <c r="J4" s="641">
        <v>437</v>
      </c>
      <c r="K4" s="646">
        <v>684</v>
      </c>
      <c r="L4" s="647"/>
      <c r="M4" s="648">
        <f>424.9365+12</f>
        <v>436.93650000000002</v>
      </c>
      <c r="N4" s="646">
        <v>847</v>
      </c>
      <c r="O4" s="647"/>
      <c r="P4" s="641"/>
      <c r="Q4" s="642">
        <v>745</v>
      </c>
      <c r="R4" s="643"/>
      <c r="S4" s="641"/>
      <c r="T4" s="642">
        <v>774</v>
      </c>
      <c r="U4" s="643"/>
      <c r="V4" s="641"/>
      <c r="W4" s="642">
        <v>871</v>
      </c>
      <c r="X4" s="643"/>
      <c r="Y4" s="644"/>
      <c r="Z4" s="646">
        <v>1055</v>
      </c>
      <c r="AA4" s="647"/>
      <c r="AB4" s="641"/>
      <c r="AC4" s="646">
        <v>745</v>
      </c>
      <c r="AD4" s="647"/>
      <c r="AE4" s="641"/>
      <c r="AF4" s="649"/>
      <c r="AG4" s="647"/>
      <c r="AH4" s="641"/>
      <c r="AI4" s="649"/>
      <c r="AJ4" s="647"/>
      <c r="AK4" s="641"/>
      <c r="AL4" s="649"/>
      <c r="AM4" s="647"/>
      <c r="AN4" s="641"/>
      <c r="AO4" s="649"/>
      <c r="AP4" s="647"/>
      <c r="AQ4" s="644"/>
      <c r="AR4" s="649"/>
      <c r="AS4" s="647"/>
      <c r="AT4" s="641"/>
      <c r="AU4" s="649"/>
      <c r="AV4" s="647"/>
      <c r="AW4" s="641"/>
      <c r="AX4" s="649"/>
      <c r="AY4" s="647"/>
      <c r="AZ4" s="648">
        <f>229.0962+12</f>
        <v>241.09620000000001</v>
      </c>
      <c r="BA4" s="650">
        <v>696.48526077097495</v>
      </c>
      <c r="BB4" s="643">
        <f>557+53+53+103+15</f>
        <v>781</v>
      </c>
      <c r="BC4" s="641">
        <f>275.9008+12</f>
        <v>287.9008</v>
      </c>
      <c r="BD4" s="649"/>
      <c r="BE4" s="643"/>
      <c r="BF4" s="648">
        <f>275.9008+12</f>
        <v>287.9008</v>
      </c>
      <c r="BG4" s="649">
        <v>820.11337868480723</v>
      </c>
      <c r="BH4" s="643">
        <f>637+106+103+15</f>
        <v>861</v>
      </c>
      <c r="BI4" s="641"/>
      <c r="BJ4" s="649"/>
      <c r="BK4" s="643"/>
      <c r="BL4" s="833">
        <f>284.5227+12</f>
        <v>296.52269999999999</v>
      </c>
      <c r="BM4" s="834">
        <v>724.48979591836735</v>
      </c>
      <c r="BN4" s="835">
        <f>567+106+103+15</f>
        <v>791</v>
      </c>
      <c r="BO4" s="641">
        <f>305.4616+12</f>
        <v>317.46159999999998</v>
      </c>
      <c r="BP4" s="650"/>
      <c r="BQ4" s="643"/>
      <c r="BR4" s="648">
        <f>424.9365+12</f>
        <v>436.93650000000002</v>
      </c>
      <c r="BS4" s="650">
        <v>780</v>
      </c>
      <c r="BT4" s="643">
        <f>674+106+103+15</f>
        <v>898</v>
      </c>
      <c r="BU4" s="651"/>
      <c r="BV4" s="652"/>
      <c r="BW4" s="653"/>
      <c r="BX4" s="641">
        <f>309.1567+12</f>
        <v>321.1567</v>
      </c>
      <c r="BY4" s="652">
        <v>765</v>
      </c>
      <c r="BZ4" s="643">
        <f>659+106+103+15</f>
        <v>883</v>
      </c>
      <c r="CA4" s="651"/>
      <c r="CB4" s="652"/>
      <c r="CC4" s="653"/>
      <c r="CD4" s="648">
        <f>351.0345+12</f>
        <v>363.03449999999998</v>
      </c>
      <c r="CE4" s="654">
        <v>871</v>
      </c>
      <c r="CF4" s="643">
        <f>765+106+103+15</f>
        <v>989</v>
      </c>
      <c r="CG4" s="655"/>
      <c r="CH4" s="654"/>
      <c r="CI4" s="656"/>
      <c r="CJ4" s="648">
        <f>432.3267+12</f>
        <v>444.32670000000002</v>
      </c>
      <c r="CK4" s="650"/>
      <c r="CL4" s="643"/>
      <c r="CM4" s="651"/>
      <c r="CN4" s="657"/>
      <c r="CO4" s="658"/>
      <c r="CP4" s="659">
        <f>468.046+12</f>
        <v>480.04599999999999</v>
      </c>
      <c r="CQ4" s="657"/>
      <c r="CR4" s="658"/>
      <c r="CS4" s="659"/>
      <c r="CT4" s="657"/>
      <c r="CU4" s="658"/>
      <c r="CV4" s="648"/>
      <c r="CW4" s="657">
        <v>962.81179138322</v>
      </c>
      <c r="CX4" s="643">
        <f>751+106+103+15</f>
        <v>975</v>
      </c>
      <c r="CY4" s="648">
        <f>305.4616+12</f>
        <v>317.46159999999998</v>
      </c>
      <c r="CZ4" s="657"/>
      <c r="DA4" s="658"/>
      <c r="DB4" s="648"/>
      <c r="DC4" s="657"/>
      <c r="DD4" s="658"/>
      <c r="DE4" s="648">
        <f>316.5469+12</f>
        <v>328.54689999999999</v>
      </c>
      <c r="DF4" s="657">
        <v>879</v>
      </c>
      <c r="DG4" s="658"/>
      <c r="DH4" s="648"/>
      <c r="DI4" s="657"/>
      <c r="DJ4" s="658"/>
      <c r="DK4" s="659"/>
      <c r="DL4" s="657">
        <v>1213.9909297052154</v>
      </c>
      <c r="DM4" s="643">
        <f>865+106+103+15</f>
        <v>1089</v>
      </c>
      <c r="DN4" s="648"/>
      <c r="DO4" s="657"/>
      <c r="DP4" s="658"/>
      <c r="DQ4" s="648"/>
      <c r="DR4" s="657"/>
      <c r="DS4" s="658"/>
      <c r="DT4" s="648"/>
      <c r="DU4" s="657"/>
      <c r="DV4" s="658"/>
      <c r="DW4" s="648"/>
      <c r="DX4" s="657"/>
      <c r="DY4" s="658"/>
      <c r="DZ4" s="648"/>
      <c r="EA4" s="657"/>
      <c r="EB4" s="658"/>
      <c r="EC4" s="659"/>
      <c r="ED4" s="657"/>
      <c r="EE4" s="658"/>
      <c r="EF4" s="648"/>
      <c r="EG4" s="657"/>
      <c r="EH4" s="658"/>
      <c r="EI4" s="648"/>
      <c r="EJ4" s="657"/>
      <c r="EK4" s="658"/>
      <c r="EL4" s="648"/>
      <c r="EM4" s="657"/>
      <c r="EN4" s="658"/>
      <c r="EO4" s="660"/>
      <c r="EP4" s="648"/>
      <c r="EQ4" s="657"/>
      <c r="ER4" s="658"/>
      <c r="ES4" s="648"/>
      <c r="ET4" s="657"/>
      <c r="EU4" s="658"/>
      <c r="EV4" s="648"/>
      <c r="EW4" s="657"/>
      <c r="EX4" s="658"/>
      <c r="EY4" s="659"/>
      <c r="EZ4" s="657"/>
      <c r="FA4" s="658"/>
      <c r="FB4" s="648"/>
      <c r="FC4" s="657"/>
      <c r="FD4" s="658"/>
      <c r="FE4" s="648"/>
      <c r="FF4" s="657"/>
      <c r="FG4" s="658"/>
      <c r="FH4" s="648"/>
      <c r="FI4" s="657"/>
      <c r="FJ4" s="658"/>
      <c r="FK4" s="648"/>
      <c r="FL4" s="657"/>
      <c r="FM4" s="658"/>
      <c r="FN4" s="648"/>
      <c r="FO4" s="657"/>
      <c r="FP4" s="658"/>
      <c r="FQ4" s="659"/>
      <c r="FR4" s="657"/>
      <c r="FS4" s="658"/>
      <c r="FT4" s="648"/>
      <c r="FU4" s="657"/>
      <c r="FV4" s="658"/>
      <c r="FW4" s="648"/>
      <c r="FX4" s="657"/>
      <c r="FY4" s="658"/>
      <c r="FZ4" s="648"/>
      <c r="GA4" s="657"/>
      <c r="GB4" s="658"/>
      <c r="GC4" s="648"/>
      <c r="GD4" s="657"/>
      <c r="GE4" s="658"/>
    </row>
    <row r="5" spans="1:187" s="661" customFormat="1" ht="36" customHeight="1" x14ac:dyDescent="0.25">
      <c r="A5" s="4007" t="s">
        <v>2314</v>
      </c>
      <c r="B5" s="4007"/>
      <c r="C5" s="661">
        <v>16</v>
      </c>
      <c r="D5" s="662">
        <f>259.8887+12</f>
        <v>271.88869999999997</v>
      </c>
      <c r="E5" s="663">
        <v>697</v>
      </c>
      <c r="F5" s="664">
        <f>692+106+103+15</f>
        <v>916</v>
      </c>
      <c r="G5" s="665">
        <f>270.974+12</f>
        <v>282.97399999999999</v>
      </c>
      <c r="H5" s="663">
        <v>723</v>
      </c>
      <c r="I5" s="666">
        <f>705+106+103+15</f>
        <v>929</v>
      </c>
      <c r="J5" s="662">
        <v>479</v>
      </c>
      <c r="K5" s="667">
        <v>797</v>
      </c>
      <c r="L5" s="668"/>
      <c r="M5" s="669">
        <f>466.8143+12</f>
        <v>478.8143</v>
      </c>
      <c r="N5" s="667">
        <v>997</v>
      </c>
      <c r="O5" s="668"/>
      <c r="P5" s="662"/>
      <c r="Q5" s="663">
        <v>871</v>
      </c>
      <c r="R5" s="664"/>
      <c r="S5" s="662"/>
      <c r="T5" s="663">
        <v>907</v>
      </c>
      <c r="U5" s="664"/>
      <c r="V5" s="662"/>
      <c r="W5" s="663">
        <v>1026</v>
      </c>
      <c r="X5" s="664"/>
      <c r="Y5" s="665"/>
      <c r="Z5" s="667">
        <v>1252</v>
      </c>
      <c r="AA5" s="668"/>
      <c r="AB5" s="662"/>
      <c r="AC5" s="667">
        <v>871</v>
      </c>
      <c r="AD5" s="668"/>
      <c r="AE5" s="662"/>
      <c r="AF5" s="670"/>
      <c r="AG5" s="668"/>
      <c r="AH5" s="662"/>
      <c r="AI5" s="670"/>
      <c r="AJ5" s="668"/>
      <c r="AK5" s="662"/>
      <c r="AL5" s="670"/>
      <c r="AM5" s="668"/>
      <c r="AN5" s="662"/>
      <c r="AO5" s="670"/>
      <c r="AP5" s="668"/>
      <c r="AQ5" s="665"/>
      <c r="AR5" s="670"/>
      <c r="AS5" s="668"/>
      <c r="AT5" s="662"/>
      <c r="AU5" s="670"/>
      <c r="AV5" s="668"/>
      <c r="AW5" s="662"/>
      <c r="AX5" s="670"/>
      <c r="AY5" s="668"/>
      <c r="AZ5" s="669">
        <f>267.2789+12</f>
        <v>279.27890000000002</v>
      </c>
      <c r="BA5" s="671">
        <v>818.18594104308386</v>
      </c>
      <c r="BB5" s="664">
        <f>725+106+103+15</f>
        <v>949</v>
      </c>
      <c r="BC5" s="662">
        <f>307.925+12</f>
        <v>319.92500000000001</v>
      </c>
      <c r="BD5" s="670"/>
      <c r="BE5" s="664"/>
      <c r="BF5" s="669">
        <f>307.925+12</f>
        <v>319.92500000000001</v>
      </c>
      <c r="BG5" s="670">
        <v>968.8888888888888</v>
      </c>
      <c r="BH5" s="664">
        <f>805+106+103+15</f>
        <v>1029</v>
      </c>
      <c r="BI5" s="662"/>
      <c r="BJ5" s="670"/>
      <c r="BK5" s="664"/>
      <c r="BL5" s="836">
        <f>312.8518+12</f>
        <v>324.85180000000003</v>
      </c>
      <c r="BM5" s="837">
        <v>852.97052154195012</v>
      </c>
      <c r="BN5" s="838">
        <f>735+106+103+15</f>
        <v>959</v>
      </c>
      <c r="BO5" s="662">
        <f>341.1809+12</f>
        <v>353.18090000000001</v>
      </c>
      <c r="BP5" s="671"/>
      <c r="BQ5" s="664"/>
      <c r="BR5" s="669">
        <f>466.8143+12</f>
        <v>478.8143</v>
      </c>
      <c r="BS5" s="671">
        <v>948</v>
      </c>
      <c r="BT5" s="664">
        <f>842+106+103+15</f>
        <v>1066</v>
      </c>
      <c r="BU5" s="672"/>
      <c r="BV5" s="673"/>
      <c r="BW5" s="674"/>
      <c r="BX5" s="662">
        <f>351.0345+12</f>
        <v>363.03449999999998</v>
      </c>
      <c r="BY5" s="673">
        <v>933</v>
      </c>
      <c r="BZ5" s="664">
        <f>827+106+103+15</f>
        <v>1051</v>
      </c>
      <c r="CA5" s="672"/>
      <c r="CB5" s="673"/>
      <c r="CC5" s="674"/>
      <c r="CD5" s="669">
        <f>375.6685+12</f>
        <v>387.66849999999999</v>
      </c>
      <c r="CE5" s="675">
        <v>1039</v>
      </c>
      <c r="CF5" s="664">
        <f>933+106+103+15</f>
        <v>1157</v>
      </c>
      <c r="CG5" s="672"/>
      <c r="CH5" s="673"/>
      <c r="CI5" s="674"/>
      <c r="CJ5" s="669">
        <f>474.2045+12</f>
        <v>486.2045</v>
      </c>
      <c r="CK5" s="671"/>
      <c r="CL5" s="664"/>
      <c r="CM5" s="672"/>
      <c r="CN5" s="676"/>
      <c r="CO5" s="677"/>
      <c r="CP5" s="678">
        <f>491.4483+12</f>
        <v>503.44830000000002</v>
      </c>
      <c r="CQ5" s="676"/>
      <c r="CR5" s="677"/>
      <c r="CS5" s="678"/>
      <c r="CT5" s="676"/>
      <c r="CU5" s="677"/>
      <c r="CV5" s="669"/>
      <c r="CW5" s="676">
        <v>1025</v>
      </c>
      <c r="CX5" s="664">
        <f>919+106+103+15</f>
        <v>1143</v>
      </c>
      <c r="CY5" s="669">
        <f>341.1809+12</f>
        <v>353.18090000000001</v>
      </c>
      <c r="CZ5" s="676"/>
      <c r="DA5" s="677"/>
      <c r="DB5" s="669"/>
      <c r="DC5" s="676"/>
      <c r="DD5" s="677"/>
      <c r="DE5" s="669">
        <f>347.3394+12</f>
        <v>359.33940000000001</v>
      </c>
      <c r="DF5" s="676">
        <v>1047</v>
      </c>
      <c r="DG5" s="677"/>
      <c r="DH5" s="669"/>
      <c r="DI5" s="676"/>
      <c r="DJ5" s="677"/>
      <c r="DK5" s="678"/>
      <c r="DL5" s="676">
        <v>1139</v>
      </c>
      <c r="DM5" s="664">
        <f>1033+106+103+15</f>
        <v>1257</v>
      </c>
      <c r="DN5" s="669">
        <f>925+12</f>
        <v>937</v>
      </c>
      <c r="DO5" s="676"/>
      <c r="DP5" s="677"/>
      <c r="DQ5" s="669"/>
      <c r="DR5" s="676"/>
      <c r="DS5" s="677"/>
      <c r="DT5" s="669"/>
      <c r="DU5" s="676"/>
      <c r="DV5" s="677"/>
      <c r="DW5" s="669"/>
      <c r="DX5" s="676"/>
      <c r="DY5" s="677"/>
      <c r="DZ5" s="669"/>
      <c r="EA5" s="676"/>
      <c r="EB5" s="677"/>
      <c r="EC5" s="678"/>
      <c r="ED5" s="676"/>
      <c r="EE5" s="677"/>
      <c r="EF5" s="669"/>
      <c r="EG5" s="676"/>
      <c r="EH5" s="677"/>
      <c r="EI5" s="669"/>
      <c r="EJ5" s="676"/>
      <c r="EK5" s="677"/>
      <c r="EL5" s="669"/>
      <c r="EM5" s="676"/>
      <c r="EN5" s="677"/>
      <c r="EO5" s="679"/>
      <c r="EP5" s="669"/>
      <c r="EQ5" s="676"/>
      <c r="ER5" s="677"/>
      <c r="ES5" s="669"/>
      <c r="ET5" s="676"/>
      <c r="EU5" s="677"/>
      <c r="EV5" s="669"/>
      <c r="EW5" s="676"/>
      <c r="EX5" s="677"/>
      <c r="EY5" s="678"/>
      <c r="EZ5" s="676"/>
      <c r="FA5" s="677"/>
      <c r="FB5" s="669"/>
      <c r="FC5" s="676"/>
      <c r="FD5" s="677"/>
      <c r="FE5" s="669"/>
      <c r="FF5" s="676"/>
      <c r="FG5" s="677"/>
      <c r="FH5" s="669"/>
      <c r="FI5" s="676"/>
      <c r="FJ5" s="677"/>
      <c r="FK5" s="669"/>
      <c r="FL5" s="676"/>
      <c r="FM5" s="677"/>
      <c r="FN5" s="669"/>
      <c r="FO5" s="676"/>
      <c r="FP5" s="677"/>
      <c r="FQ5" s="678"/>
      <c r="FR5" s="676"/>
      <c r="FS5" s="677"/>
      <c r="FT5" s="669"/>
      <c r="FU5" s="676"/>
      <c r="FV5" s="677"/>
      <c r="FW5" s="669"/>
      <c r="FX5" s="676"/>
      <c r="FY5" s="677"/>
      <c r="FZ5" s="669"/>
      <c r="GA5" s="676"/>
      <c r="GB5" s="677"/>
      <c r="GC5" s="669"/>
      <c r="GD5" s="676"/>
      <c r="GE5" s="677"/>
    </row>
    <row r="6" spans="1:187" s="640" customFormat="1" ht="36" customHeight="1" x14ac:dyDescent="0.25">
      <c r="A6" s="4007" t="s">
        <v>2314</v>
      </c>
      <c r="B6" s="4007"/>
      <c r="C6" s="640">
        <v>14</v>
      </c>
      <c r="D6" s="680">
        <f>315.3152+12</f>
        <v>327.3152</v>
      </c>
      <c r="E6" s="681"/>
      <c r="F6" s="682">
        <f>986+106+103+15</f>
        <v>1210</v>
      </c>
      <c r="G6" s="683">
        <f>331.3273+12</f>
        <v>343.32729999999998</v>
      </c>
      <c r="H6" s="681"/>
      <c r="I6" s="684">
        <f>999+106+103+15</f>
        <v>1223</v>
      </c>
      <c r="J6" s="680">
        <v>558</v>
      </c>
      <c r="K6" s="681"/>
      <c r="L6" s="685"/>
      <c r="M6" s="686">
        <f>545.6431+12</f>
        <v>557.6431</v>
      </c>
      <c r="N6" s="681"/>
      <c r="O6" s="685"/>
      <c r="P6" s="680"/>
      <c r="Q6" s="681"/>
      <c r="R6" s="682"/>
      <c r="S6" s="680"/>
      <c r="T6" s="681"/>
      <c r="U6" s="682"/>
      <c r="V6" s="680"/>
      <c r="W6" s="681"/>
      <c r="X6" s="682"/>
      <c r="Y6" s="683"/>
      <c r="Z6" s="681"/>
      <c r="AA6" s="685"/>
      <c r="AB6" s="680"/>
      <c r="AC6" s="681"/>
      <c r="AD6" s="685"/>
      <c r="AE6" s="680"/>
      <c r="AF6" s="681"/>
      <c r="AG6" s="685"/>
      <c r="AH6" s="680"/>
      <c r="AI6" s="681"/>
      <c r="AJ6" s="685"/>
      <c r="AK6" s="680"/>
      <c r="AL6" s="681"/>
      <c r="AM6" s="685"/>
      <c r="AN6" s="680"/>
      <c r="AO6" s="681"/>
      <c r="AP6" s="685"/>
      <c r="AQ6" s="683"/>
      <c r="AR6" s="681"/>
      <c r="AS6" s="685"/>
      <c r="AT6" s="680"/>
      <c r="AU6" s="681"/>
      <c r="AV6" s="685"/>
      <c r="AW6" s="680"/>
      <c r="AX6" s="681"/>
      <c r="AY6" s="685"/>
      <c r="AZ6" s="686">
        <f>322.7054+12</f>
        <v>334.7054</v>
      </c>
      <c r="BA6" s="681">
        <v>1040.3628117913831</v>
      </c>
      <c r="BB6" s="682">
        <f>1019+106+103+15</f>
        <v>1243</v>
      </c>
      <c r="BC6" s="680">
        <f>360.8881+12</f>
        <v>372.88810000000001</v>
      </c>
      <c r="BD6" s="687"/>
      <c r="BE6" s="682"/>
      <c r="BF6" s="686">
        <f>360.8881+12</f>
        <v>372.88810000000001</v>
      </c>
      <c r="BG6" s="687">
        <v>1241.2925170068027</v>
      </c>
      <c r="BH6" s="682">
        <f>1099+106+103+15</f>
        <v>1323</v>
      </c>
      <c r="BI6" s="680"/>
      <c r="BJ6" s="687"/>
      <c r="BK6" s="682"/>
      <c r="BL6" s="836">
        <f>374.4368+12</f>
        <v>386.43680000000001</v>
      </c>
      <c r="BM6" s="837">
        <v>1086.7346938775511</v>
      </c>
      <c r="BN6" s="838">
        <f>1029+106+103+15</f>
        <v>1253</v>
      </c>
      <c r="BO6" s="680">
        <f>392.9123+12</f>
        <v>404.91230000000002</v>
      </c>
      <c r="BP6" s="681"/>
      <c r="BQ6" s="682"/>
      <c r="BR6" s="686">
        <f>545.6431+12</f>
        <v>557.6431</v>
      </c>
      <c r="BS6" s="681">
        <v>1242</v>
      </c>
      <c r="BT6" s="682">
        <f>1136+106+103+15</f>
        <v>1360</v>
      </c>
      <c r="BU6" s="688"/>
      <c r="BV6" s="689"/>
      <c r="BW6" s="690"/>
      <c r="BX6" s="680">
        <f>429.8633+12</f>
        <v>441.86329999999998</v>
      </c>
      <c r="BY6" s="689">
        <v>1227</v>
      </c>
      <c r="BZ6" s="682">
        <f>1121+106+103+15</f>
        <v>1345</v>
      </c>
      <c r="CA6" s="688"/>
      <c r="CB6" s="689"/>
      <c r="CC6" s="690"/>
      <c r="CD6" s="686">
        <f>463.1192+12</f>
        <v>475.11919999999998</v>
      </c>
      <c r="CE6" s="691">
        <v>1333</v>
      </c>
      <c r="CF6" s="682">
        <f>1227+106+103+15</f>
        <v>1451</v>
      </c>
      <c r="CG6" s="688"/>
      <c r="CH6" s="689"/>
      <c r="CI6" s="690"/>
      <c r="CJ6" s="686">
        <f>553.0333+12</f>
        <v>565.03330000000005</v>
      </c>
      <c r="CK6" s="681"/>
      <c r="CL6" s="682"/>
      <c r="CM6" s="688"/>
      <c r="CN6" s="692"/>
      <c r="CO6" s="693"/>
      <c r="CP6" s="694">
        <f>577.6673+12</f>
        <v>589.66729999999995</v>
      </c>
      <c r="CQ6" s="692"/>
      <c r="CR6" s="693"/>
      <c r="CS6" s="694"/>
      <c r="CT6" s="692"/>
      <c r="CU6" s="693"/>
      <c r="CV6" s="686"/>
      <c r="CW6" s="692">
        <v>1319</v>
      </c>
      <c r="CX6" s="682">
        <f>1213+106+103+15</f>
        <v>1437</v>
      </c>
      <c r="CY6" s="686">
        <f>392.9123+12</f>
        <v>404.91230000000002</v>
      </c>
      <c r="CZ6" s="692"/>
      <c r="DA6" s="693"/>
      <c r="DB6" s="686"/>
      <c r="DC6" s="692"/>
      <c r="DD6" s="693"/>
      <c r="DE6" s="686">
        <f>407.6927+12</f>
        <v>419.6927</v>
      </c>
      <c r="DF6" s="692">
        <v>1341</v>
      </c>
      <c r="DG6" s="693"/>
      <c r="DH6" s="686"/>
      <c r="DI6" s="692"/>
      <c r="DJ6" s="693"/>
      <c r="DK6" s="694"/>
      <c r="DL6" s="692">
        <v>1433</v>
      </c>
      <c r="DM6" s="682">
        <f>1327+106+103+15</f>
        <v>1551</v>
      </c>
      <c r="DN6" s="686" t="s">
        <v>2316</v>
      </c>
      <c r="DO6" s="692"/>
      <c r="DP6" s="693"/>
      <c r="DQ6" s="686"/>
      <c r="DR6" s="692"/>
      <c r="DS6" s="693"/>
      <c r="DT6" s="686"/>
      <c r="DU6" s="692"/>
      <c r="DV6" s="693"/>
      <c r="DW6" s="686"/>
      <c r="DX6" s="692"/>
      <c r="DY6" s="693"/>
      <c r="DZ6" s="686"/>
      <c r="EA6" s="692"/>
      <c r="EB6" s="693"/>
      <c r="EC6" s="694"/>
      <c r="ED6" s="692"/>
      <c r="EE6" s="693"/>
      <c r="EF6" s="686"/>
      <c r="EG6" s="692"/>
      <c r="EH6" s="693"/>
      <c r="EI6" s="686"/>
      <c r="EJ6" s="692"/>
      <c r="EK6" s="693"/>
      <c r="EL6" s="686"/>
      <c r="EM6" s="692"/>
      <c r="EN6" s="693"/>
      <c r="EO6" s="695"/>
      <c r="EP6" s="686"/>
      <c r="EQ6" s="692"/>
      <c r="ER6" s="693"/>
      <c r="ES6" s="686"/>
      <c r="ET6" s="692"/>
      <c r="EU6" s="693"/>
      <c r="EV6" s="686"/>
      <c r="EW6" s="692"/>
      <c r="EX6" s="693"/>
      <c r="EY6" s="694"/>
      <c r="EZ6" s="692"/>
      <c r="FA6" s="693"/>
      <c r="FB6" s="686"/>
      <c r="FC6" s="692"/>
      <c r="FD6" s="693"/>
      <c r="FE6" s="686"/>
      <c r="FF6" s="692"/>
      <c r="FG6" s="693"/>
      <c r="FH6" s="686"/>
      <c r="FI6" s="692"/>
      <c r="FJ6" s="693"/>
      <c r="FK6" s="686"/>
      <c r="FL6" s="692"/>
      <c r="FM6" s="693"/>
      <c r="FN6" s="686"/>
      <c r="FO6" s="692"/>
      <c r="FP6" s="693"/>
      <c r="FQ6" s="694"/>
      <c r="FR6" s="692"/>
      <c r="FS6" s="693"/>
      <c r="FT6" s="686"/>
      <c r="FU6" s="692"/>
      <c r="FV6" s="693"/>
      <c r="FW6" s="686"/>
      <c r="FX6" s="692"/>
      <c r="FY6" s="693"/>
      <c r="FZ6" s="686"/>
      <c r="GA6" s="692"/>
      <c r="GB6" s="693"/>
      <c r="GC6" s="686"/>
      <c r="GD6" s="692"/>
      <c r="GE6" s="693"/>
    </row>
    <row r="7" spans="1:187" s="714" customFormat="1" ht="36" customHeight="1" thickBot="1" x14ac:dyDescent="0.3">
      <c r="A7" s="4007" t="s">
        <v>2314</v>
      </c>
      <c r="B7" s="4007"/>
      <c r="C7" s="640">
        <v>12</v>
      </c>
      <c r="D7" s="696">
        <f>+D6+350+12</f>
        <v>689.3152</v>
      </c>
      <c r="E7" s="697"/>
      <c r="F7" s="698"/>
      <c r="G7" s="699">
        <f>+G6+350+12</f>
        <v>705.32729999999992</v>
      </c>
      <c r="H7" s="697"/>
      <c r="I7" s="700"/>
      <c r="J7" s="696">
        <v>920</v>
      </c>
      <c r="K7" s="701"/>
      <c r="L7" s="702"/>
      <c r="M7" s="703">
        <f>+M6+350+12</f>
        <v>919.6431</v>
      </c>
      <c r="N7" s="701"/>
      <c r="O7" s="702"/>
      <c r="P7" s="696"/>
      <c r="Q7" s="697"/>
      <c r="R7" s="698"/>
      <c r="S7" s="696"/>
      <c r="T7" s="697"/>
      <c r="U7" s="698"/>
      <c r="V7" s="696"/>
      <c r="W7" s="697"/>
      <c r="X7" s="698"/>
      <c r="Y7" s="699"/>
      <c r="Z7" s="701"/>
      <c r="AA7" s="702"/>
      <c r="AB7" s="696"/>
      <c r="AC7" s="701"/>
      <c r="AD7" s="702"/>
      <c r="AE7" s="696"/>
      <c r="AF7" s="701"/>
      <c r="AG7" s="702"/>
      <c r="AH7" s="696"/>
      <c r="AI7" s="701"/>
      <c r="AJ7" s="702"/>
      <c r="AK7" s="696"/>
      <c r="AL7" s="701"/>
      <c r="AM7" s="702"/>
      <c r="AN7" s="696"/>
      <c r="AO7" s="701"/>
      <c r="AP7" s="702"/>
      <c r="AQ7" s="699"/>
      <c r="AR7" s="701"/>
      <c r="AS7" s="702"/>
      <c r="AT7" s="696"/>
      <c r="AU7" s="701"/>
      <c r="AV7" s="702"/>
      <c r="AW7" s="696"/>
      <c r="AX7" s="701"/>
      <c r="AY7" s="702"/>
      <c r="AZ7" s="703">
        <f>+AZ6+350+12</f>
        <v>696.70540000000005</v>
      </c>
      <c r="BA7" s="697">
        <v>1623.8321995464853</v>
      </c>
      <c r="BB7" s="702"/>
      <c r="BC7" s="696">
        <f>+BC6+350+12</f>
        <v>734.88810000000001</v>
      </c>
      <c r="BD7" s="701"/>
      <c r="BE7" s="698"/>
      <c r="BF7" s="703">
        <f>+BF6+350+12</f>
        <v>734.88810000000001</v>
      </c>
      <c r="BG7" s="701">
        <v>1952.2675736961453</v>
      </c>
      <c r="BH7" s="698"/>
      <c r="BI7" s="696"/>
      <c r="BJ7" s="701"/>
      <c r="BK7" s="698"/>
      <c r="BL7" s="839">
        <f>+BL6+350+12</f>
        <v>748.43679999999995</v>
      </c>
      <c r="BM7" s="840">
        <v>1700.1360544217687</v>
      </c>
      <c r="BN7" s="841"/>
      <c r="BO7" s="696">
        <f>+BO6+350+12</f>
        <v>766.91229999999996</v>
      </c>
      <c r="BP7" s="701"/>
      <c r="BQ7" s="702"/>
      <c r="BR7" s="703">
        <f>+BR6+350+12</f>
        <v>919.6431</v>
      </c>
      <c r="BS7" s="697"/>
      <c r="BT7" s="698"/>
      <c r="BU7" s="704"/>
      <c r="BV7" s="705"/>
      <c r="BW7" s="706"/>
      <c r="BX7" s="696">
        <f>+BX6+350+12</f>
        <v>803.86329999999998</v>
      </c>
      <c r="BY7" s="705"/>
      <c r="BZ7" s="706"/>
      <c r="CA7" s="707"/>
      <c r="CB7" s="708"/>
      <c r="CC7" s="709"/>
      <c r="CD7" s="703">
        <f>+CD6+350+12</f>
        <v>837.11919999999998</v>
      </c>
      <c r="CE7" s="705"/>
      <c r="CF7" s="698"/>
      <c r="CG7" s="707"/>
      <c r="CH7" s="708"/>
      <c r="CI7" s="709"/>
      <c r="CJ7" s="703">
        <f>+CJ6+350+12</f>
        <v>927.03330000000005</v>
      </c>
      <c r="CK7" s="701"/>
      <c r="CL7" s="702"/>
      <c r="CM7" s="704"/>
      <c r="CN7" s="710"/>
      <c r="CO7" s="711"/>
      <c r="CP7" s="712">
        <f>+CP6+350+12</f>
        <v>951.66729999999995</v>
      </c>
      <c r="CQ7" s="710"/>
      <c r="CR7" s="711"/>
      <c r="CS7" s="712"/>
      <c r="CT7" s="710"/>
      <c r="CU7" s="711"/>
      <c r="CV7" s="703"/>
      <c r="CW7" s="710"/>
      <c r="CX7" s="711"/>
      <c r="CY7" s="703">
        <f>+CY6+350+12</f>
        <v>766.91229999999996</v>
      </c>
      <c r="CZ7" s="710"/>
      <c r="DA7" s="711"/>
      <c r="DB7" s="703"/>
      <c r="DC7" s="710"/>
      <c r="DD7" s="711"/>
      <c r="DE7" s="703">
        <f>+DE6+350+12</f>
        <v>781.69270000000006</v>
      </c>
      <c r="DF7" s="710"/>
      <c r="DG7" s="711"/>
      <c r="DH7" s="703"/>
      <c r="DI7" s="710"/>
      <c r="DJ7" s="711"/>
      <c r="DK7" s="712"/>
      <c r="DL7" s="710"/>
      <c r="DM7" s="711"/>
      <c r="DN7" s="703" t="s">
        <v>2316</v>
      </c>
      <c r="DO7" s="710"/>
      <c r="DP7" s="711"/>
      <c r="DQ7" s="703"/>
      <c r="DR7" s="710"/>
      <c r="DS7" s="711"/>
      <c r="DT7" s="703"/>
      <c r="DU7" s="710"/>
      <c r="DV7" s="711"/>
      <c r="DW7" s="703"/>
      <c r="DX7" s="710"/>
      <c r="DY7" s="711"/>
      <c r="DZ7" s="703"/>
      <c r="EA7" s="710"/>
      <c r="EB7" s="711"/>
      <c r="EC7" s="712"/>
      <c r="ED7" s="710"/>
      <c r="EE7" s="711"/>
      <c r="EF7" s="703"/>
      <c r="EG7" s="710"/>
      <c r="EH7" s="711"/>
      <c r="EI7" s="703"/>
      <c r="EJ7" s="710"/>
      <c r="EK7" s="711"/>
      <c r="EL7" s="703"/>
      <c r="EM7" s="710"/>
      <c r="EN7" s="711"/>
      <c r="EO7" s="713"/>
      <c r="EP7" s="703"/>
      <c r="EQ7" s="710"/>
      <c r="ER7" s="711"/>
      <c r="ES7" s="703"/>
      <c r="ET7" s="710"/>
      <c r="EU7" s="711"/>
      <c r="EV7" s="703"/>
      <c r="EW7" s="710"/>
      <c r="EX7" s="711"/>
      <c r="EY7" s="712"/>
      <c r="EZ7" s="710"/>
      <c r="FA7" s="711"/>
      <c r="FB7" s="703"/>
      <c r="FC7" s="710"/>
      <c r="FD7" s="711"/>
      <c r="FE7" s="703"/>
      <c r="FF7" s="710"/>
      <c r="FG7" s="711"/>
      <c r="FH7" s="703"/>
      <c r="FI7" s="710"/>
      <c r="FJ7" s="711"/>
      <c r="FK7" s="703"/>
      <c r="FL7" s="710"/>
      <c r="FM7" s="711"/>
      <c r="FN7" s="703"/>
      <c r="FO7" s="710"/>
      <c r="FP7" s="711"/>
      <c r="FQ7" s="712"/>
      <c r="FR7" s="710"/>
      <c r="FS7" s="711"/>
      <c r="FT7" s="703"/>
      <c r="FU7" s="710"/>
      <c r="FV7" s="711"/>
      <c r="FW7" s="703"/>
      <c r="FX7" s="710"/>
      <c r="FY7" s="711"/>
      <c r="FZ7" s="703"/>
      <c r="GA7" s="710"/>
      <c r="GB7" s="711"/>
      <c r="GC7" s="703"/>
      <c r="GD7" s="710"/>
      <c r="GE7" s="711"/>
    </row>
    <row r="8" spans="1:187" ht="36" customHeight="1" x14ac:dyDescent="0.25">
      <c r="B8" s="820"/>
      <c r="C8" s="398"/>
      <c r="D8" s="398"/>
      <c r="E8" s="398"/>
      <c r="F8" s="137"/>
      <c r="G8" s="137"/>
      <c r="H8" s="137"/>
      <c r="I8" s="715"/>
      <c r="J8" s="137"/>
      <c r="K8" s="137"/>
      <c r="L8" s="716"/>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717"/>
      <c r="BC8" s="137"/>
      <c r="BE8" s="137"/>
      <c r="BF8" s="137"/>
      <c r="BH8" s="137"/>
      <c r="BI8" s="137"/>
      <c r="BK8" s="137"/>
      <c r="BL8" s="137"/>
      <c r="BM8" s="137"/>
      <c r="BN8" s="137"/>
      <c r="BO8" s="137"/>
      <c r="BP8" s="137"/>
      <c r="BQ8" s="137"/>
      <c r="BR8" s="137"/>
      <c r="BS8" s="137"/>
      <c r="BT8" s="137"/>
      <c r="BU8" s="137"/>
      <c r="BV8" s="137"/>
      <c r="CA8" s="398"/>
      <c r="CB8" s="398"/>
      <c r="CC8" s="398"/>
      <c r="CD8" s="137"/>
      <c r="CE8" s="137"/>
      <c r="CF8" s="137"/>
      <c r="CG8" s="398"/>
      <c r="CH8" s="398"/>
      <c r="CI8" s="398"/>
    </row>
    <row r="9" spans="1:187" s="718" customFormat="1" hidden="1" x14ac:dyDescent="0.2">
      <c r="C9" s="719"/>
      <c r="D9" s="719"/>
      <c r="E9" s="719"/>
      <c r="F9" s="720"/>
      <c r="G9" s="720"/>
      <c r="H9" s="720"/>
      <c r="I9" s="720"/>
      <c r="J9" s="720"/>
      <c r="K9" s="720"/>
      <c r="L9" s="720"/>
      <c r="M9" s="720"/>
      <c r="N9" s="720"/>
      <c r="O9" s="720"/>
      <c r="P9" s="719"/>
      <c r="Q9" s="719"/>
      <c r="R9" s="719"/>
      <c r="S9" s="719"/>
      <c r="T9" s="719"/>
      <c r="U9" s="719"/>
      <c r="V9" s="719"/>
      <c r="W9" s="719"/>
      <c r="X9" s="721"/>
      <c r="Y9" s="721"/>
      <c r="Z9" s="721"/>
      <c r="AA9" s="721"/>
      <c r="AB9" s="721"/>
      <c r="AC9" s="721"/>
      <c r="AD9" s="721"/>
      <c r="AE9" s="721"/>
      <c r="AF9" s="721"/>
      <c r="AG9" s="721"/>
      <c r="AH9" s="721"/>
      <c r="AI9" s="721"/>
      <c r="AJ9" s="721"/>
      <c r="AK9" s="721"/>
      <c r="AL9" s="721"/>
      <c r="AM9" s="721"/>
      <c r="AN9" s="721"/>
      <c r="AO9" s="721"/>
      <c r="AP9" s="721"/>
      <c r="AQ9" s="721"/>
      <c r="AR9"/>
      <c r="AS9" s="721"/>
      <c r="AT9" s="721"/>
      <c r="AU9" s="721"/>
      <c r="AV9" s="721"/>
      <c r="AW9" s="721"/>
      <c r="AX9" s="721"/>
      <c r="AY9" s="721"/>
      <c r="AZ9" s="721"/>
      <c r="BA9" s="721"/>
      <c r="BB9" s="721"/>
      <c r="BC9" s="722"/>
      <c r="BD9" s="722"/>
      <c r="BE9" s="722"/>
      <c r="BF9" s="722"/>
      <c r="BG9" s="722"/>
      <c r="BH9" s="722"/>
      <c r="BI9" s="722"/>
      <c r="BJ9" s="722"/>
      <c r="BK9" s="722"/>
      <c r="BL9" s="722"/>
      <c r="BM9" s="722"/>
      <c r="BN9" s="722"/>
      <c r="BO9" s="722"/>
      <c r="BP9" s="722"/>
      <c r="BQ9" s="722"/>
      <c r="BR9" s="722"/>
      <c r="BS9" s="722"/>
      <c r="BT9" s="722"/>
      <c r="BU9" s="722"/>
      <c r="BV9" s="722"/>
      <c r="BW9" s="722"/>
      <c r="BX9" s="722"/>
      <c r="BY9" s="722"/>
      <c r="BZ9" s="722"/>
      <c r="CA9" s="398"/>
      <c r="CB9" s="398"/>
      <c r="CC9" s="398"/>
      <c r="CD9" s="722"/>
      <c r="CE9" s="722"/>
      <c r="CF9" s="722"/>
      <c r="CG9" s="398"/>
      <c r="CH9" s="398"/>
      <c r="CI9" s="398"/>
    </row>
    <row r="10" spans="1:187" s="714" customFormat="1" ht="13.8" hidden="1" x14ac:dyDescent="0.25">
      <c r="C10" s="724">
        <v>2068</v>
      </c>
      <c r="D10" s="724"/>
      <c r="E10" s="724"/>
      <c r="F10" s="724"/>
      <c r="G10" s="724">
        <v>2468</v>
      </c>
      <c r="H10" s="640"/>
      <c r="I10" s="640"/>
      <c r="K10" s="725"/>
      <c r="L10" s="725"/>
      <c r="N10" s="725"/>
      <c r="O10" s="725"/>
      <c r="Q10" s="725"/>
      <c r="R10" s="725"/>
      <c r="T10" s="725"/>
      <c r="U10" s="725"/>
      <c r="W10" s="725"/>
      <c r="X10" s="725"/>
      <c r="Z10" s="725"/>
      <c r="AA10" s="725"/>
      <c r="AC10" s="725"/>
      <c r="AD10" s="725"/>
      <c r="AF10" s="725"/>
      <c r="AG10" s="725"/>
      <c r="AI10" s="721"/>
      <c r="AJ10" s="721"/>
      <c r="AL10" s="721"/>
      <c r="AM10" s="725"/>
      <c r="AO10"/>
      <c r="AP10" s="725"/>
      <c r="AR10" s="725"/>
      <c r="AS10" s="725"/>
      <c r="AU10" s="725"/>
      <c r="AV10" s="725"/>
      <c r="AX10" s="725"/>
      <c r="AY10" s="725"/>
      <c r="CB10" s="398"/>
      <c r="CC10" s="398"/>
      <c r="CH10" s="398"/>
      <c r="CI10" s="398"/>
    </row>
    <row r="11" spans="1:187" s="714" customFormat="1" ht="13.8" hidden="1" x14ac:dyDescent="0.25">
      <c r="C11" s="724">
        <v>2070</v>
      </c>
      <c r="D11" s="724"/>
      <c r="E11" s="724"/>
      <c r="F11" s="724"/>
      <c r="G11" s="724">
        <v>2470</v>
      </c>
      <c r="H11" s="640"/>
      <c r="I11" s="640"/>
      <c r="K11" s="725"/>
      <c r="L11" s="725"/>
      <c r="N11" s="640"/>
      <c r="O11" s="640"/>
      <c r="Q11" s="640"/>
      <c r="R11" s="640"/>
      <c r="T11" s="640"/>
      <c r="U11" s="640"/>
      <c r="W11" s="640"/>
      <c r="X11" s="640"/>
      <c r="Z11" s="725"/>
      <c r="AA11" s="725"/>
      <c r="AC11" s="725"/>
      <c r="AD11" s="725"/>
      <c r="AF11" s="725"/>
      <c r="AG11" s="725"/>
      <c r="AI11" s="721"/>
      <c r="AJ11" s="721"/>
      <c r="AL11" s="721"/>
      <c r="AM11" s="725"/>
      <c r="AO11" s="725"/>
      <c r="AP11" s="725"/>
      <c r="AR11" s="725"/>
      <c r="AS11" s="725"/>
      <c r="AU11" s="725"/>
      <c r="AV11" s="725"/>
      <c r="AX11" s="725"/>
      <c r="AY11" s="725"/>
      <c r="BA11" s="725"/>
      <c r="BB11" s="725"/>
      <c r="BD11" s="725"/>
      <c r="BE11" s="725"/>
      <c r="BG11" s="725"/>
      <c r="BH11" s="725"/>
      <c r="CB11" s="398"/>
      <c r="CC11" s="398"/>
      <c r="CH11" s="398"/>
      <c r="CI11" s="398"/>
    </row>
    <row r="12" spans="1:187" s="726" customFormat="1" ht="13.8" hidden="1" x14ac:dyDescent="0.25">
      <c r="C12" s="724">
        <v>2080</v>
      </c>
      <c r="D12" s="724"/>
      <c r="E12" s="724"/>
      <c r="F12" s="724"/>
      <c r="G12" s="724">
        <v>2480</v>
      </c>
      <c r="H12" s="727"/>
      <c r="I12" s="727"/>
      <c r="K12" s="728"/>
      <c r="L12" s="728"/>
      <c r="N12" s="729"/>
      <c r="Q12" s="730"/>
      <c r="T12" s="730"/>
      <c r="U12" s="730"/>
      <c r="W12" s="730"/>
      <c r="X12" s="727"/>
      <c r="Z12" s="728"/>
      <c r="AA12" s="728"/>
      <c r="AC12" s="728"/>
      <c r="AD12" s="728"/>
      <c r="AF12" s="728"/>
      <c r="AG12" s="728"/>
      <c r="AI12" s="721"/>
      <c r="AJ12" s="721"/>
      <c r="AL12" s="721"/>
      <c r="AM12" s="728"/>
      <c r="AO12" s="728"/>
      <c r="AP12" s="728"/>
      <c r="AR12" s="728"/>
      <c r="AS12" s="728"/>
      <c r="AU12" s="728"/>
      <c r="AV12" s="728"/>
      <c r="AX12" s="728"/>
      <c r="AY12" s="728"/>
      <c r="BA12" s="728"/>
      <c r="BB12" s="728"/>
      <c r="BD12" s="728"/>
      <c r="BE12" s="728"/>
      <c r="BG12" s="728"/>
      <c r="BH12" s="728"/>
      <c r="CB12" s="398"/>
      <c r="CC12" s="398"/>
      <c r="CH12" s="398"/>
      <c r="CI12" s="398"/>
    </row>
    <row r="13" spans="1:187" s="726" customFormat="1" ht="13.8" hidden="1" x14ac:dyDescent="0.25">
      <c r="C13" s="724">
        <v>2090</v>
      </c>
      <c r="D13" s="724"/>
      <c r="E13" s="724"/>
      <c r="F13" s="724"/>
      <c r="G13" s="724">
        <v>2490</v>
      </c>
      <c r="H13" s="727"/>
      <c r="I13" s="727"/>
      <c r="K13" s="728"/>
      <c r="L13" s="728"/>
      <c r="Q13" s="730"/>
      <c r="T13" s="730"/>
      <c r="U13" s="730"/>
      <c r="W13" s="730"/>
      <c r="X13" s="730"/>
      <c r="Z13" s="728"/>
      <c r="AA13" s="728"/>
      <c r="AC13" s="728"/>
      <c r="AD13" s="728"/>
      <c r="AF13" s="728"/>
      <c r="AG13" s="728"/>
      <c r="AI13" s="721"/>
      <c r="AJ13" s="721"/>
      <c r="AL13" s="721"/>
      <c r="AM13" s="728"/>
      <c r="AO13" s="728"/>
      <c r="AP13" s="728"/>
      <c r="AR13" s="728"/>
      <c r="AS13" s="728"/>
      <c r="AU13" s="728"/>
      <c r="AV13" s="728"/>
      <c r="AX13" s="728"/>
      <c r="AY13" s="728"/>
      <c r="BA13" s="728"/>
      <c r="BB13" s="728"/>
      <c r="BD13" s="728"/>
      <c r="BE13" s="728"/>
      <c r="BG13" s="728"/>
      <c r="BH13" s="728"/>
      <c r="CB13" s="398"/>
      <c r="CC13" s="398"/>
      <c r="CH13" s="398"/>
      <c r="CI13" s="398"/>
    </row>
    <row r="14" spans="1:187" s="726" customFormat="1" ht="13.8" hidden="1" x14ac:dyDescent="0.25">
      <c r="C14" s="724">
        <v>3068</v>
      </c>
      <c r="D14" s="724"/>
      <c r="E14" s="724"/>
      <c r="F14" s="724"/>
      <c r="G14" s="724">
        <v>3468</v>
      </c>
      <c r="H14" s="727"/>
      <c r="I14" s="727"/>
      <c r="K14" s="728"/>
      <c r="L14" s="728"/>
      <c r="Q14" s="730"/>
      <c r="T14" s="730"/>
      <c r="U14" s="730"/>
      <c r="W14" s="730"/>
      <c r="X14" s="730"/>
      <c r="Z14" s="728"/>
      <c r="AA14" s="728"/>
      <c r="AC14" s="728"/>
      <c r="AD14" s="728"/>
      <c r="AF14" s="728"/>
      <c r="AG14" s="728"/>
      <c r="AI14" s="721"/>
      <c r="AJ14" s="721"/>
      <c r="AL14" s="721"/>
      <c r="AM14" s="728"/>
      <c r="AO14" s="728"/>
      <c r="AP14" s="728"/>
      <c r="AR14" s="728"/>
      <c r="AS14" s="728"/>
      <c r="AU14" s="728"/>
      <c r="AV14" s="728"/>
      <c r="AX14" s="728"/>
      <c r="AY14" s="728"/>
      <c r="BA14" s="728"/>
      <c r="BB14" s="728"/>
      <c r="BD14" s="728"/>
      <c r="BE14" s="728"/>
      <c r="BG14" s="728"/>
      <c r="BH14" s="728"/>
      <c r="CB14" s="398"/>
      <c r="CC14" s="398"/>
    </row>
    <row r="15" spans="1:187" s="726" customFormat="1" ht="13.8" hidden="1" x14ac:dyDescent="0.25">
      <c r="C15" s="724">
        <v>3070</v>
      </c>
      <c r="D15" s="724"/>
      <c r="E15" s="724"/>
      <c r="F15" s="724"/>
      <c r="G15" s="724">
        <v>3470</v>
      </c>
      <c r="H15" s="727"/>
      <c r="I15" s="727"/>
      <c r="K15" s="728"/>
      <c r="L15" s="728"/>
      <c r="Q15" s="728"/>
      <c r="T15" s="728"/>
      <c r="U15" s="728"/>
      <c r="W15" s="728"/>
      <c r="X15" s="728"/>
      <c r="Z15" s="728"/>
      <c r="AA15" s="728"/>
      <c r="AI15" s="721"/>
      <c r="AJ15" s="721"/>
      <c r="AL15" s="721"/>
      <c r="CB15" s="398"/>
      <c r="CC15" s="398"/>
    </row>
    <row r="16" spans="1:187" s="714" customFormat="1" ht="13.8" hidden="1" x14ac:dyDescent="0.25">
      <c r="C16" s="724">
        <v>3080</v>
      </c>
      <c r="D16" s="724"/>
      <c r="E16" s="724"/>
      <c r="F16" s="724"/>
      <c r="G16" s="724">
        <v>3480</v>
      </c>
      <c r="H16" s="640"/>
      <c r="I16" s="640"/>
      <c r="K16" s="725"/>
      <c r="L16" s="725"/>
      <c r="N16" s="725"/>
      <c r="O16" s="725"/>
      <c r="Q16" s="725"/>
      <c r="R16" s="725"/>
      <c r="T16" s="725"/>
      <c r="U16" s="725"/>
      <c r="W16" s="725"/>
      <c r="X16" s="725"/>
      <c r="Z16" s="725"/>
      <c r="AA16" s="725"/>
      <c r="AI16" s="721"/>
      <c r="AJ16" s="721"/>
      <c r="AL16" s="721"/>
      <c r="CB16" s="398"/>
      <c r="CC16" s="398"/>
    </row>
    <row r="17" spans="1:19" s="714" customFormat="1" ht="13.8" hidden="1" x14ac:dyDescent="0.25">
      <c r="C17" s="724">
        <v>3090</v>
      </c>
      <c r="D17" s="724"/>
      <c r="E17" s="724"/>
      <c r="F17" s="724"/>
      <c r="G17" s="724">
        <v>3490</v>
      </c>
      <c r="H17" s="640"/>
      <c r="I17" s="640"/>
      <c r="K17" s="725"/>
      <c r="L17" s="725"/>
      <c r="N17" s="731"/>
      <c r="O17" s="731"/>
      <c r="Q17" s="731"/>
      <c r="R17" s="731"/>
    </row>
    <row r="18" spans="1:19" s="714" customFormat="1" ht="13.8" hidden="1" x14ac:dyDescent="0.25">
      <c r="C18" s="724">
        <v>4068</v>
      </c>
      <c r="D18" s="724"/>
      <c r="E18" s="724"/>
      <c r="F18" s="724"/>
      <c r="G18" s="724"/>
      <c r="H18" s="640"/>
      <c r="I18" s="640"/>
      <c r="K18" s="725"/>
      <c r="L18" s="725"/>
      <c r="N18" s="725"/>
      <c r="O18" s="725"/>
      <c r="Q18" s="725"/>
      <c r="R18" s="725"/>
    </row>
    <row r="19" spans="1:19" s="714" customFormat="1" ht="13.8" hidden="1" x14ac:dyDescent="0.25">
      <c r="C19" s="724">
        <v>4070</v>
      </c>
      <c r="D19" s="724"/>
      <c r="E19" s="724"/>
      <c r="F19" s="724"/>
      <c r="G19" s="724"/>
    </row>
    <row r="20" spans="1:19" s="732" customFormat="1" ht="13.8" hidden="1" x14ac:dyDescent="0.25">
      <c r="C20" s="724">
        <v>4080</v>
      </c>
      <c r="D20" s="724"/>
      <c r="E20" s="724"/>
      <c r="F20" s="724"/>
      <c r="G20" s="724"/>
      <c r="Q20" s="734"/>
    </row>
    <row r="21" spans="1:19" s="735" customFormat="1" ht="13.2" hidden="1" customHeight="1" x14ac:dyDescent="0.25">
      <c r="C21" s="724">
        <v>4090</v>
      </c>
      <c r="D21" s="724"/>
      <c r="E21" s="724"/>
      <c r="F21" s="724"/>
      <c r="G21" s="724"/>
      <c r="N21" s="737"/>
      <c r="O21" s="737"/>
    </row>
    <row r="22" spans="1:19" s="735" customFormat="1" ht="13.2" hidden="1" customHeight="1" x14ac:dyDescent="0.25">
      <c r="N22" s="737"/>
      <c r="O22" s="737"/>
    </row>
    <row r="23" spans="1:19" s="735" customFormat="1" ht="13.8" hidden="1" x14ac:dyDescent="0.25">
      <c r="C23" s="724">
        <v>5068</v>
      </c>
      <c r="D23" s="724"/>
      <c r="E23" s="724"/>
      <c r="F23" s="724"/>
      <c r="G23" s="724">
        <v>5070</v>
      </c>
      <c r="N23" s="737"/>
      <c r="O23" s="737"/>
    </row>
    <row r="24" spans="1:19" s="738" customFormat="1" ht="13.8" hidden="1" x14ac:dyDescent="0.25">
      <c r="C24" s="724">
        <v>6068</v>
      </c>
      <c r="D24" s="724"/>
      <c r="E24" s="724"/>
      <c r="F24" s="724"/>
      <c r="G24" s="724">
        <v>6070</v>
      </c>
      <c r="N24" s="740"/>
      <c r="O24" s="740"/>
    </row>
    <row r="25" spans="1:19" s="738" customFormat="1" ht="13.8" hidden="1" x14ac:dyDescent="0.25">
      <c r="C25" s="724">
        <v>7068</v>
      </c>
      <c r="D25" s="724"/>
      <c r="E25" s="724"/>
      <c r="F25" s="724"/>
      <c r="G25" s="724">
        <v>7070</v>
      </c>
      <c r="N25" s="741"/>
      <c r="O25" s="741"/>
      <c r="Q25" s="741"/>
      <c r="R25" s="741"/>
    </row>
    <row r="26" spans="1:19" s="714" customFormat="1" ht="13.8" hidden="1" x14ac:dyDescent="0.25">
      <c r="C26" s="724">
        <v>8068</v>
      </c>
      <c r="D26" s="724"/>
      <c r="E26" s="724"/>
      <c r="F26" s="724"/>
      <c r="G26" s="724">
        <v>8070</v>
      </c>
    </row>
    <row r="27" spans="1:19" s="714" customFormat="1" ht="13.8" hidden="1" x14ac:dyDescent="0.25">
      <c r="C27" s="724">
        <v>9068</v>
      </c>
      <c r="D27" s="724"/>
      <c r="E27" s="724"/>
      <c r="F27" s="724"/>
      <c r="G27" s="724">
        <v>9070</v>
      </c>
    </row>
    <row r="28" spans="1:19" s="714" customFormat="1" ht="13.8" hidden="1" x14ac:dyDescent="0.25">
      <c r="C28" s="742"/>
      <c r="D28" s="742"/>
      <c r="E28" s="742"/>
      <c r="F28" s="742"/>
      <c r="G28" s="742"/>
      <c r="I28" s="714" t="s">
        <v>93</v>
      </c>
      <c r="J28" s="714" t="s">
        <v>94</v>
      </c>
      <c r="K28" s="714" t="s">
        <v>549</v>
      </c>
      <c r="L28" s="744" t="s">
        <v>38</v>
      </c>
      <c r="M28" s="745" t="s">
        <v>37</v>
      </c>
      <c r="N28" s="745"/>
      <c r="O28" s="745" t="s">
        <v>2318</v>
      </c>
    </row>
    <row r="29" spans="1:19" s="732" customFormat="1" ht="13.8" hidden="1" x14ac:dyDescent="0.25">
      <c r="C29" s="742"/>
      <c r="D29" s="742"/>
      <c r="E29" s="742"/>
      <c r="F29" s="742"/>
      <c r="G29" s="742"/>
    </row>
    <row r="30" spans="1:19" s="735" customFormat="1" ht="13.8" hidden="1" x14ac:dyDescent="0.25">
      <c r="A30" s="748" t="s">
        <v>2320</v>
      </c>
      <c r="B30" s="748"/>
      <c r="C30" s="738" t="s">
        <v>2313</v>
      </c>
      <c r="D30" s="738"/>
      <c r="E30" s="738"/>
      <c r="F30" s="738"/>
      <c r="G30" s="752">
        <v>2068</v>
      </c>
      <c r="H30" s="752">
        <v>3070</v>
      </c>
      <c r="I30" s="752">
        <v>3668</v>
      </c>
      <c r="J30" s="752">
        <v>3080</v>
      </c>
      <c r="K30" s="752">
        <v>3680</v>
      </c>
      <c r="L30" s="752">
        <v>4068</v>
      </c>
      <c r="M30" s="752">
        <v>4080</v>
      </c>
      <c r="N30" s="752">
        <v>4680</v>
      </c>
      <c r="O30" s="752">
        <v>3090</v>
      </c>
      <c r="P30" s="752">
        <v>4090</v>
      </c>
      <c r="Q30" s="752">
        <v>30100</v>
      </c>
      <c r="R30" s="752">
        <v>40100</v>
      </c>
      <c r="S30" s="752" t="s">
        <v>2321</v>
      </c>
    </row>
    <row r="31" spans="1:19" s="735" customFormat="1" ht="13.8" hidden="1" x14ac:dyDescent="0.25">
      <c r="A31" s="3987" t="s">
        <v>2315</v>
      </c>
      <c r="B31" s="782"/>
      <c r="C31" s="735">
        <v>18</v>
      </c>
      <c r="G31" s="755">
        <f>221.706+12</f>
        <v>233.70599999999999</v>
      </c>
      <c r="H31" s="755">
        <f>240.1815+12</f>
        <v>252.1815</v>
      </c>
      <c r="I31" s="755">
        <f>275.9008+12</f>
        <v>287.9008</v>
      </c>
      <c r="J31" s="737">
        <f>309.1567+12</f>
        <v>321.1567</v>
      </c>
      <c r="K31" s="755">
        <f>351.0345+12</f>
        <v>363.03449999999998</v>
      </c>
      <c r="L31" s="755">
        <f>305.4616+12</f>
        <v>317.46159999999998</v>
      </c>
      <c r="M31" s="737">
        <f>380.5953+12</f>
        <v>392.59530000000001</v>
      </c>
      <c r="N31" s="755"/>
      <c r="O31" s="755">
        <f>432.3267+12</f>
        <v>444.32670000000002</v>
      </c>
      <c r="P31" s="737">
        <f>496.3751+12</f>
        <v>508.37509999999997</v>
      </c>
      <c r="Q31" s="737">
        <f>474.2045+12</f>
        <v>486.2045</v>
      </c>
      <c r="R31" s="737">
        <f>538.2529+12</f>
        <v>550.25289999999995</v>
      </c>
    </row>
    <row r="32" spans="1:19" s="735" customFormat="1" ht="13.8" hidden="1" x14ac:dyDescent="0.25">
      <c r="A32" s="3987"/>
      <c r="B32" s="782"/>
      <c r="C32" s="735">
        <v>16</v>
      </c>
      <c r="G32" s="755">
        <f>259.8887+12</f>
        <v>271.88869999999997</v>
      </c>
      <c r="H32" s="755">
        <f>278.3642+12</f>
        <v>290.36419999999998</v>
      </c>
      <c r="I32" s="755">
        <f>307.925+12</f>
        <v>319.92500000000001</v>
      </c>
      <c r="J32" s="737">
        <f>351.0345+12</f>
        <v>363.03449999999998</v>
      </c>
      <c r="K32" s="755">
        <f>375.6685+12</f>
        <v>387.66849999999999</v>
      </c>
      <c r="L32" s="755">
        <f>341.1809+12</f>
        <v>353.18090000000001</v>
      </c>
      <c r="M32" s="737">
        <f>424+12</f>
        <v>436</v>
      </c>
      <c r="N32" s="755">
        <f>925+12</f>
        <v>937</v>
      </c>
      <c r="O32" s="755">
        <f>474.2045+12</f>
        <v>486.2045</v>
      </c>
      <c r="P32" s="737">
        <f>518.5457+12</f>
        <v>530.54570000000001</v>
      </c>
      <c r="Q32" s="737">
        <f>516.0823+12</f>
        <v>528.08230000000003</v>
      </c>
      <c r="R32" s="737">
        <f>560.4235+12</f>
        <v>572.42349999999999</v>
      </c>
      <c r="S32" s="737">
        <f>1100+12</f>
        <v>1112</v>
      </c>
    </row>
    <row r="33" spans="1:19" s="735" customFormat="1" ht="13.8" hidden="1" x14ac:dyDescent="0.25">
      <c r="A33" s="3987"/>
      <c r="B33" s="782"/>
      <c r="C33" s="735">
        <v>14</v>
      </c>
      <c r="G33" s="755">
        <f>315.3152+12</f>
        <v>327.3152</v>
      </c>
      <c r="H33" s="755">
        <f>338.7175+12</f>
        <v>350.71749999999997</v>
      </c>
      <c r="I33" s="755">
        <f>360.8881+12</f>
        <v>372.88810000000001</v>
      </c>
      <c r="J33" s="737">
        <f>429.8633+12</f>
        <v>441.86329999999998</v>
      </c>
      <c r="K33" s="755">
        <f>463.1192+12</f>
        <v>475.11919999999998</v>
      </c>
      <c r="L33" s="755">
        <f>392.9123+12</f>
        <v>404.91230000000002</v>
      </c>
      <c r="M33" s="737">
        <f>487.7532+12</f>
        <v>499.75319999999999</v>
      </c>
      <c r="N33" s="755" t="s">
        <v>2316</v>
      </c>
      <c r="O33" s="755">
        <f>553.0333+12</f>
        <v>565.03330000000005</v>
      </c>
      <c r="P33" s="737">
        <f>601.0696+12</f>
        <v>613.06960000000004</v>
      </c>
      <c r="Q33" s="737">
        <f>594.9111+12</f>
        <v>606.91110000000003</v>
      </c>
      <c r="R33" s="737">
        <f>642.9474+12</f>
        <v>654.94740000000002</v>
      </c>
      <c r="S33" s="737">
        <f>1200+12</f>
        <v>1212</v>
      </c>
    </row>
    <row r="34" spans="1:19" s="738" customFormat="1" ht="13.8" hidden="1" x14ac:dyDescent="0.25">
      <c r="A34" s="3987"/>
      <c r="B34" s="782"/>
      <c r="C34" s="735">
        <v>12</v>
      </c>
      <c r="D34" s="735"/>
      <c r="E34" s="735"/>
      <c r="F34" s="735"/>
      <c r="G34" s="715">
        <f t="shared" ref="G34:M34" si="0">+G33+350+12</f>
        <v>689.3152</v>
      </c>
      <c r="H34" s="715">
        <f t="shared" si="0"/>
        <v>712.71749999999997</v>
      </c>
      <c r="I34" s="715">
        <f t="shared" si="0"/>
        <v>734.88810000000001</v>
      </c>
      <c r="J34" s="740">
        <f t="shared" si="0"/>
        <v>803.86329999999998</v>
      </c>
      <c r="K34" s="715">
        <f t="shared" si="0"/>
        <v>837.11919999999998</v>
      </c>
      <c r="L34" s="715">
        <f t="shared" si="0"/>
        <v>766.91229999999996</v>
      </c>
      <c r="M34" s="740">
        <f t="shared" si="0"/>
        <v>861.75319999999999</v>
      </c>
      <c r="N34" s="715" t="s">
        <v>2316</v>
      </c>
      <c r="O34" s="715">
        <f>+O33+350+12</f>
        <v>927.03330000000005</v>
      </c>
      <c r="P34" s="740">
        <f>+P33+350+12</f>
        <v>975.06960000000004</v>
      </c>
      <c r="Q34" s="740">
        <f>+Q33+350+12</f>
        <v>968.91110000000003</v>
      </c>
      <c r="R34" s="740">
        <f>+R33+350+12</f>
        <v>1016.9474</v>
      </c>
      <c r="S34" s="740">
        <f>+S33+350+12</f>
        <v>1574</v>
      </c>
    </row>
    <row r="35" spans="1:19" s="738" customFormat="1" ht="13.8" hidden="1" x14ac:dyDescent="0.25">
      <c r="C35" s="735"/>
      <c r="D35" s="735"/>
      <c r="E35" s="735"/>
      <c r="F35" s="735"/>
      <c r="G35" s="740"/>
      <c r="H35" s="740"/>
      <c r="I35" s="740"/>
      <c r="J35" s="740"/>
      <c r="K35" s="740"/>
      <c r="L35" s="740"/>
      <c r="M35" s="740"/>
      <c r="N35" s="740"/>
      <c r="O35" s="740"/>
      <c r="P35" s="740"/>
      <c r="Q35" s="740"/>
      <c r="R35" s="740"/>
      <c r="S35" s="740"/>
    </row>
    <row r="36" spans="1:19" s="738" customFormat="1" ht="13.8" hidden="1" x14ac:dyDescent="0.25">
      <c r="A36" s="738">
        <v>0.57999999999999996</v>
      </c>
      <c r="C36" s="735"/>
      <c r="D36" s="735"/>
      <c r="E36" s="735"/>
      <c r="F36" s="735"/>
      <c r="G36" s="740">
        <f>+G31*1.58</f>
        <v>369.25547999999998</v>
      </c>
      <c r="H36" s="740">
        <f t="shared" ref="H36:M36" si="1">+H31*1.58</f>
        <v>398.44677000000001</v>
      </c>
      <c r="I36" s="740">
        <f t="shared" si="1"/>
        <v>454.88326400000005</v>
      </c>
      <c r="J36" s="740">
        <f t="shared" si="1"/>
        <v>507.42758600000002</v>
      </c>
      <c r="K36" s="740">
        <f t="shared" si="1"/>
        <v>573.59451000000001</v>
      </c>
      <c r="L36" s="740">
        <f t="shared" si="1"/>
        <v>501.58932799999997</v>
      </c>
      <c r="M36" s="740">
        <f t="shared" si="1"/>
        <v>620.3005740000001</v>
      </c>
      <c r="N36" s="740"/>
      <c r="O36" s="740"/>
      <c r="P36" s="740"/>
      <c r="Q36" s="740"/>
      <c r="R36" s="740"/>
      <c r="S36" s="740"/>
    </row>
    <row r="37" spans="1:19" s="738" customFormat="1" ht="13.8" hidden="1" x14ac:dyDescent="0.25">
      <c r="C37" s="735"/>
      <c r="D37" s="735"/>
      <c r="E37" s="735"/>
      <c r="F37" s="735"/>
      <c r="G37" s="740"/>
      <c r="H37" s="740"/>
      <c r="I37" s="740"/>
      <c r="J37" s="740"/>
      <c r="K37" s="740"/>
      <c r="L37" s="740"/>
      <c r="M37" s="740"/>
      <c r="N37" s="740"/>
      <c r="O37" s="740"/>
      <c r="P37" s="740"/>
      <c r="Q37" s="740"/>
      <c r="R37" s="740"/>
      <c r="S37" s="740"/>
    </row>
    <row r="38" spans="1:19" ht="13.8" hidden="1" x14ac:dyDescent="0.25">
      <c r="C38" s="398"/>
      <c r="D38" s="398"/>
      <c r="E38" s="398"/>
      <c r="F38" s="398"/>
      <c r="G38" s="137"/>
      <c r="H38" s="740"/>
      <c r="I38" s="740"/>
      <c r="J38" s="740"/>
      <c r="K38" s="740"/>
      <c r="L38" s="740"/>
      <c r="M38" s="740"/>
      <c r="N38" s="740"/>
      <c r="O38" s="740"/>
      <c r="P38" s="740"/>
      <c r="Q38" s="740"/>
      <c r="R38" s="740"/>
      <c r="S38" s="740"/>
    </row>
    <row r="39" spans="1:19" ht="13.8" hidden="1" x14ac:dyDescent="0.25">
      <c r="H39" s="740"/>
      <c r="I39" s="740"/>
      <c r="J39" s="740"/>
      <c r="K39" s="740"/>
      <c r="L39" s="740"/>
      <c r="M39" s="740"/>
      <c r="N39" s="740"/>
      <c r="O39" s="740"/>
      <c r="P39" s="740"/>
      <c r="Q39" s="740"/>
      <c r="R39" s="740"/>
      <c r="S39" s="740"/>
    </row>
    <row r="40" spans="1:19" s="759" customFormat="1" ht="21" hidden="1" customHeight="1" x14ac:dyDescent="0.25">
      <c r="H40" s="740"/>
      <c r="I40" s="740"/>
      <c r="J40" s="740"/>
      <c r="K40" s="740"/>
      <c r="L40" s="740"/>
      <c r="M40" s="740"/>
      <c r="N40" s="740"/>
      <c r="O40" s="740"/>
      <c r="P40" s="740"/>
      <c r="Q40" s="740"/>
      <c r="R40" s="740"/>
      <c r="S40" s="740"/>
    </row>
    <row r="41" spans="1:19" s="828" customFormat="1" ht="13.8" hidden="1" x14ac:dyDescent="0.25">
      <c r="A41" s="826"/>
      <c r="B41" s="826"/>
      <c r="C41" s="826"/>
      <c r="D41" s="826"/>
      <c r="E41" s="826"/>
      <c r="F41" s="826"/>
      <c r="G41" s="826"/>
      <c r="H41" s="826"/>
      <c r="I41" s="826"/>
      <c r="J41" s="826"/>
      <c r="K41" s="826"/>
      <c r="L41" s="827"/>
      <c r="M41" s="827"/>
    </row>
    <row r="42" spans="1:19" s="823" customFormat="1" ht="13.8" x14ac:dyDescent="0.25">
      <c r="F42" s="824" t="s">
        <v>93</v>
      </c>
      <c r="G42" s="824" t="s">
        <v>94</v>
      </c>
      <c r="H42" s="824" t="s">
        <v>549</v>
      </c>
      <c r="I42" s="825" t="s">
        <v>38</v>
      </c>
      <c r="J42" s="825" t="s">
        <v>37</v>
      </c>
      <c r="K42" s="825"/>
      <c r="L42" s="829" t="s">
        <v>2318</v>
      </c>
      <c r="M42" s="824"/>
      <c r="N42" s="824"/>
      <c r="O42" s="824"/>
      <c r="P42" s="824"/>
      <c r="Q42" s="824"/>
      <c r="R42" s="824"/>
    </row>
    <row r="43" spans="1:19" ht="13.8" x14ac:dyDescent="0.25">
      <c r="F43" s="398">
        <v>2068</v>
      </c>
      <c r="G43" s="758">
        <v>16</v>
      </c>
      <c r="H43" t="s">
        <v>321</v>
      </c>
      <c r="I43" s="128">
        <f>+L43+M43</f>
        <v>272</v>
      </c>
      <c r="J43" s="128">
        <f>+I43*$B$1</f>
        <v>429.76</v>
      </c>
      <c r="K43" s="759"/>
      <c r="L43" s="759">
        <v>260</v>
      </c>
      <c r="M43">
        <v>12</v>
      </c>
      <c r="N43" s="759"/>
      <c r="O43" s="759"/>
      <c r="P43" s="759"/>
      <c r="Q43" s="759"/>
      <c r="R43" s="759"/>
    </row>
    <row r="44" spans="1:19" ht="13.8" x14ac:dyDescent="0.25">
      <c r="F44" s="398">
        <v>2068</v>
      </c>
      <c r="G44" s="758">
        <v>14</v>
      </c>
      <c r="H44" t="s">
        <v>321</v>
      </c>
      <c r="I44" s="128">
        <f>+L44+M44</f>
        <v>327</v>
      </c>
      <c r="J44" s="128">
        <f>+I44*$B$1</f>
        <v>516.66</v>
      </c>
      <c r="K44" s="714"/>
      <c r="L44" s="714">
        <v>315</v>
      </c>
      <c r="M44">
        <v>12</v>
      </c>
      <c r="N44" s="714"/>
      <c r="O44" s="714"/>
      <c r="P44" s="714"/>
      <c r="Q44" s="714"/>
      <c r="R44" s="714"/>
    </row>
    <row r="45" spans="1:19" x14ac:dyDescent="0.2">
      <c r="F45" s="398">
        <v>2068</v>
      </c>
      <c r="G45" s="758">
        <v>12</v>
      </c>
      <c r="H45" t="s">
        <v>321</v>
      </c>
      <c r="I45" s="128">
        <f>+L45+M45</f>
        <v>677</v>
      </c>
      <c r="J45" s="128">
        <f>+I45*$B$1</f>
        <v>1069.6600000000001</v>
      </c>
      <c r="L45">
        <f>315+350</f>
        <v>665</v>
      </c>
      <c r="M45">
        <v>12</v>
      </c>
      <c r="N45">
        <v>350</v>
      </c>
    </row>
    <row r="46" spans="1:19" x14ac:dyDescent="0.2">
      <c r="F46" s="398">
        <v>2068</v>
      </c>
      <c r="G46" s="758">
        <v>18</v>
      </c>
      <c r="H46" t="s">
        <v>345</v>
      </c>
      <c r="I46" s="762">
        <v>603</v>
      </c>
      <c r="J46" s="763">
        <f>+I46*$B$2</f>
        <v>265.923</v>
      </c>
      <c r="K46" s="137"/>
      <c r="L46" s="137"/>
    </row>
    <row r="47" spans="1:19" x14ac:dyDescent="0.2">
      <c r="A47" t="s">
        <v>2451</v>
      </c>
      <c r="F47" s="398">
        <v>2068</v>
      </c>
      <c r="G47" s="758">
        <v>16</v>
      </c>
      <c r="H47" t="s">
        <v>345</v>
      </c>
      <c r="I47" s="763">
        <v>697</v>
      </c>
      <c r="J47" s="763">
        <f>+I47*$B$2</f>
        <v>307.37700000000001</v>
      </c>
      <c r="L47"/>
    </row>
    <row r="48" spans="1:19" x14ac:dyDescent="0.2">
      <c r="F48" s="398">
        <v>2068</v>
      </c>
      <c r="G48" s="758">
        <v>14</v>
      </c>
      <c r="H48" t="s">
        <v>345</v>
      </c>
      <c r="I48" s="128">
        <f>984+236</f>
        <v>1220</v>
      </c>
      <c r="J48" s="763">
        <f>+I48*$B$2</f>
        <v>538.02</v>
      </c>
      <c r="L48"/>
    </row>
    <row r="49" spans="6:14" x14ac:dyDescent="0.2">
      <c r="F49" s="398">
        <v>2068</v>
      </c>
      <c r="G49" s="758">
        <v>12</v>
      </c>
      <c r="H49" t="s">
        <v>345</v>
      </c>
      <c r="I49" s="128">
        <f>1558+236</f>
        <v>1794</v>
      </c>
      <c r="J49" s="763">
        <f>+I49*$B$2</f>
        <v>791.154</v>
      </c>
      <c r="L49"/>
    </row>
    <row r="50" spans="6:14" x14ac:dyDescent="0.2">
      <c r="F50" s="398">
        <v>2068</v>
      </c>
      <c r="G50" s="758">
        <v>18</v>
      </c>
      <c r="H50" t="s">
        <v>1363</v>
      </c>
      <c r="I50" s="128">
        <f>+K50+L50</f>
        <v>733</v>
      </c>
      <c r="J50" s="764">
        <f>+I50*$B$3</f>
        <v>315.19</v>
      </c>
      <c r="K50" s="128">
        <v>524</v>
      </c>
      <c r="L50" s="128">
        <f>53+53+103</f>
        <v>209</v>
      </c>
    </row>
    <row r="51" spans="6:14" x14ac:dyDescent="0.2">
      <c r="F51" s="398">
        <v>2068</v>
      </c>
      <c r="G51" s="758">
        <v>16</v>
      </c>
      <c r="H51" t="s">
        <v>1363</v>
      </c>
      <c r="I51" s="128">
        <f>+K51+L51</f>
        <v>901</v>
      </c>
      <c r="J51" s="764">
        <f>+I51*$B$3</f>
        <v>387.43</v>
      </c>
      <c r="K51" s="128">
        <v>692</v>
      </c>
      <c r="L51" s="128">
        <f>53+53+103</f>
        <v>209</v>
      </c>
    </row>
    <row r="52" spans="6:14" x14ac:dyDescent="0.2">
      <c r="F52" s="398">
        <v>2068</v>
      </c>
      <c r="G52" s="758">
        <v>14</v>
      </c>
      <c r="H52" t="s">
        <v>1363</v>
      </c>
      <c r="I52" s="128">
        <f>+K52+L52</f>
        <v>1195</v>
      </c>
      <c r="J52" s="764">
        <f>+I52*$B$3</f>
        <v>513.85</v>
      </c>
      <c r="K52" s="128">
        <v>986</v>
      </c>
      <c r="L52" s="128">
        <f>53+53+103</f>
        <v>209</v>
      </c>
    </row>
    <row r="53" spans="6:14" x14ac:dyDescent="0.2">
      <c r="F53" s="398">
        <v>2068</v>
      </c>
      <c r="G53" s="758">
        <v>12</v>
      </c>
      <c r="H53" t="s">
        <v>1363</v>
      </c>
      <c r="I53" s="128">
        <f>+K53+L53</f>
        <v>209</v>
      </c>
      <c r="J53" s="764">
        <f>+I53*$B$3</f>
        <v>89.87</v>
      </c>
      <c r="K53" s="128"/>
      <c r="L53" s="128">
        <f>53+53+103</f>
        <v>209</v>
      </c>
    </row>
    <row r="54" spans="6:14" ht="13.8" x14ac:dyDescent="0.25">
      <c r="F54" s="398">
        <v>2070</v>
      </c>
      <c r="G54" s="758">
        <v>18</v>
      </c>
      <c r="H54" t="s">
        <v>321</v>
      </c>
      <c r="I54" s="128">
        <f>+L54+M54</f>
        <v>245</v>
      </c>
      <c r="J54" s="765">
        <f>+I54*$B$1</f>
        <v>387.1</v>
      </c>
      <c r="L54">
        <v>233</v>
      </c>
      <c r="M54">
        <v>12</v>
      </c>
    </row>
    <row r="55" spans="6:14" ht="13.8" x14ac:dyDescent="0.25">
      <c r="F55" s="398">
        <v>2070</v>
      </c>
      <c r="G55" s="758">
        <v>16</v>
      </c>
      <c r="H55" t="s">
        <v>321</v>
      </c>
      <c r="I55" s="128">
        <f>+L55+M55</f>
        <v>283</v>
      </c>
      <c r="J55" s="765">
        <f>+I55*$B$1</f>
        <v>447.14000000000004</v>
      </c>
      <c r="L55">
        <v>271</v>
      </c>
      <c r="M55">
        <v>12</v>
      </c>
    </row>
    <row r="56" spans="6:14" ht="13.8" x14ac:dyDescent="0.25">
      <c r="F56" s="398">
        <v>2070</v>
      </c>
      <c r="G56" s="758">
        <v>14</v>
      </c>
      <c r="H56" t="s">
        <v>321</v>
      </c>
      <c r="I56" s="128">
        <f>+L56+M56</f>
        <v>343</v>
      </c>
      <c r="J56" s="765">
        <f>+I56*$B$1</f>
        <v>541.94000000000005</v>
      </c>
      <c r="L56">
        <v>331</v>
      </c>
      <c r="M56">
        <v>12</v>
      </c>
    </row>
    <row r="57" spans="6:14" ht="13.8" x14ac:dyDescent="0.25">
      <c r="F57" s="398">
        <v>2070</v>
      </c>
      <c r="G57" s="758">
        <v>12</v>
      </c>
      <c r="H57" t="s">
        <v>321</v>
      </c>
      <c r="I57" s="128">
        <f>+L57+M57</f>
        <v>693</v>
      </c>
      <c r="J57" s="765">
        <f>+I57*$B$1</f>
        <v>1094.94</v>
      </c>
      <c r="L57">
        <f>+L56+350</f>
        <v>681</v>
      </c>
      <c r="M57">
        <v>12</v>
      </c>
      <c r="N57">
        <v>350</v>
      </c>
    </row>
    <row r="58" spans="6:14" ht="13.8" x14ac:dyDescent="0.25">
      <c r="F58" s="398">
        <v>2070</v>
      </c>
      <c r="G58" s="758">
        <v>18</v>
      </c>
      <c r="H58" t="s">
        <v>345</v>
      </c>
      <c r="I58" s="128">
        <v>624</v>
      </c>
      <c r="J58" s="766">
        <f>+I58*$B$2</f>
        <v>275.18400000000003</v>
      </c>
      <c r="L58"/>
    </row>
    <row r="59" spans="6:14" ht="13.8" x14ac:dyDescent="0.25">
      <c r="F59" s="398">
        <v>2070</v>
      </c>
      <c r="G59" s="758">
        <v>16</v>
      </c>
      <c r="H59" t="s">
        <v>345</v>
      </c>
      <c r="I59" s="128">
        <v>723</v>
      </c>
      <c r="J59" s="766">
        <f>+I59*$B$2</f>
        <v>318.84300000000002</v>
      </c>
      <c r="L59"/>
    </row>
    <row r="60" spans="6:14" ht="13.8" x14ac:dyDescent="0.25">
      <c r="F60" s="398">
        <v>2070</v>
      </c>
      <c r="G60" s="758">
        <v>14</v>
      </c>
      <c r="H60" t="s">
        <v>345</v>
      </c>
      <c r="I60" s="128">
        <f>984+236</f>
        <v>1220</v>
      </c>
      <c r="J60" s="766">
        <f>+I60*$B$2</f>
        <v>538.02</v>
      </c>
      <c r="L60"/>
    </row>
    <row r="61" spans="6:14" ht="13.8" x14ac:dyDescent="0.25">
      <c r="F61" s="398">
        <v>2070</v>
      </c>
      <c r="G61" s="758">
        <v>12</v>
      </c>
      <c r="H61" t="s">
        <v>345</v>
      </c>
      <c r="I61" s="128">
        <f>1667+236</f>
        <v>1903</v>
      </c>
      <c r="J61" s="766">
        <f>+I61*$B$2</f>
        <v>839.22299999999996</v>
      </c>
      <c r="L61"/>
    </row>
    <row r="62" spans="6:14" ht="13.8" x14ac:dyDescent="0.25">
      <c r="F62" s="398">
        <v>2070</v>
      </c>
      <c r="G62" s="758">
        <v>18</v>
      </c>
      <c r="H62" t="s">
        <v>1363</v>
      </c>
      <c r="I62" s="128">
        <f>+K62+L62</f>
        <v>746</v>
      </c>
      <c r="J62" s="769">
        <f>+I62*$B$3</f>
        <v>320.77999999999997</v>
      </c>
      <c r="K62" s="128">
        <v>537</v>
      </c>
      <c r="L62" s="128">
        <f>53+53+103</f>
        <v>209</v>
      </c>
    </row>
    <row r="63" spans="6:14" ht="13.8" x14ac:dyDescent="0.25">
      <c r="F63" s="398">
        <v>2070</v>
      </c>
      <c r="G63" s="758">
        <v>16</v>
      </c>
      <c r="H63" t="s">
        <v>1363</v>
      </c>
      <c r="I63" s="128">
        <f>+K63+L63</f>
        <v>914</v>
      </c>
      <c r="J63" s="769">
        <f>+I63*$B$3</f>
        <v>393.02</v>
      </c>
      <c r="K63" s="128">
        <v>705</v>
      </c>
      <c r="L63" s="128">
        <f>53+53+103</f>
        <v>209</v>
      </c>
    </row>
    <row r="64" spans="6:14" ht="13.8" x14ac:dyDescent="0.25">
      <c r="F64" s="398">
        <v>2070</v>
      </c>
      <c r="G64" s="758">
        <v>14</v>
      </c>
      <c r="H64" t="s">
        <v>1363</v>
      </c>
      <c r="I64" s="128">
        <f>+K64+L64</f>
        <v>1208</v>
      </c>
      <c r="J64" s="769">
        <f>+I64*$B$3</f>
        <v>519.43999999999994</v>
      </c>
      <c r="K64" s="128">
        <v>999</v>
      </c>
      <c r="L64" s="128">
        <f>53+53+103</f>
        <v>209</v>
      </c>
    </row>
    <row r="65" spans="6:14" ht="13.8" x14ac:dyDescent="0.25">
      <c r="F65" s="398">
        <v>2070</v>
      </c>
      <c r="G65" s="758">
        <v>12</v>
      </c>
      <c r="H65" t="s">
        <v>1363</v>
      </c>
      <c r="I65" s="128">
        <f>+K65+L65</f>
        <v>209</v>
      </c>
      <c r="J65" s="769">
        <f>+I65*$B$3</f>
        <v>89.87</v>
      </c>
      <c r="K65" s="128"/>
      <c r="L65" s="128">
        <f>53+53+103</f>
        <v>209</v>
      </c>
    </row>
    <row r="66" spans="6:14" ht="13.8" x14ac:dyDescent="0.25">
      <c r="F66" s="398">
        <v>2080</v>
      </c>
      <c r="G66" s="758">
        <v>18</v>
      </c>
      <c r="H66" t="s">
        <v>321</v>
      </c>
      <c r="I66" s="128">
        <f>+L66+M66</f>
        <v>12</v>
      </c>
      <c r="J66" s="765">
        <f>+I66*$B$1</f>
        <v>18.96</v>
      </c>
      <c r="M66">
        <v>12</v>
      </c>
    </row>
    <row r="67" spans="6:14" ht="13.8" x14ac:dyDescent="0.25">
      <c r="F67" s="398">
        <v>2080</v>
      </c>
      <c r="G67" s="758">
        <v>16</v>
      </c>
      <c r="H67" t="s">
        <v>321</v>
      </c>
      <c r="I67" s="128">
        <f>+L67+M67</f>
        <v>12</v>
      </c>
      <c r="J67" s="765">
        <f>+I67*$B$1</f>
        <v>18.96</v>
      </c>
      <c r="M67">
        <v>12</v>
      </c>
    </row>
    <row r="68" spans="6:14" ht="13.8" x14ac:dyDescent="0.25">
      <c r="F68" s="398">
        <v>2080</v>
      </c>
      <c r="G68" s="758">
        <v>14</v>
      </c>
      <c r="H68" t="s">
        <v>321</v>
      </c>
      <c r="I68" s="128">
        <f>+L68+M68</f>
        <v>442</v>
      </c>
      <c r="J68" s="765">
        <f>+I68*$B$1</f>
        <v>698.36</v>
      </c>
      <c r="L68">
        <v>430</v>
      </c>
      <c r="M68">
        <v>12</v>
      </c>
    </row>
    <row r="69" spans="6:14" ht="13.8" x14ac:dyDescent="0.25">
      <c r="F69" s="398">
        <v>2080</v>
      </c>
      <c r="G69" s="758">
        <v>12</v>
      </c>
      <c r="H69" t="s">
        <v>321</v>
      </c>
      <c r="I69" s="128">
        <f>+L69+M69</f>
        <v>792</v>
      </c>
      <c r="J69" s="765">
        <f>+I69*$B$1</f>
        <v>1251.3600000000001</v>
      </c>
      <c r="L69">
        <f>430+350</f>
        <v>780</v>
      </c>
      <c r="M69">
        <v>12</v>
      </c>
      <c r="N69">
        <v>350</v>
      </c>
    </row>
    <row r="70" spans="6:14" ht="13.8" x14ac:dyDescent="0.25">
      <c r="F70" s="398">
        <v>2080</v>
      </c>
      <c r="G70" s="758">
        <v>18</v>
      </c>
      <c r="H70" t="s">
        <v>345</v>
      </c>
      <c r="I70" s="128">
        <v>684</v>
      </c>
      <c r="J70" s="766">
        <f>+I70*$B$2</f>
        <v>301.64400000000001</v>
      </c>
      <c r="L70"/>
    </row>
    <row r="71" spans="6:14" ht="13.8" x14ac:dyDescent="0.25">
      <c r="F71" s="398">
        <v>2080</v>
      </c>
      <c r="G71" s="758">
        <v>16</v>
      </c>
      <c r="H71" t="s">
        <v>345</v>
      </c>
      <c r="I71" s="128">
        <v>797</v>
      </c>
      <c r="J71" s="766">
        <f>+I71*$B$2</f>
        <v>351.47699999999998</v>
      </c>
      <c r="L71"/>
    </row>
    <row r="72" spans="6:14" ht="13.8" x14ac:dyDescent="0.25">
      <c r="F72" s="398">
        <v>2080</v>
      </c>
      <c r="G72" s="758">
        <v>14</v>
      </c>
      <c r="H72" t="s">
        <v>345</v>
      </c>
      <c r="I72" s="128">
        <f>1204+236</f>
        <v>1440</v>
      </c>
      <c r="J72" s="766">
        <f>+I72*$B$2</f>
        <v>635.04</v>
      </c>
      <c r="L72"/>
    </row>
    <row r="73" spans="6:14" ht="13.8" x14ac:dyDescent="0.25">
      <c r="F73" s="398">
        <v>2080</v>
      </c>
      <c r="G73" s="758">
        <v>12</v>
      </c>
      <c r="H73" t="s">
        <v>345</v>
      </c>
      <c r="I73" s="128">
        <f>1946+236</f>
        <v>2182</v>
      </c>
      <c r="J73" s="766">
        <f>+I73*$B$2</f>
        <v>962.26200000000006</v>
      </c>
      <c r="L73"/>
    </row>
    <row r="74" spans="6:14" ht="13.8" x14ac:dyDescent="0.25">
      <c r="F74" s="398">
        <v>2080</v>
      </c>
      <c r="G74" s="758">
        <v>18</v>
      </c>
      <c r="H74" t="s">
        <v>1363</v>
      </c>
      <c r="I74" s="128">
        <f>+K74+L74</f>
        <v>837</v>
      </c>
      <c r="J74" s="769">
        <f>+I74*$B$3</f>
        <v>359.90999999999997</v>
      </c>
      <c r="K74" s="128">
        <v>628</v>
      </c>
      <c r="L74" s="128">
        <f>53+53+103</f>
        <v>209</v>
      </c>
    </row>
    <row r="75" spans="6:14" ht="13.8" x14ac:dyDescent="0.25">
      <c r="F75" s="398">
        <v>2080</v>
      </c>
      <c r="G75" s="758">
        <v>16</v>
      </c>
      <c r="H75" t="s">
        <v>1363</v>
      </c>
      <c r="I75" s="128">
        <f>+K75+L75</f>
        <v>1005</v>
      </c>
      <c r="J75" s="769">
        <f>+I75*$B$3</f>
        <v>432.15</v>
      </c>
      <c r="K75" s="128">
        <v>796</v>
      </c>
      <c r="L75" s="128">
        <f>53+53+103</f>
        <v>209</v>
      </c>
    </row>
    <row r="76" spans="6:14" ht="13.8" x14ac:dyDescent="0.25">
      <c r="F76" s="398">
        <v>2080</v>
      </c>
      <c r="G76" s="758">
        <v>14</v>
      </c>
      <c r="H76" t="s">
        <v>1363</v>
      </c>
      <c r="I76" s="128">
        <f>+K76+L76</f>
        <v>1299</v>
      </c>
      <c r="J76" s="769">
        <f>+I76*$B$3</f>
        <v>558.56999999999994</v>
      </c>
      <c r="K76" s="128">
        <v>1090</v>
      </c>
      <c r="L76" s="128">
        <f>53+53+103</f>
        <v>209</v>
      </c>
    </row>
    <row r="77" spans="6:14" ht="13.8" x14ac:dyDescent="0.25">
      <c r="F77" s="398">
        <v>2080</v>
      </c>
      <c r="G77" s="758">
        <v>12</v>
      </c>
      <c r="H77" t="s">
        <v>1363</v>
      </c>
      <c r="I77" s="128">
        <f>+K77+L77</f>
        <v>209</v>
      </c>
      <c r="J77" s="769">
        <f>+I77*$B$3</f>
        <v>89.87</v>
      </c>
      <c r="K77" s="128"/>
      <c r="L77" s="128">
        <f>53+53+103</f>
        <v>209</v>
      </c>
    </row>
    <row r="78" spans="6:14" ht="13.8" x14ac:dyDescent="0.25">
      <c r="F78" s="398">
        <v>2090</v>
      </c>
      <c r="G78" s="758">
        <v>18</v>
      </c>
      <c r="H78" t="s">
        <v>321</v>
      </c>
      <c r="I78" s="128">
        <f>+L78+M78</f>
        <v>437</v>
      </c>
      <c r="J78" s="765">
        <f>+I78*$B$1</f>
        <v>690.46</v>
      </c>
      <c r="L78">
        <v>425</v>
      </c>
      <c r="M78">
        <v>12</v>
      </c>
    </row>
    <row r="79" spans="6:14" ht="13.8" x14ac:dyDescent="0.25">
      <c r="F79" s="398">
        <v>2090</v>
      </c>
      <c r="G79" s="758">
        <v>16</v>
      </c>
      <c r="H79" t="s">
        <v>321</v>
      </c>
      <c r="I79" s="128">
        <f>+L79+M79</f>
        <v>479</v>
      </c>
      <c r="J79" s="765">
        <f>+I79*$B$1</f>
        <v>756.82</v>
      </c>
      <c r="L79">
        <v>467</v>
      </c>
      <c r="M79">
        <v>12</v>
      </c>
    </row>
    <row r="80" spans="6:14" ht="13.8" x14ac:dyDescent="0.25">
      <c r="F80" s="398">
        <v>2090</v>
      </c>
      <c r="G80" s="758">
        <v>14</v>
      </c>
      <c r="H80" t="s">
        <v>321</v>
      </c>
      <c r="I80" s="128">
        <f>+L80+M80</f>
        <v>558</v>
      </c>
      <c r="J80" s="765">
        <f>+I80*$B$1</f>
        <v>881.64</v>
      </c>
      <c r="L80">
        <v>546</v>
      </c>
      <c r="M80">
        <v>12</v>
      </c>
    </row>
    <row r="81" spans="6:14" ht="13.8" x14ac:dyDescent="0.25">
      <c r="F81" s="398">
        <v>2090</v>
      </c>
      <c r="G81" s="758">
        <v>12</v>
      </c>
      <c r="H81" t="s">
        <v>321</v>
      </c>
      <c r="I81" s="128">
        <f>+L81+M81</f>
        <v>908</v>
      </c>
      <c r="J81" s="765">
        <f>+I81*$B$1</f>
        <v>1434.64</v>
      </c>
      <c r="L81">
        <f>546+350</f>
        <v>896</v>
      </c>
      <c r="M81">
        <v>12</v>
      </c>
      <c r="N81">
        <v>350</v>
      </c>
    </row>
    <row r="82" spans="6:14" ht="13.8" x14ac:dyDescent="0.25">
      <c r="F82" s="398">
        <v>2090</v>
      </c>
      <c r="G82" s="758">
        <v>18</v>
      </c>
      <c r="H82" t="s">
        <v>345</v>
      </c>
      <c r="I82" s="128">
        <v>847</v>
      </c>
      <c r="J82" s="766">
        <f>+I82*$B$2</f>
        <v>373.52699999999999</v>
      </c>
      <c r="L82"/>
    </row>
    <row r="83" spans="6:14" ht="13.8" x14ac:dyDescent="0.25">
      <c r="F83" s="398">
        <v>2090</v>
      </c>
      <c r="G83" s="758">
        <v>16</v>
      </c>
      <c r="H83" t="s">
        <v>345</v>
      </c>
      <c r="I83" s="128">
        <v>997</v>
      </c>
      <c r="J83" s="766">
        <f>+I83*$B$2</f>
        <v>439.67700000000002</v>
      </c>
      <c r="L83"/>
    </row>
    <row r="84" spans="6:14" ht="13.8" x14ac:dyDescent="0.25">
      <c r="F84" s="398">
        <v>2090</v>
      </c>
      <c r="G84" s="758">
        <v>14</v>
      </c>
      <c r="H84" t="s">
        <v>345</v>
      </c>
      <c r="I84" s="128">
        <f>1519+236</f>
        <v>1755</v>
      </c>
      <c r="J84" s="766">
        <f>+I84*$B$2</f>
        <v>773.95500000000004</v>
      </c>
      <c r="L84"/>
    </row>
    <row r="85" spans="6:14" ht="13.8" x14ac:dyDescent="0.25">
      <c r="F85" s="398">
        <v>2090</v>
      </c>
      <c r="G85" s="758">
        <v>12</v>
      </c>
      <c r="H85" t="s">
        <v>345</v>
      </c>
      <c r="I85" s="128">
        <f>2463+236</f>
        <v>2699</v>
      </c>
      <c r="J85" s="766">
        <f>+I85*$B$2</f>
        <v>1190.259</v>
      </c>
      <c r="L85"/>
    </row>
    <row r="86" spans="6:14" ht="13.8" x14ac:dyDescent="0.25">
      <c r="F86" s="398">
        <v>2090</v>
      </c>
      <c r="G86" s="758">
        <v>18</v>
      </c>
      <c r="H86" t="s">
        <v>1363</v>
      </c>
      <c r="I86" s="128">
        <f>+K86+L86</f>
        <v>209</v>
      </c>
      <c r="J86" s="769">
        <f>+I86*$B$3</f>
        <v>89.87</v>
      </c>
      <c r="K86" s="128"/>
      <c r="L86" s="128">
        <f>53+53+103</f>
        <v>209</v>
      </c>
    </row>
    <row r="87" spans="6:14" ht="13.8" x14ac:dyDescent="0.25">
      <c r="F87" s="398">
        <v>2090</v>
      </c>
      <c r="G87" s="758">
        <v>16</v>
      </c>
      <c r="H87" t="s">
        <v>1363</v>
      </c>
      <c r="I87" s="128">
        <f>+K87+L87</f>
        <v>209</v>
      </c>
      <c r="J87" s="769">
        <f>+I87*$B$3</f>
        <v>89.87</v>
      </c>
      <c r="K87" s="128"/>
      <c r="L87" s="128">
        <f>53+53+103</f>
        <v>209</v>
      </c>
    </row>
    <row r="88" spans="6:14" ht="13.8" x14ac:dyDescent="0.25">
      <c r="F88" s="398">
        <v>2090</v>
      </c>
      <c r="G88" s="758">
        <v>14</v>
      </c>
      <c r="H88" t="s">
        <v>1363</v>
      </c>
      <c r="I88" s="128">
        <f>+K88+L88</f>
        <v>209</v>
      </c>
      <c r="J88" s="769">
        <f>+I88*$B$3</f>
        <v>89.87</v>
      </c>
      <c r="K88" s="128"/>
      <c r="L88" s="128">
        <f>53+53+103</f>
        <v>209</v>
      </c>
    </row>
    <row r="89" spans="6:14" ht="13.8" x14ac:dyDescent="0.25">
      <c r="F89" s="398">
        <v>2090</v>
      </c>
      <c r="G89" s="758">
        <v>12</v>
      </c>
      <c r="H89" t="s">
        <v>1363</v>
      </c>
      <c r="I89" s="128">
        <f>+K89+L89</f>
        <v>209</v>
      </c>
      <c r="J89" s="769">
        <f>+I89*$B$3</f>
        <v>89.87</v>
      </c>
      <c r="K89" s="128"/>
      <c r="L89" s="128">
        <f>53+53+103</f>
        <v>209</v>
      </c>
    </row>
    <row r="90" spans="6:14" x14ac:dyDescent="0.2">
      <c r="F90" s="398">
        <v>2468</v>
      </c>
      <c r="G90" s="758">
        <v>18</v>
      </c>
      <c r="H90" t="s">
        <v>321</v>
      </c>
      <c r="I90" s="128">
        <f>+L90+M90</f>
        <v>241</v>
      </c>
      <c r="J90" s="128">
        <f>+I90*$B$1</f>
        <v>380.78000000000003</v>
      </c>
      <c r="L90">
        <v>229</v>
      </c>
      <c r="M90">
        <v>12</v>
      </c>
    </row>
    <row r="91" spans="6:14" x14ac:dyDescent="0.2">
      <c r="F91" s="398">
        <v>2468</v>
      </c>
      <c r="G91" s="758">
        <v>16</v>
      </c>
      <c r="H91" t="s">
        <v>321</v>
      </c>
      <c r="I91" s="128">
        <f>+L91+M91</f>
        <v>279</v>
      </c>
      <c r="J91" s="128">
        <f>+I91*$B$1</f>
        <v>440.82</v>
      </c>
      <c r="L91">
        <v>267</v>
      </c>
      <c r="M91">
        <v>12</v>
      </c>
    </row>
    <row r="92" spans="6:14" x14ac:dyDescent="0.2">
      <c r="F92" s="398">
        <v>2468</v>
      </c>
      <c r="G92" s="758">
        <v>14</v>
      </c>
      <c r="H92" t="s">
        <v>321</v>
      </c>
      <c r="I92" s="128">
        <f>+L92+M92</f>
        <v>335</v>
      </c>
      <c r="J92" s="128">
        <f>+I92*$B$1</f>
        <v>529.30000000000007</v>
      </c>
      <c r="L92">
        <v>323</v>
      </c>
      <c r="M92">
        <v>12</v>
      </c>
    </row>
    <row r="93" spans="6:14" x14ac:dyDescent="0.2">
      <c r="F93" s="398">
        <v>2468</v>
      </c>
      <c r="G93" s="758">
        <v>12</v>
      </c>
      <c r="H93" t="s">
        <v>321</v>
      </c>
      <c r="I93" s="128">
        <f>+L93+M93</f>
        <v>685</v>
      </c>
      <c r="J93" s="128">
        <f>+I93*$B$1</f>
        <v>1082.3</v>
      </c>
      <c r="L93">
        <f>323+350</f>
        <v>673</v>
      </c>
      <c r="M93">
        <v>12</v>
      </c>
      <c r="N93">
        <v>350</v>
      </c>
    </row>
    <row r="94" spans="6:14" x14ac:dyDescent="0.2">
      <c r="F94" s="398">
        <v>2468</v>
      </c>
      <c r="G94" s="758">
        <v>18</v>
      </c>
      <c r="H94" t="s">
        <v>345</v>
      </c>
      <c r="I94" s="128">
        <v>763</v>
      </c>
      <c r="J94" s="763">
        <f>+I94*$B$2</f>
        <v>336.483</v>
      </c>
      <c r="L94"/>
    </row>
    <row r="95" spans="6:14" x14ac:dyDescent="0.2">
      <c r="F95" s="398">
        <v>2468</v>
      </c>
      <c r="G95" s="758">
        <v>16</v>
      </c>
      <c r="H95" t="s">
        <v>345</v>
      </c>
      <c r="I95" s="128">
        <v>889</v>
      </c>
      <c r="J95" s="763">
        <f>+I95*$B$2</f>
        <v>392.04899999999998</v>
      </c>
      <c r="L95"/>
    </row>
    <row r="96" spans="6:14" x14ac:dyDescent="0.2">
      <c r="F96" s="398">
        <v>2468</v>
      </c>
      <c r="G96" s="758">
        <v>14</v>
      </c>
      <c r="H96" t="s">
        <v>345</v>
      </c>
      <c r="I96" s="128">
        <f>984+236</f>
        <v>1220</v>
      </c>
      <c r="J96" s="763">
        <f>+I96*$B$2</f>
        <v>538.02</v>
      </c>
      <c r="L96"/>
    </row>
    <row r="97" spans="6:14" x14ac:dyDescent="0.2">
      <c r="F97" s="398">
        <v>2468</v>
      </c>
      <c r="G97" s="758">
        <v>12</v>
      </c>
      <c r="H97" t="s">
        <v>345</v>
      </c>
      <c r="I97" s="128">
        <v>2060</v>
      </c>
      <c r="J97" s="763">
        <f>+I97*$B$2</f>
        <v>908.46</v>
      </c>
      <c r="K97">
        <v>236</v>
      </c>
      <c r="L97" s="142">
        <f>+K97+I97</f>
        <v>2296</v>
      </c>
    </row>
    <row r="98" spans="6:14" x14ac:dyDescent="0.2">
      <c r="F98" s="398">
        <v>2468</v>
      </c>
      <c r="G98" s="758">
        <v>18</v>
      </c>
      <c r="H98" t="s">
        <v>1363</v>
      </c>
      <c r="I98" s="128">
        <f>+K98+L98</f>
        <v>733</v>
      </c>
      <c r="J98" s="764">
        <f>+I98*$B$3</f>
        <v>315.19</v>
      </c>
      <c r="K98" s="128">
        <v>524</v>
      </c>
      <c r="L98" s="128">
        <f>53+53+103</f>
        <v>209</v>
      </c>
    </row>
    <row r="99" spans="6:14" x14ac:dyDescent="0.2">
      <c r="F99" s="398">
        <v>2468</v>
      </c>
      <c r="G99" s="758">
        <v>16</v>
      </c>
      <c r="H99" t="s">
        <v>1363</v>
      </c>
      <c r="I99" s="128">
        <f>+K99+L99</f>
        <v>901</v>
      </c>
      <c r="J99" s="764">
        <f>+I99*$B$3</f>
        <v>387.43</v>
      </c>
      <c r="K99" s="128">
        <v>692</v>
      </c>
      <c r="L99" s="128">
        <f>53+53+103</f>
        <v>209</v>
      </c>
    </row>
    <row r="100" spans="6:14" x14ac:dyDescent="0.2">
      <c r="F100" s="398">
        <v>2468</v>
      </c>
      <c r="G100" s="758">
        <v>14</v>
      </c>
      <c r="H100" t="s">
        <v>1363</v>
      </c>
      <c r="I100" s="128">
        <f>+K100+L100</f>
        <v>1195</v>
      </c>
      <c r="J100" s="764">
        <f>+I100*$B$3</f>
        <v>513.85</v>
      </c>
      <c r="K100" s="128">
        <v>986</v>
      </c>
      <c r="L100" s="128">
        <f>53+53+103</f>
        <v>209</v>
      </c>
    </row>
    <row r="101" spans="6:14" x14ac:dyDescent="0.2">
      <c r="F101" s="398">
        <v>2468</v>
      </c>
      <c r="G101" s="758">
        <v>12</v>
      </c>
      <c r="H101" t="s">
        <v>1363</v>
      </c>
      <c r="I101" s="128">
        <v>2182</v>
      </c>
      <c r="J101" s="764">
        <f>+I101*$B$3</f>
        <v>938.26</v>
      </c>
      <c r="K101" s="128"/>
    </row>
    <row r="102" spans="6:14" ht="13.8" x14ac:dyDescent="0.25">
      <c r="F102" s="398">
        <v>2470</v>
      </c>
      <c r="G102" s="758">
        <v>18</v>
      </c>
      <c r="H102" t="s">
        <v>321</v>
      </c>
      <c r="I102" s="128">
        <f>+L102+M102</f>
        <v>252</v>
      </c>
      <c r="J102" s="765">
        <f>+I102*$B$1</f>
        <v>398.16</v>
      </c>
      <c r="L102">
        <v>240</v>
      </c>
      <c r="M102">
        <v>12</v>
      </c>
    </row>
    <row r="103" spans="6:14" ht="13.8" x14ac:dyDescent="0.25">
      <c r="F103" s="398">
        <v>2470</v>
      </c>
      <c r="G103" s="758">
        <v>16</v>
      </c>
      <c r="H103" t="s">
        <v>321</v>
      </c>
      <c r="I103" s="128">
        <f>+L103+M103</f>
        <v>12</v>
      </c>
      <c r="J103" s="765">
        <f>+I103*$B$1</f>
        <v>18.96</v>
      </c>
      <c r="L103"/>
      <c r="M103">
        <v>12</v>
      </c>
    </row>
    <row r="104" spans="6:14" ht="13.8" x14ac:dyDescent="0.25">
      <c r="F104" s="398">
        <v>2470</v>
      </c>
      <c r="G104" s="758">
        <v>14</v>
      </c>
      <c r="H104" t="s">
        <v>321</v>
      </c>
      <c r="I104" s="128">
        <f>+L104+M104</f>
        <v>351</v>
      </c>
      <c r="J104" s="765">
        <f>+I104*$B$1</f>
        <v>554.58000000000004</v>
      </c>
      <c r="L104">
        <v>339</v>
      </c>
      <c r="M104">
        <v>12</v>
      </c>
    </row>
    <row r="105" spans="6:14" ht="13.8" x14ac:dyDescent="0.25">
      <c r="F105" s="398">
        <v>2470</v>
      </c>
      <c r="G105" s="758">
        <v>12</v>
      </c>
      <c r="H105" t="s">
        <v>321</v>
      </c>
      <c r="I105" s="128">
        <f>+L105+M105</f>
        <v>701</v>
      </c>
      <c r="J105" s="765">
        <f>+I105*$B$1</f>
        <v>1107.5800000000002</v>
      </c>
      <c r="L105">
        <f>339+350</f>
        <v>689</v>
      </c>
      <c r="M105">
        <v>12</v>
      </c>
      <c r="N105">
        <v>350</v>
      </c>
    </row>
    <row r="106" spans="6:14" ht="13.8" x14ac:dyDescent="0.25">
      <c r="F106" s="398">
        <v>2470</v>
      </c>
      <c r="G106" s="758">
        <v>18</v>
      </c>
      <c r="H106" t="s">
        <v>345</v>
      </c>
      <c r="I106" s="128">
        <v>1440</v>
      </c>
      <c r="J106" s="766">
        <f>+I106*$B$2</f>
        <v>635.04</v>
      </c>
      <c r="L106"/>
    </row>
    <row r="107" spans="6:14" ht="13.8" x14ac:dyDescent="0.25">
      <c r="F107" s="398">
        <v>2470</v>
      </c>
      <c r="G107" s="758">
        <v>16</v>
      </c>
      <c r="H107" t="s">
        <v>345</v>
      </c>
      <c r="I107" s="128">
        <v>2182</v>
      </c>
      <c r="J107" s="766">
        <f>+I107*$B$2</f>
        <v>962.26200000000006</v>
      </c>
      <c r="L107"/>
    </row>
    <row r="108" spans="6:14" ht="13.8" x14ac:dyDescent="0.25">
      <c r="F108" s="398">
        <v>2470</v>
      </c>
      <c r="G108" s="758">
        <v>14</v>
      </c>
      <c r="H108" t="s">
        <v>345</v>
      </c>
      <c r="I108" s="128">
        <v>1755</v>
      </c>
      <c r="J108" s="766">
        <f>+I108*$B$2</f>
        <v>773.95500000000004</v>
      </c>
      <c r="K108">
        <v>236</v>
      </c>
      <c r="L108" s="142">
        <f>+K108+I108</f>
        <v>1991</v>
      </c>
    </row>
    <row r="109" spans="6:14" ht="13.8" x14ac:dyDescent="0.25">
      <c r="F109" s="398">
        <v>2470</v>
      </c>
      <c r="G109" s="758">
        <v>12</v>
      </c>
      <c r="H109" t="s">
        <v>345</v>
      </c>
      <c r="I109" s="128">
        <v>2699</v>
      </c>
      <c r="J109" s="766">
        <f>+I109*$B$2</f>
        <v>1190.259</v>
      </c>
      <c r="K109">
        <v>236</v>
      </c>
      <c r="L109" s="142">
        <f>+K109+I109</f>
        <v>2935</v>
      </c>
    </row>
    <row r="110" spans="6:14" ht="13.8" x14ac:dyDescent="0.25">
      <c r="F110" s="398">
        <v>2470</v>
      </c>
      <c r="G110" s="758">
        <v>18</v>
      </c>
      <c r="H110" t="s">
        <v>1363</v>
      </c>
      <c r="I110" s="128">
        <f>+K110+L110</f>
        <v>746</v>
      </c>
      <c r="J110" s="769">
        <f>+I110*$B$3</f>
        <v>320.77999999999997</v>
      </c>
      <c r="K110" s="128">
        <v>537</v>
      </c>
      <c r="L110" s="128">
        <f>53+53+103</f>
        <v>209</v>
      </c>
    </row>
    <row r="111" spans="6:14" ht="13.8" x14ac:dyDescent="0.25">
      <c r="F111" s="398">
        <v>2470</v>
      </c>
      <c r="G111" s="758">
        <v>16</v>
      </c>
      <c r="H111" t="s">
        <v>1363</v>
      </c>
      <c r="I111" s="128">
        <f>+K111+L111</f>
        <v>914</v>
      </c>
      <c r="J111" s="769">
        <f>+I111*$B$3</f>
        <v>393.02</v>
      </c>
      <c r="K111" s="128">
        <v>705</v>
      </c>
      <c r="L111" s="128">
        <f>53+53+103</f>
        <v>209</v>
      </c>
    </row>
    <row r="112" spans="6:14" ht="13.8" x14ac:dyDescent="0.25">
      <c r="F112" s="398">
        <v>2470</v>
      </c>
      <c r="G112" s="758">
        <v>14</v>
      </c>
      <c r="H112" t="s">
        <v>1363</v>
      </c>
      <c r="I112" s="128">
        <f>+K112+L112</f>
        <v>1208</v>
      </c>
      <c r="J112" s="769">
        <f>+I112*$B$3</f>
        <v>519.43999999999994</v>
      </c>
      <c r="K112" s="128">
        <v>999</v>
      </c>
      <c r="L112" s="128">
        <f>53+53+103</f>
        <v>209</v>
      </c>
    </row>
    <row r="113" spans="6:14" ht="13.8" x14ac:dyDescent="0.25">
      <c r="F113" s="398">
        <v>2470</v>
      </c>
      <c r="G113" s="758">
        <v>12</v>
      </c>
      <c r="H113" t="s">
        <v>1363</v>
      </c>
      <c r="I113" s="128">
        <v>1903</v>
      </c>
      <c r="J113" s="769">
        <f>+I113*$B$3</f>
        <v>818.29</v>
      </c>
      <c r="K113" s="128"/>
    </row>
    <row r="114" spans="6:14" ht="13.8" x14ac:dyDescent="0.25">
      <c r="F114" s="398">
        <v>2480</v>
      </c>
      <c r="G114" s="758">
        <v>18</v>
      </c>
      <c r="H114" t="s">
        <v>321</v>
      </c>
      <c r="I114" s="128">
        <f>+L114+M114</f>
        <v>321</v>
      </c>
      <c r="J114" s="765">
        <f>+I114*$B$1</f>
        <v>507.18</v>
      </c>
      <c r="L114">
        <v>309</v>
      </c>
      <c r="M114">
        <v>12</v>
      </c>
    </row>
    <row r="115" spans="6:14" ht="13.8" x14ac:dyDescent="0.25">
      <c r="F115" s="398">
        <v>2480</v>
      </c>
      <c r="G115" s="758">
        <v>16</v>
      </c>
      <c r="H115" t="s">
        <v>321</v>
      </c>
      <c r="I115" s="128">
        <f>+L115+M115</f>
        <v>12</v>
      </c>
      <c r="J115" s="765">
        <f>+I115*$B$1</f>
        <v>18.96</v>
      </c>
      <c r="L115"/>
      <c r="M115">
        <v>12</v>
      </c>
    </row>
    <row r="116" spans="6:14" ht="13.8" x14ac:dyDescent="0.25">
      <c r="F116" s="398">
        <v>2480</v>
      </c>
      <c r="G116" s="758">
        <v>14</v>
      </c>
      <c r="H116" t="s">
        <v>321</v>
      </c>
      <c r="I116" s="128">
        <f>+L116+M116</f>
        <v>442</v>
      </c>
      <c r="J116" s="765">
        <f>+I116*$B$1</f>
        <v>698.36</v>
      </c>
      <c r="L116">
        <v>430</v>
      </c>
      <c r="M116">
        <v>12</v>
      </c>
    </row>
    <row r="117" spans="6:14" ht="13.8" x14ac:dyDescent="0.25">
      <c r="F117" s="398">
        <v>2480</v>
      </c>
      <c r="G117" s="758">
        <v>12</v>
      </c>
      <c r="H117" t="s">
        <v>321</v>
      </c>
      <c r="I117" s="128">
        <f>+L117+M117</f>
        <v>792</v>
      </c>
      <c r="J117" s="765">
        <f>+I117*$B$1</f>
        <v>1251.3600000000001</v>
      </c>
      <c r="L117">
        <f>430+350</f>
        <v>780</v>
      </c>
      <c r="M117">
        <v>12</v>
      </c>
      <c r="N117">
        <v>350</v>
      </c>
    </row>
    <row r="118" spans="6:14" ht="13.8" x14ac:dyDescent="0.25">
      <c r="F118" s="398">
        <v>2480</v>
      </c>
      <c r="G118" s="758">
        <v>18</v>
      </c>
      <c r="H118" t="s">
        <v>345</v>
      </c>
      <c r="I118" s="128">
        <v>1220</v>
      </c>
      <c r="J118" s="766">
        <f>+I118*$B$2</f>
        <v>538.02</v>
      </c>
      <c r="L118"/>
    </row>
    <row r="119" spans="6:14" ht="13.8" x14ac:dyDescent="0.25">
      <c r="F119" s="398">
        <v>2480</v>
      </c>
      <c r="G119" s="758">
        <v>16</v>
      </c>
      <c r="H119" t="s">
        <v>345</v>
      </c>
      <c r="I119" s="128">
        <v>1824</v>
      </c>
      <c r="J119" s="766">
        <f>+I119*$B$2</f>
        <v>804.38400000000001</v>
      </c>
      <c r="L119"/>
    </row>
    <row r="120" spans="6:14" ht="13.8" x14ac:dyDescent="0.25">
      <c r="F120" s="398">
        <v>2480</v>
      </c>
      <c r="G120" s="758">
        <v>14</v>
      </c>
      <c r="H120" t="s">
        <v>345</v>
      </c>
      <c r="I120" s="128">
        <v>1428</v>
      </c>
      <c r="J120" s="766">
        <f>+I120*$B$2</f>
        <v>629.74800000000005</v>
      </c>
      <c r="K120">
        <v>236</v>
      </c>
      <c r="L120" s="142">
        <f>+K120+I120</f>
        <v>1664</v>
      </c>
    </row>
    <row r="121" spans="6:14" ht="13.8" x14ac:dyDescent="0.25">
      <c r="F121" s="398">
        <v>2480</v>
      </c>
      <c r="G121" s="758">
        <v>12</v>
      </c>
      <c r="H121" t="s">
        <v>345</v>
      </c>
      <c r="I121" s="128">
        <v>2164</v>
      </c>
      <c r="J121" s="766">
        <f>+I121*$B$2</f>
        <v>954.32399999999996</v>
      </c>
      <c r="K121">
        <v>236</v>
      </c>
      <c r="L121" s="142">
        <f>+K121+I121</f>
        <v>2400</v>
      </c>
    </row>
    <row r="122" spans="6:14" ht="13.8" x14ac:dyDescent="0.25">
      <c r="F122" s="398">
        <v>2480</v>
      </c>
      <c r="G122" s="758">
        <v>18</v>
      </c>
      <c r="H122" t="s">
        <v>1363</v>
      </c>
      <c r="I122" s="128">
        <f>+K122+L122</f>
        <v>837</v>
      </c>
      <c r="J122" s="769">
        <f>+I122*$B$3</f>
        <v>359.90999999999997</v>
      </c>
      <c r="K122" s="128">
        <v>628</v>
      </c>
      <c r="L122" s="128">
        <f>53+53+103</f>
        <v>209</v>
      </c>
    </row>
    <row r="123" spans="6:14" ht="13.8" x14ac:dyDescent="0.25">
      <c r="F123" s="398">
        <v>2480</v>
      </c>
      <c r="G123" s="758">
        <v>16</v>
      </c>
      <c r="H123" t="s">
        <v>1363</v>
      </c>
      <c r="I123" s="128">
        <f>+K123+L123</f>
        <v>1005</v>
      </c>
      <c r="J123" s="769">
        <f>+I123*$B$3</f>
        <v>432.15</v>
      </c>
      <c r="K123" s="128">
        <v>796</v>
      </c>
      <c r="L123" s="128">
        <f>53+53+103</f>
        <v>209</v>
      </c>
    </row>
    <row r="124" spans="6:14" ht="13.8" x14ac:dyDescent="0.25">
      <c r="F124" s="398">
        <v>2480</v>
      </c>
      <c r="G124" s="758">
        <v>14</v>
      </c>
      <c r="H124" t="s">
        <v>1363</v>
      </c>
      <c r="I124" s="128">
        <f>+K124+L124</f>
        <v>1299</v>
      </c>
      <c r="J124" s="769">
        <f>+I124*$B$3</f>
        <v>558.56999999999994</v>
      </c>
      <c r="K124" s="128">
        <v>1090</v>
      </c>
      <c r="L124" s="128">
        <f>53+53+103</f>
        <v>209</v>
      </c>
    </row>
    <row r="125" spans="6:14" ht="13.8" x14ac:dyDescent="0.25">
      <c r="F125" s="398">
        <v>2480</v>
      </c>
      <c r="G125" s="758">
        <v>12</v>
      </c>
      <c r="H125" t="s">
        <v>1363</v>
      </c>
      <c r="I125" s="128">
        <v>2403</v>
      </c>
      <c r="J125" s="769">
        <f>+I125*$B$3</f>
        <v>1033.29</v>
      </c>
      <c r="K125" s="128"/>
    </row>
    <row r="126" spans="6:14" ht="13.8" x14ac:dyDescent="0.25">
      <c r="F126" s="398">
        <v>2490</v>
      </c>
      <c r="G126" s="758">
        <v>18</v>
      </c>
      <c r="H126" t="s">
        <v>321</v>
      </c>
      <c r="I126" s="128">
        <f>+L126+M126</f>
        <v>444</v>
      </c>
      <c r="J126" s="765">
        <f>+I126*$B$1</f>
        <v>701.52</v>
      </c>
      <c r="L126">
        <v>432</v>
      </c>
      <c r="M126">
        <v>12</v>
      </c>
    </row>
    <row r="127" spans="6:14" ht="13.8" x14ac:dyDescent="0.25">
      <c r="F127" s="398">
        <v>2490</v>
      </c>
      <c r="G127" s="758">
        <v>16</v>
      </c>
      <c r="H127" t="s">
        <v>321</v>
      </c>
      <c r="I127" s="128">
        <f>+L127+M127</f>
        <v>12</v>
      </c>
      <c r="J127" s="765">
        <f>+I127*$B$1</f>
        <v>18.96</v>
      </c>
      <c r="L127"/>
      <c r="M127">
        <v>12</v>
      </c>
    </row>
    <row r="128" spans="6:14" ht="13.8" x14ac:dyDescent="0.25">
      <c r="F128" s="398">
        <v>2490</v>
      </c>
      <c r="G128" s="758">
        <v>14</v>
      </c>
      <c r="H128" t="s">
        <v>321</v>
      </c>
      <c r="I128" s="128">
        <f>+L128+M128</f>
        <v>565</v>
      </c>
      <c r="J128" s="765">
        <f>+I128*$B$1</f>
        <v>892.7</v>
      </c>
      <c r="L128">
        <v>553</v>
      </c>
      <c r="M128">
        <v>12</v>
      </c>
    </row>
    <row r="129" spans="6:14" ht="13.8" x14ac:dyDescent="0.25">
      <c r="F129" s="398">
        <v>2490</v>
      </c>
      <c r="G129" s="758">
        <v>12</v>
      </c>
      <c r="H129" t="s">
        <v>321</v>
      </c>
      <c r="I129" s="128">
        <f>+L129+M129</f>
        <v>915</v>
      </c>
      <c r="J129" s="765">
        <f>+I129*$B$1</f>
        <v>1445.7</v>
      </c>
      <c r="L129">
        <f>553+350</f>
        <v>903</v>
      </c>
      <c r="M129">
        <v>12</v>
      </c>
      <c r="N129">
        <v>350</v>
      </c>
    </row>
    <row r="130" spans="6:14" ht="13.8" x14ac:dyDescent="0.25">
      <c r="F130" s="398">
        <v>2490</v>
      </c>
      <c r="G130" s="758">
        <v>18</v>
      </c>
      <c r="H130" t="s">
        <v>345</v>
      </c>
      <c r="I130" s="128">
        <v>1492</v>
      </c>
      <c r="J130" s="766">
        <f>+I130*$B$2</f>
        <v>657.97199999999998</v>
      </c>
      <c r="L130"/>
    </row>
    <row r="131" spans="6:14" ht="13.8" x14ac:dyDescent="0.25">
      <c r="F131" s="398">
        <v>2490</v>
      </c>
      <c r="G131" s="758">
        <v>16</v>
      </c>
      <c r="H131" t="s">
        <v>345</v>
      </c>
      <c r="I131" s="128">
        <v>2266</v>
      </c>
      <c r="J131" s="766">
        <f>+I131*$B$2</f>
        <v>999.30600000000004</v>
      </c>
      <c r="L131"/>
    </row>
    <row r="132" spans="6:14" ht="13.8" x14ac:dyDescent="0.25">
      <c r="F132" s="398">
        <v>2490</v>
      </c>
      <c r="G132" s="758">
        <v>14</v>
      </c>
      <c r="H132" t="s">
        <v>345</v>
      </c>
      <c r="I132" s="128">
        <v>1647</v>
      </c>
      <c r="J132" s="766">
        <f>+I132*$B$2</f>
        <v>726.327</v>
      </c>
      <c r="K132">
        <v>236</v>
      </c>
      <c r="L132" s="142">
        <f>+K132+I132</f>
        <v>1883</v>
      </c>
    </row>
    <row r="133" spans="6:14" ht="13.8" x14ac:dyDescent="0.25">
      <c r="F133" s="398">
        <v>2490</v>
      </c>
      <c r="G133" s="758">
        <v>12</v>
      </c>
      <c r="H133" t="s">
        <v>345</v>
      </c>
      <c r="I133" s="128">
        <v>2516</v>
      </c>
      <c r="J133" s="766">
        <f>+I133*$B$2</f>
        <v>1109.556</v>
      </c>
      <c r="K133">
        <v>236</v>
      </c>
      <c r="L133" s="142">
        <f>+K133+I133</f>
        <v>2752</v>
      </c>
    </row>
    <row r="134" spans="6:14" ht="13.8" x14ac:dyDescent="0.25">
      <c r="F134" s="398">
        <v>2490</v>
      </c>
      <c r="G134" s="758">
        <v>18</v>
      </c>
      <c r="H134" t="s">
        <v>1363</v>
      </c>
      <c r="I134" s="128">
        <v>1789</v>
      </c>
      <c r="J134" s="769">
        <f>+I134*$B$3</f>
        <v>769.27</v>
      </c>
      <c r="K134" s="128"/>
    </row>
    <row r="135" spans="6:14" ht="13.8" x14ac:dyDescent="0.25">
      <c r="F135" s="398">
        <v>2490</v>
      </c>
      <c r="G135" s="758">
        <v>16</v>
      </c>
      <c r="H135" t="s">
        <v>1363</v>
      </c>
      <c r="I135" s="128">
        <v>2754</v>
      </c>
      <c r="J135" s="769">
        <f>+I135*$B$3</f>
        <v>1184.22</v>
      </c>
      <c r="K135" s="128"/>
    </row>
    <row r="136" spans="6:14" ht="13.8" x14ac:dyDescent="0.25">
      <c r="F136" s="398">
        <v>2490</v>
      </c>
      <c r="G136" s="758">
        <v>14</v>
      </c>
      <c r="H136" t="s">
        <v>1363</v>
      </c>
      <c r="I136" s="128">
        <v>1789</v>
      </c>
      <c r="J136" s="769">
        <f>+I136*$B$3</f>
        <v>769.27</v>
      </c>
      <c r="K136" s="128"/>
    </row>
    <row r="137" spans="6:14" ht="13.8" x14ac:dyDescent="0.25">
      <c r="F137" s="398">
        <v>2490</v>
      </c>
      <c r="G137" s="758">
        <v>12</v>
      </c>
      <c r="H137" t="s">
        <v>1363</v>
      </c>
      <c r="I137" s="128">
        <v>2754</v>
      </c>
      <c r="J137" s="769">
        <f>+I137*$B$3</f>
        <v>1184.22</v>
      </c>
      <c r="K137" s="128"/>
    </row>
    <row r="138" spans="6:14" ht="13.8" x14ac:dyDescent="0.25">
      <c r="F138" s="398">
        <v>2670</v>
      </c>
      <c r="G138" s="758">
        <v>18</v>
      </c>
      <c r="H138" t="s">
        <v>321</v>
      </c>
      <c r="I138" s="128">
        <f>+L138+M138</f>
        <v>252</v>
      </c>
      <c r="J138" s="765">
        <f>+I138*$B$1</f>
        <v>398.16</v>
      </c>
      <c r="L138">
        <v>240</v>
      </c>
      <c r="M138">
        <v>12</v>
      </c>
    </row>
    <row r="139" spans="6:14" ht="13.8" x14ac:dyDescent="0.25">
      <c r="F139" s="398">
        <v>2670</v>
      </c>
      <c r="G139" s="758">
        <v>16</v>
      </c>
      <c r="H139" t="s">
        <v>321</v>
      </c>
      <c r="I139" s="128">
        <f>+L139+M139</f>
        <v>12</v>
      </c>
      <c r="J139" s="765">
        <f>+I139*$B$1</f>
        <v>18.96</v>
      </c>
      <c r="L139"/>
      <c r="M139">
        <v>12</v>
      </c>
    </row>
    <row r="140" spans="6:14" ht="13.8" x14ac:dyDescent="0.25">
      <c r="F140" s="398">
        <v>2670</v>
      </c>
      <c r="G140" s="758">
        <v>14</v>
      </c>
      <c r="H140" t="s">
        <v>321</v>
      </c>
      <c r="I140" s="128">
        <f>+L140+M140</f>
        <v>351</v>
      </c>
      <c r="J140" s="765">
        <f>+I140*$B$1</f>
        <v>554.58000000000004</v>
      </c>
      <c r="L140">
        <v>339</v>
      </c>
      <c r="M140">
        <v>12</v>
      </c>
    </row>
    <row r="141" spans="6:14" ht="13.8" x14ac:dyDescent="0.25">
      <c r="F141" s="398">
        <v>2670</v>
      </c>
      <c r="G141" s="758">
        <v>12</v>
      </c>
      <c r="H141" t="s">
        <v>321</v>
      </c>
      <c r="I141" s="128">
        <f>+L141+M141+N141</f>
        <v>701</v>
      </c>
      <c r="J141" s="765">
        <f>+I141*$B$1</f>
        <v>1107.5800000000002</v>
      </c>
      <c r="L141">
        <v>339</v>
      </c>
      <c r="M141">
        <v>12</v>
      </c>
      <c r="N141">
        <v>350</v>
      </c>
    </row>
    <row r="142" spans="6:14" ht="13.8" x14ac:dyDescent="0.25">
      <c r="F142" s="398">
        <v>2670</v>
      </c>
      <c r="G142" s="758">
        <v>18</v>
      </c>
      <c r="H142" t="s">
        <v>345</v>
      </c>
      <c r="I142" s="128">
        <v>1957</v>
      </c>
      <c r="J142" s="766">
        <f>+I142*$B$2</f>
        <v>863.03700000000003</v>
      </c>
      <c r="L142"/>
    </row>
    <row r="143" spans="6:14" ht="13.8" x14ac:dyDescent="0.25">
      <c r="F143" s="398">
        <v>2670</v>
      </c>
      <c r="G143" s="758">
        <v>16</v>
      </c>
      <c r="H143" t="s">
        <v>345</v>
      </c>
      <c r="I143" s="128">
        <v>3022</v>
      </c>
      <c r="J143" s="766">
        <f>+I143*$B$2</f>
        <v>1332.702</v>
      </c>
      <c r="L143"/>
    </row>
    <row r="144" spans="6:14" ht="13.8" x14ac:dyDescent="0.25">
      <c r="F144" s="398">
        <v>2670</v>
      </c>
      <c r="G144" s="758">
        <v>14</v>
      </c>
      <c r="H144" t="s">
        <v>345</v>
      </c>
      <c r="I144" s="128">
        <v>1957</v>
      </c>
      <c r="J144" s="766">
        <f>+I144*$B$2</f>
        <v>863.03700000000003</v>
      </c>
      <c r="K144">
        <v>236</v>
      </c>
      <c r="L144" s="142">
        <f>+K144+I144</f>
        <v>2193</v>
      </c>
    </row>
    <row r="145" spans="6:14" ht="13.8" x14ac:dyDescent="0.25">
      <c r="F145" s="398">
        <v>2670</v>
      </c>
      <c r="G145" s="758">
        <v>12</v>
      </c>
      <c r="H145" t="s">
        <v>345</v>
      </c>
      <c r="I145" s="128">
        <v>3022</v>
      </c>
      <c r="J145" s="766">
        <f>+I145*$B$2</f>
        <v>1332.702</v>
      </c>
      <c r="K145">
        <v>236</v>
      </c>
      <c r="L145" s="142">
        <f>+K145+I145</f>
        <v>3258</v>
      </c>
    </row>
    <row r="146" spans="6:14" ht="13.8" x14ac:dyDescent="0.25">
      <c r="F146" s="398">
        <v>2670</v>
      </c>
      <c r="G146" s="758">
        <v>18</v>
      </c>
      <c r="H146" t="s">
        <v>1363</v>
      </c>
      <c r="I146" s="128">
        <f>+K146+L146</f>
        <v>776</v>
      </c>
      <c r="J146" s="769">
        <f>+I146*$B$3</f>
        <v>333.68</v>
      </c>
      <c r="K146" s="128">
        <v>567</v>
      </c>
      <c r="L146" s="128">
        <f>53+53+103</f>
        <v>209</v>
      </c>
    </row>
    <row r="147" spans="6:14" ht="13.8" x14ac:dyDescent="0.25">
      <c r="F147" s="398">
        <v>2670</v>
      </c>
      <c r="G147" s="758">
        <v>16</v>
      </c>
      <c r="H147" t="s">
        <v>1363</v>
      </c>
      <c r="I147" s="128">
        <f>+K147+L147</f>
        <v>944</v>
      </c>
      <c r="J147" s="769">
        <f>+I147*$B$3</f>
        <v>405.92</v>
      </c>
      <c r="K147" s="128">
        <v>735</v>
      </c>
      <c r="L147" s="128">
        <f>53+53+103</f>
        <v>209</v>
      </c>
    </row>
    <row r="148" spans="6:14" ht="13.8" x14ac:dyDescent="0.25">
      <c r="F148" s="398">
        <v>2670</v>
      </c>
      <c r="G148" s="758">
        <v>14</v>
      </c>
      <c r="H148" t="s">
        <v>1363</v>
      </c>
      <c r="I148" s="128">
        <f>+K148+L148</f>
        <v>1238</v>
      </c>
      <c r="J148" s="769">
        <f>+I148*$B$3</f>
        <v>532.34</v>
      </c>
      <c r="K148" s="128">
        <v>1029</v>
      </c>
      <c r="L148" s="128">
        <f>53+53+103</f>
        <v>209</v>
      </c>
    </row>
    <row r="149" spans="6:14" ht="13.8" x14ac:dyDescent="0.25">
      <c r="F149" s="398">
        <v>2670</v>
      </c>
      <c r="G149" s="758">
        <v>12</v>
      </c>
      <c r="H149" t="s">
        <v>1363</v>
      </c>
      <c r="I149" s="128">
        <v>3363</v>
      </c>
      <c r="J149" s="769">
        <f>+I149*$B$3</f>
        <v>1446.09</v>
      </c>
      <c r="K149" s="128"/>
    </row>
    <row r="150" spans="6:14" ht="13.8" x14ac:dyDescent="0.25">
      <c r="F150" s="398">
        <v>2680</v>
      </c>
      <c r="G150" s="758">
        <v>18</v>
      </c>
      <c r="H150" t="s">
        <v>321</v>
      </c>
      <c r="I150" s="128">
        <f>+L150+M150</f>
        <v>321</v>
      </c>
      <c r="J150" s="765">
        <f>+I150*$B$1</f>
        <v>507.18</v>
      </c>
      <c r="L150">
        <v>309</v>
      </c>
      <c r="M150">
        <v>12</v>
      </c>
    </row>
    <row r="151" spans="6:14" ht="13.8" x14ac:dyDescent="0.25">
      <c r="F151" s="398">
        <v>2680</v>
      </c>
      <c r="G151" s="758">
        <v>16</v>
      </c>
      <c r="H151" t="s">
        <v>321</v>
      </c>
      <c r="I151" s="128">
        <f>+L151+M151</f>
        <v>12</v>
      </c>
      <c r="J151" s="765">
        <f>+I151*$B$1</f>
        <v>18.96</v>
      </c>
      <c r="L151"/>
      <c r="M151">
        <v>12</v>
      </c>
    </row>
    <row r="152" spans="6:14" ht="13.8" x14ac:dyDescent="0.25">
      <c r="F152" s="398">
        <v>2680</v>
      </c>
      <c r="G152" s="758">
        <v>14</v>
      </c>
      <c r="H152" t="s">
        <v>321</v>
      </c>
      <c r="I152" s="128">
        <f>+L152+M152</f>
        <v>442</v>
      </c>
      <c r="J152" s="765">
        <f>+I152*$B$1</f>
        <v>698.36</v>
      </c>
      <c r="L152">
        <v>430</v>
      </c>
      <c r="M152">
        <v>12</v>
      </c>
    </row>
    <row r="153" spans="6:14" ht="13.8" x14ac:dyDescent="0.25">
      <c r="F153" s="398">
        <v>2680</v>
      </c>
      <c r="G153" s="758">
        <v>12</v>
      </c>
      <c r="H153" t="s">
        <v>321</v>
      </c>
      <c r="I153" s="128">
        <f>+L153+M153+N153</f>
        <v>792</v>
      </c>
      <c r="J153" s="765">
        <f>+I153*$B$1</f>
        <v>1251.3600000000001</v>
      </c>
      <c r="L153">
        <v>430</v>
      </c>
      <c r="M153">
        <v>12</v>
      </c>
      <c r="N153">
        <v>350</v>
      </c>
    </row>
    <row r="154" spans="6:14" ht="13.8" x14ac:dyDescent="0.25">
      <c r="F154" s="398">
        <v>2680</v>
      </c>
      <c r="G154" s="758">
        <v>18</v>
      </c>
      <c r="H154" t="s">
        <v>345</v>
      </c>
      <c r="I154" s="128">
        <v>2217</v>
      </c>
      <c r="J154" s="766">
        <f>+I154*$B$2</f>
        <v>977.697</v>
      </c>
      <c r="L154"/>
    </row>
    <row r="155" spans="6:14" ht="13.8" x14ac:dyDescent="0.25">
      <c r="F155" s="398">
        <v>2680</v>
      </c>
      <c r="G155" s="758">
        <v>16</v>
      </c>
      <c r="H155" t="s">
        <v>345</v>
      </c>
      <c r="I155" s="128">
        <v>3455</v>
      </c>
      <c r="J155" s="766">
        <f>+I155*$B$2</f>
        <v>1523.655</v>
      </c>
      <c r="L155"/>
    </row>
    <row r="156" spans="6:14" ht="13.8" x14ac:dyDescent="0.25">
      <c r="F156" s="398">
        <v>2680</v>
      </c>
      <c r="G156" s="758">
        <v>14</v>
      </c>
      <c r="H156" t="s">
        <v>345</v>
      </c>
      <c r="I156" s="128">
        <v>1970</v>
      </c>
      <c r="J156" s="766">
        <f>+I156*$B$2</f>
        <v>868.77</v>
      </c>
      <c r="K156">
        <v>236</v>
      </c>
      <c r="L156" s="142">
        <f>+K156+I156</f>
        <v>2206</v>
      </c>
    </row>
    <row r="157" spans="6:14" ht="13.8" x14ac:dyDescent="0.25">
      <c r="F157" s="398">
        <v>2680</v>
      </c>
      <c r="G157" s="758">
        <v>12</v>
      </c>
      <c r="H157" t="s">
        <v>345</v>
      </c>
      <c r="I157" s="128">
        <v>3044</v>
      </c>
      <c r="J157" s="766">
        <f>+I157*$B$2</f>
        <v>1342.404</v>
      </c>
      <c r="K157">
        <v>236</v>
      </c>
      <c r="L157" s="142">
        <f>+K157+I157</f>
        <v>3280</v>
      </c>
    </row>
    <row r="158" spans="6:14" ht="13.8" x14ac:dyDescent="0.25">
      <c r="F158" s="398">
        <v>2680</v>
      </c>
      <c r="G158" s="758">
        <v>18</v>
      </c>
      <c r="H158" t="s">
        <v>1363</v>
      </c>
      <c r="I158" s="128">
        <f>+K158+L158</f>
        <v>868</v>
      </c>
      <c r="J158" s="769">
        <f>+I158*$B$3</f>
        <v>373.24</v>
      </c>
      <c r="K158" s="128">
        <v>659</v>
      </c>
      <c r="L158" s="128">
        <f>53+53+103</f>
        <v>209</v>
      </c>
    </row>
    <row r="159" spans="6:14" ht="13.8" x14ac:dyDescent="0.25">
      <c r="F159" s="398">
        <v>2680</v>
      </c>
      <c r="G159" s="758">
        <v>16</v>
      </c>
      <c r="H159" t="s">
        <v>1363</v>
      </c>
      <c r="I159" s="128">
        <f>+K159+L159</f>
        <v>1036</v>
      </c>
      <c r="J159" s="769">
        <f>+I159*$B$3</f>
        <v>445.48</v>
      </c>
      <c r="K159" s="128">
        <v>827</v>
      </c>
      <c r="L159" s="128">
        <f>53+53+103</f>
        <v>209</v>
      </c>
    </row>
    <row r="160" spans="6:14" ht="13.8" x14ac:dyDescent="0.25">
      <c r="F160" s="398">
        <v>2680</v>
      </c>
      <c r="G160" s="758">
        <v>14</v>
      </c>
      <c r="H160" t="s">
        <v>1363</v>
      </c>
      <c r="I160" s="128">
        <f>+K160+L160</f>
        <v>1330</v>
      </c>
      <c r="J160" s="769">
        <f>+I160*$B$3</f>
        <v>571.9</v>
      </c>
      <c r="K160" s="128">
        <v>1121</v>
      </c>
      <c r="L160" s="128">
        <f>53+53+103</f>
        <v>209</v>
      </c>
    </row>
    <row r="161" spans="6:14" ht="13.8" x14ac:dyDescent="0.25">
      <c r="F161" s="398">
        <v>2680</v>
      </c>
      <c r="G161" s="758">
        <v>12</v>
      </c>
      <c r="H161" t="s">
        <v>1363</v>
      </c>
      <c r="I161" s="128">
        <v>3363</v>
      </c>
      <c r="J161" s="769">
        <f>+I161*$B$3</f>
        <v>1446.09</v>
      </c>
      <c r="K161" s="128"/>
    </row>
    <row r="162" spans="6:14" ht="13.8" x14ac:dyDescent="0.25">
      <c r="F162" s="398">
        <v>2690</v>
      </c>
      <c r="G162" s="758">
        <v>18</v>
      </c>
      <c r="H162" t="s">
        <v>321</v>
      </c>
      <c r="I162" s="128">
        <f>+L162+M162</f>
        <v>444</v>
      </c>
      <c r="J162" s="765">
        <f>+I162*$B$1</f>
        <v>701.52</v>
      </c>
      <c r="L162">
        <v>432</v>
      </c>
      <c r="M162">
        <v>12</v>
      </c>
    </row>
    <row r="163" spans="6:14" ht="13.8" x14ac:dyDescent="0.25">
      <c r="F163" s="398">
        <v>2690</v>
      </c>
      <c r="G163" s="758">
        <v>16</v>
      </c>
      <c r="H163" t="s">
        <v>321</v>
      </c>
      <c r="I163" s="128">
        <f>+L163+M163</f>
        <v>12</v>
      </c>
      <c r="J163" s="765">
        <f>+I163*$B$1</f>
        <v>18.96</v>
      </c>
      <c r="L163"/>
      <c r="M163">
        <v>12</v>
      </c>
    </row>
    <row r="164" spans="6:14" ht="13.8" x14ac:dyDescent="0.25">
      <c r="F164" s="398">
        <v>2690</v>
      </c>
      <c r="G164" s="758">
        <v>14</v>
      </c>
      <c r="H164" t="s">
        <v>321</v>
      </c>
      <c r="I164" s="128">
        <f>+L164+M164</f>
        <v>335</v>
      </c>
      <c r="J164" s="765">
        <f>+I164*$B$1</f>
        <v>529.30000000000007</v>
      </c>
      <c r="L164">
        <v>323</v>
      </c>
      <c r="M164">
        <v>12</v>
      </c>
    </row>
    <row r="165" spans="6:14" ht="13.8" x14ac:dyDescent="0.25">
      <c r="F165" s="398">
        <v>2690</v>
      </c>
      <c r="G165" s="758">
        <v>12</v>
      </c>
      <c r="H165" t="s">
        <v>321</v>
      </c>
      <c r="I165" s="128">
        <f>+L165+M165+N165</f>
        <v>915</v>
      </c>
      <c r="J165" s="765">
        <f>+I165*$B$1</f>
        <v>1445.7</v>
      </c>
      <c r="L165">
        <v>553</v>
      </c>
      <c r="M165">
        <v>12</v>
      </c>
      <c r="N165">
        <v>350</v>
      </c>
    </row>
    <row r="166" spans="6:14" ht="13.8" x14ac:dyDescent="0.25">
      <c r="F166" s="398">
        <v>2690</v>
      </c>
      <c r="G166" s="758">
        <v>18</v>
      </c>
      <c r="H166" t="s">
        <v>345</v>
      </c>
      <c r="I166" s="128">
        <v>1086</v>
      </c>
      <c r="J166" s="766">
        <f>+I166*$B$2</f>
        <v>478.92599999999999</v>
      </c>
      <c r="L166"/>
    </row>
    <row r="167" spans="6:14" ht="13.8" x14ac:dyDescent="0.25">
      <c r="F167" s="398">
        <v>2690</v>
      </c>
      <c r="G167" s="758">
        <v>16</v>
      </c>
      <c r="H167" t="s">
        <v>345</v>
      </c>
      <c r="I167" s="128">
        <v>1284</v>
      </c>
      <c r="J167" s="766">
        <f>+I167*$B$2</f>
        <v>566.24400000000003</v>
      </c>
      <c r="L167"/>
    </row>
    <row r="168" spans="6:14" ht="13.8" x14ac:dyDescent="0.25">
      <c r="F168" s="398">
        <v>2690</v>
      </c>
      <c r="G168" s="758">
        <v>14</v>
      </c>
      <c r="H168" t="s">
        <v>345</v>
      </c>
      <c r="I168" s="128">
        <v>1519</v>
      </c>
      <c r="J168" s="766">
        <f>+I168*$B$2</f>
        <v>669.87900000000002</v>
      </c>
      <c r="K168">
        <v>236</v>
      </c>
      <c r="L168" s="142">
        <f>+K168+I168</f>
        <v>1755</v>
      </c>
    </row>
    <row r="169" spans="6:14" ht="13.8" x14ac:dyDescent="0.25">
      <c r="F169" s="398">
        <v>2690</v>
      </c>
      <c r="G169" s="758">
        <v>12</v>
      </c>
      <c r="H169" t="s">
        <v>345</v>
      </c>
      <c r="I169" s="128">
        <v>2463</v>
      </c>
      <c r="J169" s="766">
        <f>+I169*$B$2</f>
        <v>1086.183</v>
      </c>
      <c r="K169">
        <v>236</v>
      </c>
      <c r="L169" s="142">
        <f>+K169+I169</f>
        <v>2699</v>
      </c>
    </row>
    <row r="170" spans="6:14" ht="13.8" x14ac:dyDescent="0.25">
      <c r="F170" s="398">
        <v>2690</v>
      </c>
      <c r="G170" s="758">
        <v>18</v>
      </c>
      <c r="H170" t="s">
        <v>1363</v>
      </c>
      <c r="I170" s="128"/>
      <c r="J170" s="769">
        <f>+I170*$B$3</f>
        <v>0</v>
      </c>
      <c r="K170" s="128"/>
    </row>
    <row r="171" spans="6:14" ht="13.8" x14ac:dyDescent="0.25">
      <c r="F171" s="398">
        <v>2690</v>
      </c>
      <c r="G171" s="758">
        <v>16</v>
      </c>
      <c r="H171" t="s">
        <v>1363</v>
      </c>
      <c r="I171" s="128"/>
      <c r="J171" s="769">
        <f>+I171*$B$3</f>
        <v>0</v>
      </c>
      <c r="K171" s="128"/>
    </row>
    <row r="172" spans="6:14" ht="13.8" x14ac:dyDescent="0.25">
      <c r="F172" s="398">
        <v>2690</v>
      </c>
      <c r="G172" s="758">
        <v>14</v>
      </c>
      <c r="H172" t="s">
        <v>1363</v>
      </c>
      <c r="I172" s="128"/>
      <c r="J172" s="769">
        <f>+I172*$B$3</f>
        <v>0</v>
      </c>
      <c r="K172" s="128"/>
    </row>
    <row r="173" spans="6:14" ht="13.8" x14ac:dyDescent="0.25">
      <c r="F173" s="398">
        <v>2690</v>
      </c>
      <c r="G173" s="758">
        <v>12</v>
      </c>
      <c r="H173" t="s">
        <v>1363</v>
      </c>
      <c r="I173" s="128"/>
      <c r="J173" s="769">
        <f>+I173*$B$3</f>
        <v>0</v>
      </c>
      <c r="K173" s="128"/>
    </row>
    <row r="174" spans="6:14" ht="13.8" x14ac:dyDescent="0.25">
      <c r="F174" s="398">
        <v>2868</v>
      </c>
      <c r="G174" s="758">
        <v>18</v>
      </c>
      <c r="H174" t="s">
        <v>321</v>
      </c>
      <c r="I174" s="128">
        <f>+L174+M174</f>
        <v>241</v>
      </c>
      <c r="J174" s="765">
        <f>+I174*$B$1</f>
        <v>380.78000000000003</v>
      </c>
      <c r="L174">
        <v>229</v>
      </c>
      <c r="M174">
        <v>12</v>
      </c>
    </row>
    <row r="175" spans="6:14" ht="13.8" x14ac:dyDescent="0.25">
      <c r="F175" s="398">
        <v>2868</v>
      </c>
      <c r="G175" s="758">
        <v>16</v>
      </c>
      <c r="H175" t="s">
        <v>321</v>
      </c>
      <c r="I175" s="128">
        <f>+L175+M175</f>
        <v>12</v>
      </c>
      <c r="J175" s="765">
        <f>+I175*$B$1</f>
        <v>18.96</v>
      </c>
      <c r="L175"/>
      <c r="M175">
        <v>12</v>
      </c>
    </row>
    <row r="176" spans="6:14" ht="13.8" x14ac:dyDescent="0.25">
      <c r="F176" s="398">
        <v>2868</v>
      </c>
      <c r="G176" s="758">
        <v>14</v>
      </c>
      <c r="H176" t="s">
        <v>321</v>
      </c>
      <c r="I176" s="128">
        <f>+L176+M176</f>
        <v>335</v>
      </c>
      <c r="J176" s="765">
        <f>+I176*$B$1</f>
        <v>529.30000000000007</v>
      </c>
      <c r="L176">
        <v>323</v>
      </c>
      <c r="M176">
        <v>12</v>
      </c>
    </row>
    <row r="177" spans="6:14" ht="13.8" x14ac:dyDescent="0.25">
      <c r="F177" s="398">
        <v>2868</v>
      </c>
      <c r="G177" s="758">
        <v>12</v>
      </c>
      <c r="H177" t="s">
        <v>321</v>
      </c>
      <c r="I177" s="128">
        <f>+L177+M177+N177</f>
        <v>685</v>
      </c>
      <c r="J177" s="765">
        <f>+I177*$B$1</f>
        <v>1082.3</v>
      </c>
      <c r="L177">
        <v>323</v>
      </c>
      <c r="M177">
        <v>12</v>
      </c>
      <c r="N177">
        <v>350</v>
      </c>
    </row>
    <row r="178" spans="6:14" ht="13.8" x14ac:dyDescent="0.25">
      <c r="F178" s="398">
        <v>2868</v>
      </c>
      <c r="G178" s="758">
        <v>18</v>
      </c>
      <c r="H178" t="s">
        <v>345</v>
      </c>
      <c r="I178" s="128">
        <v>763</v>
      </c>
      <c r="J178" s="766">
        <f>+I178*$B$2</f>
        <v>336.483</v>
      </c>
      <c r="L178"/>
    </row>
    <row r="179" spans="6:14" ht="13.8" x14ac:dyDescent="0.25">
      <c r="F179" s="398">
        <v>2868</v>
      </c>
      <c r="G179" s="758">
        <v>16</v>
      </c>
      <c r="H179" t="s">
        <v>345</v>
      </c>
      <c r="I179" s="128">
        <v>889</v>
      </c>
      <c r="J179" s="766">
        <f>+I179*$B$2</f>
        <v>392.04899999999998</v>
      </c>
      <c r="L179"/>
    </row>
    <row r="180" spans="6:14" ht="13.8" x14ac:dyDescent="0.25">
      <c r="F180" s="398">
        <v>2868</v>
      </c>
      <c r="G180" s="758">
        <v>14</v>
      </c>
      <c r="H180" t="s">
        <v>345</v>
      </c>
      <c r="I180" s="128">
        <v>984</v>
      </c>
      <c r="J180" s="766">
        <f>+I180*$B$2</f>
        <v>433.94400000000002</v>
      </c>
      <c r="K180">
        <v>236</v>
      </c>
      <c r="L180" s="142">
        <f>+K180+I180</f>
        <v>1220</v>
      </c>
    </row>
    <row r="181" spans="6:14" ht="13.8" x14ac:dyDescent="0.25">
      <c r="F181" s="398">
        <v>2868</v>
      </c>
      <c r="G181" s="758">
        <v>12</v>
      </c>
      <c r="H181" t="s">
        <v>345</v>
      </c>
      <c r="I181" s="128">
        <v>1588</v>
      </c>
      <c r="J181" s="766">
        <f>+I181*$B$2</f>
        <v>700.30799999999999</v>
      </c>
      <c r="K181">
        <v>236</v>
      </c>
      <c r="L181" s="142">
        <f>+K181+I181</f>
        <v>1824</v>
      </c>
    </row>
    <row r="182" spans="6:14" ht="13.8" x14ac:dyDescent="0.25">
      <c r="F182" s="398">
        <v>2868</v>
      </c>
      <c r="G182" s="758">
        <v>18</v>
      </c>
      <c r="H182" t="s">
        <v>1363</v>
      </c>
      <c r="I182" s="128">
        <f>+K182+L182</f>
        <v>766</v>
      </c>
      <c r="J182" s="769">
        <f>+I182*$B$3</f>
        <v>329.38</v>
      </c>
      <c r="K182" s="128">
        <v>557</v>
      </c>
      <c r="L182" s="128">
        <f>53+53+103</f>
        <v>209</v>
      </c>
    </row>
    <row r="183" spans="6:14" ht="13.8" x14ac:dyDescent="0.25">
      <c r="F183" s="398">
        <v>2868</v>
      </c>
      <c r="G183" s="758">
        <v>16</v>
      </c>
      <c r="H183" t="s">
        <v>1363</v>
      </c>
      <c r="I183" s="128">
        <f>+K183+L183</f>
        <v>934</v>
      </c>
      <c r="J183" s="769">
        <f>+I183*$B$3</f>
        <v>401.62</v>
      </c>
      <c r="K183" s="128">
        <v>725</v>
      </c>
      <c r="L183" s="128">
        <f>53+53+103</f>
        <v>209</v>
      </c>
    </row>
    <row r="184" spans="6:14" ht="13.8" x14ac:dyDescent="0.25">
      <c r="F184" s="398">
        <v>2868</v>
      </c>
      <c r="G184" s="758">
        <v>14</v>
      </c>
      <c r="H184" t="s">
        <v>1363</v>
      </c>
      <c r="I184" s="128">
        <f>+K184+L184</f>
        <v>1228</v>
      </c>
      <c r="J184" s="769">
        <f>+I184*$B$3</f>
        <v>528.04</v>
      </c>
      <c r="K184" s="128">
        <v>1019</v>
      </c>
      <c r="L184" s="128">
        <f>53+53+103</f>
        <v>209</v>
      </c>
    </row>
    <row r="185" spans="6:14" ht="13.8" x14ac:dyDescent="0.25">
      <c r="F185" s="398">
        <v>2868</v>
      </c>
      <c r="G185" s="758">
        <v>12</v>
      </c>
      <c r="H185" t="s">
        <v>1363</v>
      </c>
      <c r="I185" s="128"/>
      <c r="J185" s="769">
        <f>+I185*$B$3</f>
        <v>0</v>
      </c>
      <c r="K185" s="128"/>
    </row>
    <row r="186" spans="6:14" ht="13.8" x14ac:dyDescent="0.25">
      <c r="F186" s="398">
        <v>2870</v>
      </c>
      <c r="G186" s="758">
        <v>18</v>
      </c>
      <c r="H186" t="s">
        <v>321</v>
      </c>
      <c r="I186" s="128">
        <f>+L186+M186</f>
        <v>252</v>
      </c>
      <c r="J186" s="765">
        <f>+I186*$B$1</f>
        <v>398.16</v>
      </c>
      <c r="L186">
        <v>240</v>
      </c>
      <c r="M186">
        <v>12</v>
      </c>
    </row>
    <row r="187" spans="6:14" ht="13.8" x14ac:dyDescent="0.25">
      <c r="F187" s="398">
        <v>2870</v>
      </c>
      <c r="G187" s="758">
        <v>16</v>
      </c>
      <c r="H187" t="s">
        <v>321</v>
      </c>
      <c r="I187" s="128">
        <f>+L187+M187</f>
        <v>12</v>
      </c>
      <c r="J187" s="765">
        <f>+I187*$B$1</f>
        <v>18.96</v>
      </c>
      <c r="L187"/>
      <c r="M187">
        <v>12</v>
      </c>
    </row>
    <row r="188" spans="6:14" ht="13.8" x14ac:dyDescent="0.25">
      <c r="F188" s="398">
        <v>2870</v>
      </c>
      <c r="G188" s="758">
        <v>14</v>
      </c>
      <c r="H188" t="s">
        <v>321</v>
      </c>
      <c r="I188" s="128">
        <f>+L188+M188</f>
        <v>351</v>
      </c>
      <c r="J188" s="765">
        <f>+I188*$B$1</f>
        <v>554.58000000000004</v>
      </c>
      <c r="L188">
        <v>339</v>
      </c>
      <c r="M188">
        <v>12</v>
      </c>
    </row>
    <row r="189" spans="6:14" ht="13.8" x14ac:dyDescent="0.25">
      <c r="F189" s="398">
        <v>2870</v>
      </c>
      <c r="G189" s="758">
        <v>12</v>
      </c>
      <c r="H189" t="s">
        <v>321</v>
      </c>
      <c r="I189" s="128">
        <f>+L189+M189+N189</f>
        <v>701</v>
      </c>
      <c r="J189" s="765">
        <f>+I189*$B$1</f>
        <v>1107.5800000000002</v>
      </c>
      <c r="L189">
        <v>339</v>
      </c>
      <c r="M189">
        <v>12</v>
      </c>
      <c r="N189">
        <v>350</v>
      </c>
    </row>
    <row r="190" spans="6:14" ht="13.8" x14ac:dyDescent="0.25">
      <c r="F190" s="398">
        <v>2870</v>
      </c>
      <c r="G190" s="758">
        <v>18</v>
      </c>
      <c r="H190" t="s">
        <v>345</v>
      </c>
      <c r="I190" s="128">
        <v>792</v>
      </c>
      <c r="J190" s="766">
        <f>+I190*$B$2</f>
        <v>349.27199999999999</v>
      </c>
      <c r="L190"/>
    </row>
    <row r="191" spans="6:14" ht="13.8" x14ac:dyDescent="0.25">
      <c r="F191" s="398">
        <v>2870</v>
      </c>
      <c r="G191" s="758">
        <v>16</v>
      </c>
      <c r="H191" t="s">
        <v>345</v>
      </c>
      <c r="I191" s="128">
        <v>925</v>
      </c>
      <c r="J191" s="766">
        <f>+I191*$B$2</f>
        <v>407.92500000000001</v>
      </c>
      <c r="L191"/>
    </row>
    <row r="192" spans="6:14" ht="13.8" x14ac:dyDescent="0.25">
      <c r="F192" s="398">
        <v>2870</v>
      </c>
      <c r="G192" s="758">
        <v>14</v>
      </c>
      <c r="H192" t="s">
        <v>345</v>
      </c>
      <c r="I192" s="128">
        <v>1032</v>
      </c>
      <c r="J192" s="766">
        <f>+I192*$B$2</f>
        <v>455.11200000000002</v>
      </c>
      <c r="K192">
        <v>236</v>
      </c>
      <c r="L192" s="142">
        <f>+K192+I192</f>
        <v>1268</v>
      </c>
    </row>
    <row r="193" spans="6:14" ht="13.8" x14ac:dyDescent="0.25">
      <c r="F193" s="398">
        <v>2870</v>
      </c>
      <c r="G193" s="758">
        <v>12</v>
      </c>
      <c r="H193" t="s">
        <v>345</v>
      </c>
      <c r="I193" s="128">
        <v>1667</v>
      </c>
      <c r="J193" s="766">
        <f>+I193*$B$2</f>
        <v>735.14700000000005</v>
      </c>
      <c r="K193">
        <v>236</v>
      </c>
      <c r="L193" s="142">
        <f>+K193+I193</f>
        <v>1903</v>
      </c>
    </row>
    <row r="194" spans="6:14" ht="13.8" x14ac:dyDescent="0.25">
      <c r="F194" s="398">
        <v>2870</v>
      </c>
      <c r="G194" s="758">
        <v>18</v>
      </c>
      <c r="H194" t="s">
        <v>1363</v>
      </c>
      <c r="I194" s="128">
        <f>+K194+L194</f>
        <v>776</v>
      </c>
      <c r="J194" s="769">
        <f>+I194*$B$3</f>
        <v>333.68</v>
      </c>
      <c r="K194" s="128">
        <v>567</v>
      </c>
      <c r="L194" s="128">
        <f>53+53+103</f>
        <v>209</v>
      </c>
    </row>
    <row r="195" spans="6:14" ht="13.8" x14ac:dyDescent="0.25">
      <c r="F195" s="398">
        <v>2870</v>
      </c>
      <c r="G195" s="758">
        <v>16</v>
      </c>
      <c r="H195" t="s">
        <v>1363</v>
      </c>
      <c r="I195" s="128">
        <f>+K195+L195</f>
        <v>944</v>
      </c>
      <c r="J195" s="769">
        <f>+I195*$B$3</f>
        <v>405.92</v>
      </c>
      <c r="K195" s="128">
        <v>735</v>
      </c>
      <c r="L195" s="128">
        <f>53+53+103</f>
        <v>209</v>
      </c>
    </row>
    <row r="196" spans="6:14" ht="13.8" x14ac:dyDescent="0.25">
      <c r="F196" s="398">
        <v>2870</v>
      </c>
      <c r="G196" s="758">
        <v>14</v>
      </c>
      <c r="H196" t="s">
        <v>1363</v>
      </c>
      <c r="I196" s="128">
        <f>+K196+L196</f>
        <v>1238</v>
      </c>
      <c r="J196" s="769">
        <f>+I196*$B$3</f>
        <v>532.34</v>
      </c>
      <c r="K196" s="128">
        <v>1029</v>
      </c>
      <c r="L196" s="128">
        <f>53+53+103</f>
        <v>209</v>
      </c>
    </row>
    <row r="197" spans="6:14" ht="13.8" x14ac:dyDescent="0.25">
      <c r="F197" s="398">
        <v>2870</v>
      </c>
      <c r="G197" s="758">
        <v>12</v>
      </c>
      <c r="H197" t="s">
        <v>1363</v>
      </c>
      <c r="I197" s="128"/>
      <c r="J197" s="769">
        <f>+I197*$B$3</f>
        <v>0</v>
      </c>
      <c r="K197" s="128"/>
    </row>
    <row r="198" spans="6:14" ht="13.8" x14ac:dyDescent="0.25">
      <c r="F198" s="398">
        <v>2880</v>
      </c>
      <c r="G198" s="758">
        <v>18</v>
      </c>
      <c r="H198" t="s">
        <v>321</v>
      </c>
      <c r="I198" s="128">
        <f>+L198+M198</f>
        <v>321</v>
      </c>
      <c r="J198" s="765">
        <f>+I198*$B$1</f>
        <v>507.18</v>
      </c>
      <c r="L198">
        <v>309</v>
      </c>
      <c r="M198">
        <v>12</v>
      </c>
    </row>
    <row r="199" spans="6:14" ht="13.8" x14ac:dyDescent="0.25">
      <c r="F199" s="398">
        <v>2880</v>
      </c>
      <c r="G199" s="758">
        <v>16</v>
      </c>
      <c r="H199" t="s">
        <v>321</v>
      </c>
      <c r="I199" s="128">
        <f>+L199+M199</f>
        <v>12</v>
      </c>
      <c r="J199" s="765">
        <f>+I199*$B$1</f>
        <v>18.96</v>
      </c>
      <c r="L199"/>
      <c r="M199">
        <v>12</v>
      </c>
    </row>
    <row r="200" spans="6:14" ht="13.8" x14ac:dyDescent="0.25">
      <c r="F200" s="398">
        <v>2880</v>
      </c>
      <c r="G200" s="758">
        <v>14</v>
      </c>
      <c r="H200" t="s">
        <v>321</v>
      </c>
      <c r="I200" s="128">
        <f>+L200+M200</f>
        <v>442</v>
      </c>
      <c r="J200" s="765">
        <f>+I200*$B$1</f>
        <v>698.36</v>
      </c>
      <c r="L200">
        <v>430</v>
      </c>
      <c r="M200">
        <v>12</v>
      </c>
    </row>
    <row r="201" spans="6:14" ht="13.8" x14ac:dyDescent="0.25">
      <c r="F201" s="398">
        <v>2880</v>
      </c>
      <c r="G201" s="758">
        <v>12</v>
      </c>
      <c r="H201" t="s">
        <v>321</v>
      </c>
      <c r="I201" s="128">
        <f>+L201+M201+N201</f>
        <v>792</v>
      </c>
      <c r="J201" s="765">
        <f>+I201*$B$1</f>
        <v>1251.3600000000001</v>
      </c>
      <c r="L201">
        <v>430</v>
      </c>
      <c r="M201">
        <v>12</v>
      </c>
      <c r="N201">
        <v>350</v>
      </c>
    </row>
    <row r="202" spans="6:14" ht="13.8" x14ac:dyDescent="0.25">
      <c r="F202" s="398">
        <v>2880</v>
      </c>
      <c r="G202" s="758">
        <v>18</v>
      </c>
      <c r="H202" t="s">
        <v>345</v>
      </c>
      <c r="I202" s="128">
        <v>897</v>
      </c>
      <c r="J202" s="766">
        <f>+I202*$B$2</f>
        <v>395.577</v>
      </c>
      <c r="L202"/>
    </row>
    <row r="203" spans="6:14" ht="13.8" x14ac:dyDescent="0.25">
      <c r="F203" s="398">
        <v>2880</v>
      </c>
      <c r="G203" s="758">
        <v>16</v>
      </c>
      <c r="H203" t="s">
        <v>345</v>
      </c>
      <c r="I203" s="128">
        <v>1052</v>
      </c>
      <c r="J203" s="766">
        <f>+I203*$B$2</f>
        <v>463.93200000000002</v>
      </c>
      <c r="L203"/>
    </row>
    <row r="204" spans="6:14" ht="13.8" x14ac:dyDescent="0.25">
      <c r="F204" s="398">
        <v>2880</v>
      </c>
      <c r="G204" s="758">
        <v>14</v>
      </c>
      <c r="H204" t="s">
        <v>345</v>
      </c>
      <c r="I204" s="128">
        <v>1204</v>
      </c>
      <c r="J204" s="766">
        <f>+I204*$B$2</f>
        <v>530.96400000000006</v>
      </c>
      <c r="K204">
        <v>236</v>
      </c>
      <c r="L204" s="142">
        <f>+K204+I204</f>
        <v>1440</v>
      </c>
    </row>
    <row r="205" spans="6:14" ht="13.8" x14ac:dyDescent="0.25">
      <c r="F205" s="398">
        <v>2880</v>
      </c>
      <c r="G205" s="758">
        <v>12</v>
      </c>
      <c r="H205" t="s">
        <v>345</v>
      </c>
      <c r="I205" s="128">
        <v>1946</v>
      </c>
      <c r="J205" s="766">
        <f>+I205*$B$2</f>
        <v>858.18600000000004</v>
      </c>
      <c r="K205">
        <v>236</v>
      </c>
      <c r="L205" s="142">
        <f>+K205+I205</f>
        <v>2182</v>
      </c>
    </row>
    <row r="206" spans="6:14" ht="13.8" x14ac:dyDescent="0.25">
      <c r="F206" s="398">
        <v>2880</v>
      </c>
      <c r="G206" s="758">
        <v>18</v>
      </c>
      <c r="H206" t="s">
        <v>1363</v>
      </c>
      <c r="I206" s="128">
        <f>+K206+L206</f>
        <v>868</v>
      </c>
      <c r="J206" s="769">
        <f>+I206*$B$3</f>
        <v>373.24</v>
      </c>
      <c r="K206" s="128">
        <v>659</v>
      </c>
      <c r="L206" s="128">
        <f>53+53+103</f>
        <v>209</v>
      </c>
    </row>
    <row r="207" spans="6:14" ht="13.8" x14ac:dyDescent="0.25">
      <c r="F207" s="398">
        <v>2880</v>
      </c>
      <c r="G207" s="758">
        <v>16</v>
      </c>
      <c r="H207" t="s">
        <v>1363</v>
      </c>
      <c r="I207" s="128">
        <f>+K207+L207</f>
        <v>1036</v>
      </c>
      <c r="J207" s="769">
        <f>+I207*$B$3</f>
        <v>445.48</v>
      </c>
      <c r="K207" s="128">
        <v>827</v>
      </c>
      <c r="L207" s="128">
        <f>53+53+103</f>
        <v>209</v>
      </c>
    </row>
    <row r="208" spans="6:14" ht="13.8" x14ac:dyDescent="0.25">
      <c r="F208" s="398">
        <v>2880</v>
      </c>
      <c r="G208" s="758">
        <v>14</v>
      </c>
      <c r="H208" t="s">
        <v>1363</v>
      </c>
      <c r="I208" s="128">
        <f>+K208+L208</f>
        <v>1330</v>
      </c>
      <c r="J208" s="769">
        <f>+I208*$B$3</f>
        <v>571.9</v>
      </c>
      <c r="K208" s="128">
        <v>1121</v>
      </c>
      <c r="L208" s="128">
        <f>53+53+103</f>
        <v>209</v>
      </c>
    </row>
    <row r="209" spans="6:14" ht="13.8" x14ac:dyDescent="0.25">
      <c r="F209" s="398">
        <v>2880</v>
      </c>
      <c r="G209" s="758">
        <v>12</v>
      </c>
      <c r="H209" t="s">
        <v>1363</v>
      </c>
      <c r="I209" s="128"/>
      <c r="J209" s="769">
        <f>+I209*$B$3</f>
        <v>0</v>
      </c>
      <c r="K209" s="128"/>
    </row>
    <row r="210" spans="6:14" ht="13.8" x14ac:dyDescent="0.25">
      <c r="F210" s="398">
        <v>2890</v>
      </c>
      <c r="G210" s="758">
        <v>18</v>
      </c>
      <c r="H210" t="s">
        <v>321</v>
      </c>
      <c r="I210" s="128">
        <f>+L210+M210</f>
        <v>444</v>
      </c>
      <c r="J210" s="765">
        <f>+I210*$B$1</f>
        <v>701.52</v>
      </c>
      <c r="L210">
        <v>432</v>
      </c>
      <c r="M210">
        <v>12</v>
      </c>
    </row>
    <row r="211" spans="6:14" ht="13.8" x14ac:dyDescent="0.25">
      <c r="F211" s="398">
        <v>2890</v>
      </c>
      <c r="G211" s="758">
        <v>16</v>
      </c>
      <c r="H211" t="s">
        <v>321</v>
      </c>
      <c r="I211" s="128">
        <f>+L211+M211</f>
        <v>12</v>
      </c>
      <c r="J211" s="765">
        <f>+I211*$B$1</f>
        <v>18.96</v>
      </c>
      <c r="L211"/>
      <c r="M211">
        <v>12</v>
      </c>
    </row>
    <row r="212" spans="6:14" ht="13.8" x14ac:dyDescent="0.25">
      <c r="F212" s="398">
        <v>2890</v>
      </c>
      <c r="G212" s="758">
        <v>14</v>
      </c>
      <c r="H212" t="s">
        <v>321</v>
      </c>
      <c r="I212" s="128">
        <f>+L212+M212</f>
        <v>565</v>
      </c>
      <c r="J212" s="765">
        <f>+I212*$B$1</f>
        <v>892.7</v>
      </c>
      <c r="L212">
        <v>553</v>
      </c>
      <c r="M212">
        <v>12</v>
      </c>
    </row>
    <row r="213" spans="6:14" ht="13.8" x14ac:dyDescent="0.25">
      <c r="F213" s="398">
        <v>2890</v>
      </c>
      <c r="G213" s="758">
        <v>12</v>
      </c>
      <c r="H213" t="s">
        <v>321</v>
      </c>
      <c r="I213" s="128">
        <f>+L213+M213+N213</f>
        <v>915</v>
      </c>
      <c r="J213" s="765">
        <f>+I213*$B$1</f>
        <v>1445.7</v>
      </c>
      <c r="L213">
        <v>553</v>
      </c>
      <c r="M213">
        <v>12</v>
      </c>
      <c r="N213">
        <v>350</v>
      </c>
    </row>
    <row r="214" spans="6:14" ht="13.8" x14ac:dyDescent="0.25">
      <c r="F214" s="398">
        <v>2890</v>
      </c>
      <c r="G214" s="758">
        <v>18</v>
      </c>
      <c r="H214" t="s">
        <v>345</v>
      </c>
      <c r="I214" s="128">
        <v>1092</v>
      </c>
      <c r="J214" s="766">
        <f>+I214*$B$2</f>
        <v>481.572</v>
      </c>
      <c r="L214"/>
    </row>
    <row r="215" spans="6:14" ht="13.8" x14ac:dyDescent="0.25">
      <c r="F215" s="398">
        <v>2890</v>
      </c>
      <c r="G215" s="758">
        <v>16</v>
      </c>
      <c r="H215" t="s">
        <v>345</v>
      </c>
      <c r="I215" s="128">
        <v>1290</v>
      </c>
      <c r="J215" s="766">
        <f>+I215*$B$2</f>
        <v>568.89</v>
      </c>
      <c r="L215"/>
    </row>
    <row r="216" spans="6:14" ht="13.8" x14ac:dyDescent="0.25">
      <c r="F216" s="398">
        <v>2890</v>
      </c>
      <c r="G216" s="758">
        <v>14</v>
      </c>
      <c r="H216" t="s">
        <v>345</v>
      </c>
      <c r="I216" s="128">
        <v>1519</v>
      </c>
      <c r="J216" s="766">
        <f>+I216*$B$2</f>
        <v>669.87900000000002</v>
      </c>
      <c r="K216">
        <v>236</v>
      </c>
      <c r="L216" s="142">
        <f>+K216+I216</f>
        <v>1755</v>
      </c>
    </row>
    <row r="217" spans="6:14" ht="13.8" x14ac:dyDescent="0.25">
      <c r="F217" s="398">
        <v>2890</v>
      </c>
      <c r="G217" s="758">
        <v>12</v>
      </c>
      <c r="H217" t="s">
        <v>345</v>
      </c>
      <c r="I217" s="128">
        <v>2463</v>
      </c>
      <c r="J217" s="766">
        <f>+I217*$B$2</f>
        <v>1086.183</v>
      </c>
      <c r="K217">
        <v>236</v>
      </c>
      <c r="L217" s="142">
        <f>+K217+I217</f>
        <v>2699</v>
      </c>
    </row>
    <row r="218" spans="6:14" ht="13.8" x14ac:dyDescent="0.25">
      <c r="F218" s="398">
        <v>2890</v>
      </c>
      <c r="G218" s="758">
        <v>18</v>
      </c>
      <c r="H218" t="s">
        <v>1363</v>
      </c>
      <c r="I218" s="128"/>
      <c r="J218" s="769">
        <f>+I218*$B$3</f>
        <v>0</v>
      </c>
      <c r="K218" s="128"/>
    </row>
    <row r="219" spans="6:14" ht="13.8" x14ac:dyDescent="0.25">
      <c r="F219" s="398">
        <v>2890</v>
      </c>
      <c r="G219" s="758">
        <v>16</v>
      </c>
      <c r="H219" t="s">
        <v>1363</v>
      </c>
      <c r="I219" s="128"/>
      <c r="J219" s="769">
        <f>+I219*$B$3</f>
        <v>0</v>
      </c>
      <c r="K219" s="128"/>
    </row>
    <row r="220" spans="6:14" ht="13.8" x14ac:dyDescent="0.25">
      <c r="F220" s="398">
        <v>2890</v>
      </c>
      <c r="G220" s="758">
        <v>14</v>
      </c>
      <c r="H220" t="s">
        <v>1363</v>
      </c>
      <c r="I220" s="128"/>
      <c r="J220" s="769">
        <f>+I220*$B$3</f>
        <v>0</v>
      </c>
      <c r="K220" s="128"/>
    </row>
    <row r="221" spans="6:14" ht="13.8" x14ac:dyDescent="0.25">
      <c r="F221" s="398">
        <v>2890</v>
      </c>
      <c r="G221" s="758">
        <v>12</v>
      </c>
      <c r="H221" t="s">
        <v>1363</v>
      </c>
      <c r="I221" s="128"/>
      <c r="J221" s="769">
        <f>+I221*$B$3</f>
        <v>0</v>
      </c>
      <c r="K221" s="128"/>
    </row>
    <row r="222" spans="6:14" ht="13.8" x14ac:dyDescent="0.25">
      <c r="F222" s="398">
        <v>3068</v>
      </c>
      <c r="G222" s="758">
        <v>18</v>
      </c>
      <c r="H222" t="s">
        <v>321</v>
      </c>
      <c r="I222" s="128">
        <f>+L222+M222</f>
        <v>241</v>
      </c>
      <c r="J222" s="765">
        <f>+I222*$B$1</f>
        <v>380.78000000000003</v>
      </c>
      <c r="L222">
        <v>229</v>
      </c>
      <c r="M222">
        <v>12</v>
      </c>
    </row>
    <row r="223" spans="6:14" ht="13.8" x14ac:dyDescent="0.25">
      <c r="F223" s="398">
        <v>3068</v>
      </c>
      <c r="G223" s="758">
        <v>16</v>
      </c>
      <c r="H223" t="s">
        <v>321</v>
      </c>
      <c r="I223" s="128">
        <f>+L223+M223</f>
        <v>12</v>
      </c>
      <c r="J223" s="765">
        <f>+I223*$B$1</f>
        <v>18.96</v>
      </c>
      <c r="L223"/>
      <c r="M223">
        <v>12</v>
      </c>
    </row>
    <row r="224" spans="6:14" ht="13.8" x14ac:dyDescent="0.25">
      <c r="F224" s="398">
        <v>3068</v>
      </c>
      <c r="G224" s="758">
        <v>14</v>
      </c>
      <c r="H224" t="s">
        <v>321</v>
      </c>
      <c r="I224" s="128">
        <f>+L224+M224</f>
        <v>335</v>
      </c>
      <c r="J224" s="765">
        <f>+I224*$B$1</f>
        <v>529.30000000000007</v>
      </c>
      <c r="L224">
        <v>323</v>
      </c>
      <c r="M224">
        <v>12</v>
      </c>
    </row>
    <row r="225" spans="6:14" ht="13.8" x14ac:dyDescent="0.25">
      <c r="F225" s="398">
        <v>3068</v>
      </c>
      <c r="G225" s="758">
        <v>12</v>
      </c>
      <c r="H225" t="s">
        <v>321</v>
      </c>
      <c r="I225" s="128">
        <f>+L225+M225+N225</f>
        <v>685</v>
      </c>
      <c r="J225" s="765">
        <f>+I225*$B$1</f>
        <v>1082.3</v>
      </c>
      <c r="L225">
        <v>323</v>
      </c>
      <c r="M225">
        <v>12</v>
      </c>
      <c r="N225">
        <v>350</v>
      </c>
    </row>
    <row r="226" spans="6:14" ht="13.8" x14ac:dyDescent="0.25">
      <c r="F226" s="398">
        <v>3068</v>
      </c>
      <c r="G226" s="758">
        <v>18</v>
      </c>
      <c r="H226" t="s">
        <v>345</v>
      </c>
      <c r="I226" s="128">
        <v>763</v>
      </c>
      <c r="J226" s="766">
        <f>+I226*$B$2</f>
        <v>336.483</v>
      </c>
      <c r="L226"/>
    </row>
    <row r="227" spans="6:14" ht="13.8" x14ac:dyDescent="0.25">
      <c r="F227" s="398">
        <v>3068</v>
      </c>
      <c r="G227" s="758">
        <v>16</v>
      </c>
      <c r="H227" t="s">
        <v>345</v>
      </c>
      <c r="I227" s="128">
        <v>889</v>
      </c>
      <c r="J227" s="766">
        <f>+I227*$B$2</f>
        <v>392.04899999999998</v>
      </c>
      <c r="L227"/>
    </row>
    <row r="228" spans="6:14" ht="13.8" x14ac:dyDescent="0.25">
      <c r="F228" s="398">
        <v>3068</v>
      </c>
      <c r="G228" s="758">
        <v>14</v>
      </c>
      <c r="H228" t="s">
        <v>345</v>
      </c>
      <c r="I228" s="128">
        <v>984</v>
      </c>
      <c r="J228" s="766">
        <f>+I228*$B$2</f>
        <v>433.94400000000002</v>
      </c>
      <c r="K228">
        <v>236</v>
      </c>
      <c r="L228" s="142">
        <f>+K228+I228</f>
        <v>1220</v>
      </c>
    </row>
    <row r="229" spans="6:14" ht="13.8" x14ac:dyDescent="0.25">
      <c r="F229" s="398">
        <v>3068</v>
      </c>
      <c r="G229" s="758">
        <v>12</v>
      </c>
      <c r="H229" t="s">
        <v>345</v>
      </c>
      <c r="I229" s="128">
        <v>1588</v>
      </c>
      <c r="J229" s="766">
        <f>+I229*$B$2</f>
        <v>700.30799999999999</v>
      </c>
      <c r="K229">
        <v>236</v>
      </c>
      <c r="L229" s="142">
        <f>+K229+I229</f>
        <v>1824</v>
      </c>
    </row>
    <row r="230" spans="6:14" ht="13.8" x14ac:dyDescent="0.25">
      <c r="F230" s="398">
        <v>3068</v>
      </c>
      <c r="G230" s="758">
        <v>18</v>
      </c>
      <c r="H230" t="s">
        <v>1363</v>
      </c>
      <c r="I230" s="128">
        <f>+K230+L230</f>
        <v>766</v>
      </c>
      <c r="J230" s="769">
        <f>+I230*$B$3</f>
        <v>329.38</v>
      </c>
      <c r="K230" s="128">
        <v>557</v>
      </c>
      <c r="L230" s="128">
        <f>53+53+103</f>
        <v>209</v>
      </c>
    </row>
    <row r="231" spans="6:14" ht="13.8" x14ac:dyDescent="0.25">
      <c r="F231" s="398">
        <v>3068</v>
      </c>
      <c r="G231" s="758">
        <v>16</v>
      </c>
      <c r="H231" t="s">
        <v>1363</v>
      </c>
      <c r="I231" s="128">
        <f>+K231+L231</f>
        <v>934</v>
      </c>
      <c r="J231" s="769">
        <f>+I231*$B$3</f>
        <v>401.62</v>
      </c>
      <c r="K231" s="128">
        <v>725</v>
      </c>
      <c r="L231" s="128">
        <f>53+53+103</f>
        <v>209</v>
      </c>
    </row>
    <row r="232" spans="6:14" ht="13.8" x14ac:dyDescent="0.25">
      <c r="F232" s="398">
        <v>3068</v>
      </c>
      <c r="G232" s="758">
        <v>14</v>
      </c>
      <c r="H232" t="s">
        <v>1363</v>
      </c>
      <c r="I232" s="128">
        <f>+K232+L232</f>
        <v>1228</v>
      </c>
      <c r="J232" s="769">
        <f>+I232*$B$3</f>
        <v>528.04</v>
      </c>
      <c r="K232" s="128">
        <v>1019</v>
      </c>
      <c r="L232" s="128">
        <f>53+53+103</f>
        <v>209</v>
      </c>
    </row>
    <row r="233" spans="6:14" ht="13.8" x14ac:dyDescent="0.25">
      <c r="F233" s="398">
        <v>3068</v>
      </c>
      <c r="G233" s="758">
        <v>12</v>
      </c>
      <c r="H233" t="s">
        <v>1363</v>
      </c>
      <c r="I233" s="128"/>
      <c r="J233" s="769">
        <f>+I233*$B$3</f>
        <v>0</v>
      </c>
      <c r="K233" s="128"/>
    </row>
    <row r="234" spans="6:14" ht="13.8" x14ac:dyDescent="0.25">
      <c r="F234" s="398">
        <v>3468</v>
      </c>
      <c r="G234" s="758">
        <v>18</v>
      </c>
      <c r="H234" t="s">
        <v>321</v>
      </c>
      <c r="I234" s="128">
        <f>+L234+M234</f>
        <v>288</v>
      </c>
      <c r="J234" s="765">
        <f>+I234*$B$1</f>
        <v>455.04</v>
      </c>
      <c r="L234">
        <v>276</v>
      </c>
      <c r="M234">
        <v>12</v>
      </c>
    </row>
    <row r="235" spans="6:14" ht="13.8" x14ac:dyDescent="0.25">
      <c r="F235" s="398">
        <v>3468</v>
      </c>
      <c r="G235" s="758">
        <v>16</v>
      </c>
      <c r="H235" t="s">
        <v>321</v>
      </c>
      <c r="I235" s="128">
        <f>+L235+M235</f>
        <v>12</v>
      </c>
      <c r="J235" s="765">
        <f>+I235*$B$1</f>
        <v>18.96</v>
      </c>
      <c r="L235"/>
      <c r="M235">
        <v>12</v>
      </c>
    </row>
    <row r="236" spans="6:14" ht="13.8" x14ac:dyDescent="0.25">
      <c r="F236" s="398">
        <v>3468</v>
      </c>
      <c r="G236" s="758">
        <v>14</v>
      </c>
      <c r="H236" t="s">
        <v>321</v>
      </c>
      <c r="I236" s="128">
        <f>+L236+M236</f>
        <v>373</v>
      </c>
      <c r="J236" s="765">
        <f>+I236*$B$1</f>
        <v>589.34</v>
      </c>
      <c r="L236">
        <v>361</v>
      </c>
      <c r="M236">
        <v>12</v>
      </c>
    </row>
    <row r="237" spans="6:14" ht="13.8" x14ac:dyDescent="0.25">
      <c r="F237" s="398">
        <v>3468</v>
      </c>
      <c r="G237" s="758">
        <v>12</v>
      </c>
      <c r="H237" t="s">
        <v>321</v>
      </c>
      <c r="I237" s="128">
        <f>+L237+M237+N237</f>
        <v>723</v>
      </c>
      <c r="J237" s="765">
        <f>+I237*$B$1</f>
        <v>1142.3400000000001</v>
      </c>
      <c r="L237">
        <v>361</v>
      </c>
      <c r="M237">
        <v>12</v>
      </c>
      <c r="N237">
        <v>350</v>
      </c>
    </row>
    <row r="238" spans="6:14" ht="13.8" x14ac:dyDescent="0.25">
      <c r="F238" s="398">
        <v>3468</v>
      </c>
      <c r="G238" s="758">
        <v>18</v>
      </c>
      <c r="H238" t="s">
        <v>345</v>
      </c>
      <c r="I238" s="128">
        <v>888</v>
      </c>
      <c r="J238" s="766">
        <f>+I238*$B$2</f>
        <v>391.608</v>
      </c>
      <c r="L238"/>
    </row>
    <row r="239" spans="6:14" ht="13.8" x14ac:dyDescent="0.25">
      <c r="F239" s="398">
        <v>3468</v>
      </c>
      <c r="G239" s="758">
        <v>16</v>
      </c>
      <c r="H239" t="s">
        <v>345</v>
      </c>
      <c r="I239" s="128">
        <v>1042</v>
      </c>
      <c r="J239" s="766">
        <f>+I239*$B$2</f>
        <v>459.52199999999999</v>
      </c>
      <c r="L239"/>
    </row>
    <row r="240" spans="6:14" ht="13.8" x14ac:dyDescent="0.25">
      <c r="F240" s="398">
        <v>3468</v>
      </c>
      <c r="G240" s="758">
        <v>14</v>
      </c>
      <c r="H240" t="s">
        <v>345</v>
      </c>
      <c r="I240" s="128">
        <v>1192</v>
      </c>
      <c r="J240" s="766">
        <f>+I240*$B$2</f>
        <v>525.67200000000003</v>
      </c>
      <c r="K240">
        <v>236</v>
      </c>
      <c r="L240" s="142">
        <f>+K240+I240</f>
        <v>1428</v>
      </c>
    </row>
    <row r="241" spans="6:14" ht="13.8" x14ac:dyDescent="0.25">
      <c r="F241" s="398">
        <v>3468</v>
      </c>
      <c r="G241" s="758">
        <v>12</v>
      </c>
      <c r="H241" t="s">
        <v>345</v>
      </c>
      <c r="I241" s="128">
        <v>1928</v>
      </c>
      <c r="J241" s="766">
        <f>+I241*$B$2</f>
        <v>850.24800000000005</v>
      </c>
      <c r="K241">
        <v>236</v>
      </c>
      <c r="L241" s="142">
        <f>+K241+I241</f>
        <v>2164</v>
      </c>
    </row>
    <row r="242" spans="6:14" ht="13.8" x14ac:dyDescent="0.25">
      <c r="F242" s="398">
        <v>3468</v>
      </c>
      <c r="G242" s="758">
        <v>18</v>
      </c>
      <c r="H242" t="s">
        <v>1363</v>
      </c>
      <c r="I242" s="128">
        <f>+K242+L242</f>
        <v>846</v>
      </c>
      <c r="J242" s="769">
        <f>+I242*$B$3</f>
        <v>363.78</v>
      </c>
      <c r="K242" s="128">
        <v>637</v>
      </c>
      <c r="L242" s="128">
        <f>53+53+103</f>
        <v>209</v>
      </c>
    </row>
    <row r="243" spans="6:14" ht="13.8" x14ac:dyDescent="0.25">
      <c r="F243" s="398">
        <v>3468</v>
      </c>
      <c r="G243" s="758">
        <v>16</v>
      </c>
      <c r="H243" t="s">
        <v>1363</v>
      </c>
      <c r="I243" s="128">
        <f>+K243+L243</f>
        <v>1014</v>
      </c>
      <c r="J243" s="769">
        <f>+I243*$B$3</f>
        <v>436.02</v>
      </c>
      <c r="K243" s="128">
        <v>805</v>
      </c>
      <c r="L243" s="128">
        <f>53+53+103</f>
        <v>209</v>
      </c>
    </row>
    <row r="244" spans="6:14" ht="13.8" x14ac:dyDescent="0.25">
      <c r="F244" s="398">
        <v>3468</v>
      </c>
      <c r="G244" s="758">
        <v>14</v>
      </c>
      <c r="H244" t="s">
        <v>1363</v>
      </c>
      <c r="I244" s="128">
        <f>+K244+L244</f>
        <v>1308</v>
      </c>
      <c r="J244" s="769">
        <f>+I244*$B$3</f>
        <v>562.43999999999994</v>
      </c>
      <c r="K244" s="128">
        <v>1099</v>
      </c>
      <c r="L244" s="128">
        <f>53+53+103</f>
        <v>209</v>
      </c>
    </row>
    <row r="245" spans="6:14" ht="13.8" x14ac:dyDescent="0.25">
      <c r="F245" s="398">
        <v>3468</v>
      </c>
      <c r="G245" s="758">
        <v>12</v>
      </c>
      <c r="H245" t="s">
        <v>1363</v>
      </c>
      <c r="I245" s="128"/>
      <c r="J245" s="769">
        <f>+I245*$B$3</f>
        <v>0</v>
      </c>
      <c r="K245" s="128"/>
    </row>
    <row r="246" spans="6:14" ht="13.8" x14ac:dyDescent="0.25">
      <c r="F246" s="398">
        <v>3668</v>
      </c>
      <c r="G246" s="758">
        <v>18</v>
      </c>
      <c r="H246" t="s">
        <v>321</v>
      </c>
      <c r="I246" s="128">
        <f>+L246+M246</f>
        <v>288</v>
      </c>
      <c r="J246" s="765">
        <f>+I246*$B$1</f>
        <v>455.04</v>
      </c>
      <c r="L246">
        <v>276</v>
      </c>
      <c r="M246">
        <v>12</v>
      </c>
    </row>
    <row r="247" spans="6:14" ht="13.8" x14ac:dyDescent="0.25">
      <c r="F247" s="398">
        <v>3668</v>
      </c>
      <c r="G247" s="758">
        <v>16</v>
      </c>
      <c r="H247" t="s">
        <v>321</v>
      </c>
      <c r="I247" s="128">
        <f>+L247+M247</f>
        <v>12</v>
      </c>
      <c r="J247" s="765">
        <f>+I247*$B$1</f>
        <v>18.96</v>
      </c>
      <c r="L247"/>
      <c r="M247">
        <v>12</v>
      </c>
    </row>
    <row r="248" spans="6:14" ht="13.8" x14ac:dyDescent="0.25">
      <c r="F248" s="398">
        <v>3668</v>
      </c>
      <c r="G248" s="758">
        <v>14</v>
      </c>
      <c r="H248" t="s">
        <v>321</v>
      </c>
      <c r="I248" s="128">
        <f>+L248+M248</f>
        <v>373</v>
      </c>
      <c r="J248" s="765">
        <f>+I248*$B$1</f>
        <v>589.34</v>
      </c>
      <c r="L248">
        <v>361</v>
      </c>
      <c r="M248">
        <v>12</v>
      </c>
    </row>
    <row r="249" spans="6:14" ht="13.8" x14ac:dyDescent="0.25">
      <c r="F249" s="398">
        <v>3668</v>
      </c>
      <c r="G249" s="758">
        <v>12</v>
      </c>
      <c r="H249" t="s">
        <v>321</v>
      </c>
      <c r="I249" s="128">
        <f>+L249+M249+N249</f>
        <v>723</v>
      </c>
      <c r="J249" s="765">
        <f>+I249*$B$1</f>
        <v>1142.3400000000001</v>
      </c>
      <c r="L249">
        <v>361</v>
      </c>
      <c r="M249">
        <v>12</v>
      </c>
      <c r="N249">
        <v>350</v>
      </c>
    </row>
    <row r="250" spans="6:14" ht="13.8" x14ac:dyDescent="0.25">
      <c r="F250" s="398">
        <v>3668</v>
      </c>
      <c r="G250" s="758">
        <v>18</v>
      </c>
      <c r="H250" t="s">
        <v>345</v>
      </c>
      <c r="I250" s="128">
        <v>891</v>
      </c>
      <c r="J250" s="766">
        <f>+I250*$B$2</f>
        <v>392.93099999999998</v>
      </c>
      <c r="L250"/>
    </row>
    <row r="251" spans="6:14" ht="13.8" x14ac:dyDescent="0.25">
      <c r="F251" s="398">
        <v>3668</v>
      </c>
      <c r="G251" s="758">
        <v>16</v>
      </c>
      <c r="H251" t="s">
        <v>345</v>
      </c>
      <c r="I251" s="128">
        <v>1045</v>
      </c>
      <c r="J251" s="766">
        <f>+I251*$B$2</f>
        <v>460.84500000000003</v>
      </c>
      <c r="L251"/>
    </row>
    <row r="252" spans="6:14" ht="13.8" x14ac:dyDescent="0.25">
      <c r="F252" s="398">
        <v>3668</v>
      </c>
      <c r="G252" s="758">
        <v>14</v>
      </c>
      <c r="H252" t="s">
        <v>345</v>
      </c>
      <c r="I252" s="128">
        <v>1192</v>
      </c>
      <c r="J252" s="766">
        <f>+I252*$B$2</f>
        <v>525.67200000000003</v>
      </c>
      <c r="K252">
        <v>236</v>
      </c>
      <c r="L252" s="142">
        <f>+K252+I252</f>
        <v>1428</v>
      </c>
    </row>
    <row r="253" spans="6:14" ht="13.8" x14ac:dyDescent="0.25">
      <c r="F253" s="398">
        <v>3668</v>
      </c>
      <c r="G253" s="758">
        <v>12</v>
      </c>
      <c r="H253" t="s">
        <v>345</v>
      </c>
      <c r="I253" s="128">
        <v>1928</v>
      </c>
      <c r="J253" s="766">
        <f>+I253*$B$2</f>
        <v>850.24800000000005</v>
      </c>
      <c r="K253">
        <v>236</v>
      </c>
      <c r="L253" s="142">
        <f>+K253+I253</f>
        <v>2164</v>
      </c>
    </row>
    <row r="254" spans="6:14" ht="13.8" x14ac:dyDescent="0.25">
      <c r="F254" s="398">
        <v>3668</v>
      </c>
      <c r="G254" s="758">
        <v>18</v>
      </c>
      <c r="H254" t="s">
        <v>1363</v>
      </c>
      <c r="I254" s="128">
        <f>+K254+L254</f>
        <v>846</v>
      </c>
      <c r="J254" s="769">
        <f>+I254*$B$3</f>
        <v>363.78</v>
      </c>
      <c r="K254" s="128">
        <v>637</v>
      </c>
      <c r="L254" s="128">
        <f>53+53+103</f>
        <v>209</v>
      </c>
    </row>
    <row r="255" spans="6:14" ht="13.8" x14ac:dyDescent="0.25">
      <c r="F255" s="398">
        <v>3668</v>
      </c>
      <c r="G255" s="758">
        <v>16</v>
      </c>
      <c r="H255" t="s">
        <v>1363</v>
      </c>
      <c r="I255" s="128">
        <f>+K255+L255</f>
        <v>1014</v>
      </c>
      <c r="J255" s="769">
        <f>+I255*$B$3</f>
        <v>436.02</v>
      </c>
      <c r="K255" s="128">
        <v>805</v>
      </c>
      <c r="L255" s="128">
        <f>53+53+103</f>
        <v>209</v>
      </c>
    </row>
    <row r="256" spans="6:14" ht="13.8" x14ac:dyDescent="0.25">
      <c r="F256" s="398">
        <v>3668</v>
      </c>
      <c r="G256" s="758">
        <v>14</v>
      </c>
      <c r="H256" t="s">
        <v>1363</v>
      </c>
      <c r="I256" s="128">
        <f>+K256+L256</f>
        <v>1308</v>
      </c>
      <c r="J256" s="769">
        <f>+I256*$B$3</f>
        <v>562.43999999999994</v>
      </c>
      <c r="K256" s="128">
        <v>1099</v>
      </c>
      <c r="L256" s="128">
        <f>53+53+103</f>
        <v>209</v>
      </c>
    </row>
    <row r="257" spans="6:14" ht="13.8" x14ac:dyDescent="0.25">
      <c r="F257" s="398">
        <v>3668</v>
      </c>
      <c r="G257" s="758">
        <v>12</v>
      </c>
      <c r="H257" t="s">
        <v>1363</v>
      </c>
      <c r="I257" s="128"/>
      <c r="J257" s="769">
        <f>+I257*$B$3</f>
        <v>0</v>
      </c>
      <c r="K257" s="128"/>
    </row>
    <row r="258" spans="6:14" ht="13.8" x14ac:dyDescent="0.25">
      <c r="F258" s="398">
        <v>3868</v>
      </c>
      <c r="G258" s="758">
        <v>18</v>
      </c>
      <c r="H258" t="s">
        <v>321</v>
      </c>
      <c r="I258" s="128">
        <f>+L258+M258</f>
        <v>317</v>
      </c>
      <c r="J258" s="765">
        <f>+I258*$B$1</f>
        <v>500.86</v>
      </c>
      <c r="L258">
        <v>305</v>
      </c>
      <c r="M258">
        <v>12</v>
      </c>
    </row>
    <row r="259" spans="6:14" ht="13.8" x14ac:dyDescent="0.25">
      <c r="F259" s="398">
        <v>3868</v>
      </c>
      <c r="G259" s="758">
        <v>16</v>
      </c>
      <c r="H259" t="s">
        <v>321</v>
      </c>
      <c r="I259" s="128">
        <f>+L259+M259</f>
        <v>12</v>
      </c>
      <c r="J259" s="765">
        <f>+I259*$B$1</f>
        <v>18.96</v>
      </c>
      <c r="L259"/>
      <c r="M259">
        <v>12</v>
      </c>
    </row>
    <row r="260" spans="6:14" ht="13.8" x14ac:dyDescent="0.25">
      <c r="F260" s="398">
        <v>3868</v>
      </c>
      <c r="G260" s="758">
        <v>14</v>
      </c>
      <c r="H260" t="s">
        <v>321</v>
      </c>
      <c r="I260" s="128">
        <f>+L260+M260</f>
        <v>405</v>
      </c>
      <c r="J260" s="765">
        <f>+I260*$B$1</f>
        <v>639.9</v>
      </c>
      <c r="L260">
        <v>393</v>
      </c>
      <c r="M260">
        <v>12</v>
      </c>
    </row>
    <row r="261" spans="6:14" ht="13.8" x14ac:dyDescent="0.25">
      <c r="F261" s="398">
        <v>3868</v>
      </c>
      <c r="G261" s="758">
        <v>12</v>
      </c>
      <c r="H261" t="s">
        <v>321</v>
      </c>
      <c r="I261" s="128">
        <f>+L261+M261+N261</f>
        <v>755</v>
      </c>
      <c r="J261" s="765">
        <f>+I261*$B$1</f>
        <v>1192.9000000000001</v>
      </c>
      <c r="L261">
        <v>393</v>
      </c>
      <c r="M261">
        <v>12</v>
      </c>
      <c r="N261">
        <v>350</v>
      </c>
    </row>
    <row r="262" spans="6:14" ht="13.8" x14ac:dyDescent="0.25">
      <c r="F262" s="398">
        <v>3868</v>
      </c>
      <c r="G262" s="758">
        <v>18</v>
      </c>
      <c r="H262" t="s">
        <v>345</v>
      </c>
      <c r="I262" s="128">
        <v>977</v>
      </c>
      <c r="J262" s="766">
        <f>+I262*$B$2</f>
        <v>430.85700000000003</v>
      </c>
      <c r="L262"/>
    </row>
    <row r="263" spans="6:14" ht="13.8" x14ac:dyDescent="0.25">
      <c r="F263" s="398">
        <v>3868</v>
      </c>
      <c r="G263" s="758">
        <v>16</v>
      </c>
      <c r="H263" t="s">
        <v>345</v>
      </c>
      <c r="I263" s="128">
        <v>1149</v>
      </c>
      <c r="J263" s="766">
        <f>+I263*$B$2</f>
        <v>506.709</v>
      </c>
      <c r="L263"/>
    </row>
    <row r="264" spans="6:14" ht="13.8" x14ac:dyDescent="0.25">
      <c r="F264" s="398">
        <v>3868</v>
      </c>
      <c r="G264" s="758">
        <v>14</v>
      </c>
      <c r="H264" t="s">
        <v>345</v>
      </c>
      <c r="I264" s="128">
        <v>1342</v>
      </c>
      <c r="J264" s="766">
        <f>+I264*$B$2</f>
        <v>591.822</v>
      </c>
      <c r="K264">
        <v>236</v>
      </c>
      <c r="L264" s="142">
        <f>+K264+I264</f>
        <v>1578</v>
      </c>
    </row>
    <row r="265" spans="6:14" ht="13.8" x14ac:dyDescent="0.25">
      <c r="F265" s="398">
        <v>3868</v>
      </c>
      <c r="G265" s="758">
        <v>12</v>
      </c>
      <c r="H265" t="s">
        <v>345</v>
      </c>
      <c r="I265" s="128">
        <v>2167</v>
      </c>
      <c r="J265" s="766">
        <f>+I265*$B$2</f>
        <v>955.64700000000005</v>
      </c>
      <c r="K265">
        <v>236</v>
      </c>
      <c r="L265" s="142">
        <f>+K265+I265</f>
        <v>2403</v>
      </c>
    </row>
    <row r="266" spans="6:14" ht="13.8" x14ac:dyDescent="0.25">
      <c r="F266" s="398">
        <v>3868</v>
      </c>
      <c r="G266" s="758">
        <v>18</v>
      </c>
      <c r="H266" t="s">
        <v>1363</v>
      </c>
      <c r="I266" s="128">
        <f>+K266+L266</f>
        <v>846</v>
      </c>
      <c r="J266" s="769">
        <f>+I266*$B$3</f>
        <v>363.78</v>
      </c>
      <c r="K266" s="128">
        <v>637</v>
      </c>
      <c r="L266" s="128">
        <f>53+53+103</f>
        <v>209</v>
      </c>
    </row>
    <row r="267" spans="6:14" ht="13.8" x14ac:dyDescent="0.25">
      <c r="F267" s="398">
        <v>3868</v>
      </c>
      <c r="G267" s="758">
        <v>16</v>
      </c>
      <c r="H267" t="s">
        <v>1363</v>
      </c>
      <c r="I267" s="128">
        <f>+K267+L267</f>
        <v>1014</v>
      </c>
      <c r="J267" s="769">
        <f>+I267*$B$3</f>
        <v>436.02</v>
      </c>
      <c r="K267" s="128">
        <v>805</v>
      </c>
      <c r="L267" s="128">
        <f>53+53+103</f>
        <v>209</v>
      </c>
    </row>
    <row r="268" spans="6:14" ht="13.8" x14ac:dyDescent="0.25">
      <c r="F268" s="398">
        <v>3868</v>
      </c>
      <c r="G268" s="758">
        <v>14</v>
      </c>
      <c r="H268" t="s">
        <v>1363</v>
      </c>
      <c r="I268" s="128">
        <f>+K268+L268</f>
        <v>1308</v>
      </c>
      <c r="J268" s="769">
        <f>+I268*$B$3</f>
        <v>562.43999999999994</v>
      </c>
      <c r="K268" s="128">
        <v>1099</v>
      </c>
      <c r="L268" s="128">
        <f>53+53+103</f>
        <v>209</v>
      </c>
    </row>
    <row r="269" spans="6:14" ht="13.8" x14ac:dyDescent="0.25">
      <c r="F269" s="398">
        <v>3868</v>
      </c>
      <c r="G269" s="758">
        <v>12</v>
      </c>
      <c r="H269" t="s">
        <v>1363</v>
      </c>
      <c r="I269" s="128"/>
      <c r="J269" s="769">
        <f>+I269*$B$3</f>
        <v>0</v>
      </c>
      <c r="K269" s="128"/>
    </row>
    <row r="270" spans="6:14" ht="13.8" x14ac:dyDescent="0.25">
      <c r="F270" s="398">
        <v>3070</v>
      </c>
      <c r="G270" s="758">
        <v>18</v>
      </c>
      <c r="H270" t="s">
        <v>321</v>
      </c>
      <c r="I270" s="128">
        <f>+L270+M270</f>
        <v>252</v>
      </c>
      <c r="J270" s="765">
        <f>+I270*$B$1</f>
        <v>398.16</v>
      </c>
      <c r="L270">
        <v>240</v>
      </c>
      <c r="M270">
        <v>12</v>
      </c>
    </row>
    <row r="271" spans="6:14" ht="13.8" x14ac:dyDescent="0.25">
      <c r="F271" s="398">
        <v>3070</v>
      </c>
      <c r="G271" s="758">
        <v>16</v>
      </c>
      <c r="H271" t="s">
        <v>321</v>
      </c>
      <c r="I271" s="128">
        <f>+L271+M271</f>
        <v>12</v>
      </c>
      <c r="J271" s="765">
        <f>+I271*$B$1</f>
        <v>18.96</v>
      </c>
      <c r="L271"/>
      <c r="M271">
        <v>12</v>
      </c>
    </row>
    <row r="272" spans="6:14" ht="13.8" x14ac:dyDescent="0.25">
      <c r="F272" s="398">
        <v>3070</v>
      </c>
      <c r="G272" s="758">
        <v>14</v>
      </c>
      <c r="H272" t="s">
        <v>321</v>
      </c>
      <c r="I272" s="128">
        <f>+L272+M272</f>
        <v>351</v>
      </c>
      <c r="J272" s="765">
        <f>+I272*$B$1</f>
        <v>554.58000000000004</v>
      </c>
      <c r="L272">
        <v>339</v>
      </c>
      <c r="M272">
        <v>12</v>
      </c>
    </row>
    <row r="273" spans="1:14" ht="13.8" x14ac:dyDescent="0.25">
      <c r="F273" s="398">
        <v>3070</v>
      </c>
      <c r="G273" s="758">
        <v>12</v>
      </c>
      <c r="H273" t="s">
        <v>321</v>
      </c>
      <c r="I273" s="128">
        <f>+L273+M273+N273</f>
        <v>701</v>
      </c>
      <c r="J273" s="765">
        <f>+I273*$B$1</f>
        <v>1107.5800000000002</v>
      </c>
      <c r="L273">
        <v>339</v>
      </c>
      <c r="M273">
        <v>12</v>
      </c>
      <c r="N273">
        <v>350</v>
      </c>
    </row>
    <row r="274" spans="1:14" ht="13.8" x14ac:dyDescent="0.25">
      <c r="F274" s="398">
        <v>3070</v>
      </c>
      <c r="G274" s="758">
        <v>18</v>
      </c>
      <c r="H274" t="s">
        <v>345</v>
      </c>
      <c r="I274" s="128">
        <v>792</v>
      </c>
      <c r="J274" s="766">
        <f>+I274*$B$2</f>
        <v>349.27199999999999</v>
      </c>
      <c r="L274">
        <f>297-12</f>
        <v>285</v>
      </c>
    </row>
    <row r="275" spans="1:14" ht="13.8" x14ac:dyDescent="0.25">
      <c r="F275" s="398">
        <v>3070</v>
      </c>
      <c r="G275" s="758">
        <v>16</v>
      </c>
      <c r="H275" t="s">
        <v>345</v>
      </c>
      <c r="I275" s="128">
        <v>925</v>
      </c>
      <c r="J275" s="766">
        <f>+I275*$B$2</f>
        <v>407.92500000000001</v>
      </c>
      <c r="L275"/>
    </row>
    <row r="276" spans="1:14" ht="13.8" x14ac:dyDescent="0.25">
      <c r="F276" s="398">
        <v>3070</v>
      </c>
      <c r="G276" s="758">
        <v>14</v>
      </c>
      <c r="H276" t="s">
        <v>345</v>
      </c>
      <c r="I276" s="128">
        <v>1032</v>
      </c>
      <c r="J276" s="766">
        <f>+I276*$B$2</f>
        <v>455.11200000000002</v>
      </c>
      <c r="K276">
        <v>236</v>
      </c>
      <c r="L276" s="142">
        <f>+K276+I276</f>
        <v>1268</v>
      </c>
    </row>
    <row r="277" spans="1:14" ht="13.8" x14ac:dyDescent="0.25">
      <c r="F277" s="398">
        <v>3070</v>
      </c>
      <c r="G277" s="758">
        <v>12</v>
      </c>
      <c r="H277" t="s">
        <v>345</v>
      </c>
      <c r="I277" s="128">
        <v>1667</v>
      </c>
      <c r="J277" s="766">
        <f>+I277*$B$2</f>
        <v>735.14700000000005</v>
      </c>
      <c r="K277">
        <v>236</v>
      </c>
      <c r="L277" s="142">
        <f>+K277+I277</f>
        <v>1903</v>
      </c>
    </row>
    <row r="278" spans="1:14" ht="13.8" x14ac:dyDescent="0.25">
      <c r="F278" s="398">
        <v>3070</v>
      </c>
      <c r="G278" s="758">
        <v>18</v>
      </c>
      <c r="H278" t="s">
        <v>1363</v>
      </c>
      <c r="I278" s="128">
        <f>+K278+L278</f>
        <v>776</v>
      </c>
      <c r="J278" s="769">
        <f>+I278*$B$3</f>
        <v>333.68</v>
      </c>
      <c r="K278" s="128">
        <v>567</v>
      </c>
      <c r="L278" s="128">
        <f>53+53+103</f>
        <v>209</v>
      </c>
    </row>
    <row r="279" spans="1:14" ht="13.8" x14ac:dyDescent="0.25">
      <c r="A279" t="s">
        <v>2484</v>
      </c>
      <c r="F279" s="398">
        <v>3070</v>
      </c>
      <c r="G279" s="758">
        <v>16</v>
      </c>
      <c r="H279" t="s">
        <v>1363</v>
      </c>
      <c r="I279" s="128">
        <f>+K279+L279</f>
        <v>944</v>
      </c>
      <c r="J279" s="769">
        <f>+I279*$B$3</f>
        <v>405.92</v>
      </c>
      <c r="K279" s="128">
        <v>735</v>
      </c>
      <c r="L279" s="128">
        <f>53+53+103</f>
        <v>209</v>
      </c>
    </row>
    <row r="280" spans="1:14" ht="13.8" x14ac:dyDescent="0.25">
      <c r="F280" s="398">
        <v>3070</v>
      </c>
      <c r="G280" s="758">
        <v>14</v>
      </c>
      <c r="H280" t="s">
        <v>1363</v>
      </c>
      <c r="I280" s="128">
        <f>+K280+L280</f>
        <v>1238</v>
      </c>
      <c r="J280" s="769">
        <f>+I280*$B$3</f>
        <v>532.34</v>
      </c>
      <c r="K280" s="128">
        <v>1029</v>
      </c>
      <c r="L280" s="128">
        <f>53+53+103</f>
        <v>209</v>
      </c>
    </row>
    <row r="281" spans="1:14" ht="13.8" x14ac:dyDescent="0.25">
      <c r="F281" s="398">
        <v>3070</v>
      </c>
      <c r="G281" s="758">
        <v>12</v>
      </c>
      <c r="H281" t="s">
        <v>1363</v>
      </c>
      <c r="I281" s="128"/>
      <c r="J281" s="769">
        <f>+I281*$B$3</f>
        <v>0</v>
      </c>
      <c r="K281" s="128"/>
    </row>
    <row r="282" spans="1:14" ht="13.8" x14ac:dyDescent="0.25">
      <c r="F282" s="398">
        <v>3470</v>
      </c>
      <c r="G282" s="758">
        <v>18</v>
      </c>
      <c r="H282" t="s">
        <v>321</v>
      </c>
      <c r="I282" s="128">
        <f>+L282+M282</f>
        <v>297</v>
      </c>
      <c r="J282" s="765">
        <f>+I282*$B$1</f>
        <v>469.26000000000005</v>
      </c>
      <c r="L282">
        <v>285</v>
      </c>
      <c r="M282">
        <v>12</v>
      </c>
    </row>
    <row r="283" spans="1:14" ht="13.8" x14ac:dyDescent="0.25">
      <c r="F283" s="398">
        <v>3470</v>
      </c>
      <c r="G283" s="758">
        <v>16</v>
      </c>
      <c r="H283" t="s">
        <v>321</v>
      </c>
      <c r="I283" s="128">
        <f>+L283+M283</f>
        <v>12</v>
      </c>
      <c r="J283" s="765">
        <f>+I283*$B$1</f>
        <v>18.96</v>
      </c>
      <c r="L283"/>
      <c r="M283">
        <v>12</v>
      </c>
    </row>
    <row r="284" spans="1:14" ht="13.8" x14ac:dyDescent="0.25">
      <c r="F284" s="398">
        <v>3470</v>
      </c>
      <c r="G284" s="758">
        <v>14</v>
      </c>
      <c r="H284" t="s">
        <v>321</v>
      </c>
      <c r="I284" s="128">
        <f>+L284+M284</f>
        <v>386</v>
      </c>
      <c r="J284" s="765">
        <f>+I284*$B$1</f>
        <v>609.88</v>
      </c>
      <c r="L284">
        <v>374</v>
      </c>
      <c r="M284">
        <v>12</v>
      </c>
    </row>
    <row r="285" spans="1:14" ht="13.8" x14ac:dyDescent="0.25">
      <c r="F285" s="398">
        <v>3470</v>
      </c>
      <c r="G285" s="758">
        <v>12</v>
      </c>
      <c r="H285" t="s">
        <v>321</v>
      </c>
      <c r="I285" s="128">
        <f>+L285+M285+N285</f>
        <v>736</v>
      </c>
      <c r="J285" s="765">
        <f>+I285*$B$1</f>
        <v>1162.8800000000001</v>
      </c>
      <c r="L285">
        <v>374</v>
      </c>
      <c r="M285">
        <v>12</v>
      </c>
      <c r="N285">
        <v>350</v>
      </c>
    </row>
    <row r="286" spans="1:14" ht="13.8" x14ac:dyDescent="0.25">
      <c r="F286" s="398">
        <v>3470</v>
      </c>
      <c r="G286" s="758">
        <v>18</v>
      </c>
      <c r="H286" t="s">
        <v>345</v>
      </c>
      <c r="I286" s="128">
        <v>926</v>
      </c>
      <c r="J286" s="766">
        <f>+I286*$B$2</f>
        <v>408.36599999999999</v>
      </c>
      <c r="L286"/>
    </row>
    <row r="287" spans="1:14" ht="13.8" x14ac:dyDescent="0.25">
      <c r="F287" s="398">
        <v>3470</v>
      </c>
      <c r="G287" s="758">
        <v>16</v>
      </c>
      <c r="H287" t="s">
        <v>345</v>
      </c>
      <c r="I287" s="128">
        <v>1087</v>
      </c>
      <c r="J287" s="766">
        <f>+I287*$B$2</f>
        <v>479.36700000000002</v>
      </c>
      <c r="L287"/>
    </row>
    <row r="288" spans="1:14" ht="13.8" x14ac:dyDescent="0.25">
      <c r="F288" s="398">
        <v>3470</v>
      </c>
      <c r="G288" s="758">
        <v>14</v>
      </c>
      <c r="H288" t="s">
        <v>345</v>
      </c>
      <c r="I288" s="128">
        <v>1256</v>
      </c>
      <c r="J288" s="766">
        <f>+I288*$B$2</f>
        <v>553.89599999999996</v>
      </c>
      <c r="K288">
        <v>236</v>
      </c>
      <c r="L288" s="142">
        <f>+K288+I288</f>
        <v>1492</v>
      </c>
    </row>
    <row r="289" spans="6:14" ht="13.8" x14ac:dyDescent="0.25">
      <c r="F289" s="398">
        <v>3470</v>
      </c>
      <c r="G289" s="758">
        <v>12</v>
      </c>
      <c r="H289" t="s">
        <v>345</v>
      </c>
      <c r="I289" s="128">
        <v>2030</v>
      </c>
      <c r="J289" s="766">
        <f>+I289*$B$2</f>
        <v>895.23</v>
      </c>
      <c r="K289">
        <v>236</v>
      </c>
      <c r="L289" s="142">
        <f>+K289+I289</f>
        <v>2266</v>
      </c>
    </row>
    <row r="290" spans="6:14" ht="13.8" x14ac:dyDescent="0.25">
      <c r="F290" s="398">
        <v>3470</v>
      </c>
      <c r="G290" s="758">
        <v>18</v>
      </c>
      <c r="H290" t="s">
        <v>1363</v>
      </c>
      <c r="I290" s="128">
        <f>+K290+L290</f>
        <v>883</v>
      </c>
      <c r="J290" s="769">
        <f>+I290*$B$3</f>
        <v>379.69</v>
      </c>
      <c r="K290" s="128">
        <v>674</v>
      </c>
      <c r="L290" s="128">
        <f>53+53+103</f>
        <v>209</v>
      </c>
    </row>
    <row r="291" spans="6:14" ht="13.8" x14ac:dyDescent="0.25">
      <c r="F291" s="398">
        <v>3470</v>
      </c>
      <c r="G291" s="758">
        <v>16</v>
      </c>
      <c r="H291" t="s">
        <v>1363</v>
      </c>
      <c r="I291" s="128">
        <f>+K291+L291</f>
        <v>1051</v>
      </c>
      <c r="J291" s="769">
        <f>+I291*$B$3</f>
        <v>451.93</v>
      </c>
      <c r="K291" s="128">
        <v>842</v>
      </c>
      <c r="L291" s="128">
        <f>53+53+103</f>
        <v>209</v>
      </c>
    </row>
    <row r="292" spans="6:14" ht="13.8" x14ac:dyDescent="0.25">
      <c r="F292" s="398">
        <v>3470</v>
      </c>
      <c r="G292" s="758">
        <v>14</v>
      </c>
      <c r="H292" t="s">
        <v>1363</v>
      </c>
      <c r="I292" s="128">
        <f>+K292+L292</f>
        <v>1345</v>
      </c>
      <c r="J292" s="769">
        <f>+I292*$B$3</f>
        <v>578.35</v>
      </c>
      <c r="K292" s="128">
        <v>1136</v>
      </c>
      <c r="L292" s="128">
        <f>53+53+103</f>
        <v>209</v>
      </c>
    </row>
    <row r="293" spans="6:14" ht="13.8" x14ac:dyDescent="0.25">
      <c r="F293" s="398">
        <v>3470</v>
      </c>
      <c r="G293" s="758">
        <v>12</v>
      </c>
      <c r="H293" t="s">
        <v>1363</v>
      </c>
      <c r="I293" s="128"/>
      <c r="J293" s="769">
        <f>+I293*$B$3</f>
        <v>0</v>
      </c>
      <c r="K293" s="128"/>
    </row>
    <row r="294" spans="6:14" ht="13.8" x14ac:dyDescent="0.25">
      <c r="F294" s="398">
        <v>3670</v>
      </c>
      <c r="G294" s="758">
        <v>18</v>
      </c>
      <c r="H294" t="s">
        <v>321</v>
      </c>
      <c r="I294" s="128">
        <f>+L294+M294</f>
        <v>297</v>
      </c>
      <c r="J294" s="765">
        <f>+I294*$B$1</f>
        <v>469.26000000000005</v>
      </c>
      <c r="L294">
        <v>285</v>
      </c>
      <c r="M294">
        <v>12</v>
      </c>
    </row>
    <row r="295" spans="6:14" ht="13.8" x14ac:dyDescent="0.25">
      <c r="F295" s="398">
        <v>3670</v>
      </c>
      <c r="G295" s="758">
        <v>16</v>
      </c>
      <c r="H295" t="s">
        <v>321</v>
      </c>
      <c r="I295" s="128">
        <f>+L295+M295</f>
        <v>12</v>
      </c>
      <c r="J295" s="765">
        <f>+I295*$B$1</f>
        <v>18.96</v>
      </c>
      <c r="L295"/>
      <c r="M295">
        <v>12</v>
      </c>
    </row>
    <row r="296" spans="6:14" ht="13.8" x14ac:dyDescent="0.25">
      <c r="F296" s="398">
        <v>3670</v>
      </c>
      <c r="G296" s="758">
        <v>14</v>
      </c>
      <c r="H296" t="s">
        <v>321</v>
      </c>
      <c r="I296" s="128">
        <f>+L296+M296</f>
        <v>386</v>
      </c>
      <c r="J296" s="765">
        <f>+I296*$B$1</f>
        <v>609.88</v>
      </c>
      <c r="L296">
        <v>374</v>
      </c>
      <c r="M296">
        <v>12</v>
      </c>
    </row>
    <row r="297" spans="6:14" ht="13.8" x14ac:dyDescent="0.25">
      <c r="F297" s="398">
        <v>3670</v>
      </c>
      <c r="G297" s="758">
        <v>12</v>
      </c>
      <c r="H297" t="s">
        <v>321</v>
      </c>
      <c r="I297" s="128">
        <f>+L297+M297+N297</f>
        <v>736</v>
      </c>
      <c r="J297" s="765">
        <f>+I297*$B$1</f>
        <v>1162.8800000000001</v>
      </c>
      <c r="L297">
        <v>374</v>
      </c>
      <c r="M297">
        <v>12</v>
      </c>
      <c r="N297">
        <v>350</v>
      </c>
    </row>
    <row r="298" spans="6:14" ht="13.8" x14ac:dyDescent="0.25">
      <c r="F298" s="398">
        <v>3670</v>
      </c>
      <c r="G298" s="758">
        <v>18</v>
      </c>
      <c r="H298" t="s">
        <v>345</v>
      </c>
      <c r="I298" s="128">
        <v>933</v>
      </c>
      <c r="J298" s="766">
        <f>+I298*$B$2</f>
        <v>411.45299999999997</v>
      </c>
      <c r="L298"/>
    </row>
    <row r="299" spans="6:14" ht="13.8" x14ac:dyDescent="0.25">
      <c r="F299" s="398">
        <v>3670</v>
      </c>
      <c r="G299" s="758">
        <v>16</v>
      </c>
      <c r="H299" t="s">
        <v>345</v>
      </c>
      <c r="I299" s="128">
        <v>1095</v>
      </c>
      <c r="J299" s="766">
        <f>+I299*$B$2</f>
        <v>482.89499999999998</v>
      </c>
      <c r="L299"/>
    </row>
    <row r="300" spans="6:14" ht="13.8" x14ac:dyDescent="0.25">
      <c r="F300" s="398">
        <v>3670</v>
      </c>
      <c r="G300" s="758">
        <v>14</v>
      </c>
      <c r="H300" t="s">
        <v>345</v>
      </c>
      <c r="I300" s="128">
        <v>1256</v>
      </c>
      <c r="J300" s="766">
        <f>+I300*$B$2</f>
        <v>553.89599999999996</v>
      </c>
      <c r="K300">
        <v>236</v>
      </c>
      <c r="L300" s="142">
        <f>+K300+I300</f>
        <v>1492</v>
      </c>
    </row>
    <row r="301" spans="6:14" ht="13.8" x14ac:dyDescent="0.25">
      <c r="F301" s="398">
        <v>3670</v>
      </c>
      <c r="G301" s="758">
        <v>12</v>
      </c>
      <c r="H301" t="s">
        <v>345</v>
      </c>
      <c r="I301" s="128">
        <v>2030</v>
      </c>
      <c r="J301" s="766">
        <f>+I301*$B$2</f>
        <v>895.23</v>
      </c>
      <c r="K301">
        <v>236</v>
      </c>
      <c r="L301" s="142">
        <f>+K301+I301</f>
        <v>2266</v>
      </c>
    </row>
    <row r="302" spans="6:14" ht="13.8" x14ac:dyDescent="0.25">
      <c r="F302" s="398">
        <v>3670</v>
      </c>
      <c r="G302" s="758">
        <v>18</v>
      </c>
      <c r="H302" t="s">
        <v>1363</v>
      </c>
      <c r="I302" s="128">
        <f>+K302+L302</f>
        <v>883</v>
      </c>
      <c r="J302" s="769">
        <f>+I302*$B$3</f>
        <v>379.69</v>
      </c>
      <c r="K302" s="128">
        <v>674</v>
      </c>
      <c r="L302" s="128">
        <f>53+53+103</f>
        <v>209</v>
      </c>
    </row>
    <row r="303" spans="6:14" ht="13.8" x14ac:dyDescent="0.25">
      <c r="F303" s="398">
        <v>3670</v>
      </c>
      <c r="G303" s="758">
        <v>16</v>
      </c>
      <c r="H303" t="s">
        <v>1363</v>
      </c>
      <c r="I303" s="128">
        <f>+K303+L303</f>
        <v>1051</v>
      </c>
      <c r="J303" s="769">
        <f>+I303*$B$3</f>
        <v>451.93</v>
      </c>
      <c r="K303" s="128">
        <v>842</v>
      </c>
      <c r="L303" s="128">
        <f>53+53+103</f>
        <v>209</v>
      </c>
    </row>
    <row r="304" spans="6:14" ht="13.8" x14ac:dyDescent="0.25">
      <c r="F304" s="398">
        <v>3670</v>
      </c>
      <c r="G304" s="758">
        <v>14</v>
      </c>
      <c r="H304" t="s">
        <v>1363</v>
      </c>
      <c r="I304" s="128">
        <f>+K304+L304</f>
        <v>1345</v>
      </c>
      <c r="J304" s="769">
        <f>+I304*$B$3</f>
        <v>578.35</v>
      </c>
      <c r="K304" s="128">
        <v>1136</v>
      </c>
      <c r="L304" s="128">
        <f>53+53+103</f>
        <v>209</v>
      </c>
    </row>
    <row r="305" spans="6:14" ht="13.8" x14ac:dyDescent="0.25">
      <c r="F305" s="398">
        <v>3670</v>
      </c>
      <c r="G305" s="758">
        <v>12</v>
      </c>
      <c r="H305" t="s">
        <v>1363</v>
      </c>
      <c r="I305" s="128"/>
      <c r="J305" s="769">
        <f>+I305*$B$3</f>
        <v>0</v>
      </c>
      <c r="K305" s="128"/>
    </row>
    <row r="306" spans="6:14" ht="13.8" x14ac:dyDescent="0.25">
      <c r="F306" s="398">
        <v>3870</v>
      </c>
      <c r="G306" s="758">
        <v>18</v>
      </c>
      <c r="H306" t="s">
        <v>321</v>
      </c>
      <c r="I306" s="128">
        <f>+L306+M306</f>
        <v>329</v>
      </c>
      <c r="J306" s="765">
        <f>+I306*$B$1</f>
        <v>519.82000000000005</v>
      </c>
      <c r="L306">
        <v>317</v>
      </c>
      <c r="M306">
        <v>12</v>
      </c>
    </row>
    <row r="307" spans="6:14" ht="13.8" x14ac:dyDescent="0.25">
      <c r="F307" s="398">
        <v>3870</v>
      </c>
      <c r="G307" s="758">
        <v>16</v>
      </c>
      <c r="H307" t="s">
        <v>321</v>
      </c>
      <c r="I307" s="128">
        <f>+L307+M307</f>
        <v>12</v>
      </c>
      <c r="J307" s="765">
        <f>+I307*$B$1</f>
        <v>18.96</v>
      </c>
      <c r="L307"/>
      <c r="M307">
        <v>12</v>
      </c>
    </row>
    <row r="308" spans="6:14" ht="13.8" x14ac:dyDescent="0.25">
      <c r="F308" s="398">
        <v>3870</v>
      </c>
      <c r="G308" s="758">
        <v>14</v>
      </c>
      <c r="H308" t="s">
        <v>321</v>
      </c>
      <c r="I308" s="128">
        <f>+L308+M308</f>
        <v>420</v>
      </c>
      <c r="J308" s="765">
        <f>+I308*$B$1</f>
        <v>663.6</v>
      </c>
      <c r="L308">
        <v>408</v>
      </c>
      <c r="M308">
        <v>12</v>
      </c>
    </row>
    <row r="309" spans="6:14" ht="13.8" x14ac:dyDescent="0.25">
      <c r="F309" s="398">
        <v>3870</v>
      </c>
      <c r="G309" s="758">
        <v>12</v>
      </c>
      <c r="H309" t="s">
        <v>321</v>
      </c>
      <c r="I309" s="128">
        <f>+L309+M309+N309</f>
        <v>770</v>
      </c>
      <c r="J309" s="765">
        <f>+I309*$B$1</f>
        <v>1216.6000000000001</v>
      </c>
      <c r="L309">
        <v>408</v>
      </c>
      <c r="M309">
        <v>12</v>
      </c>
      <c r="N309">
        <v>350</v>
      </c>
    </row>
    <row r="310" spans="6:14" ht="13.8" x14ac:dyDescent="0.25">
      <c r="F310" s="398">
        <v>3870</v>
      </c>
      <c r="G310" s="758">
        <v>18</v>
      </c>
      <c r="H310" t="s">
        <v>345</v>
      </c>
      <c r="I310" s="128">
        <v>1024</v>
      </c>
      <c r="J310" s="766">
        <f>+I310*$B$2</f>
        <v>451.584</v>
      </c>
      <c r="L310"/>
    </row>
    <row r="311" spans="6:14" ht="13.8" x14ac:dyDescent="0.25">
      <c r="F311" s="398">
        <v>3870</v>
      </c>
      <c r="G311" s="758">
        <v>16</v>
      </c>
      <c r="H311" t="s">
        <v>345</v>
      </c>
      <c r="I311" s="128">
        <v>1206</v>
      </c>
      <c r="J311" s="766">
        <f>+I311*$B$2</f>
        <v>531.846</v>
      </c>
      <c r="L311"/>
    </row>
    <row r="312" spans="6:14" ht="13.8" x14ac:dyDescent="0.25">
      <c r="F312" s="398">
        <v>3870</v>
      </c>
      <c r="G312" s="758">
        <v>14</v>
      </c>
      <c r="H312" t="s">
        <v>345</v>
      </c>
      <c r="I312" s="128">
        <v>1411</v>
      </c>
      <c r="J312" s="766">
        <f>+I312*$B$2</f>
        <v>622.25099999999998</v>
      </c>
      <c r="K312">
        <v>236</v>
      </c>
      <c r="L312" s="142">
        <f>+K312+I312</f>
        <v>1647</v>
      </c>
    </row>
    <row r="313" spans="6:14" ht="13.8" x14ac:dyDescent="0.25">
      <c r="F313" s="398">
        <v>3870</v>
      </c>
      <c r="G313" s="758">
        <v>12</v>
      </c>
      <c r="H313" t="s">
        <v>345</v>
      </c>
      <c r="I313" s="128">
        <v>2280</v>
      </c>
      <c r="J313" s="766">
        <f>+I313*$B$2</f>
        <v>1005.48</v>
      </c>
      <c r="K313">
        <v>236</v>
      </c>
      <c r="L313" s="142">
        <f>+K313+I313</f>
        <v>2516</v>
      </c>
    </row>
    <row r="314" spans="6:14" ht="13.8" x14ac:dyDescent="0.25">
      <c r="F314" s="398">
        <v>3870</v>
      </c>
      <c r="G314" s="758">
        <v>18</v>
      </c>
      <c r="H314" t="s">
        <v>1363</v>
      </c>
      <c r="I314" s="128">
        <f>+K314+L314</f>
        <v>883</v>
      </c>
      <c r="J314" s="769">
        <f>+I314*$B$3</f>
        <v>379.69</v>
      </c>
      <c r="K314" s="128">
        <v>674</v>
      </c>
      <c r="L314" s="128">
        <f>53+53+103</f>
        <v>209</v>
      </c>
    </row>
    <row r="315" spans="6:14" ht="13.8" x14ac:dyDescent="0.25">
      <c r="F315" s="398">
        <v>3870</v>
      </c>
      <c r="G315" s="758">
        <v>16</v>
      </c>
      <c r="H315" t="s">
        <v>1363</v>
      </c>
      <c r="I315" s="128">
        <f>+K315+L315</f>
        <v>1051</v>
      </c>
      <c r="J315" s="769">
        <f>+I315*$B$3</f>
        <v>451.93</v>
      </c>
      <c r="K315" s="128">
        <v>842</v>
      </c>
      <c r="L315" s="128">
        <f>53+53+103</f>
        <v>209</v>
      </c>
    </row>
    <row r="316" spans="6:14" ht="13.8" x14ac:dyDescent="0.25">
      <c r="F316" s="398">
        <v>3870</v>
      </c>
      <c r="G316" s="758">
        <v>14</v>
      </c>
      <c r="H316" t="s">
        <v>1363</v>
      </c>
      <c r="I316" s="128">
        <f>+K316+L316</f>
        <v>1345</v>
      </c>
      <c r="J316" s="769">
        <f>+I316*$B$3</f>
        <v>578.35</v>
      </c>
      <c r="K316" s="128">
        <v>1136</v>
      </c>
      <c r="L316" s="128">
        <f>53+53+103</f>
        <v>209</v>
      </c>
    </row>
    <row r="317" spans="6:14" ht="13.8" x14ac:dyDescent="0.25">
      <c r="F317" s="398">
        <v>3870</v>
      </c>
      <c r="G317" s="758">
        <v>12</v>
      </c>
      <c r="H317" t="s">
        <v>1363</v>
      </c>
      <c r="I317" s="128"/>
      <c r="J317" s="769">
        <f>+I317*$B$3</f>
        <v>0</v>
      </c>
      <c r="K317" s="128"/>
    </row>
    <row r="318" spans="6:14" ht="13.8" x14ac:dyDescent="0.25">
      <c r="F318" s="398">
        <v>3080</v>
      </c>
      <c r="G318" s="758">
        <v>18</v>
      </c>
      <c r="H318" t="s">
        <v>321</v>
      </c>
      <c r="I318" s="128">
        <f>+L318+M318</f>
        <v>321</v>
      </c>
      <c r="J318" s="765">
        <f>+I318*$B$1</f>
        <v>507.18</v>
      </c>
      <c r="L318">
        <v>309</v>
      </c>
      <c r="M318">
        <v>12</v>
      </c>
    </row>
    <row r="319" spans="6:14" ht="13.8" x14ac:dyDescent="0.25">
      <c r="F319" s="398">
        <v>3080</v>
      </c>
      <c r="G319" s="758">
        <v>16</v>
      </c>
      <c r="H319" t="s">
        <v>321</v>
      </c>
      <c r="I319" s="128">
        <f>+L319+M319</f>
        <v>12</v>
      </c>
      <c r="J319" s="765">
        <f>+I319*$B$1</f>
        <v>18.96</v>
      </c>
      <c r="L319"/>
      <c r="M319">
        <v>12</v>
      </c>
    </row>
    <row r="320" spans="6:14" ht="13.8" x14ac:dyDescent="0.25">
      <c r="F320" s="398">
        <v>3080</v>
      </c>
      <c r="G320" s="758">
        <v>14</v>
      </c>
      <c r="H320" t="s">
        <v>321</v>
      </c>
      <c r="I320" s="128">
        <f>+L320+M320</f>
        <v>442</v>
      </c>
      <c r="J320" s="765">
        <f>+I320*$B$1</f>
        <v>698.36</v>
      </c>
      <c r="L320">
        <v>430</v>
      </c>
      <c r="M320">
        <v>12</v>
      </c>
    </row>
    <row r="321" spans="6:14" ht="13.8" x14ac:dyDescent="0.25">
      <c r="F321" s="398">
        <v>3080</v>
      </c>
      <c r="G321" s="758">
        <v>12</v>
      </c>
      <c r="H321" t="s">
        <v>321</v>
      </c>
      <c r="I321" s="128">
        <f>+L321+M321+N321</f>
        <v>792</v>
      </c>
      <c r="J321" s="765">
        <f>+I321*$B$1</f>
        <v>1251.3600000000001</v>
      </c>
      <c r="L321">
        <v>430</v>
      </c>
      <c r="M321">
        <v>12</v>
      </c>
      <c r="N321">
        <v>350</v>
      </c>
    </row>
    <row r="322" spans="6:14" ht="13.8" x14ac:dyDescent="0.25">
      <c r="F322" s="398">
        <v>3080</v>
      </c>
      <c r="G322" s="758">
        <v>18</v>
      </c>
      <c r="H322" t="s">
        <v>345</v>
      </c>
      <c r="I322" s="128">
        <v>901</v>
      </c>
      <c r="J322" s="766">
        <f>+I322*$B$2</f>
        <v>397.34100000000001</v>
      </c>
      <c r="L322"/>
    </row>
    <row r="323" spans="6:14" ht="13.8" x14ac:dyDescent="0.25">
      <c r="F323" s="398">
        <v>3080</v>
      </c>
      <c r="G323" s="758">
        <v>16</v>
      </c>
      <c r="H323" t="s">
        <v>345</v>
      </c>
      <c r="I323" s="128">
        <v>1056</v>
      </c>
      <c r="J323" s="766">
        <f>+I323*$B$2</f>
        <v>465.69600000000003</v>
      </c>
      <c r="L323"/>
    </row>
    <row r="324" spans="6:14" ht="13.8" x14ac:dyDescent="0.25">
      <c r="F324" s="398">
        <v>3080</v>
      </c>
      <c r="G324" s="758">
        <v>14</v>
      </c>
      <c r="H324" t="s">
        <v>345</v>
      </c>
      <c r="I324" s="128">
        <v>1553</v>
      </c>
      <c r="J324" s="766">
        <f>+I324*$B$2</f>
        <v>684.87300000000005</v>
      </c>
      <c r="K324">
        <v>236</v>
      </c>
      <c r="L324" s="142">
        <f>+K324+I324</f>
        <v>1789</v>
      </c>
    </row>
    <row r="325" spans="6:14" ht="13.8" x14ac:dyDescent="0.25">
      <c r="F325" s="398">
        <v>3080</v>
      </c>
      <c r="G325" s="758">
        <v>12</v>
      </c>
      <c r="H325" t="s">
        <v>345</v>
      </c>
      <c r="I325" s="128">
        <v>2518</v>
      </c>
      <c r="J325" s="766">
        <f>+I325*$B$2</f>
        <v>1110.4380000000001</v>
      </c>
      <c r="K325">
        <v>236</v>
      </c>
      <c r="L325" s="142">
        <f>+K325+I325</f>
        <v>2754</v>
      </c>
    </row>
    <row r="326" spans="6:14" ht="13.8" x14ac:dyDescent="0.25">
      <c r="F326" s="398">
        <v>3080</v>
      </c>
      <c r="G326" s="758">
        <v>18</v>
      </c>
      <c r="H326" t="s">
        <v>1363</v>
      </c>
      <c r="I326" s="128">
        <f>+K326+L326</f>
        <v>868</v>
      </c>
      <c r="J326" s="769">
        <f>+I326*$B$3</f>
        <v>373.24</v>
      </c>
      <c r="K326" s="128">
        <v>659</v>
      </c>
      <c r="L326" s="128">
        <f>53+53+103</f>
        <v>209</v>
      </c>
    </row>
    <row r="327" spans="6:14" ht="13.8" x14ac:dyDescent="0.25">
      <c r="F327" s="398">
        <v>3080</v>
      </c>
      <c r="G327" s="758">
        <v>16</v>
      </c>
      <c r="H327" t="s">
        <v>1363</v>
      </c>
      <c r="I327" s="128">
        <f>+K327+L327</f>
        <v>1036</v>
      </c>
      <c r="J327" s="769">
        <f>+I327*$B$3</f>
        <v>445.48</v>
      </c>
      <c r="K327" s="128">
        <v>827</v>
      </c>
      <c r="L327" s="128">
        <f>53+53+103</f>
        <v>209</v>
      </c>
    </row>
    <row r="328" spans="6:14" ht="13.8" x14ac:dyDescent="0.25">
      <c r="F328" s="398">
        <v>3080</v>
      </c>
      <c r="G328" s="758">
        <v>14</v>
      </c>
      <c r="H328" t="s">
        <v>1363</v>
      </c>
      <c r="I328" s="128">
        <f>+K328+L328</f>
        <v>1330</v>
      </c>
      <c r="J328" s="769">
        <f>+I328*$B$3</f>
        <v>571.9</v>
      </c>
      <c r="K328" s="128">
        <v>1121</v>
      </c>
      <c r="L328" s="128">
        <f>53+53+103</f>
        <v>209</v>
      </c>
    </row>
    <row r="329" spans="6:14" ht="13.8" x14ac:dyDescent="0.25">
      <c r="F329" s="398">
        <v>3080</v>
      </c>
      <c r="G329" s="758">
        <v>12</v>
      </c>
      <c r="H329" t="s">
        <v>1363</v>
      </c>
      <c r="I329" s="128"/>
      <c r="J329" s="769">
        <f>+I329*$B$3</f>
        <v>0</v>
      </c>
      <c r="K329" s="128"/>
    </row>
    <row r="330" spans="6:14" ht="13.8" x14ac:dyDescent="0.25">
      <c r="F330" s="398">
        <v>3480</v>
      </c>
      <c r="G330" s="758">
        <v>18</v>
      </c>
      <c r="H330" t="s">
        <v>321</v>
      </c>
      <c r="I330" s="128">
        <f>+L330+M330</f>
        <v>363</v>
      </c>
      <c r="J330" s="765">
        <f>+I330*$B$1</f>
        <v>573.54000000000008</v>
      </c>
      <c r="L330">
        <v>351</v>
      </c>
      <c r="M330">
        <v>12</v>
      </c>
    </row>
    <row r="331" spans="6:14" ht="13.8" x14ac:dyDescent="0.25">
      <c r="F331" s="398">
        <v>3480</v>
      </c>
      <c r="G331" s="758">
        <v>16</v>
      </c>
      <c r="H331" t="s">
        <v>321</v>
      </c>
      <c r="I331" s="128">
        <f>+L331+M331</f>
        <v>12</v>
      </c>
      <c r="J331" s="765">
        <f>+I331*$B$1</f>
        <v>18.96</v>
      </c>
      <c r="L331"/>
      <c r="M331">
        <v>12</v>
      </c>
    </row>
    <row r="332" spans="6:14" ht="13.8" x14ac:dyDescent="0.25">
      <c r="F332" s="398">
        <v>3480</v>
      </c>
      <c r="G332" s="758">
        <v>14</v>
      </c>
      <c r="H332" t="s">
        <v>321</v>
      </c>
      <c r="I332" s="128">
        <f>+L332+M332</f>
        <v>500</v>
      </c>
      <c r="J332" s="765">
        <f>+I332*$B$1</f>
        <v>790</v>
      </c>
      <c r="L332">
        <v>488</v>
      </c>
      <c r="M332">
        <v>12</v>
      </c>
    </row>
    <row r="333" spans="6:14" ht="13.8" x14ac:dyDescent="0.25">
      <c r="F333" s="398">
        <v>3480</v>
      </c>
      <c r="G333" s="758">
        <v>12</v>
      </c>
      <c r="H333" t="s">
        <v>321</v>
      </c>
      <c r="I333" s="128">
        <f>+L333+M333+N333</f>
        <v>850</v>
      </c>
      <c r="J333" s="765">
        <f>+I333*$B$1</f>
        <v>1343</v>
      </c>
      <c r="L333">
        <v>488</v>
      </c>
      <c r="M333">
        <v>12</v>
      </c>
      <c r="N333">
        <v>350</v>
      </c>
    </row>
    <row r="334" spans="6:14" ht="13.8" x14ac:dyDescent="0.25">
      <c r="F334" s="398">
        <v>3480</v>
      </c>
      <c r="G334" s="758">
        <v>18</v>
      </c>
      <c r="H334" t="s">
        <v>345</v>
      </c>
      <c r="I334" s="128">
        <v>1121</v>
      </c>
      <c r="J334" s="766">
        <f>+I334*$B$2</f>
        <v>494.36099999999999</v>
      </c>
      <c r="L334"/>
    </row>
    <row r="335" spans="6:14" ht="13.8" x14ac:dyDescent="0.25">
      <c r="F335" s="398">
        <v>3480</v>
      </c>
      <c r="G335" s="758">
        <v>16</v>
      </c>
      <c r="H335" t="s">
        <v>345</v>
      </c>
      <c r="I335" s="128">
        <v>1322</v>
      </c>
      <c r="J335" s="766">
        <f>+I335*$B$2</f>
        <v>583.00199999999995</v>
      </c>
      <c r="L335"/>
    </row>
    <row r="336" spans="6:14" ht="13.8" x14ac:dyDescent="0.25">
      <c r="F336" s="398">
        <v>3480</v>
      </c>
      <c r="G336" s="758">
        <v>14</v>
      </c>
      <c r="H336" t="s">
        <v>345</v>
      </c>
      <c r="I336" s="128">
        <v>1553</v>
      </c>
      <c r="J336" s="766">
        <f>+I336*$B$2</f>
        <v>684.87300000000005</v>
      </c>
      <c r="K336">
        <v>236</v>
      </c>
      <c r="L336" s="142">
        <f>+K336+I336</f>
        <v>1789</v>
      </c>
    </row>
    <row r="337" spans="6:14" ht="13.8" x14ac:dyDescent="0.25">
      <c r="F337" s="398">
        <v>3480</v>
      </c>
      <c r="G337" s="758">
        <v>12</v>
      </c>
      <c r="H337" t="s">
        <v>345</v>
      </c>
      <c r="I337" s="128">
        <v>2518</v>
      </c>
      <c r="J337" s="766">
        <f>+I337*$B$2</f>
        <v>1110.4380000000001</v>
      </c>
      <c r="K337">
        <v>236</v>
      </c>
      <c r="L337" s="142">
        <f>+K337+I337</f>
        <v>2754</v>
      </c>
    </row>
    <row r="338" spans="6:14" ht="13.8" x14ac:dyDescent="0.25">
      <c r="F338" s="398">
        <v>3480</v>
      </c>
      <c r="G338" s="758">
        <v>18</v>
      </c>
      <c r="H338" t="s">
        <v>1363</v>
      </c>
      <c r="I338" s="128">
        <f>+K338+L338</f>
        <v>974</v>
      </c>
      <c r="J338" s="769">
        <f>+I338*$B$3</f>
        <v>418.82</v>
      </c>
      <c r="K338" s="128">
        <v>765</v>
      </c>
      <c r="L338" s="128">
        <f>53+53+103</f>
        <v>209</v>
      </c>
    </row>
    <row r="339" spans="6:14" ht="13.8" x14ac:dyDescent="0.25">
      <c r="F339" s="398">
        <v>3480</v>
      </c>
      <c r="G339" s="758">
        <v>16</v>
      </c>
      <c r="H339" t="s">
        <v>1363</v>
      </c>
      <c r="I339" s="128">
        <f>+K339+L339</f>
        <v>1142</v>
      </c>
      <c r="J339" s="769">
        <f>+I339*$B$3</f>
        <v>491.06</v>
      </c>
      <c r="K339" s="128">
        <v>933</v>
      </c>
      <c r="L339" s="128">
        <f>53+53+103</f>
        <v>209</v>
      </c>
    </row>
    <row r="340" spans="6:14" ht="13.8" x14ac:dyDescent="0.25">
      <c r="F340" s="398">
        <v>3480</v>
      </c>
      <c r="G340" s="758">
        <v>14</v>
      </c>
      <c r="H340" t="s">
        <v>1363</v>
      </c>
      <c r="I340" s="128">
        <f>+K340+L340</f>
        <v>1436</v>
      </c>
      <c r="J340" s="769">
        <f>+I340*$B$3</f>
        <v>617.48</v>
      </c>
      <c r="K340" s="128">
        <v>1227</v>
      </c>
      <c r="L340" s="128">
        <f>53+53+103</f>
        <v>209</v>
      </c>
    </row>
    <row r="341" spans="6:14" ht="13.8" x14ac:dyDescent="0.25">
      <c r="F341" s="398">
        <v>3480</v>
      </c>
      <c r="G341" s="758">
        <v>12</v>
      </c>
      <c r="H341" t="s">
        <v>1363</v>
      </c>
      <c r="I341" s="128"/>
      <c r="J341" s="769">
        <f>+I341*$B$3</f>
        <v>0</v>
      </c>
      <c r="K341" s="128"/>
    </row>
    <row r="342" spans="6:14" ht="13.8" x14ac:dyDescent="0.25">
      <c r="F342" s="398">
        <v>3680</v>
      </c>
      <c r="G342" s="758">
        <v>18</v>
      </c>
      <c r="H342" t="s">
        <v>321</v>
      </c>
      <c r="I342" s="128">
        <f>+L342+M342</f>
        <v>363</v>
      </c>
      <c r="J342" s="765">
        <f>+I342*$B$1</f>
        <v>573.54000000000008</v>
      </c>
      <c r="L342">
        <v>351</v>
      </c>
      <c r="M342">
        <v>12</v>
      </c>
    </row>
    <row r="343" spans="6:14" ht="13.8" x14ac:dyDescent="0.25">
      <c r="F343" s="398">
        <v>3680</v>
      </c>
      <c r="G343" s="758">
        <v>16</v>
      </c>
      <c r="H343" t="s">
        <v>321</v>
      </c>
      <c r="I343" s="128">
        <f>+L343+M343</f>
        <v>12</v>
      </c>
      <c r="J343" s="765">
        <f>+I343*$B$1</f>
        <v>18.96</v>
      </c>
      <c r="L343"/>
      <c r="M343">
        <v>12</v>
      </c>
    </row>
    <row r="344" spans="6:14" ht="13.8" x14ac:dyDescent="0.25">
      <c r="F344" s="398">
        <v>3680</v>
      </c>
      <c r="G344" s="758">
        <v>14</v>
      </c>
      <c r="H344" t="s">
        <v>321</v>
      </c>
      <c r="I344" s="128">
        <f>+L344+M344</f>
        <v>500</v>
      </c>
      <c r="J344" s="765">
        <f>+I344*$B$1</f>
        <v>790</v>
      </c>
      <c r="L344">
        <v>488</v>
      </c>
      <c r="M344">
        <v>12</v>
      </c>
    </row>
    <row r="345" spans="6:14" ht="13.8" x14ac:dyDescent="0.25">
      <c r="F345" s="398">
        <v>3680</v>
      </c>
      <c r="G345" s="758">
        <v>12</v>
      </c>
      <c r="H345" t="s">
        <v>321</v>
      </c>
      <c r="I345" s="128">
        <f>+L345+M345+N345</f>
        <v>825</v>
      </c>
      <c r="J345" s="765">
        <f>+I345*$B$1</f>
        <v>1303.5</v>
      </c>
      <c r="L345">
        <v>463</v>
      </c>
      <c r="M345">
        <v>12</v>
      </c>
      <c r="N345">
        <v>350</v>
      </c>
    </row>
    <row r="346" spans="6:14" ht="13.8" x14ac:dyDescent="0.25">
      <c r="F346" s="398">
        <v>3680</v>
      </c>
      <c r="G346" s="758">
        <v>18</v>
      </c>
      <c r="H346" t="s">
        <v>345</v>
      </c>
      <c r="I346" s="128">
        <v>1125</v>
      </c>
      <c r="J346" s="766">
        <f>+I346*$B$2</f>
        <v>496.125</v>
      </c>
      <c r="L346"/>
    </row>
    <row r="347" spans="6:14" ht="13.8" x14ac:dyDescent="0.25">
      <c r="F347" s="398">
        <v>3680</v>
      </c>
      <c r="G347" s="758">
        <v>16</v>
      </c>
      <c r="H347" t="s">
        <v>345</v>
      </c>
      <c r="I347" s="128">
        <v>1326</v>
      </c>
      <c r="J347" s="766">
        <f>+I347*$B$2</f>
        <v>584.76599999999996</v>
      </c>
      <c r="L347"/>
    </row>
    <row r="348" spans="6:14" ht="13.8" x14ac:dyDescent="0.25">
      <c r="F348" s="398">
        <v>3680</v>
      </c>
      <c r="G348" s="758">
        <v>14</v>
      </c>
      <c r="H348" t="s">
        <v>345</v>
      </c>
      <c r="I348" s="128">
        <v>1734</v>
      </c>
      <c r="J348" s="766">
        <f>+I348*$B$2</f>
        <v>764.69399999999996</v>
      </c>
      <c r="K348">
        <v>236</v>
      </c>
      <c r="L348" s="142">
        <f>+K348+I348</f>
        <v>1970</v>
      </c>
    </row>
    <row r="349" spans="6:14" ht="13.8" x14ac:dyDescent="0.25">
      <c r="F349" s="398">
        <v>3680</v>
      </c>
      <c r="G349" s="758">
        <v>12</v>
      </c>
      <c r="H349" t="s">
        <v>345</v>
      </c>
      <c r="I349" s="128">
        <v>2808</v>
      </c>
      <c r="J349" s="766">
        <f>+I349*$B$2</f>
        <v>1238.328</v>
      </c>
      <c r="K349">
        <v>236</v>
      </c>
      <c r="L349" s="142">
        <f>+K349+I349</f>
        <v>3044</v>
      </c>
    </row>
    <row r="350" spans="6:14" ht="13.8" x14ac:dyDescent="0.25">
      <c r="F350" s="398">
        <v>3680</v>
      </c>
      <c r="G350" s="758">
        <v>18</v>
      </c>
      <c r="H350" t="s">
        <v>1363</v>
      </c>
      <c r="I350" s="128">
        <f>+K350+L350</f>
        <v>974</v>
      </c>
      <c r="J350" s="769">
        <f>+I350*$B$3</f>
        <v>418.82</v>
      </c>
      <c r="K350" s="128">
        <v>765</v>
      </c>
      <c r="L350" s="128">
        <f>53+53+103</f>
        <v>209</v>
      </c>
    </row>
    <row r="351" spans="6:14" ht="13.8" x14ac:dyDescent="0.25">
      <c r="F351" s="398">
        <v>3680</v>
      </c>
      <c r="G351" s="758">
        <v>16</v>
      </c>
      <c r="H351" t="s">
        <v>1363</v>
      </c>
      <c r="I351" s="128">
        <f>+K351+L351</f>
        <v>1142</v>
      </c>
      <c r="J351" s="769">
        <f>+I351*$B$3</f>
        <v>491.06</v>
      </c>
      <c r="K351" s="128">
        <v>933</v>
      </c>
      <c r="L351" s="128">
        <f>53+53+103</f>
        <v>209</v>
      </c>
    </row>
    <row r="352" spans="6:14" ht="13.8" x14ac:dyDescent="0.25">
      <c r="F352" s="398">
        <v>3680</v>
      </c>
      <c r="G352" s="758">
        <v>14</v>
      </c>
      <c r="H352" t="s">
        <v>1363</v>
      </c>
      <c r="I352" s="128">
        <f>+K352+L352</f>
        <v>1436</v>
      </c>
      <c r="J352" s="769">
        <f>+I352*$B$3</f>
        <v>617.48</v>
      </c>
      <c r="K352" s="128">
        <v>1227</v>
      </c>
      <c r="L352" s="128">
        <f>53+53+103</f>
        <v>209</v>
      </c>
    </row>
    <row r="353" spans="6:14" ht="13.8" x14ac:dyDescent="0.25">
      <c r="F353" s="398">
        <v>3680</v>
      </c>
      <c r="G353" s="758">
        <v>12</v>
      </c>
      <c r="H353" t="s">
        <v>1363</v>
      </c>
      <c r="I353" s="128"/>
      <c r="J353" s="769">
        <f>+I353*$B$3</f>
        <v>0</v>
      </c>
      <c r="K353" s="128"/>
    </row>
    <row r="354" spans="6:14" ht="13.8" x14ac:dyDescent="0.25">
      <c r="F354" s="398">
        <v>3880</v>
      </c>
      <c r="G354" s="758">
        <v>18</v>
      </c>
      <c r="H354" t="s">
        <v>321</v>
      </c>
      <c r="I354" s="128">
        <f>+L354+M354</f>
        <v>393</v>
      </c>
      <c r="J354" s="765">
        <f>+I354*$B$1</f>
        <v>620.94000000000005</v>
      </c>
      <c r="L354">
        <v>381</v>
      </c>
      <c r="M354">
        <v>12</v>
      </c>
    </row>
    <row r="355" spans="6:14" ht="13.8" x14ac:dyDescent="0.25">
      <c r="F355" s="398">
        <v>3880</v>
      </c>
      <c r="G355" s="758">
        <v>16</v>
      </c>
      <c r="H355" t="s">
        <v>321</v>
      </c>
      <c r="I355" s="128">
        <f>+L355+M355</f>
        <v>12</v>
      </c>
      <c r="J355" s="765">
        <f>+I355*$B$1</f>
        <v>18.96</v>
      </c>
      <c r="L355"/>
      <c r="M355">
        <v>12</v>
      </c>
    </row>
    <row r="356" spans="6:14" ht="13.8" x14ac:dyDescent="0.25">
      <c r="F356" s="398">
        <v>3880</v>
      </c>
      <c r="G356" s="758">
        <v>14</v>
      </c>
      <c r="H356" t="s">
        <v>321</v>
      </c>
      <c r="I356" s="128">
        <f>+L356+M356</f>
        <v>500</v>
      </c>
      <c r="J356" s="765">
        <f>+I356*$B$1</f>
        <v>790</v>
      </c>
      <c r="L356">
        <v>488</v>
      </c>
      <c r="M356">
        <v>12</v>
      </c>
    </row>
    <row r="357" spans="6:14" ht="13.8" x14ac:dyDescent="0.25">
      <c r="F357" s="398">
        <v>3880</v>
      </c>
      <c r="G357" s="758">
        <v>12</v>
      </c>
      <c r="H357" t="s">
        <v>321</v>
      </c>
      <c r="I357" s="128">
        <f>+L357+M357+N357</f>
        <v>850</v>
      </c>
      <c r="J357" s="765">
        <f>+I357*$B$1</f>
        <v>1343</v>
      </c>
      <c r="L357">
        <v>488</v>
      </c>
      <c r="M357">
        <v>12</v>
      </c>
      <c r="N357">
        <v>350</v>
      </c>
    </row>
    <row r="358" spans="6:14" ht="13.8" x14ac:dyDescent="0.25">
      <c r="F358" s="398">
        <v>3880</v>
      </c>
      <c r="G358" s="758">
        <v>18</v>
      </c>
      <c r="H358" t="s">
        <v>345</v>
      </c>
      <c r="I358" s="128">
        <v>1228</v>
      </c>
      <c r="J358" s="766">
        <f>+I358*$B$2</f>
        <v>541.548</v>
      </c>
      <c r="L358"/>
    </row>
    <row r="359" spans="6:14" ht="13.8" x14ac:dyDescent="0.25">
      <c r="F359" s="398">
        <v>3880</v>
      </c>
      <c r="G359" s="758">
        <v>16</v>
      </c>
      <c r="H359" t="s">
        <v>345</v>
      </c>
      <c r="I359" s="128">
        <v>1453</v>
      </c>
      <c r="J359" s="766">
        <f>+I359*$B$2</f>
        <v>640.77300000000002</v>
      </c>
      <c r="L359"/>
    </row>
    <row r="360" spans="6:14" ht="13.8" x14ac:dyDescent="0.25">
      <c r="F360" s="398">
        <v>3880</v>
      </c>
      <c r="G360" s="758">
        <v>14</v>
      </c>
      <c r="H360" t="s">
        <v>345</v>
      </c>
      <c r="I360" s="128">
        <v>1734</v>
      </c>
      <c r="J360" s="766">
        <f>+I360*$B$2</f>
        <v>764.69399999999996</v>
      </c>
      <c r="K360">
        <v>236</v>
      </c>
      <c r="L360" s="142">
        <f>+K360+I360</f>
        <v>1970</v>
      </c>
    </row>
    <row r="361" spans="6:14" ht="13.8" x14ac:dyDescent="0.25">
      <c r="F361" s="398">
        <v>3880</v>
      </c>
      <c r="G361" s="758">
        <v>12</v>
      </c>
      <c r="H361" t="s">
        <v>345</v>
      </c>
      <c r="I361" s="128">
        <v>2808</v>
      </c>
      <c r="J361" s="766">
        <f>+I361*$B$2</f>
        <v>1238.328</v>
      </c>
      <c r="K361">
        <v>236</v>
      </c>
      <c r="L361" s="142">
        <f>+K361+I361</f>
        <v>3044</v>
      </c>
    </row>
    <row r="362" spans="6:14" ht="13.8" x14ac:dyDescent="0.25">
      <c r="F362" s="398">
        <v>3880</v>
      </c>
      <c r="G362" s="758">
        <v>18</v>
      </c>
      <c r="H362" t="s">
        <v>1363</v>
      </c>
      <c r="I362" s="128">
        <f>+K362+L362</f>
        <v>974</v>
      </c>
      <c r="J362" s="769">
        <f>+I362*$B$3</f>
        <v>418.82</v>
      </c>
      <c r="K362" s="128">
        <v>765</v>
      </c>
      <c r="L362" s="128">
        <f>53+53+103</f>
        <v>209</v>
      </c>
    </row>
    <row r="363" spans="6:14" ht="13.8" x14ac:dyDescent="0.25">
      <c r="F363" s="398">
        <v>3880</v>
      </c>
      <c r="G363" s="758">
        <v>16</v>
      </c>
      <c r="H363" t="s">
        <v>1363</v>
      </c>
      <c r="I363" s="128">
        <f>+K363+L363</f>
        <v>1142</v>
      </c>
      <c r="J363" s="769">
        <f>+I363*$B$3</f>
        <v>491.06</v>
      </c>
      <c r="K363" s="128">
        <v>933</v>
      </c>
      <c r="L363" s="128">
        <f>53+53+103</f>
        <v>209</v>
      </c>
    </row>
    <row r="364" spans="6:14" ht="13.8" x14ac:dyDescent="0.25">
      <c r="F364" s="398">
        <v>3880</v>
      </c>
      <c r="G364" s="758">
        <v>14</v>
      </c>
      <c r="H364" t="s">
        <v>1363</v>
      </c>
      <c r="I364" s="128">
        <f>+K364+L364</f>
        <v>1436</v>
      </c>
      <c r="J364" s="769">
        <f>+I364*$B$3</f>
        <v>617.48</v>
      </c>
      <c r="K364" s="128">
        <v>1227</v>
      </c>
      <c r="L364" s="128">
        <f>53+53+103</f>
        <v>209</v>
      </c>
    </row>
    <row r="365" spans="6:14" ht="13.8" x14ac:dyDescent="0.25">
      <c r="F365" s="398">
        <v>3880</v>
      </c>
      <c r="G365" s="758">
        <v>12</v>
      </c>
      <c r="H365" t="s">
        <v>1363</v>
      </c>
      <c r="I365" s="128"/>
      <c r="J365" s="769">
        <f>+I365*$B$3</f>
        <v>0</v>
      </c>
      <c r="K365" s="128"/>
    </row>
    <row r="366" spans="6:14" ht="13.8" x14ac:dyDescent="0.25">
      <c r="F366" s="398">
        <v>3090</v>
      </c>
      <c r="G366" s="758">
        <v>18</v>
      </c>
      <c r="H366" t="s">
        <v>321</v>
      </c>
      <c r="I366" s="128">
        <f>+L366+M366</f>
        <v>444</v>
      </c>
      <c r="J366" s="765">
        <f>+I366*$B$1</f>
        <v>701.52</v>
      </c>
      <c r="L366">
        <v>432</v>
      </c>
      <c r="M366">
        <v>12</v>
      </c>
    </row>
    <row r="367" spans="6:14" ht="13.8" x14ac:dyDescent="0.25">
      <c r="F367" s="398">
        <v>3090</v>
      </c>
      <c r="G367" s="758">
        <v>16</v>
      </c>
      <c r="H367" t="s">
        <v>321</v>
      </c>
      <c r="I367" s="128">
        <f>+L367+M367</f>
        <v>12</v>
      </c>
      <c r="J367" s="765">
        <f>+I367*$B$1</f>
        <v>18.96</v>
      </c>
      <c r="L367"/>
      <c r="M367">
        <v>12</v>
      </c>
    </row>
    <row r="368" spans="6:14" ht="13.8" x14ac:dyDescent="0.25">
      <c r="F368" s="398">
        <v>3090</v>
      </c>
      <c r="G368" s="758">
        <v>14</v>
      </c>
      <c r="H368" t="s">
        <v>321</v>
      </c>
      <c r="I368" s="128">
        <f>+L368+M368</f>
        <v>565</v>
      </c>
      <c r="J368" s="765">
        <f>+I368*$B$1</f>
        <v>892.7</v>
      </c>
      <c r="L368">
        <v>553</v>
      </c>
      <c r="M368">
        <v>12</v>
      </c>
    </row>
    <row r="369" spans="6:14" ht="13.8" x14ac:dyDescent="0.25">
      <c r="F369" s="398">
        <v>3090</v>
      </c>
      <c r="G369" s="758">
        <v>12</v>
      </c>
      <c r="H369" t="s">
        <v>321</v>
      </c>
      <c r="I369" s="128">
        <f>+L369+M369+N369</f>
        <v>915</v>
      </c>
      <c r="J369" s="765">
        <f>+I369*$B$1</f>
        <v>1445.7</v>
      </c>
      <c r="L369">
        <v>553</v>
      </c>
      <c r="M369">
        <v>12</v>
      </c>
      <c r="N369">
        <v>350</v>
      </c>
    </row>
    <row r="370" spans="6:14" ht="13.8" x14ac:dyDescent="0.25">
      <c r="F370" s="398">
        <v>3090</v>
      </c>
      <c r="G370" s="758">
        <v>18</v>
      </c>
      <c r="H370" t="s">
        <v>345</v>
      </c>
      <c r="I370" s="128">
        <v>1102</v>
      </c>
      <c r="J370" s="766">
        <f>+I370*$B$2</f>
        <v>485.98200000000003</v>
      </c>
      <c r="L370"/>
    </row>
    <row r="371" spans="6:14" ht="13.8" x14ac:dyDescent="0.25">
      <c r="F371" s="398">
        <v>3090</v>
      </c>
      <c r="G371" s="758">
        <v>16</v>
      </c>
      <c r="H371" t="s">
        <v>345</v>
      </c>
      <c r="I371" s="128">
        <v>1300</v>
      </c>
      <c r="J371" s="766">
        <f>+I371*$B$2</f>
        <v>573.29999999999995</v>
      </c>
      <c r="L371"/>
    </row>
    <row r="372" spans="6:14" ht="13.8" x14ac:dyDescent="0.25">
      <c r="F372" s="398">
        <v>3090</v>
      </c>
      <c r="G372" s="758">
        <v>14</v>
      </c>
      <c r="H372" t="s">
        <v>345</v>
      </c>
      <c r="I372" s="128">
        <v>1721</v>
      </c>
      <c r="J372" s="766">
        <f>+I372*$B$2</f>
        <v>758.96100000000001</v>
      </c>
      <c r="K372">
        <v>236</v>
      </c>
      <c r="L372" s="142">
        <f>+K372+I372</f>
        <v>1957</v>
      </c>
    </row>
    <row r="373" spans="6:14" ht="13.8" x14ac:dyDescent="0.25">
      <c r="F373" s="398">
        <v>3090</v>
      </c>
      <c r="G373" s="758">
        <v>12</v>
      </c>
      <c r="H373" t="s">
        <v>345</v>
      </c>
      <c r="I373" s="128">
        <v>2786</v>
      </c>
      <c r="J373" s="766">
        <f>+I373*$B$2</f>
        <v>1228.626</v>
      </c>
      <c r="K373">
        <v>236</v>
      </c>
      <c r="L373" s="142">
        <f>+K373+I373</f>
        <v>3022</v>
      </c>
    </row>
    <row r="374" spans="6:14" ht="13.8" x14ac:dyDescent="0.25">
      <c r="F374" s="398">
        <v>3090</v>
      </c>
      <c r="G374" s="758">
        <v>18</v>
      </c>
      <c r="H374" t="s">
        <v>1363</v>
      </c>
      <c r="I374" s="128"/>
      <c r="J374" s="769">
        <f>+I374*$B$3</f>
        <v>0</v>
      </c>
      <c r="K374" s="128"/>
    </row>
    <row r="375" spans="6:14" ht="13.8" x14ac:dyDescent="0.25">
      <c r="F375" s="398">
        <v>3090</v>
      </c>
      <c r="G375" s="758">
        <v>16</v>
      </c>
      <c r="H375" t="s">
        <v>1363</v>
      </c>
      <c r="I375" s="128"/>
      <c r="J375" s="769">
        <f>+I375*$B$3</f>
        <v>0</v>
      </c>
      <c r="K375" s="128"/>
    </row>
    <row r="376" spans="6:14" ht="13.8" x14ac:dyDescent="0.25">
      <c r="F376" s="398">
        <v>3090</v>
      </c>
      <c r="G376" s="758">
        <v>14</v>
      </c>
      <c r="H376" t="s">
        <v>1363</v>
      </c>
      <c r="I376" s="128"/>
      <c r="J376" s="769">
        <f>+I376*$B$3</f>
        <v>0</v>
      </c>
      <c r="K376" s="128"/>
    </row>
    <row r="377" spans="6:14" ht="13.8" x14ac:dyDescent="0.25">
      <c r="F377" s="398">
        <v>3090</v>
      </c>
      <c r="G377" s="758">
        <v>12</v>
      </c>
      <c r="H377" t="s">
        <v>1363</v>
      </c>
      <c r="I377" s="128"/>
      <c r="J377" s="769">
        <f>+I377*$B$3</f>
        <v>0</v>
      </c>
      <c r="K377" s="128"/>
    </row>
    <row r="378" spans="6:14" ht="13.8" x14ac:dyDescent="0.25">
      <c r="F378" s="398">
        <v>3490</v>
      </c>
      <c r="G378" s="758">
        <v>18</v>
      </c>
      <c r="H378" t="s">
        <v>321</v>
      </c>
      <c r="I378" s="128">
        <f>+L378+M378</f>
        <v>508</v>
      </c>
      <c r="J378" s="765">
        <f>+I378*$B$1</f>
        <v>802.64</v>
      </c>
      <c r="L378">
        <v>496</v>
      </c>
      <c r="M378">
        <v>12</v>
      </c>
    </row>
    <row r="379" spans="6:14" ht="13.8" x14ac:dyDescent="0.25">
      <c r="F379" s="398">
        <v>3490</v>
      </c>
      <c r="G379" s="758">
        <v>16</v>
      </c>
      <c r="H379" t="s">
        <v>321</v>
      </c>
      <c r="I379" s="128">
        <f>+L379+M379</f>
        <v>12</v>
      </c>
      <c r="J379" s="765">
        <f>+I379*$B$1</f>
        <v>18.96</v>
      </c>
      <c r="L379"/>
      <c r="M379">
        <v>12</v>
      </c>
    </row>
    <row r="380" spans="6:14" ht="13.8" x14ac:dyDescent="0.25">
      <c r="F380" s="398">
        <v>3490</v>
      </c>
      <c r="G380" s="758">
        <v>14</v>
      </c>
      <c r="H380" t="s">
        <v>321</v>
      </c>
      <c r="I380" s="128">
        <f>+L380+M380</f>
        <v>613</v>
      </c>
      <c r="J380" s="765">
        <f>+I380*$B$1</f>
        <v>968.54000000000008</v>
      </c>
      <c r="L380">
        <v>601</v>
      </c>
      <c r="M380">
        <v>12</v>
      </c>
    </row>
    <row r="381" spans="6:14" ht="13.8" x14ac:dyDescent="0.25">
      <c r="F381" s="398">
        <v>3490</v>
      </c>
      <c r="G381" s="758">
        <v>12</v>
      </c>
      <c r="H381" t="s">
        <v>321</v>
      </c>
      <c r="I381" s="128">
        <f>+L381+M381+N381</f>
        <v>940</v>
      </c>
      <c r="J381" s="765">
        <f>+I381*$B$1</f>
        <v>1485.2</v>
      </c>
      <c r="L381">
        <v>578</v>
      </c>
      <c r="M381">
        <v>12</v>
      </c>
      <c r="N381">
        <v>350</v>
      </c>
    </row>
    <row r="382" spans="6:14" ht="13.8" x14ac:dyDescent="0.25">
      <c r="F382" s="398">
        <v>3490</v>
      </c>
      <c r="G382" s="758">
        <v>18</v>
      </c>
      <c r="H382" t="s">
        <v>345</v>
      </c>
      <c r="I382" s="128">
        <v>1224</v>
      </c>
      <c r="J382" s="766">
        <f>+I382*$B$2</f>
        <v>539.78399999999999</v>
      </c>
      <c r="L382"/>
    </row>
    <row r="383" spans="6:14" ht="13.8" x14ac:dyDescent="0.25">
      <c r="F383" s="398">
        <v>3490</v>
      </c>
      <c r="G383" s="758">
        <v>16</v>
      </c>
      <c r="H383" t="s">
        <v>345</v>
      </c>
      <c r="I383" s="128">
        <v>1447</v>
      </c>
      <c r="J383" s="766">
        <f>+I383*$B$2</f>
        <v>638.12699999999995</v>
      </c>
      <c r="L383"/>
    </row>
    <row r="384" spans="6:14" ht="13.8" x14ac:dyDescent="0.25">
      <c r="F384" s="398">
        <v>3490</v>
      </c>
      <c r="G384" s="758">
        <v>14</v>
      </c>
      <c r="H384" t="s">
        <v>345</v>
      </c>
      <c r="I384" s="128">
        <v>1721</v>
      </c>
      <c r="J384" s="766">
        <f>+I384*$B$2</f>
        <v>758.96100000000001</v>
      </c>
      <c r="K384">
        <v>236</v>
      </c>
      <c r="L384" s="142">
        <f>+K384+I384</f>
        <v>1957</v>
      </c>
    </row>
    <row r="385" spans="6:14" ht="13.8" x14ac:dyDescent="0.25">
      <c r="F385" s="398">
        <v>3490</v>
      </c>
      <c r="G385" s="758">
        <v>12</v>
      </c>
      <c r="H385" t="s">
        <v>345</v>
      </c>
      <c r="I385" s="128">
        <v>2786</v>
      </c>
      <c r="J385" s="766">
        <f>+I385*$B$2</f>
        <v>1228.626</v>
      </c>
      <c r="K385">
        <v>236</v>
      </c>
      <c r="L385" s="142">
        <f>+K385+I385</f>
        <v>3022</v>
      </c>
    </row>
    <row r="386" spans="6:14" ht="13.8" x14ac:dyDescent="0.25">
      <c r="F386" s="398">
        <v>3490</v>
      </c>
      <c r="G386" s="758">
        <v>18</v>
      </c>
      <c r="H386" t="s">
        <v>1363</v>
      </c>
      <c r="I386" s="128">
        <f>+K386+L386</f>
        <v>209</v>
      </c>
      <c r="J386" s="769">
        <f>+I386*$B$3</f>
        <v>89.87</v>
      </c>
      <c r="K386" s="128"/>
      <c r="L386" s="128">
        <f>53+53+103</f>
        <v>209</v>
      </c>
    </row>
    <row r="387" spans="6:14" ht="13.8" x14ac:dyDescent="0.25">
      <c r="F387" s="398">
        <v>3490</v>
      </c>
      <c r="G387" s="758">
        <v>16</v>
      </c>
      <c r="H387" t="s">
        <v>1363</v>
      </c>
      <c r="I387" s="128">
        <f>+K387+L387</f>
        <v>209</v>
      </c>
      <c r="J387" s="769">
        <f>+I387*$B$3</f>
        <v>89.87</v>
      </c>
      <c r="K387" s="128"/>
      <c r="L387" s="128">
        <f>53+53+103</f>
        <v>209</v>
      </c>
    </row>
    <row r="388" spans="6:14" ht="13.8" x14ac:dyDescent="0.25">
      <c r="F388" s="398">
        <v>3490</v>
      </c>
      <c r="G388" s="758">
        <v>14</v>
      </c>
      <c r="H388" t="s">
        <v>1363</v>
      </c>
      <c r="I388" s="128">
        <f>+K388+L388</f>
        <v>209</v>
      </c>
      <c r="J388" s="769">
        <f>+I388*$B$3</f>
        <v>89.87</v>
      </c>
      <c r="K388" s="128"/>
      <c r="L388" s="128">
        <f>53+53+103</f>
        <v>209</v>
      </c>
    </row>
    <row r="389" spans="6:14" ht="13.8" x14ac:dyDescent="0.25">
      <c r="F389" s="398">
        <v>3490</v>
      </c>
      <c r="G389" s="758">
        <v>12</v>
      </c>
      <c r="H389" t="s">
        <v>1363</v>
      </c>
      <c r="I389" s="128"/>
      <c r="J389" s="769">
        <f>+I389*$B$3</f>
        <v>0</v>
      </c>
      <c r="K389" s="128"/>
    </row>
    <row r="390" spans="6:14" ht="13.8" x14ac:dyDescent="0.25">
      <c r="F390" s="398">
        <v>3690</v>
      </c>
      <c r="G390" s="758">
        <v>18</v>
      </c>
      <c r="H390" t="s">
        <v>321</v>
      </c>
      <c r="I390" s="128">
        <f>+L390+M390</f>
        <v>508</v>
      </c>
      <c r="J390" s="765">
        <f>+I390*$B$1</f>
        <v>802.64</v>
      </c>
      <c r="L390">
        <v>496</v>
      </c>
      <c r="M390">
        <v>12</v>
      </c>
    </row>
    <row r="391" spans="6:14" ht="13.8" x14ac:dyDescent="0.25">
      <c r="F391" s="398">
        <v>3690</v>
      </c>
      <c r="G391" s="758">
        <v>16</v>
      </c>
      <c r="H391" t="s">
        <v>321</v>
      </c>
      <c r="I391" s="128">
        <f>+L391+M391</f>
        <v>12</v>
      </c>
      <c r="J391" s="765">
        <f>+I391*$B$1</f>
        <v>18.96</v>
      </c>
      <c r="L391"/>
      <c r="M391">
        <v>12</v>
      </c>
    </row>
    <row r="392" spans="6:14" ht="13.8" x14ac:dyDescent="0.25">
      <c r="F392" s="398">
        <v>3690</v>
      </c>
      <c r="G392" s="758">
        <v>14</v>
      </c>
      <c r="H392" t="s">
        <v>321</v>
      </c>
      <c r="I392" s="128">
        <f>+L392+M392</f>
        <v>613</v>
      </c>
      <c r="J392" s="765">
        <f>+I392*$B$1</f>
        <v>968.54000000000008</v>
      </c>
      <c r="L392">
        <v>601</v>
      </c>
      <c r="M392">
        <v>12</v>
      </c>
    </row>
    <row r="393" spans="6:14" ht="13.8" x14ac:dyDescent="0.25">
      <c r="F393" s="398">
        <v>3690</v>
      </c>
      <c r="G393" s="758">
        <v>12</v>
      </c>
      <c r="H393" t="s">
        <v>321</v>
      </c>
      <c r="I393" s="128">
        <f>+L393+M393+N393</f>
        <v>940</v>
      </c>
      <c r="J393" s="765">
        <f>+I393*$B$1</f>
        <v>1485.2</v>
      </c>
      <c r="L393">
        <v>578</v>
      </c>
      <c r="M393">
        <v>12</v>
      </c>
      <c r="N393">
        <v>350</v>
      </c>
    </row>
    <row r="394" spans="6:14" ht="13.8" x14ac:dyDescent="0.25">
      <c r="F394" s="398">
        <v>3690</v>
      </c>
      <c r="G394" s="758">
        <v>18</v>
      </c>
      <c r="H394" t="s">
        <v>345</v>
      </c>
      <c r="I394" s="128">
        <v>1232</v>
      </c>
      <c r="J394" s="766">
        <f>+I394*$B$2</f>
        <v>543.31200000000001</v>
      </c>
      <c r="L394"/>
    </row>
    <row r="395" spans="6:14" ht="13.8" x14ac:dyDescent="0.25">
      <c r="F395" s="398">
        <v>3690</v>
      </c>
      <c r="G395" s="758">
        <v>16</v>
      </c>
      <c r="H395" t="s">
        <v>345</v>
      </c>
      <c r="I395" s="128">
        <v>1455</v>
      </c>
      <c r="J395" s="766">
        <f>+I395*$B$2</f>
        <v>641.65499999999997</v>
      </c>
      <c r="L395"/>
    </row>
    <row r="396" spans="6:14" ht="13.8" x14ac:dyDescent="0.25">
      <c r="F396" s="398">
        <v>3690</v>
      </c>
      <c r="G396" s="758">
        <v>14</v>
      </c>
      <c r="H396" t="s">
        <v>345</v>
      </c>
      <c r="I396" s="128">
        <v>1721</v>
      </c>
      <c r="J396" s="766">
        <f>+I396*$B$2</f>
        <v>758.96100000000001</v>
      </c>
      <c r="K396">
        <v>236</v>
      </c>
      <c r="L396" s="142">
        <f>+K396+I396</f>
        <v>1957</v>
      </c>
    </row>
    <row r="397" spans="6:14" ht="13.8" x14ac:dyDescent="0.25">
      <c r="F397" s="398">
        <v>3690</v>
      </c>
      <c r="G397" s="758">
        <v>12</v>
      </c>
      <c r="H397" t="s">
        <v>345</v>
      </c>
      <c r="I397" s="128">
        <v>2786</v>
      </c>
      <c r="J397" s="766">
        <f>+I397*$B$2</f>
        <v>1228.626</v>
      </c>
      <c r="K397">
        <v>236</v>
      </c>
      <c r="L397" s="142">
        <f>+K397+I397</f>
        <v>3022</v>
      </c>
    </row>
    <row r="398" spans="6:14" ht="13.8" x14ac:dyDescent="0.25">
      <c r="F398" s="398">
        <v>3690</v>
      </c>
      <c r="G398" s="758">
        <v>18</v>
      </c>
      <c r="H398" t="s">
        <v>1363</v>
      </c>
      <c r="I398" s="128"/>
      <c r="J398" s="769">
        <f>+I398*$B$3</f>
        <v>0</v>
      </c>
      <c r="K398" s="128"/>
    </row>
    <row r="399" spans="6:14" ht="13.8" x14ac:dyDescent="0.25">
      <c r="F399" s="398">
        <v>3690</v>
      </c>
      <c r="G399" s="758">
        <v>16</v>
      </c>
      <c r="H399" t="s">
        <v>1363</v>
      </c>
      <c r="I399" s="128"/>
      <c r="J399" s="769">
        <f>+I399*$B$3</f>
        <v>0</v>
      </c>
      <c r="K399" s="128"/>
    </row>
    <row r="400" spans="6:14" ht="13.8" x14ac:dyDescent="0.25">
      <c r="F400" s="398">
        <v>3690</v>
      </c>
      <c r="G400" s="758">
        <v>14</v>
      </c>
      <c r="H400" t="s">
        <v>1363</v>
      </c>
      <c r="I400" s="128"/>
      <c r="J400" s="769">
        <f>+I400*$B$3</f>
        <v>0</v>
      </c>
      <c r="K400" s="128"/>
    </row>
    <row r="401" spans="6:14" ht="13.8" x14ac:dyDescent="0.25">
      <c r="F401" s="398">
        <v>3690</v>
      </c>
      <c r="G401" s="758">
        <v>12</v>
      </c>
      <c r="H401" t="s">
        <v>1363</v>
      </c>
      <c r="I401" s="128"/>
      <c r="J401" s="769">
        <f>+I401*$B$3</f>
        <v>0</v>
      </c>
      <c r="K401" s="128"/>
    </row>
    <row r="402" spans="6:14" ht="13.8" x14ac:dyDescent="0.25">
      <c r="F402" s="398">
        <v>3890</v>
      </c>
      <c r="G402" s="758">
        <v>18</v>
      </c>
      <c r="H402" t="s">
        <v>321</v>
      </c>
      <c r="I402" s="128">
        <f>+L402+M402</f>
        <v>508</v>
      </c>
      <c r="J402" s="765">
        <f>+I402*$B$1</f>
        <v>802.64</v>
      </c>
      <c r="L402">
        <v>496</v>
      </c>
      <c r="M402">
        <v>12</v>
      </c>
    </row>
    <row r="403" spans="6:14" ht="13.8" x14ac:dyDescent="0.25">
      <c r="F403" s="398">
        <v>3890</v>
      </c>
      <c r="G403" s="758">
        <v>16</v>
      </c>
      <c r="H403" t="s">
        <v>321</v>
      </c>
      <c r="I403" s="128">
        <f>+L403+M403</f>
        <v>12</v>
      </c>
      <c r="J403" s="765">
        <f>+I403*$B$1</f>
        <v>18.96</v>
      </c>
      <c r="L403"/>
      <c r="M403">
        <v>12</v>
      </c>
    </row>
    <row r="404" spans="6:14" ht="13.8" x14ac:dyDescent="0.25">
      <c r="F404" s="398">
        <v>3890</v>
      </c>
      <c r="G404" s="758">
        <v>14</v>
      </c>
      <c r="H404" t="s">
        <v>321</v>
      </c>
      <c r="I404" s="128">
        <f>+L404+M404</f>
        <v>613</v>
      </c>
      <c r="J404" s="765">
        <f>+I404*$B$1</f>
        <v>968.54000000000008</v>
      </c>
      <c r="L404">
        <v>601</v>
      </c>
      <c r="M404">
        <v>12</v>
      </c>
    </row>
    <row r="405" spans="6:14" ht="13.8" x14ac:dyDescent="0.25">
      <c r="F405" s="398">
        <v>3890</v>
      </c>
      <c r="G405" s="758">
        <v>12</v>
      </c>
      <c r="H405" t="s">
        <v>321</v>
      </c>
      <c r="I405" s="128">
        <f>+L405+M405+N405</f>
        <v>963</v>
      </c>
      <c r="J405" s="765">
        <f>+I405*$B$1</f>
        <v>1521.54</v>
      </c>
      <c r="L405">
        <v>601</v>
      </c>
      <c r="M405">
        <v>12</v>
      </c>
      <c r="N405">
        <v>350</v>
      </c>
    </row>
    <row r="406" spans="6:14" ht="13.8" x14ac:dyDescent="0.25">
      <c r="F406" s="398">
        <v>3890</v>
      </c>
      <c r="G406" s="758">
        <v>18</v>
      </c>
      <c r="H406" t="s">
        <v>345</v>
      </c>
      <c r="I406" s="128">
        <v>1354</v>
      </c>
      <c r="J406" s="766">
        <f>+I406*$B$2</f>
        <v>597.11400000000003</v>
      </c>
      <c r="L406"/>
    </row>
    <row r="407" spans="6:14" ht="13.8" x14ac:dyDescent="0.25">
      <c r="F407" s="398">
        <v>3890</v>
      </c>
      <c r="G407" s="758">
        <v>16</v>
      </c>
      <c r="H407" t="s">
        <v>345</v>
      </c>
      <c r="I407" s="128">
        <v>1604</v>
      </c>
      <c r="J407" s="766">
        <f>+I407*$B$2</f>
        <v>707.36400000000003</v>
      </c>
      <c r="L407"/>
    </row>
    <row r="408" spans="6:14" ht="13.8" x14ac:dyDescent="0.25">
      <c r="F408" s="398">
        <v>3890</v>
      </c>
      <c r="G408" s="758">
        <v>14</v>
      </c>
      <c r="H408" t="s">
        <v>345</v>
      </c>
      <c r="I408" s="128">
        <v>1931</v>
      </c>
      <c r="J408" s="766">
        <f>+I408*$B$2</f>
        <v>851.57100000000003</v>
      </c>
      <c r="K408">
        <v>236</v>
      </c>
      <c r="L408" s="142">
        <f>+K408+I408</f>
        <v>2167</v>
      </c>
    </row>
    <row r="409" spans="6:14" ht="13.8" x14ac:dyDescent="0.25">
      <c r="F409" s="398">
        <v>3890</v>
      </c>
      <c r="G409" s="758">
        <v>12</v>
      </c>
      <c r="H409" t="s">
        <v>345</v>
      </c>
      <c r="I409" s="128">
        <v>3127</v>
      </c>
      <c r="J409" s="766">
        <f>+I409*$B$2</f>
        <v>1379.0070000000001</v>
      </c>
      <c r="K409">
        <v>236</v>
      </c>
      <c r="L409" s="142">
        <f>+K409+I409</f>
        <v>3363</v>
      </c>
    </row>
    <row r="410" spans="6:14" ht="13.8" x14ac:dyDescent="0.25">
      <c r="F410" s="398">
        <v>3890</v>
      </c>
      <c r="G410" s="758">
        <v>18</v>
      </c>
      <c r="H410" t="s">
        <v>1363</v>
      </c>
      <c r="I410" s="128"/>
      <c r="J410" s="769">
        <f>+I410*$B$3</f>
        <v>0</v>
      </c>
      <c r="K410" s="128"/>
    </row>
    <row r="411" spans="6:14" ht="13.8" x14ac:dyDescent="0.25">
      <c r="F411" s="398">
        <v>3890</v>
      </c>
      <c r="G411" s="758">
        <v>16</v>
      </c>
      <c r="H411" t="s">
        <v>1363</v>
      </c>
      <c r="I411" s="128"/>
      <c r="J411" s="769">
        <f>+I411*$B$3</f>
        <v>0</v>
      </c>
      <c r="K411" s="128"/>
    </row>
    <row r="412" spans="6:14" ht="13.8" x14ac:dyDescent="0.25">
      <c r="F412" s="398">
        <v>3890</v>
      </c>
      <c r="G412" s="758">
        <v>14</v>
      </c>
      <c r="H412" t="s">
        <v>1363</v>
      </c>
      <c r="I412" s="128"/>
      <c r="J412" s="769">
        <f>+I412*$B$3</f>
        <v>0</v>
      </c>
      <c r="K412" s="128"/>
    </row>
    <row r="413" spans="6:14" ht="13.8" x14ac:dyDescent="0.25">
      <c r="F413" s="398">
        <v>3890</v>
      </c>
      <c r="G413" s="758">
        <v>12</v>
      </c>
      <c r="H413" t="s">
        <v>1363</v>
      </c>
      <c r="I413" s="128"/>
      <c r="J413" s="769">
        <f>+I413*$B$3</f>
        <v>0</v>
      </c>
      <c r="K413" s="128"/>
    </row>
    <row r="414" spans="6:14" ht="13.8" x14ac:dyDescent="0.25">
      <c r="F414" s="398">
        <v>4068</v>
      </c>
      <c r="G414" s="758">
        <v>18</v>
      </c>
      <c r="H414" t="s">
        <v>321</v>
      </c>
      <c r="I414" s="128">
        <f>+L414+M414</f>
        <v>317</v>
      </c>
      <c r="J414" s="765">
        <f>+I414*$B$1</f>
        <v>500.86</v>
      </c>
      <c r="L414">
        <v>305</v>
      </c>
      <c r="M414">
        <v>12</v>
      </c>
    </row>
    <row r="415" spans="6:14" ht="13.8" x14ac:dyDescent="0.25">
      <c r="F415" s="398">
        <v>4068</v>
      </c>
      <c r="G415" s="758">
        <v>16</v>
      </c>
      <c r="H415" t="s">
        <v>321</v>
      </c>
      <c r="I415" s="128">
        <f>+L415+M415</f>
        <v>12</v>
      </c>
      <c r="J415" s="765">
        <f>+I415*$B$1</f>
        <v>18.96</v>
      </c>
      <c r="L415"/>
      <c r="M415">
        <v>12</v>
      </c>
    </row>
    <row r="416" spans="6:14" ht="13.8" x14ac:dyDescent="0.25">
      <c r="F416" s="398">
        <v>4068</v>
      </c>
      <c r="G416" s="758">
        <v>14</v>
      </c>
      <c r="H416" t="s">
        <v>321</v>
      </c>
      <c r="I416" s="128">
        <f>+L416+M416</f>
        <v>405</v>
      </c>
      <c r="J416" s="765">
        <f>+I416*$B$1</f>
        <v>639.9</v>
      </c>
      <c r="L416">
        <v>393</v>
      </c>
      <c r="M416">
        <v>12</v>
      </c>
    </row>
    <row r="417" spans="6:14" ht="13.8" x14ac:dyDescent="0.25">
      <c r="F417" s="398">
        <v>4068</v>
      </c>
      <c r="G417" s="758">
        <v>12</v>
      </c>
      <c r="H417" t="s">
        <v>321</v>
      </c>
      <c r="I417" s="128">
        <f>+L417+M417+N417</f>
        <v>755</v>
      </c>
      <c r="J417" s="765">
        <f>+I417*$B$1</f>
        <v>1192.9000000000001</v>
      </c>
      <c r="L417">
        <v>393</v>
      </c>
      <c r="M417">
        <v>12</v>
      </c>
      <c r="N417">
        <v>350</v>
      </c>
    </row>
    <row r="418" spans="6:14" ht="13.8" x14ac:dyDescent="0.25">
      <c r="F418" s="398">
        <v>4068</v>
      </c>
      <c r="G418" s="758">
        <v>18</v>
      </c>
      <c r="H418" t="s">
        <v>345</v>
      </c>
      <c r="I418" s="128">
        <v>898</v>
      </c>
      <c r="J418" s="766">
        <f>+I418*$B$2</f>
        <v>396.01800000000003</v>
      </c>
      <c r="L418"/>
    </row>
    <row r="419" spans="6:14" ht="13.8" x14ac:dyDescent="0.25">
      <c r="F419" s="398">
        <v>4068</v>
      </c>
      <c r="G419" s="758">
        <v>16</v>
      </c>
      <c r="H419" t="s">
        <v>345</v>
      </c>
      <c r="I419" s="128">
        <v>1161</v>
      </c>
      <c r="J419" s="766">
        <f>+I419*$B$2</f>
        <v>512.00099999999998</v>
      </c>
      <c r="L419"/>
    </row>
    <row r="420" spans="6:14" ht="13.8" x14ac:dyDescent="0.25">
      <c r="F420" s="398">
        <v>4068</v>
      </c>
      <c r="G420" s="758">
        <v>14</v>
      </c>
      <c r="H420" t="s">
        <v>345</v>
      </c>
      <c r="I420" s="128">
        <v>1342</v>
      </c>
      <c r="J420" s="766">
        <f>+I420*$B$2</f>
        <v>591.822</v>
      </c>
      <c r="K420">
        <v>236</v>
      </c>
      <c r="L420" s="142">
        <f>+K420+I420</f>
        <v>1578</v>
      </c>
    </row>
    <row r="421" spans="6:14" ht="13.8" x14ac:dyDescent="0.25">
      <c r="F421" s="398">
        <v>4068</v>
      </c>
      <c r="G421" s="758">
        <v>12</v>
      </c>
      <c r="H421" t="s">
        <v>345</v>
      </c>
      <c r="I421" s="128">
        <v>2167</v>
      </c>
      <c r="J421" s="766">
        <f>+I421*$B$2</f>
        <v>955.64700000000005</v>
      </c>
      <c r="K421">
        <v>236</v>
      </c>
      <c r="L421" s="142">
        <f>+K421+I421</f>
        <v>2403</v>
      </c>
    </row>
    <row r="422" spans="6:14" ht="13.8" x14ac:dyDescent="0.25">
      <c r="F422" s="398">
        <v>4068</v>
      </c>
      <c r="G422" s="758">
        <v>18</v>
      </c>
      <c r="H422" t="s">
        <v>1363</v>
      </c>
      <c r="I422" s="128">
        <f>+K422+L422</f>
        <v>960</v>
      </c>
      <c r="J422" s="769">
        <f>+I422*$B$3</f>
        <v>412.8</v>
      </c>
      <c r="K422" s="128">
        <v>751</v>
      </c>
      <c r="L422" s="128">
        <f>53+53+103</f>
        <v>209</v>
      </c>
    </row>
    <row r="423" spans="6:14" ht="13.8" x14ac:dyDescent="0.25">
      <c r="F423" s="398">
        <v>4068</v>
      </c>
      <c r="G423" s="758">
        <v>16</v>
      </c>
      <c r="H423" t="s">
        <v>1363</v>
      </c>
      <c r="I423" s="128">
        <f>+K423+L423</f>
        <v>1128</v>
      </c>
      <c r="J423" s="769">
        <f>+I423*$B$3</f>
        <v>485.04</v>
      </c>
      <c r="K423" s="128">
        <v>919</v>
      </c>
      <c r="L423" s="128">
        <f>53+53+103</f>
        <v>209</v>
      </c>
    </row>
    <row r="424" spans="6:14" ht="13.8" x14ac:dyDescent="0.25">
      <c r="F424" s="398">
        <v>4068</v>
      </c>
      <c r="G424" s="758">
        <v>14</v>
      </c>
      <c r="H424" t="s">
        <v>1363</v>
      </c>
      <c r="I424" s="128">
        <f>+K424+L424</f>
        <v>1422</v>
      </c>
      <c r="J424" s="769">
        <f>+I424*$B$3</f>
        <v>611.46</v>
      </c>
      <c r="K424" s="128">
        <v>1213</v>
      </c>
      <c r="L424" s="128">
        <f>53+53+103</f>
        <v>209</v>
      </c>
    </row>
    <row r="425" spans="6:14" ht="13.8" x14ac:dyDescent="0.25">
      <c r="F425" s="398">
        <v>4068</v>
      </c>
      <c r="G425" s="758">
        <v>12</v>
      </c>
      <c r="H425" t="s">
        <v>1363</v>
      </c>
      <c r="I425" s="128"/>
      <c r="J425" s="769">
        <f>+I425*$B$3</f>
        <v>0</v>
      </c>
      <c r="K425" s="128"/>
    </row>
    <row r="426" spans="6:14" ht="13.8" x14ac:dyDescent="0.25">
      <c r="F426" s="398">
        <v>4070</v>
      </c>
      <c r="G426" s="758">
        <v>18</v>
      </c>
      <c r="H426" t="s">
        <v>321</v>
      </c>
      <c r="I426" s="128">
        <f>+L426+M426</f>
        <v>329</v>
      </c>
      <c r="J426" s="765">
        <f>+I426*$B$1</f>
        <v>519.82000000000005</v>
      </c>
      <c r="L426">
        <v>317</v>
      </c>
      <c r="M426">
        <v>12</v>
      </c>
    </row>
    <row r="427" spans="6:14" ht="13.8" x14ac:dyDescent="0.25">
      <c r="F427" s="398">
        <v>4070</v>
      </c>
      <c r="G427" s="758">
        <v>16</v>
      </c>
      <c r="H427" t="s">
        <v>321</v>
      </c>
      <c r="I427" s="128">
        <f>+L427+M427</f>
        <v>12</v>
      </c>
      <c r="J427" s="765">
        <f>+I427*$B$1</f>
        <v>18.96</v>
      </c>
      <c r="L427"/>
      <c r="M427">
        <v>12</v>
      </c>
    </row>
    <row r="428" spans="6:14" ht="13.8" x14ac:dyDescent="0.25">
      <c r="F428" s="398">
        <v>4070</v>
      </c>
      <c r="G428" s="758">
        <v>14</v>
      </c>
      <c r="H428" t="s">
        <v>321</v>
      </c>
      <c r="I428" s="128">
        <v>0</v>
      </c>
      <c r="J428" s="765">
        <f>+I428*$B$1</f>
        <v>0</v>
      </c>
      <c r="L428">
        <v>0</v>
      </c>
      <c r="M428">
        <v>12</v>
      </c>
    </row>
    <row r="429" spans="6:14" ht="13.8" x14ac:dyDescent="0.25">
      <c r="F429" s="398">
        <v>4070</v>
      </c>
      <c r="G429" s="758">
        <v>12</v>
      </c>
      <c r="H429" t="s">
        <v>321</v>
      </c>
      <c r="I429" s="128">
        <f>+L429+M429+N429</f>
        <v>770</v>
      </c>
      <c r="J429" s="765">
        <f>+I429*$B$1</f>
        <v>1216.6000000000001</v>
      </c>
      <c r="L429">
        <v>408</v>
      </c>
      <c r="M429">
        <v>12</v>
      </c>
      <c r="N429">
        <v>350</v>
      </c>
    </row>
    <row r="430" spans="6:14" ht="13.8" x14ac:dyDescent="0.25">
      <c r="F430" s="398">
        <v>4070</v>
      </c>
      <c r="G430" s="758">
        <v>18</v>
      </c>
      <c r="H430" t="s">
        <v>345</v>
      </c>
      <c r="I430" s="128">
        <v>1032</v>
      </c>
      <c r="J430" s="766">
        <f>+I430*$B$2</f>
        <v>455.11200000000002</v>
      </c>
      <c r="L430"/>
    </row>
    <row r="431" spans="6:14" ht="13.8" x14ac:dyDescent="0.25">
      <c r="F431" s="822">
        <v>4070</v>
      </c>
      <c r="G431" s="775">
        <v>16</v>
      </c>
      <c r="H431" s="774" t="s">
        <v>345</v>
      </c>
      <c r="I431" s="776">
        <v>1214</v>
      </c>
      <c r="J431" s="777">
        <f>+I431*$B$2</f>
        <v>535.37400000000002</v>
      </c>
      <c r="L431"/>
    </row>
    <row r="432" spans="6:14" ht="13.8" x14ac:dyDescent="0.25">
      <c r="F432" s="398">
        <v>4070</v>
      </c>
      <c r="G432" s="758">
        <v>14</v>
      </c>
      <c r="H432" t="s">
        <v>345</v>
      </c>
      <c r="I432" s="128">
        <v>1411</v>
      </c>
      <c r="J432" s="766">
        <f>+I432*$B$2</f>
        <v>622.25099999999998</v>
      </c>
      <c r="K432">
        <v>236</v>
      </c>
      <c r="L432" s="142">
        <f>+K432+I432</f>
        <v>1647</v>
      </c>
    </row>
    <row r="433" spans="6:14" ht="13.8" x14ac:dyDescent="0.25">
      <c r="F433" s="398">
        <v>4070</v>
      </c>
      <c r="G433" s="758">
        <v>12</v>
      </c>
      <c r="H433" t="s">
        <v>345</v>
      </c>
      <c r="I433" s="128">
        <v>2280</v>
      </c>
      <c r="J433" s="766">
        <f>+I433*$B$2</f>
        <v>1005.48</v>
      </c>
      <c r="K433">
        <v>236</v>
      </c>
      <c r="L433" s="142">
        <f>+K433+I433</f>
        <v>2516</v>
      </c>
    </row>
    <row r="434" spans="6:14" ht="13.8" x14ac:dyDescent="0.25">
      <c r="F434" s="398">
        <v>4070</v>
      </c>
      <c r="G434" s="758">
        <v>18</v>
      </c>
      <c r="H434" t="s">
        <v>1363</v>
      </c>
      <c r="I434" s="128">
        <f>+K434+L434</f>
        <v>982</v>
      </c>
      <c r="J434" s="769">
        <f>+I434*$B$3</f>
        <v>422.26</v>
      </c>
      <c r="K434" s="128">
        <v>773</v>
      </c>
      <c r="L434" s="128">
        <f>53+53+103</f>
        <v>209</v>
      </c>
    </row>
    <row r="435" spans="6:14" ht="13.8" x14ac:dyDescent="0.25">
      <c r="F435" s="398">
        <v>4070</v>
      </c>
      <c r="G435" s="758">
        <v>16</v>
      </c>
      <c r="H435" t="s">
        <v>1363</v>
      </c>
      <c r="I435" s="128">
        <f>+K435+L435</f>
        <v>1150</v>
      </c>
      <c r="J435" s="769">
        <f>+I435*$B$3</f>
        <v>494.5</v>
      </c>
      <c r="K435" s="128">
        <v>941</v>
      </c>
      <c r="L435" s="128">
        <f>53+53+103</f>
        <v>209</v>
      </c>
    </row>
    <row r="436" spans="6:14" ht="13.8" x14ac:dyDescent="0.25">
      <c r="F436" s="398">
        <v>4070</v>
      </c>
      <c r="G436" s="758">
        <v>14</v>
      </c>
      <c r="H436" t="s">
        <v>1363</v>
      </c>
      <c r="I436" s="128">
        <f>+K436+L436</f>
        <v>1444</v>
      </c>
      <c r="J436" s="769">
        <f>+I436*$B$3</f>
        <v>620.91999999999996</v>
      </c>
      <c r="K436" s="128">
        <v>1235</v>
      </c>
      <c r="L436" s="128">
        <f>53+53+103</f>
        <v>209</v>
      </c>
    </row>
    <row r="437" spans="6:14" ht="13.8" x14ac:dyDescent="0.25">
      <c r="F437" s="398">
        <v>4070</v>
      </c>
      <c r="G437" s="758">
        <v>12</v>
      </c>
      <c r="H437" t="s">
        <v>1363</v>
      </c>
      <c r="I437" s="128"/>
      <c r="J437" s="769">
        <f>+I437*$B$3</f>
        <v>0</v>
      </c>
      <c r="K437" s="128"/>
    </row>
    <row r="438" spans="6:14" ht="13.8" x14ac:dyDescent="0.25">
      <c r="F438" s="398">
        <v>4670</v>
      </c>
      <c r="G438" s="758">
        <v>18</v>
      </c>
      <c r="H438" t="s">
        <v>321</v>
      </c>
      <c r="I438" s="128">
        <v>0</v>
      </c>
      <c r="J438" s="765">
        <f>+I438*$B$1</f>
        <v>0</v>
      </c>
      <c r="L438">
        <v>0</v>
      </c>
      <c r="M438">
        <v>12</v>
      </c>
    </row>
    <row r="439" spans="6:14" ht="13.8" x14ac:dyDescent="0.25">
      <c r="F439" s="398">
        <v>4670</v>
      </c>
      <c r="G439" s="758">
        <v>16</v>
      </c>
      <c r="H439" t="s">
        <v>321</v>
      </c>
      <c r="I439" s="128">
        <f>+L439+M439</f>
        <v>12</v>
      </c>
      <c r="J439" s="765">
        <f>+I439*$B$1</f>
        <v>18.96</v>
      </c>
      <c r="L439"/>
      <c r="M439">
        <v>12</v>
      </c>
    </row>
    <row r="440" spans="6:14" ht="13.8" x14ac:dyDescent="0.25">
      <c r="F440" s="398">
        <v>4670</v>
      </c>
      <c r="G440" s="758">
        <v>14</v>
      </c>
      <c r="H440" t="s">
        <v>321</v>
      </c>
      <c r="I440" s="128">
        <v>0</v>
      </c>
      <c r="J440" s="765">
        <f>+I440*$B$1</f>
        <v>0</v>
      </c>
      <c r="L440"/>
      <c r="M440">
        <v>12</v>
      </c>
    </row>
    <row r="441" spans="6:14" ht="13.8" x14ac:dyDescent="0.25">
      <c r="F441" s="398">
        <v>4670</v>
      </c>
      <c r="G441" s="758">
        <v>12</v>
      </c>
      <c r="H441" t="s">
        <v>321</v>
      </c>
      <c r="I441" s="128">
        <v>0</v>
      </c>
      <c r="J441" s="765">
        <f>+I441*$B$1</f>
        <v>0</v>
      </c>
      <c r="L441">
        <v>0</v>
      </c>
      <c r="M441">
        <v>12</v>
      </c>
      <c r="N441">
        <v>350</v>
      </c>
    </row>
    <row r="442" spans="6:14" ht="13.8" x14ac:dyDescent="0.25">
      <c r="F442" s="398">
        <v>4670</v>
      </c>
      <c r="G442" s="758">
        <v>18</v>
      </c>
      <c r="H442" t="s">
        <v>345</v>
      </c>
      <c r="I442" s="128">
        <v>1384</v>
      </c>
      <c r="J442" s="766">
        <f>+I442*$B$2</f>
        <v>610.34400000000005</v>
      </c>
      <c r="L442"/>
    </row>
    <row r="443" spans="6:14" ht="13.8" x14ac:dyDescent="0.25">
      <c r="F443" s="398">
        <v>4670</v>
      </c>
      <c r="G443" s="758">
        <v>16</v>
      </c>
      <c r="H443" t="s">
        <v>345</v>
      </c>
      <c r="I443" s="128">
        <v>1643</v>
      </c>
      <c r="J443" s="766">
        <f>+I443*$B$2</f>
        <v>724.56299999999999</v>
      </c>
      <c r="L443"/>
    </row>
    <row r="444" spans="6:14" ht="13.8" x14ac:dyDescent="0.25">
      <c r="F444" s="398">
        <v>4670</v>
      </c>
      <c r="G444" s="758">
        <v>14</v>
      </c>
      <c r="H444" t="s">
        <v>345</v>
      </c>
      <c r="I444" s="128">
        <v>1981</v>
      </c>
      <c r="J444" s="766">
        <f>+I444*$B$2</f>
        <v>873.62099999999998</v>
      </c>
      <c r="K444">
        <v>236</v>
      </c>
      <c r="L444" s="142">
        <f>+K444+I444</f>
        <v>2217</v>
      </c>
    </row>
    <row r="445" spans="6:14" ht="13.8" x14ac:dyDescent="0.25">
      <c r="F445" s="398">
        <v>4670</v>
      </c>
      <c r="G445" s="758">
        <v>12</v>
      </c>
      <c r="H445" t="s">
        <v>345</v>
      </c>
      <c r="I445" s="128">
        <v>3219</v>
      </c>
      <c r="J445" s="766">
        <f>+I445*$B$2</f>
        <v>1419.579</v>
      </c>
      <c r="K445">
        <v>236</v>
      </c>
      <c r="L445" s="142">
        <f>+K445+I445</f>
        <v>3455</v>
      </c>
    </row>
    <row r="446" spans="6:14" ht="13.8" x14ac:dyDescent="0.25">
      <c r="F446" s="398">
        <v>4670</v>
      </c>
      <c r="G446" s="758">
        <v>18</v>
      </c>
      <c r="H446" t="s">
        <v>1363</v>
      </c>
      <c r="I446" s="128">
        <v>0</v>
      </c>
      <c r="J446" s="769">
        <v>0</v>
      </c>
      <c r="K446" s="128"/>
    </row>
    <row r="447" spans="6:14" ht="13.8" x14ac:dyDescent="0.25">
      <c r="F447" s="398">
        <v>4670</v>
      </c>
      <c r="G447" s="758">
        <v>16</v>
      </c>
      <c r="H447" t="s">
        <v>1363</v>
      </c>
      <c r="I447" s="128">
        <v>0</v>
      </c>
      <c r="J447" s="769">
        <v>0</v>
      </c>
      <c r="K447" s="128"/>
    </row>
    <row r="448" spans="6:14" ht="13.8" x14ac:dyDescent="0.25">
      <c r="F448" s="398">
        <v>4670</v>
      </c>
      <c r="G448" s="758">
        <v>14</v>
      </c>
      <c r="H448" t="s">
        <v>1363</v>
      </c>
      <c r="I448" s="128">
        <v>0</v>
      </c>
      <c r="J448" s="769">
        <v>0</v>
      </c>
      <c r="K448" s="128"/>
    </row>
    <row r="449" spans="6:14" ht="13.8" x14ac:dyDescent="0.25">
      <c r="F449" s="398">
        <v>4670</v>
      </c>
      <c r="G449" s="758">
        <v>12</v>
      </c>
      <c r="H449" t="s">
        <v>1363</v>
      </c>
      <c r="I449" s="128"/>
      <c r="J449" s="769">
        <f>+I449*$B$3</f>
        <v>0</v>
      </c>
      <c r="K449" s="128"/>
    </row>
    <row r="450" spans="6:14" ht="13.8" x14ac:dyDescent="0.25">
      <c r="F450" s="398">
        <v>4080</v>
      </c>
      <c r="G450" s="758">
        <v>18</v>
      </c>
      <c r="H450" t="s">
        <v>321</v>
      </c>
      <c r="I450" s="128">
        <f>+L450+M450</f>
        <v>393</v>
      </c>
      <c r="J450" s="765">
        <f>+I450*$B$1</f>
        <v>620.94000000000005</v>
      </c>
      <c r="L450">
        <v>381</v>
      </c>
      <c r="M450">
        <v>12</v>
      </c>
    </row>
    <row r="451" spans="6:14" ht="13.8" x14ac:dyDescent="0.25">
      <c r="F451" s="398">
        <v>4080</v>
      </c>
      <c r="G451" s="758">
        <v>16</v>
      </c>
      <c r="H451" t="s">
        <v>321</v>
      </c>
      <c r="I451" s="128">
        <f>+L451+M451</f>
        <v>12</v>
      </c>
      <c r="J451" s="765">
        <f>+I451*$B$1</f>
        <v>18.96</v>
      </c>
      <c r="L451"/>
      <c r="M451">
        <v>12</v>
      </c>
    </row>
    <row r="452" spans="6:14" ht="13.8" x14ac:dyDescent="0.25">
      <c r="F452" s="398">
        <v>4080</v>
      </c>
      <c r="G452" s="758">
        <v>14</v>
      </c>
      <c r="H452" t="s">
        <v>321</v>
      </c>
      <c r="I452" s="128">
        <f>+L452+M452</f>
        <v>500</v>
      </c>
      <c r="J452" s="765">
        <f>+I452*$B$1</f>
        <v>790</v>
      </c>
      <c r="L452">
        <v>488</v>
      </c>
      <c r="M452">
        <v>12</v>
      </c>
    </row>
    <row r="453" spans="6:14" ht="13.8" x14ac:dyDescent="0.25">
      <c r="F453" s="398">
        <v>4080</v>
      </c>
      <c r="G453" s="758">
        <v>12</v>
      </c>
      <c r="H453" t="s">
        <v>321</v>
      </c>
      <c r="I453" s="128">
        <f>+L453+M453+N453</f>
        <v>850</v>
      </c>
      <c r="J453" s="765">
        <f>+I453*$B$1</f>
        <v>1343</v>
      </c>
      <c r="L453">
        <v>488</v>
      </c>
      <c r="M453">
        <v>12</v>
      </c>
      <c r="N453">
        <v>350</v>
      </c>
    </row>
    <row r="454" spans="6:14" ht="13.8" x14ac:dyDescent="0.25">
      <c r="F454" s="398">
        <v>4080</v>
      </c>
      <c r="G454" s="758">
        <v>18</v>
      </c>
      <c r="H454" t="s">
        <v>345</v>
      </c>
      <c r="I454" s="128">
        <v>1240</v>
      </c>
      <c r="J454" s="766">
        <f>+I454*$B$2</f>
        <v>546.84</v>
      </c>
      <c r="L454"/>
    </row>
    <row r="455" spans="6:14" ht="13.8" x14ac:dyDescent="0.25">
      <c r="F455" s="398">
        <v>4080</v>
      </c>
      <c r="G455" s="758">
        <v>16</v>
      </c>
      <c r="H455" t="s">
        <v>345</v>
      </c>
      <c r="I455" s="128">
        <v>1465</v>
      </c>
      <c r="J455" s="766">
        <f>+I455*$B$2</f>
        <v>646.06500000000005</v>
      </c>
      <c r="L455"/>
    </row>
    <row r="456" spans="6:14" ht="13.8" x14ac:dyDescent="0.25">
      <c r="F456" s="398">
        <v>4080</v>
      </c>
      <c r="G456" s="758">
        <v>14</v>
      </c>
      <c r="H456" t="s">
        <v>345</v>
      </c>
      <c r="I456" s="128">
        <v>1734</v>
      </c>
      <c r="J456" s="766">
        <f>+I456*$B$2</f>
        <v>764.69399999999996</v>
      </c>
      <c r="K456">
        <v>236</v>
      </c>
      <c r="L456" s="142">
        <f>+K456+I456</f>
        <v>1970</v>
      </c>
    </row>
    <row r="457" spans="6:14" ht="13.8" x14ac:dyDescent="0.25">
      <c r="F457" s="398">
        <v>4080</v>
      </c>
      <c r="G457" s="758">
        <v>12</v>
      </c>
      <c r="H457" t="s">
        <v>345</v>
      </c>
      <c r="I457" s="128">
        <v>2808</v>
      </c>
      <c r="J457" s="766">
        <f>+I457*$B$2</f>
        <v>1238.328</v>
      </c>
      <c r="K457">
        <v>236</v>
      </c>
      <c r="L457" s="142">
        <f>+K457+I457</f>
        <v>3044</v>
      </c>
    </row>
    <row r="458" spans="6:14" ht="13.8" x14ac:dyDescent="0.25">
      <c r="F458" s="398">
        <v>4080</v>
      </c>
      <c r="G458" s="758">
        <v>18</v>
      </c>
      <c r="H458" t="s">
        <v>1363</v>
      </c>
      <c r="I458" s="128">
        <f>+K458+L458</f>
        <v>1074</v>
      </c>
      <c r="J458" s="769">
        <f>+I458*$B$3</f>
        <v>461.82</v>
      </c>
      <c r="K458" s="128">
        <v>865</v>
      </c>
      <c r="L458" s="128">
        <f>53+53+103</f>
        <v>209</v>
      </c>
    </row>
    <row r="459" spans="6:14" ht="13.8" x14ac:dyDescent="0.25">
      <c r="F459" s="398">
        <v>4080</v>
      </c>
      <c r="G459" s="758">
        <v>16</v>
      </c>
      <c r="H459" t="s">
        <v>1363</v>
      </c>
      <c r="I459" s="128">
        <f>+K459+L459</f>
        <v>1242</v>
      </c>
      <c r="J459" s="769">
        <f>+I459*$B$3</f>
        <v>534.05999999999995</v>
      </c>
      <c r="K459" s="128">
        <v>1033</v>
      </c>
      <c r="L459" s="128">
        <f>53+53+103</f>
        <v>209</v>
      </c>
    </row>
    <row r="460" spans="6:14" ht="13.8" x14ac:dyDescent="0.25">
      <c r="F460" s="398">
        <v>4080</v>
      </c>
      <c r="G460" s="758">
        <v>14</v>
      </c>
      <c r="H460" t="s">
        <v>1363</v>
      </c>
      <c r="I460" s="128">
        <f>+K460+L460</f>
        <v>1536</v>
      </c>
      <c r="J460" s="769">
        <f>+I460*$B$3</f>
        <v>660.48</v>
      </c>
      <c r="K460" s="128">
        <v>1327</v>
      </c>
      <c r="L460" s="128">
        <f>53+53+103</f>
        <v>209</v>
      </c>
    </row>
    <row r="461" spans="6:14" ht="13.8" x14ac:dyDescent="0.25">
      <c r="F461" s="398">
        <v>4080</v>
      </c>
      <c r="G461" s="758">
        <v>12</v>
      </c>
      <c r="H461" t="s">
        <v>1363</v>
      </c>
      <c r="I461" s="128"/>
      <c r="J461" s="769">
        <f>+I461*$B$3</f>
        <v>0</v>
      </c>
      <c r="K461" s="128"/>
    </row>
    <row r="462" spans="6:14" ht="13.8" x14ac:dyDescent="0.25">
      <c r="F462" s="398">
        <v>4680</v>
      </c>
      <c r="G462" s="758">
        <v>18</v>
      </c>
      <c r="H462" t="s">
        <v>321</v>
      </c>
      <c r="I462" s="128">
        <v>0</v>
      </c>
      <c r="J462" s="765">
        <f>+I462*$B$1</f>
        <v>0</v>
      </c>
      <c r="L462"/>
      <c r="M462">
        <v>12</v>
      </c>
    </row>
    <row r="463" spans="6:14" ht="13.8" x14ac:dyDescent="0.25">
      <c r="F463" s="398">
        <v>4680</v>
      </c>
      <c r="G463" s="758">
        <v>16</v>
      </c>
      <c r="H463" t="s">
        <v>321</v>
      </c>
      <c r="I463" s="128">
        <f>+L463+M463</f>
        <v>12</v>
      </c>
      <c r="J463" s="765">
        <f>+I463*$B$1</f>
        <v>18.96</v>
      </c>
      <c r="L463"/>
      <c r="M463">
        <v>12</v>
      </c>
    </row>
    <row r="464" spans="6:14" ht="13.8" x14ac:dyDescent="0.25">
      <c r="F464" s="398">
        <v>4680</v>
      </c>
      <c r="G464" s="758">
        <v>14</v>
      </c>
      <c r="H464" t="s">
        <v>321</v>
      </c>
      <c r="I464" s="128">
        <v>0</v>
      </c>
      <c r="J464" s="765">
        <f>+I464*$B$1</f>
        <v>0</v>
      </c>
      <c r="L464"/>
      <c r="M464">
        <v>12</v>
      </c>
    </row>
    <row r="465" spans="6:14" ht="13.8" x14ac:dyDescent="0.25">
      <c r="F465" s="398">
        <v>4680</v>
      </c>
      <c r="G465" s="758">
        <v>12</v>
      </c>
      <c r="H465" t="s">
        <v>321</v>
      </c>
      <c r="I465" s="128">
        <v>0</v>
      </c>
      <c r="J465" s="765">
        <f>+I465*$B$1</f>
        <v>0</v>
      </c>
      <c r="L465">
        <v>0</v>
      </c>
      <c r="M465">
        <v>12</v>
      </c>
      <c r="N465">
        <v>350</v>
      </c>
    </row>
    <row r="466" spans="6:14" ht="13.8" x14ac:dyDescent="0.25">
      <c r="F466" s="398">
        <v>4680</v>
      </c>
      <c r="G466" s="758">
        <v>18</v>
      </c>
      <c r="H466" t="s">
        <v>345</v>
      </c>
      <c r="I466" s="128">
        <v>1552</v>
      </c>
      <c r="J466" s="766">
        <f>+I466*$B$2</f>
        <v>684.43200000000002</v>
      </c>
      <c r="L466"/>
    </row>
    <row r="467" spans="6:14" ht="13.8" x14ac:dyDescent="0.25">
      <c r="F467" s="398">
        <v>4680</v>
      </c>
      <c r="G467" s="758">
        <v>16</v>
      </c>
      <c r="H467" t="s">
        <v>345</v>
      </c>
      <c r="I467" s="128">
        <v>1845</v>
      </c>
      <c r="J467" s="766">
        <f>+I467*$B$2</f>
        <v>813.64499999999998</v>
      </c>
      <c r="L467"/>
    </row>
    <row r="468" spans="6:14" ht="13.8" x14ac:dyDescent="0.25">
      <c r="F468" s="398">
        <v>4680</v>
      </c>
      <c r="G468" s="758">
        <v>14</v>
      </c>
      <c r="H468" t="s">
        <v>345</v>
      </c>
      <c r="I468" s="128">
        <v>2239</v>
      </c>
      <c r="J468" s="766">
        <f>+I468*$B$2</f>
        <v>987.399</v>
      </c>
      <c r="K468">
        <v>236</v>
      </c>
      <c r="L468" s="142">
        <f>+K468+I468</f>
        <v>2475</v>
      </c>
    </row>
    <row r="469" spans="6:14" ht="13.8" x14ac:dyDescent="0.25">
      <c r="F469" s="398">
        <v>4680</v>
      </c>
      <c r="G469" s="758">
        <v>12</v>
      </c>
      <c r="H469" t="s">
        <v>345</v>
      </c>
      <c r="I469" s="128">
        <v>3639</v>
      </c>
      <c r="J469" s="766">
        <f>+I469*$B$2</f>
        <v>1604.799</v>
      </c>
      <c r="K469">
        <v>236</v>
      </c>
      <c r="L469" s="142">
        <f>+K469+I469</f>
        <v>3875</v>
      </c>
    </row>
    <row r="470" spans="6:14" ht="13.8" x14ac:dyDescent="0.25">
      <c r="F470" s="398">
        <v>4680</v>
      </c>
      <c r="G470" s="758">
        <v>18</v>
      </c>
      <c r="H470" t="s">
        <v>1363</v>
      </c>
      <c r="I470" s="128">
        <v>0</v>
      </c>
      <c r="J470" s="769">
        <v>0</v>
      </c>
      <c r="K470" s="128"/>
    </row>
    <row r="471" spans="6:14" ht="13.8" x14ac:dyDescent="0.25">
      <c r="F471" s="398">
        <v>4680</v>
      </c>
      <c r="G471" s="758">
        <v>16</v>
      </c>
      <c r="H471" t="s">
        <v>1363</v>
      </c>
      <c r="I471" s="128">
        <v>0</v>
      </c>
      <c r="J471" s="769">
        <v>0</v>
      </c>
      <c r="K471" s="128"/>
    </row>
    <row r="472" spans="6:14" ht="13.8" x14ac:dyDescent="0.25">
      <c r="F472" s="398">
        <v>4680</v>
      </c>
      <c r="G472" s="758">
        <v>14</v>
      </c>
      <c r="H472" t="s">
        <v>1363</v>
      </c>
      <c r="I472" s="128">
        <v>0</v>
      </c>
      <c r="J472" s="769">
        <v>0</v>
      </c>
      <c r="K472" s="128"/>
    </row>
    <row r="473" spans="6:14" ht="13.8" x14ac:dyDescent="0.25">
      <c r="F473" s="398">
        <v>4680</v>
      </c>
      <c r="G473" s="758">
        <v>12</v>
      </c>
      <c r="H473" t="s">
        <v>1363</v>
      </c>
      <c r="I473" s="128">
        <v>0</v>
      </c>
      <c r="J473" s="769">
        <f>+I473*$B$3</f>
        <v>0</v>
      </c>
      <c r="K473" s="128"/>
    </row>
    <row r="474" spans="6:14" ht="13.8" x14ac:dyDescent="0.25">
      <c r="F474" s="398">
        <v>4090</v>
      </c>
      <c r="G474" s="758">
        <v>18</v>
      </c>
      <c r="H474" t="s">
        <v>321</v>
      </c>
      <c r="I474" s="128">
        <f>+L474+M474</f>
        <v>508</v>
      </c>
      <c r="J474" s="765">
        <f>+I474*$B$1</f>
        <v>802.64</v>
      </c>
      <c r="L474">
        <v>496</v>
      </c>
      <c r="M474">
        <v>12</v>
      </c>
    </row>
    <row r="475" spans="6:14" ht="13.8" x14ac:dyDescent="0.25">
      <c r="F475" s="398">
        <v>4090</v>
      </c>
      <c r="G475" s="758">
        <v>16</v>
      </c>
      <c r="H475" t="s">
        <v>321</v>
      </c>
      <c r="I475" s="128">
        <f>+L475+M475</f>
        <v>12</v>
      </c>
      <c r="J475" s="765">
        <f>+I475*$B$1</f>
        <v>18.96</v>
      </c>
      <c r="L475"/>
      <c r="M475">
        <v>12</v>
      </c>
    </row>
    <row r="476" spans="6:14" ht="13.8" x14ac:dyDescent="0.25">
      <c r="F476" s="398">
        <v>4090</v>
      </c>
      <c r="G476" s="758">
        <v>14</v>
      </c>
      <c r="H476" t="s">
        <v>321</v>
      </c>
      <c r="I476" s="128">
        <f>+L476+M476</f>
        <v>613</v>
      </c>
      <c r="J476" s="765">
        <f>+I476*$B$1</f>
        <v>968.54000000000008</v>
      </c>
      <c r="L476">
        <v>601</v>
      </c>
      <c r="M476">
        <v>12</v>
      </c>
    </row>
    <row r="477" spans="6:14" ht="13.8" x14ac:dyDescent="0.25">
      <c r="F477" s="398">
        <v>4090</v>
      </c>
      <c r="G477" s="758">
        <v>12</v>
      </c>
      <c r="H477" t="s">
        <v>321</v>
      </c>
      <c r="I477" s="128">
        <f>+L477+M477+N477</f>
        <v>963</v>
      </c>
      <c r="J477" s="765">
        <f>+I477*$B$1</f>
        <v>1521.54</v>
      </c>
      <c r="L477">
        <v>601</v>
      </c>
      <c r="M477">
        <v>12</v>
      </c>
      <c r="N477">
        <v>350</v>
      </c>
    </row>
    <row r="478" spans="6:14" ht="13.8" x14ac:dyDescent="0.25">
      <c r="F478" s="398">
        <v>4090</v>
      </c>
      <c r="G478" s="758">
        <v>18</v>
      </c>
      <c r="H478" t="s">
        <v>345</v>
      </c>
      <c r="I478" s="128">
        <v>1366</v>
      </c>
      <c r="J478" s="766">
        <f>+I478*$B$2</f>
        <v>602.40599999999995</v>
      </c>
      <c r="L478"/>
    </row>
    <row r="479" spans="6:14" ht="13.8" x14ac:dyDescent="0.25">
      <c r="F479" s="398">
        <v>4090</v>
      </c>
      <c r="G479" s="758">
        <v>16</v>
      </c>
      <c r="H479" t="s">
        <v>345</v>
      </c>
      <c r="I479" s="128">
        <v>1616</v>
      </c>
      <c r="J479" s="766">
        <f>+I479*$B$2</f>
        <v>712.65599999999995</v>
      </c>
      <c r="L479"/>
    </row>
    <row r="480" spans="6:14" ht="13.8" x14ac:dyDescent="0.25">
      <c r="F480" s="398">
        <v>4090</v>
      </c>
      <c r="G480" s="758">
        <v>14</v>
      </c>
      <c r="H480" t="s">
        <v>345</v>
      </c>
      <c r="I480" s="128">
        <v>1931</v>
      </c>
      <c r="J480" s="766">
        <f>+I480*$B$2</f>
        <v>851.57100000000003</v>
      </c>
      <c r="K480">
        <v>236</v>
      </c>
      <c r="L480" s="142">
        <f>+K480+I480</f>
        <v>2167</v>
      </c>
    </row>
    <row r="481" spans="6:14" ht="13.8" x14ac:dyDescent="0.25">
      <c r="F481" s="398">
        <v>4090</v>
      </c>
      <c r="G481" s="758">
        <v>12</v>
      </c>
      <c r="H481" t="s">
        <v>345</v>
      </c>
      <c r="I481" s="128">
        <v>3127</v>
      </c>
      <c r="J481" s="766">
        <f>+I481*$B$2</f>
        <v>1379.0070000000001</v>
      </c>
      <c r="K481">
        <v>236</v>
      </c>
      <c r="L481" s="142">
        <f>+K481+I481</f>
        <v>3363</v>
      </c>
    </row>
    <row r="482" spans="6:14" ht="13.8" x14ac:dyDescent="0.25">
      <c r="F482" s="398">
        <v>4090</v>
      </c>
      <c r="G482" s="758">
        <v>18</v>
      </c>
      <c r="H482" t="s">
        <v>1363</v>
      </c>
      <c r="I482" s="128">
        <v>0</v>
      </c>
      <c r="J482" s="769">
        <f>+I482*$B$3</f>
        <v>0</v>
      </c>
      <c r="K482" s="128"/>
    </row>
    <row r="483" spans="6:14" ht="13.8" x14ac:dyDescent="0.25">
      <c r="F483" s="398">
        <v>4090</v>
      </c>
      <c r="G483" s="758">
        <v>16</v>
      </c>
      <c r="H483" t="s">
        <v>1363</v>
      </c>
      <c r="I483" s="128">
        <v>0</v>
      </c>
      <c r="J483" s="769">
        <f>+I483*$B$3</f>
        <v>0</v>
      </c>
      <c r="K483" s="128"/>
    </row>
    <row r="484" spans="6:14" ht="13.8" x14ac:dyDescent="0.25">
      <c r="F484" s="398">
        <v>4090</v>
      </c>
      <c r="G484" s="758">
        <v>14</v>
      </c>
      <c r="H484" t="s">
        <v>1363</v>
      </c>
      <c r="I484" s="128">
        <v>0</v>
      </c>
      <c r="J484" s="769">
        <f>+I484*$B$3</f>
        <v>0</v>
      </c>
      <c r="K484" s="128"/>
    </row>
    <row r="485" spans="6:14" ht="13.8" x14ac:dyDescent="0.25">
      <c r="F485" s="398">
        <v>4090</v>
      </c>
      <c r="G485" s="758">
        <v>12</v>
      </c>
      <c r="H485" t="s">
        <v>1363</v>
      </c>
      <c r="I485" s="128">
        <v>0</v>
      </c>
      <c r="J485" s="769">
        <f>+I485*$B$3</f>
        <v>0</v>
      </c>
      <c r="K485" s="128"/>
    </row>
    <row r="486" spans="6:14" ht="13.8" x14ac:dyDescent="0.25">
      <c r="F486" s="398">
        <v>4690</v>
      </c>
      <c r="G486" s="758">
        <v>18</v>
      </c>
      <c r="H486" t="s">
        <v>321</v>
      </c>
      <c r="I486" s="128">
        <v>0</v>
      </c>
      <c r="J486" s="765">
        <f>+I486*$B$1</f>
        <v>0</v>
      </c>
      <c r="L486"/>
      <c r="M486">
        <v>12</v>
      </c>
    </row>
    <row r="487" spans="6:14" ht="13.8" x14ac:dyDescent="0.25">
      <c r="F487" s="398">
        <v>4690</v>
      </c>
      <c r="G487" s="758">
        <v>16</v>
      </c>
      <c r="H487" t="s">
        <v>321</v>
      </c>
      <c r="I487" s="128">
        <f>+L487+M487</f>
        <v>12</v>
      </c>
      <c r="J487" s="765">
        <f>+I487*$B$1</f>
        <v>18.96</v>
      </c>
      <c r="L487"/>
      <c r="M487">
        <v>12</v>
      </c>
    </row>
    <row r="488" spans="6:14" ht="13.8" x14ac:dyDescent="0.25">
      <c r="F488" s="398">
        <v>4690</v>
      </c>
      <c r="G488" s="758">
        <v>14</v>
      </c>
      <c r="H488" t="s">
        <v>321</v>
      </c>
      <c r="I488" s="128">
        <v>0</v>
      </c>
      <c r="J488" s="765">
        <f>+I488*$B$1</f>
        <v>0</v>
      </c>
      <c r="L488"/>
      <c r="M488">
        <v>12</v>
      </c>
    </row>
    <row r="489" spans="6:14" ht="13.8" x14ac:dyDescent="0.25">
      <c r="F489" s="398">
        <v>4690</v>
      </c>
      <c r="G489" s="758">
        <v>12</v>
      </c>
      <c r="H489" t="s">
        <v>321</v>
      </c>
      <c r="I489" s="128">
        <v>0</v>
      </c>
      <c r="J489" s="765">
        <f>+I489*$B$1</f>
        <v>0</v>
      </c>
      <c r="L489">
        <v>0</v>
      </c>
      <c r="M489">
        <v>12</v>
      </c>
      <c r="N489">
        <v>350</v>
      </c>
    </row>
    <row r="490" spans="6:14" ht="13.8" x14ac:dyDescent="0.25">
      <c r="F490" s="398">
        <v>4690</v>
      </c>
      <c r="G490" s="758">
        <v>18</v>
      </c>
      <c r="H490" t="s">
        <v>345</v>
      </c>
      <c r="I490" s="128">
        <v>1719</v>
      </c>
      <c r="J490" s="766">
        <f>+I490*$B$2</f>
        <v>758.07899999999995</v>
      </c>
      <c r="L490"/>
    </row>
    <row r="491" spans="6:14" ht="13.8" x14ac:dyDescent="0.25">
      <c r="F491" s="398">
        <v>4690</v>
      </c>
      <c r="G491" s="758">
        <v>16</v>
      </c>
      <c r="H491" t="s">
        <v>345</v>
      </c>
      <c r="I491" s="128">
        <v>2046</v>
      </c>
      <c r="J491" s="766">
        <f>+I491*$B$2</f>
        <v>902.28600000000006</v>
      </c>
      <c r="L491"/>
    </row>
    <row r="492" spans="6:14" ht="13.8" x14ac:dyDescent="0.25">
      <c r="F492" s="398">
        <v>4690</v>
      </c>
      <c r="G492" s="758">
        <v>14</v>
      </c>
      <c r="H492" t="s">
        <v>345</v>
      </c>
      <c r="I492" s="128">
        <v>2501</v>
      </c>
      <c r="J492" s="766">
        <f>+I492*$B$2</f>
        <v>1102.941</v>
      </c>
      <c r="K492">
        <v>236</v>
      </c>
      <c r="L492" s="142">
        <f>+K492+I492</f>
        <v>2737</v>
      </c>
    </row>
    <row r="493" spans="6:14" ht="13.8" x14ac:dyDescent="0.25">
      <c r="F493" s="398">
        <v>4690</v>
      </c>
      <c r="G493" s="758">
        <v>12</v>
      </c>
      <c r="H493" t="s">
        <v>345</v>
      </c>
      <c r="I493" s="128">
        <v>4063</v>
      </c>
      <c r="J493" s="766">
        <f>+I493*$B$2</f>
        <v>1791.7829999999999</v>
      </c>
      <c r="K493">
        <v>236</v>
      </c>
      <c r="L493" s="142">
        <f>+K493+I493</f>
        <v>4299</v>
      </c>
    </row>
    <row r="494" spans="6:14" ht="13.8" x14ac:dyDescent="0.25">
      <c r="F494" s="398">
        <v>4690</v>
      </c>
      <c r="G494" s="758">
        <v>18</v>
      </c>
      <c r="H494" t="s">
        <v>1363</v>
      </c>
      <c r="I494" s="128">
        <v>0</v>
      </c>
      <c r="J494" s="769">
        <f>+I494*$B$3</f>
        <v>0</v>
      </c>
      <c r="K494" s="128"/>
    </row>
    <row r="495" spans="6:14" ht="13.8" x14ac:dyDescent="0.25">
      <c r="F495" s="398">
        <v>4690</v>
      </c>
      <c r="G495" s="758">
        <v>16</v>
      </c>
      <c r="H495" t="s">
        <v>1363</v>
      </c>
      <c r="I495" s="128">
        <v>0</v>
      </c>
      <c r="J495" s="769">
        <f>+I495*$B$3</f>
        <v>0</v>
      </c>
      <c r="K495" s="128"/>
    </row>
    <row r="496" spans="6:14" ht="13.8" x14ac:dyDescent="0.25">
      <c r="F496" s="398">
        <v>4690</v>
      </c>
      <c r="G496" s="758">
        <v>14</v>
      </c>
      <c r="H496" t="s">
        <v>1363</v>
      </c>
      <c r="I496" s="128">
        <v>0</v>
      </c>
      <c r="J496" s="769">
        <f>+I496*$B$3</f>
        <v>0</v>
      </c>
      <c r="K496" s="128"/>
    </row>
    <row r="497" spans="6:13" ht="13.8" x14ac:dyDescent="0.25">
      <c r="F497" s="398">
        <v>4690</v>
      </c>
      <c r="G497" s="758">
        <v>12</v>
      </c>
      <c r="H497" t="s">
        <v>1363</v>
      </c>
      <c r="I497" s="128">
        <v>0</v>
      </c>
      <c r="J497" s="769">
        <f>+I497*$B$3</f>
        <v>0</v>
      </c>
      <c r="K497" s="128"/>
    </row>
    <row r="498" spans="6:13" ht="13.8" x14ac:dyDescent="0.25">
      <c r="F498" s="398">
        <v>3010</v>
      </c>
      <c r="G498" s="758">
        <v>16</v>
      </c>
      <c r="H498" t="s">
        <v>321</v>
      </c>
      <c r="I498" s="128">
        <f t="shared" ref="I498:I504" si="2">+L498+M498</f>
        <v>528</v>
      </c>
      <c r="J498" s="765">
        <f t="shared" ref="J498:J505" si="3">+I498*$B$1</f>
        <v>834.24</v>
      </c>
      <c r="L498">
        <v>516</v>
      </c>
      <c r="M498">
        <v>12</v>
      </c>
    </row>
    <row r="499" spans="6:13" ht="13.8" x14ac:dyDescent="0.25">
      <c r="F499" s="398">
        <v>3010</v>
      </c>
      <c r="G499" s="758">
        <v>14</v>
      </c>
      <c r="H499" t="s">
        <v>321</v>
      </c>
      <c r="I499" s="128">
        <f>+L499+M499</f>
        <v>607</v>
      </c>
      <c r="J499" s="765">
        <f t="shared" si="3"/>
        <v>959.06000000000006</v>
      </c>
      <c r="L499">
        <v>595</v>
      </c>
      <c r="M499">
        <v>12</v>
      </c>
    </row>
    <row r="500" spans="6:13" ht="13.8" x14ac:dyDescent="0.25">
      <c r="F500" s="398">
        <v>30110</v>
      </c>
      <c r="G500" s="758">
        <v>16</v>
      </c>
      <c r="H500" t="s">
        <v>321</v>
      </c>
      <c r="I500" s="128">
        <f t="shared" si="2"/>
        <v>1062</v>
      </c>
      <c r="J500" s="765">
        <f t="shared" si="3"/>
        <v>1677.96</v>
      </c>
      <c r="L500">
        <v>1050</v>
      </c>
      <c r="M500">
        <v>12</v>
      </c>
    </row>
    <row r="501" spans="6:13" ht="13.8" x14ac:dyDescent="0.25">
      <c r="F501" s="398">
        <v>30110</v>
      </c>
      <c r="G501" s="758">
        <v>14</v>
      </c>
      <c r="H501" t="s">
        <v>321</v>
      </c>
      <c r="I501" s="128">
        <f>+L501+M501</f>
        <v>1137</v>
      </c>
      <c r="J501" s="765">
        <f t="shared" si="3"/>
        <v>1796.46</v>
      </c>
      <c r="L501">
        <v>1125</v>
      </c>
      <c r="M501">
        <v>12</v>
      </c>
    </row>
    <row r="502" spans="6:13" ht="13.8" x14ac:dyDescent="0.25">
      <c r="F502" s="398">
        <v>4010</v>
      </c>
      <c r="G502" s="758">
        <v>16</v>
      </c>
      <c r="H502" t="s">
        <v>321</v>
      </c>
      <c r="I502" s="128">
        <f t="shared" si="2"/>
        <v>572</v>
      </c>
      <c r="J502" s="765">
        <f t="shared" si="3"/>
        <v>903.76</v>
      </c>
      <c r="L502">
        <v>560</v>
      </c>
      <c r="M502">
        <v>12</v>
      </c>
    </row>
    <row r="503" spans="6:13" ht="13.8" x14ac:dyDescent="0.25">
      <c r="F503" s="398">
        <v>4010</v>
      </c>
      <c r="G503" s="758">
        <v>14</v>
      </c>
      <c r="H503" t="s">
        <v>321</v>
      </c>
      <c r="I503" s="128">
        <f>+L503+M503</f>
        <v>655</v>
      </c>
      <c r="J503" s="765">
        <f t="shared" si="3"/>
        <v>1034.9000000000001</v>
      </c>
      <c r="L503">
        <v>643</v>
      </c>
      <c r="M503">
        <v>12</v>
      </c>
    </row>
    <row r="504" spans="6:13" ht="13.8" x14ac:dyDescent="0.25">
      <c r="F504" s="398">
        <v>4011</v>
      </c>
      <c r="G504" s="758">
        <v>16</v>
      </c>
      <c r="H504" t="s">
        <v>321</v>
      </c>
      <c r="I504" s="128">
        <f t="shared" si="2"/>
        <v>1112</v>
      </c>
      <c r="J504" s="765">
        <f t="shared" si="3"/>
        <v>1756.96</v>
      </c>
      <c r="L504">
        <v>1100</v>
      </c>
      <c r="M504">
        <v>12</v>
      </c>
    </row>
    <row r="505" spans="6:13" ht="13.8" x14ac:dyDescent="0.25">
      <c r="F505" s="398">
        <v>4011</v>
      </c>
      <c r="G505" s="758">
        <v>14</v>
      </c>
      <c r="H505" t="s">
        <v>321</v>
      </c>
      <c r="I505" s="128">
        <f>+L505+M505</f>
        <v>1212</v>
      </c>
      <c r="J505" s="765">
        <f t="shared" si="3"/>
        <v>1914.96</v>
      </c>
      <c r="L505">
        <v>1200</v>
      </c>
      <c r="M505">
        <v>12</v>
      </c>
    </row>
    <row r="526" spans="1:8" x14ac:dyDescent="0.2">
      <c r="D526" s="128"/>
      <c r="H526" t="s">
        <v>2509</v>
      </c>
    </row>
    <row r="527" spans="1:8" x14ac:dyDescent="0.2">
      <c r="E527" s="130"/>
    </row>
    <row r="528" spans="1:8" x14ac:dyDescent="0.2">
      <c r="A528" t="s">
        <v>2322</v>
      </c>
      <c r="B528" t="s">
        <v>321</v>
      </c>
      <c r="C528" t="s">
        <v>1363</v>
      </c>
      <c r="D528" t="s">
        <v>345</v>
      </c>
      <c r="E528" t="s">
        <v>321</v>
      </c>
      <c r="F528" t="s">
        <v>1363</v>
      </c>
      <c r="G528" t="s">
        <v>345</v>
      </c>
    </row>
    <row r="530" spans="1:7" x14ac:dyDescent="0.2">
      <c r="A530" t="s">
        <v>376</v>
      </c>
      <c r="D530">
        <v>16</v>
      </c>
      <c r="E530" s="107">
        <f>+$B$1*B530</f>
        <v>0</v>
      </c>
      <c r="F530">
        <f t="shared" ref="F530:G532" si="4">+C530*$B$2</f>
        <v>0</v>
      </c>
      <c r="G530">
        <f t="shared" si="4"/>
        <v>7.056</v>
      </c>
    </row>
    <row r="531" spans="1:7" x14ac:dyDescent="0.2">
      <c r="A531" t="s">
        <v>423</v>
      </c>
      <c r="D531">
        <v>66</v>
      </c>
      <c r="E531" s="107">
        <f>+$B$1*B531</f>
        <v>0</v>
      </c>
      <c r="F531">
        <f t="shared" si="4"/>
        <v>0</v>
      </c>
      <c r="G531">
        <f t="shared" si="4"/>
        <v>29.106000000000002</v>
      </c>
    </row>
    <row r="532" spans="1:7" x14ac:dyDescent="0.2">
      <c r="A532" t="s">
        <v>274</v>
      </c>
      <c r="D532">
        <v>24</v>
      </c>
      <c r="E532" s="107">
        <f>+$B$1*B532</f>
        <v>0</v>
      </c>
      <c r="F532">
        <f t="shared" si="4"/>
        <v>0</v>
      </c>
      <c r="G532">
        <f t="shared" si="4"/>
        <v>10.584</v>
      </c>
    </row>
    <row r="537" spans="1:7" ht="13.8" x14ac:dyDescent="0.25">
      <c r="A537" s="767" t="s">
        <v>2324</v>
      </c>
      <c r="B537" t="s">
        <v>2503</v>
      </c>
      <c r="C537" t="s">
        <v>2504</v>
      </c>
      <c r="D537" t="s">
        <v>2505</v>
      </c>
      <c r="E537" t="s">
        <v>2506</v>
      </c>
      <c r="F537" t="s">
        <v>2507</v>
      </c>
      <c r="G537" t="s">
        <v>2508</v>
      </c>
    </row>
    <row r="538" spans="1:7" x14ac:dyDescent="0.2">
      <c r="B538" s="770"/>
    </row>
    <row r="539" spans="1:7" x14ac:dyDescent="0.2">
      <c r="A539" t="s">
        <v>274</v>
      </c>
      <c r="B539" s="770">
        <v>0</v>
      </c>
      <c r="E539" s="107">
        <f>+$B$1*B539</f>
        <v>0</v>
      </c>
      <c r="F539">
        <f>+C539*$B$2</f>
        <v>0</v>
      </c>
      <c r="G539">
        <f>+D539*$B$3</f>
        <v>0</v>
      </c>
    </row>
    <row r="540" spans="1:7" x14ac:dyDescent="0.2">
      <c r="A540" t="s">
        <v>2326</v>
      </c>
      <c r="B540" s="770">
        <v>0</v>
      </c>
      <c r="E540" s="107">
        <f t="shared" ref="E540:E564" si="5">+$B$1*B540</f>
        <v>0</v>
      </c>
      <c r="F540">
        <f t="shared" ref="F540:F603" si="6">+C540*$B$2</f>
        <v>0</v>
      </c>
      <c r="G540">
        <f t="shared" ref="G540:G603" si="7">+D540*$B$3</f>
        <v>0</v>
      </c>
    </row>
    <row r="541" spans="1:7" x14ac:dyDescent="0.2">
      <c r="A541" t="s">
        <v>1270</v>
      </c>
      <c r="B541" s="95">
        <v>7</v>
      </c>
      <c r="E541" s="107">
        <f t="shared" si="5"/>
        <v>11.06</v>
      </c>
      <c r="F541">
        <f t="shared" si="6"/>
        <v>0</v>
      </c>
      <c r="G541">
        <f t="shared" si="7"/>
        <v>0</v>
      </c>
    </row>
    <row r="542" spans="1:7" x14ac:dyDescent="0.2">
      <c r="A542" t="s">
        <v>2327</v>
      </c>
      <c r="B542" s="95">
        <v>25</v>
      </c>
      <c r="E542" s="107">
        <f t="shared" si="5"/>
        <v>39.5</v>
      </c>
      <c r="F542">
        <f t="shared" si="6"/>
        <v>0</v>
      </c>
      <c r="G542">
        <f t="shared" si="7"/>
        <v>0</v>
      </c>
    </row>
    <row r="543" spans="1:7" x14ac:dyDescent="0.2">
      <c r="A543" t="s">
        <v>138</v>
      </c>
      <c r="B543" s="95">
        <v>32</v>
      </c>
      <c r="E543" s="107">
        <f t="shared" si="5"/>
        <v>50.56</v>
      </c>
      <c r="F543">
        <f t="shared" si="6"/>
        <v>0</v>
      </c>
      <c r="G543">
        <f t="shared" si="7"/>
        <v>0</v>
      </c>
    </row>
    <row r="544" spans="1:7" x14ac:dyDescent="0.2">
      <c r="A544" t="s">
        <v>2328</v>
      </c>
      <c r="B544" s="95">
        <v>38</v>
      </c>
      <c r="E544" s="107">
        <f t="shared" si="5"/>
        <v>60.040000000000006</v>
      </c>
      <c r="F544">
        <f t="shared" si="6"/>
        <v>0</v>
      </c>
      <c r="G544">
        <f t="shared" si="7"/>
        <v>0</v>
      </c>
    </row>
    <row r="545" spans="1:7" x14ac:dyDescent="0.2">
      <c r="B545" s="95"/>
      <c r="E545" s="107">
        <f t="shared" si="5"/>
        <v>0</v>
      </c>
      <c r="F545">
        <f t="shared" si="6"/>
        <v>0</v>
      </c>
      <c r="G545">
        <f t="shared" si="7"/>
        <v>0</v>
      </c>
    </row>
    <row r="546" spans="1:7" ht="13.8" x14ac:dyDescent="0.25">
      <c r="A546" s="767" t="s">
        <v>2329</v>
      </c>
      <c r="B546" s="95"/>
      <c r="E546" s="107">
        <f t="shared" si="5"/>
        <v>0</v>
      </c>
      <c r="F546">
        <f t="shared" si="6"/>
        <v>0</v>
      </c>
      <c r="G546">
        <f t="shared" si="7"/>
        <v>0</v>
      </c>
    </row>
    <row r="547" spans="1:7" x14ac:dyDescent="0.2">
      <c r="A547" s="538" t="s">
        <v>2331</v>
      </c>
      <c r="B547" s="95"/>
      <c r="E547" s="107">
        <f t="shared" si="5"/>
        <v>0</v>
      </c>
      <c r="F547">
        <f t="shared" si="6"/>
        <v>0</v>
      </c>
      <c r="G547">
        <f t="shared" si="7"/>
        <v>0</v>
      </c>
    </row>
    <row r="548" spans="1:7" x14ac:dyDescent="0.2">
      <c r="A548" s="154" t="s">
        <v>2330</v>
      </c>
      <c r="B548" s="95"/>
      <c r="E548" s="107">
        <f t="shared" si="5"/>
        <v>0</v>
      </c>
      <c r="F548">
        <f t="shared" si="6"/>
        <v>0</v>
      </c>
      <c r="G548">
        <f t="shared" si="7"/>
        <v>0</v>
      </c>
    </row>
    <row r="549" spans="1:7" x14ac:dyDescent="0.2">
      <c r="A549" s="154" t="s">
        <v>2332</v>
      </c>
      <c r="B549" s="95"/>
      <c r="E549" s="107">
        <f t="shared" si="5"/>
        <v>0</v>
      </c>
      <c r="F549">
        <f t="shared" si="6"/>
        <v>0</v>
      </c>
      <c r="G549">
        <f t="shared" si="7"/>
        <v>0</v>
      </c>
    </row>
    <row r="550" spans="1:7" x14ac:dyDescent="0.2">
      <c r="A550" s="154" t="s">
        <v>2334</v>
      </c>
      <c r="B550" s="95"/>
      <c r="E550" s="107">
        <f t="shared" si="5"/>
        <v>0</v>
      </c>
      <c r="F550">
        <f t="shared" si="6"/>
        <v>0</v>
      </c>
      <c r="G550">
        <f t="shared" si="7"/>
        <v>0</v>
      </c>
    </row>
    <row r="551" spans="1:7" ht="25.2" x14ac:dyDescent="0.2">
      <c r="A551" s="154" t="s">
        <v>2336</v>
      </c>
      <c r="B551" s="95"/>
      <c r="E551" s="107">
        <f t="shared" si="5"/>
        <v>0</v>
      </c>
      <c r="F551">
        <f t="shared" si="6"/>
        <v>0</v>
      </c>
      <c r="G551">
        <f t="shared" si="7"/>
        <v>0</v>
      </c>
    </row>
    <row r="552" spans="1:7" x14ac:dyDescent="0.2">
      <c r="A552" t="s">
        <v>2337</v>
      </c>
      <c r="B552" s="95"/>
      <c r="E552" s="107">
        <f t="shared" si="5"/>
        <v>0</v>
      </c>
      <c r="F552">
        <f t="shared" si="6"/>
        <v>0</v>
      </c>
      <c r="G552">
        <f t="shared" si="7"/>
        <v>0</v>
      </c>
    </row>
    <row r="553" spans="1:7" x14ac:dyDescent="0.2">
      <c r="B553" s="95"/>
      <c r="E553" s="107">
        <f t="shared" si="5"/>
        <v>0</v>
      </c>
      <c r="F553">
        <f t="shared" si="6"/>
        <v>0</v>
      </c>
      <c r="G553">
        <f t="shared" si="7"/>
        <v>0</v>
      </c>
    </row>
    <row r="554" spans="1:7" x14ac:dyDescent="0.2">
      <c r="B554" s="95"/>
      <c r="E554" s="107">
        <f t="shared" si="5"/>
        <v>0</v>
      </c>
      <c r="F554">
        <f t="shared" si="6"/>
        <v>0</v>
      </c>
      <c r="G554">
        <f t="shared" si="7"/>
        <v>0</v>
      </c>
    </row>
    <row r="555" spans="1:7" x14ac:dyDescent="0.2">
      <c r="B555" s="95"/>
      <c r="E555" s="107">
        <f t="shared" si="5"/>
        <v>0</v>
      </c>
      <c r="F555">
        <f t="shared" si="6"/>
        <v>0</v>
      </c>
      <c r="G555">
        <f t="shared" si="7"/>
        <v>0</v>
      </c>
    </row>
    <row r="556" spans="1:7" x14ac:dyDescent="0.2">
      <c r="B556" s="95"/>
      <c r="E556" s="107">
        <f t="shared" si="5"/>
        <v>0</v>
      </c>
      <c r="F556">
        <f t="shared" si="6"/>
        <v>0</v>
      </c>
      <c r="G556">
        <f t="shared" si="7"/>
        <v>0</v>
      </c>
    </row>
    <row r="557" spans="1:7" ht="13.8" x14ac:dyDescent="0.25">
      <c r="A557" s="767" t="s">
        <v>2341</v>
      </c>
      <c r="B557" s="95"/>
      <c r="E557" s="107">
        <f t="shared" si="5"/>
        <v>0</v>
      </c>
      <c r="F557">
        <f t="shared" si="6"/>
        <v>0</v>
      </c>
      <c r="G557">
        <f t="shared" si="7"/>
        <v>0</v>
      </c>
    </row>
    <row r="558" spans="1:7" x14ac:dyDescent="0.2">
      <c r="B558" s="95"/>
      <c r="E558" s="107">
        <f t="shared" si="5"/>
        <v>0</v>
      </c>
      <c r="F558">
        <f t="shared" si="6"/>
        <v>0</v>
      </c>
      <c r="G558">
        <f t="shared" si="7"/>
        <v>0</v>
      </c>
    </row>
    <row r="559" spans="1:7" x14ac:dyDescent="0.2">
      <c r="A559" s="154" t="s">
        <v>2333</v>
      </c>
      <c r="B559" s="95">
        <v>44</v>
      </c>
      <c r="E559" s="107">
        <f t="shared" si="5"/>
        <v>69.52000000000001</v>
      </c>
      <c r="F559">
        <f t="shared" si="6"/>
        <v>0</v>
      </c>
      <c r="G559">
        <f t="shared" si="7"/>
        <v>0</v>
      </c>
    </row>
    <row r="560" spans="1:7" x14ac:dyDescent="0.2">
      <c r="A560" s="154" t="s">
        <v>293</v>
      </c>
      <c r="B560" s="95">
        <v>30</v>
      </c>
      <c r="E560" s="107">
        <f t="shared" si="5"/>
        <v>47.400000000000006</v>
      </c>
      <c r="F560">
        <f t="shared" si="6"/>
        <v>0</v>
      </c>
      <c r="G560">
        <f t="shared" si="7"/>
        <v>0</v>
      </c>
    </row>
    <row r="561" spans="1:7" x14ac:dyDescent="0.2">
      <c r="A561" s="154" t="s">
        <v>2335</v>
      </c>
      <c r="B561" s="95">
        <v>6</v>
      </c>
      <c r="E561" s="107">
        <f t="shared" si="5"/>
        <v>9.48</v>
      </c>
      <c r="F561">
        <f t="shared" si="6"/>
        <v>0</v>
      </c>
      <c r="G561">
        <f t="shared" si="7"/>
        <v>0</v>
      </c>
    </row>
    <row r="562" spans="1:7" x14ac:dyDescent="0.2">
      <c r="A562" s="154" t="s">
        <v>150</v>
      </c>
      <c r="B562" s="95">
        <v>15</v>
      </c>
      <c r="E562" s="107">
        <f t="shared" si="5"/>
        <v>23.700000000000003</v>
      </c>
      <c r="F562">
        <f t="shared" si="6"/>
        <v>0</v>
      </c>
      <c r="G562">
        <f t="shared" si="7"/>
        <v>0</v>
      </c>
    </row>
    <row r="563" spans="1:7" x14ac:dyDescent="0.2">
      <c r="A563" s="154" t="s">
        <v>151</v>
      </c>
      <c r="B563" s="95">
        <v>6</v>
      </c>
      <c r="E563" s="107">
        <f t="shared" si="5"/>
        <v>9.48</v>
      </c>
      <c r="F563">
        <f t="shared" si="6"/>
        <v>0</v>
      </c>
      <c r="G563">
        <f t="shared" si="7"/>
        <v>0</v>
      </c>
    </row>
    <row r="564" spans="1:7" x14ac:dyDescent="0.2">
      <c r="A564" s="154" t="s">
        <v>2340</v>
      </c>
      <c r="B564" s="95"/>
      <c r="E564" s="107">
        <f t="shared" si="5"/>
        <v>0</v>
      </c>
      <c r="F564">
        <f t="shared" si="6"/>
        <v>0</v>
      </c>
      <c r="G564">
        <f t="shared" si="7"/>
        <v>0</v>
      </c>
    </row>
    <row r="565" spans="1:7" x14ac:dyDescent="0.2">
      <c r="A565" s="154" t="s">
        <v>81</v>
      </c>
      <c r="B565" s="95"/>
      <c r="E565">
        <f t="shared" ref="E565:E603" si="8">+$B$1</f>
        <v>1.58</v>
      </c>
      <c r="F565">
        <f t="shared" si="6"/>
        <v>0</v>
      </c>
      <c r="G565">
        <f t="shared" si="7"/>
        <v>0</v>
      </c>
    </row>
    <row r="566" spans="1:7" x14ac:dyDescent="0.2">
      <c r="A566" s="154" t="s">
        <v>2345</v>
      </c>
      <c r="B566" s="95"/>
      <c r="E566">
        <f t="shared" si="8"/>
        <v>1.58</v>
      </c>
      <c r="F566">
        <f t="shared" si="6"/>
        <v>0</v>
      </c>
      <c r="G566">
        <f t="shared" si="7"/>
        <v>0</v>
      </c>
    </row>
    <row r="567" spans="1:7" x14ac:dyDescent="0.2">
      <c r="B567" s="95"/>
      <c r="E567">
        <f t="shared" si="8"/>
        <v>1.58</v>
      </c>
      <c r="F567">
        <f t="shared" si="6"/>
        <v>0</v>
      </c>
      <c r="G567">
        <f t="shared" si="7"/>
        <v>0</v>
      </c>
    </row>
    <row r="568" spans="1:7" x14ac:dyDescent="0.2">
      <c r="B568" s="95"/>
      <c r="E568">
        <f t="shared" si="8"/>
        <v>1.58</v>
      </c>
      <c r="F568">
        <f t="shared" si="6"/>
        <v>0</v>
      </c>
      <c r="G568">
        <f t="shared" si="7"/>
        <v>0</v>
      </c>
    </row>
    <row r="569" spans="1:7" ht="13.8" x14ac:dyDescent="0.25">
      <c r="A569" s="767" t="s">
        <v>2346</v>
      </c>
      <c r="B569" s="95"/>
      <c r="E569">
        <f t="shared" si="8"/>
        <v>1.58</v>
      </c>
      <c r="F569">
        <f t="shared" si="6"/>
        <v>0</v>
      </c>
      <c r="G569">
        <f t="shared" si="7"/>
        <v>0</v>
      </c>
    </row>
    <row r="570" spans="1:7" x14ac:dyDescent="0.2">
      <c r="A570" t="s">
        <v>2338</v>
      </c>
      <c r="B570" s="95">
        <v>0</v>
      </c>
      <c r="C570">
        <f>604-486</f>
        <v>118</v>
      </c>
      <c r="E570" s="107">
        <f>+$B$1*B570</f>
        <v>0</v>
      </c>
      <c r="F570" s="94">
        <f t="shared" si="6"/>
        <v>52.038000000000004</v>
      </c>
      <c r="G570">
        <f t="shared" si="7"/>
        <v>0</v>
      </c>
    </row>
    <row r="571" spans="1:7" x14ac:dyDescent="0.2">
      <c r="A571" t="s">
        <v>273</v>
      </c>
      <c r="B571" s="95"/>
      <c r="E571">
        <f t="shared" si="8"/>
        <v>1.58</v>
      </c>
      <c r="F571">
        <f t="shared" si="6"/>
        <v>0</v>
      </c>
      <c r="G571">
        <f t="shared" si="7"/>
        <v>0</v>
      </c>
    </row>
    <row r="572" spans="1:7" x14ac:dyDescent="0.2">
      <c r="A572" t="s">
        <v>2339</v>
      </c>
      <c r="B572" s="95"/>
      <c r="C572">
        <v>-50</v>
      </c>
      <c r="E572">
        <f t="shared" si="8"/>
        <v>1.58</v>
      </c>
      <c r="F572">
        <f t="shared" si="6"/>
        <v>-22.05</v>
      </c>
      <c r="G572">
        <f t="shared" si="7"/>
        <v>0</v>
      </c>
    </row>
    <row r="573" spans="1:7" x14ac:dyDescent="0.2">
      <c r="A573" t="s">
        <v>2342</v>
      </c>
      <c r="B573" s="95">
        <v>12</v>
      </c>
      <c r="E573">
        <f t="shared" si="8"/>
        <v>1.58</v>
      </c>
      <c r="F573">
        <f t="shared" si="6"/>
        <v>0</v>
      </c>
      <c r="G573">
        <f t="shared" si="7"/>
        <v>0</v>
      </c>
    </row>
    <row r="574" spans="1:7" x14ac:dyDescent="0.2">
      <c r="E574">
        <f t="shared" si="8"/>
        <v>1.58</v>
      </c>
      <c r="F574">
        <f t="shared" si="6"/>
        <v>0</v>
      </c>
      <c r="G574">
        <f t="shared" si="7"/>
        <v>0</v>
      </c>
    </row>
    <row r="575" spans="1:7" x14ac:dyDescent="0.2">
      <c r="E575">
        <f t="shared" si="8"/>
        <v>1.58</v>
      </c>
      <c r="F575">
        <f t="shared" si="6"/>
        <v>0</v>
      </c>
      <c r="G575">
        <f t="shared" si="7"/>
        <v>0</v>
      </c>
    </row>
    <row r="576" spans="1:7" x14ac:dyDescent="0.2">
      <c r="B576" s="95"/>
      <c r="E576">
        <f t="shared" si="8"/>
        <v>1.58</v>
      </c>
      <c r="F576">
        <f t="shared" si="6"/>
        <v>0</v>
      </c>
      <c r="G576">
        <f t="shared" si="7"/>
        <v>0</v>
      </c>
    </row>
    <row r="577" spans="1:7" ht="13.8" x14ac:dyDescent="0.25">
      <c r="A577" s="767" t="s">
        <v>2347</v>
      </c>
      <c r="B577" s="95"/>
      <c r="E577">
        <f t="shared" si="8"/>
        <v>1.58</v>
      </c>
      <c r="F577">
        <f t="shared" si="6"/>
        <v>0</v>
      </c>
      <c r="G577">
        <f t="shared" si="7"/>
        <v>0</v>
      </c>
    </row>
    <row r="578" spans="1:7" x14ac:dyDescent="0.2">
      <c r="A578" t="s">
        <v>2343</v>
      </c>
      <c r="B578" s="95">
        <v>25</v>
      </c>
      <c r="E578">
        <f t="shared" si="8"/>
        <v>1.58</v>
      </c>
      <c r="F578">
        <f t="shared" si="6"/>
        <v>0</v>
      </c>
      <c r="G578">
        <f t="shared" si="7"/>
        <v>0</v>
      </c>
    </row>
    <row r="579" spans="1:7" x14ac:dyDescent="0.2">
      <c r="A579" t="s">
        <v>2344</v>
      </c>
      <c r="B579" s="95">
        <v>37</v>
      </c>
      <c r="E579">
        <f t="shared" si="8"/>
        <v>1.58</v>
      </c>
      <c r="F579">
        <f t="shared" si="6"/>
        <v>0</v>
      </c>
      <c r="G579">
        <f t="shared" si="7"/>
        <v>0</v>
      </c>
    </row>
    <row r="580" spans="1:7" x14ac:dyDescent="0.2">
      <c r="B580" s="95"/>
      <c r="E580">
        <f t="shared" si="8"/>
        <v>1.58</v>
      </c>
      <c r="F580">
        <f t="shared" si="6"/>
        <v>0</v>
      </c>
      <c r="G580">
        <f t="shared" si="7"/>
        <v>0</v>
      </c>
    </row>
    <row r="581" spans="1:7" x14ac:dyDescent="0.2">
      <c r="B581" s="95"/>
      <c r="E581">
        <f t="shared" si="8"/>
        <v>1.58</v>
      </c>
      <c r="F581">
        <f t="shared" si="6"/>
        <v>0</v>
      </c>
      <c r="G581">
        <f t="shared" si="7"/>
        <v>0</v>
      </c>
    </row>
    <row r="582" spans="1:7" x14ac:dyDescent="0.2">
      <c r="B582" s="95"/>
      <c r="E582">
        <f t="shared" si="8"/>
        <v>1.58</v>
      </c>
      <c r="F582">
        <f t="shared" si="6"/>
        <v>0</v>
      </c>
      <c r="G582">
        <f t="shared" si="7"/>
        <v>0</v>
      </c>
    </row>
    <row r="583" spans="1:7" x14ac:dyDescent="0.2">
      <c r="B583" s="95"/>
      <c r="E583">
        <f t="shared" si="8"/>
        <v>1.58</v>
      </c>
      <c r="F583">
        <f t="shared" si="6"/>
        <v>0</v>
      </c>
      <c r="G583">
        <f t="shared" si="7"/>
        <v>0</v>
      </c>
    </row>
    <row r="584" spans="1:7" x14ac:dyDescent="0.2">
      <c r="B584" s="95"/>
      <c r="E584">
        <f t="shared" si="8"/>
        <v>1.58</v>
      </c>
      <c r="F584">
        <f t="shared" si="6"/>
        <v>0</v>
      </c>
      <c r="G584">
        <f t="shared" si="7"/>
        <v>0</v>
      </c>
    </row>
    <row r="585" spans="1:7" x14ac:dyDescent="0.2">
      <c r="B585" s="95"/>
      <c r="E585">
        <f t="shared" si="8"/>
        <v>1.58</v>
      </c>
      <c r="F585">
        <f t="shared" si="6"/>
        <v>0</v>
      </c>
      <c r="G585">
        <f t="shared" si="7"/>
        <v>0</v>
      </c>
    </row>
    <row r="586" spans="1:7" x14ac:dyDescent="0.2">
      <c r="A586" s="538" t="s">
        <v>2348</v>
      </c>
      <c r="E586">
        <f t="shared" si="8"/>
        <v>1.58</v>
      </c>
      <c r="F586">
        <f t="shared" si="6"/>
        <v>0</v>
      </c>
      <c r="G586">
        <f t="shared" si="7"/>
        <v>0</v>
      </c>
    </row>
    <row r="587" spans="1:7" x14ac:dyDescent="0.2">
      <c r="B587" s="79"/>
      <c r="E587">
        <f t="shared" si="8"/>
        <v>1.58</v>
      </c>
      <c r="F587">
        <f t="shared" si="6"/>
        <v>0</v>
      </c>
      <c r="G587">
        <f t="shared" si="7"/>
        <v>0</v>
      </c>
    </row>
    <row r="588" spans="1:7" x14ac:dyDescent="0.2">
      <c r="B588" s="79"/>
      <c r="E588">
        <f t="shared" si="8"/>
        <v>1.58</v>
      </c>
      <c r="F588">
        <f t="shared" si="6"/>
        <v>0</v>
      </c>
      <c r="G588">
        <f t="shared" si="7"/>
        <v>0</v>
      </c>
    </row>
    <row r="589" spans="1:7" ht="28.95" customHeight="1" x14ac:dyDescent="0.2">
      <c r="A589" s="4008" t="s">
        <v>2349</v>
      </c>
      <c r="B589" s="4008"/>
      <c r="E589">
        <f t="shared" si="8"/>
        <v>1.58</v>
      </c>
      <c r="F589">
        <f t="shared" si="6"/>
        <v>0</v>
      </c>
      <c r="G589">
        <f t="shared" si="7"/>
        <v>0</v>
      </c>
    </row>
    <row r="590" spans="1:7" ht="13.8" x14ac:dyDescent="0.25">
      <c r="A590" s="3972" t="s">
        <v>25</v>
      </c>
      <c r="B590" s="3972"/>
      <c r="E590">
        <f t="shared" si="8"/>
        <v>1.58</v>
      </c>
      <c r="F590">
        <f t="shared" si="6"/>
        <v>0</v>
      </c>
      <c r="G590">
        <f t="shared" si="7"/>
        <v>0</v>
      </c>
    </row>
    <row r="591" spans="1:7" ht="13.8" x14ac:dyDescent="0.25">
      <c r="A591" s="821" t="s">
        <v>2324</v>
      </c>
      <c r="B591" s="772"/>
      <c r="E591">
        <f t="shared" si="8"/>
        <v>1.58</v>
      </c>
      <c r="F591">
        <f t="shared" si="6"/>
        <v>0</v>
      </c>
      <c r="G591">
        <f t="shared" si="7"/>
        <v>0</v>
      </c>
    </row>
    <row r="592" spans="1:7" x14ac:dyDescent="0.2">
      <c r="A592" t="s">
        <v>2325</v>
      </c>
      <c r="B592" s="770">
        <v>12</v>
      </c>
      <c r="C592">
        <v>49</v>
      </c>
      <c r="E592">
        <f t="shared" si="8"/>
        <v>1.58</v>
      </c>
      <c r="F592">
        <f t="shared" si="6"/>
        <v>21.609000000000002</v>
      </c>
      <c r="G592">
        <f t="shared" si="7"/>
        <v>0</v>
      </c>
    </row>
    <row r="593" spans="1:7" x14ac:dyDescent="0.2">
      <c r="A593" t="s">
        <v>274</v>
      </c>
      <c r="B593" s="770">
        <v>0</v>
      </c>
      <c r="E593">
        <f t="shared" si="8"/>
        <v>1.58</v>
      </c>
      <c r="F593">
        <f t="shared" si="6"/>
        <v>0</v>
      </c>
      <c r="G593">
        <f t="shared" si="7"/>
        <v>0</v>
      </c>
    </row>
    <row r="594" spans="1:7" x14ac:dyDescent="0.2">
      <c r="A594" t="s">
        <v>2326</v>
      </c>
      <c r="B594" s="770">
        <v>0</v>
      </c>
      <c r="E594">
        <f t="shared" si="8"/>
        <v>1.58</v>
      </c>
      <c r="F594">
        <f t="shared" si="6"/>
        <v>0</v>
      </c>
      <c r="G594">
        <f t="shared" si="7"/>
        <v>0</v>
      </c>
    </row>
    <row r="595" spans="1:7" x14ac:dyDescent="0.2">
      <c r="A595" t="s">
        <v>1270</v>
      </c>
      <c r="B595" s="95">
        <v>7</v>
      </c>
      <c r="E595">
        <f t="shared" si="8"/>
        <v>1.58</v>
      </c>
      <c r="F595">
        <f t="shared" si="6"/>
        <v>0</v>
      </c>
      <c r="G595">
        <f t="shared" si="7"/>
        <v>0</v>
      </c>
    </row>
    <row r="596" spans="1:7" x14ac:dyDescent="0.2">
      <c r="A596" t="s">
        <v>2327</v>
      </c>
      <c r="B596" s="95">
        <v>25</v>
      </c>
      <c r="E596">
        <f t="shared" si="8"/>
        <v>1.58</v>
      </c>
      <c r="F596">
        <f t="shared" si="6"/>
        <v>0</v>
      </c>
      <c r="G596">
        <f t="shared" si="7"/>
        <v>0</v>
      </c>
    </row>
    <row r="597" spans="1:7" x14ac:dyDescent="0.2">
      <c r="A597" t="s">
        <v>138</v>
      </c>
      <c r="B597" s="95">
        <v>32</v>
      </c>
      <c r="E597">
        <f t="shared" si="8"/>
        <v>1.58</v>
      </c>
      <c r="F597">
        <f t="shared" si="6"/>
        <v>0</v>
      </c>
      <c r="G597">
        <f t="shared" si="7"/>
        <v>0</v>
      </c>
    </row>
    <row r="598" spans="1:7" x14ac:dyDescent="0.2">
      <c r="A598" t="s">
        <v>2328</v>
      </c>
      <c r="B598" s="95">
        <v>38</v>
      </c>
      <c r="E598">
        <f t="shared" si="8"/>
        <v>1.58</v>
      </c>
      <c r="F598">
        <f t="shared" si="6"/>
        <v>0</v>
      </c>
      <c r="G598">
        <f t="shared" si="7"/>
        <v>0</v>
      </c>
    </row>
    <row r="599" spans="1:7" ht="13.8" x14ac:dyDescent="0.25">
      <c r="A599" s="767" t="s">
        <v>2329</v>
      </c>
      <c r="B599" s="95"/>
      <c r="E599">
        <f t="shared" si="8"/>
        <v>1.58</v>
      </c>
      <c r="F599">
        <f t="shared" si="6"/>
        <v>0</v>
      </c>
      <c r="G599">
        <f t="shared" si="7"/>
        <v>0</v>
      </c>
    </row>
    <row r="600" spans="1:7" x14ac:dyDescent="0.2">
      <c r="A600" t="s">
        <v>2330</v>
      </c>
      <c r="B600" s="95"/>
      <c r="E600">
        <f t="shared" si="8"/>
        <v>1.58</v>
      </c>
      <c r="F600">
        <f t="shared" si="6"/>
        <v>0</v>
      </c>
      <c r="G600">
        <f t="shared" si="7"/>
        <v>0</v>
      </c>
    </row>
    <row r="601" spans="1:7" x14ac:dyDescent="0.2">
      <c r="A601" t="s">
        <v>2332</v>
      </c>
      <c r="B601" s="95"/>
      <c r="E601">
        <f t="shared" si="8"/>
        <v>1.58</v>
      </c>
      <c r="F601">
        <f t="shared" si="6"/>
        <v>0</v>
      </c>
      <c r="G601">
        <f t="shared" si="7"/>
        <v>0</v>
      </c>
    </row>
    <row r="602" spans="1:7" x14ac:dyDescent="0.2">
      <c r="A602" t="s">
        <v>2334</v>
      </c>
      <c r="B602" s="95"/>
      <c r="E602">
        <f t="shared" si="8"/>
        <v>1.58</v>
      </c>
      <c r="F602">
        <f t="shared" si="6"/>
        <v>0</v>
      </c>
      <c r="G602">
        <f t="shared" si="7"/>
        <v>0</v>
      </c>
    </row>
    <row r="603" spans="1:7" x14ac:dyDescent="0.2">
      <c r="A603" t="s">
        <v>2336</v>
      </c>
      <c r="B603" s="95"/>
      <c r="E603">
        <f t="shared" si="8"/>
        <v>1.58</v>
      </c>
      <c r="F603">
        <f t="shared" si="6"/>
        <v>0</v>
      </c>
      <c r="G603">
        <f t="shared" si="7"/>
        <v>0</v>
      </c>
    </row>
    <row r="604" spans="1:7" x14ac:dyDescent="0.2">
      <c r="A604" t="s">
        <v>2337</v>
      </c>
      <c r="B604" s="95"/>
      <c r="E604">
        <f t="shared" ref="E604:E667" si="9">+$B$1</f>
        <v>1.58</v>
      </c>
      <c r="F604">
        <f t="shared" ref="F604:F667" si="10">+C604*$B$2</f>
        <v>0</v>
      </c>
      <c r="G604">
        <f t="shared" ref="G604:G667" si="11">+D604*$B$3</f>
        <v>0</v>
      </c>
    </row>
    <row r="605" spans="1:7" x14ac:dyDescent="0.2">
      <c r="B605" s="95"/>
      <c r="E605">
        <f t="shared" si="9"/>
        <v>1.58</v>
      </c>
      <c r="F605">
        <f t="shared" si="10"/>
        <v>0</v>
      </c>
      <c r="G605">
        <f t="shared" si="11"/>
        <v>0</v>
      </c>
    </row>
    <row r="606" spans="1:7" x14ac:dyDescent="0.2">
      <c r="B606" s="95"/>
      <c r="E606">
        <f t="shared" si="9"/>
        <v>1.58</v>
      </c>
      <c r="F606">
        <f t="shared" si="10"/>
        <v>0</v>
      </c>
      <c r="G606">
        <f t="shared" si="11"/>
        <v>0</v>
      </c>
    </row>
    <row r="607" spans="1:7" x14ac:dyDescent="0.2">
      <c r="B607" s="95"/>
      <c r="E607">
        <f t="shared" si="9"/>
        <v>1.58</v>
      </c>
      <c r="F607">
        <f t="shared" si="10"/>
        <v>0</v>
      </c>
      <c r="G607">
        <f t="shared" si="11"/>
        <v>0</v>
      </c>
    </row>
    <row r="608" spans="1:7" x14ac:dyDescent="0.2">
      <c r="B608" s="95"/>
      <c r="E608">
        <f t="shared" si="9"/>
        <v>1.58</v>
      </c>
      <c r="F608">
        <f t="shared" si="10"/>
        <v>0</v>
      </c>
      <c r="G608">
        <f t="shared" si="11"/>
        <v>0</v>
      </c>
    </row>
    <row r="609" spans="1:7" ht="13.8" x14ac:dyDescent="0.25">
      <c r="A609" s="767" t="s">
        <v>2341</v>
      </c>
      <c r="B609" s="95"/>
      <c r="E609">
        <f t="shared" si="9"/>
        <v>1.58</v>
      </c>
      <c r="F609">
        <f t="shared" si="10"/>
        <v>0</v>
      </c>
      <c r="G609">
        <f t="shared" si="11"/>
        <v>0</v>
      </c>
    </row>
    <row r="610" spans="1:7" x14ac:dyDescent="0.2">
      <c r="B610" s="95"/>
      <c r="E610">
        <f t="shared" si="9"/>
        <v>1.58</v>
      </c>
      <c r="F610">
        <f t="shared" si="10"/>
        <v>0</v>
      </c>
      <c r="G610">
        <f t="shared" si="11"/>
        <v>0</v>
      </c>
    </row>
    <row r="611" spans="1:7" x14ac:dyDescent="0.2">
      <c r="A611" t="s">
        <v>2333</v>
      </c>
      <c r="B611" s="95">
        <v>44</v>
      </c>
      <c r="E611">
        <f t="shared" si="9"/>
        <v>1.58</v>
      </c>
      <c r="F611">
        <f t="shared" si="10"/>
        <v>0</v>
      </c>
      <c r="G611">
        <f t="shared" si="11"/>
        <v>0</v>
      </c>
    </row>
    <row r="612" spans="1:7" x14ac:dyDescent="0.2">
      <c r="A612" t="s">
        <v>293</v>
      </c>
      <c r="B612" s="95">
        <v>30</v>
      </c>
      <c r="E612">
        <f t="shared" si="9"/>
        <v>1.58</v>
      </c>
      <c r="F612">
        <f t="shared" si="10"/>
        <v>0</v>
      </c>
      <c r="G612">
        <f t="shared" si="11"/>
        <v>0</v>
      </c>
    </row>
    <row r="613" spans="1:7" x14ac:dyDescent="0.2">
      <c r="A613" t="s">
        <v>2335</v>
      </c>
      <c r="B613" s="95">
        <v>6</v>
      </c>
      <c r="E613">
        <f t="shared" si="9"/>
        <v>1.58</v>
      </c>
      <c r="F613">
        <f t="shared" si="10"/>
        <v>0</v>
      </c>
      <c r="G613">
        <f t="shared" si="11"/>
        <v>0</v>
      </c>
    </row>
    <row r="614" spans="1:7" x14ac:dyDescent="0.2">
      <c r="A614" t="s">
        <v>150</v>
      </c>
      <c r="B614" s="95">
        <v>15</v>
      </c>
      <c r="E614">
        <f t="shared" si="9"/>
        <v>1.58</v>
      </c>
      <c r="F614">
        <f t="shared" si="10"/>
        <v>0</v>
      </c>
      <c r="G614">
        <f t="shared" si="11"/>
        <v>0</v>
      </c>
    </row>
    <row r="615" spans="1:7" x14ac:dyDescent="0.2">
      <c r="A615" t="s">
        <v>151</v>
      </c>
      <c r="B615" s="95">
        <v>6</v>
      </c>
      <c r="E615">
        <f t="shared" si="9"/>
        <v>1.58</v>
      </c>
      <c r="F615">
        <f t="shared" si="10"/>
        <v>0</v>
      </c>
      <c r="G615">
        <f t="shared" si="11"/>
        <v>0</v>
      </c>
    </row>
    <row r="616" spans="1:7" x14ac:dyDescent="0.2">
      <c r="A616" t="s">
        <v>2340</v>
      </c>
      <c r="B616" s="95"/>
      <c r="E616">
        <f t="shared" si="9"/>
        <v>1.58</v>
      </c>
      <c r="F616">
        <f t="shared" si="10"/>
        <v>0</v>
      </c>
      <c r="G616">
        <f t="shared" si="11"/>
        <v>0</v>
      </c>
    </row>
    <row r="617" spans="1:7" x14ac:dyDescent="0.2">
      <c r="A617" t="s">
        <v>81</v>
      </c>
      <c r="B617" s="95"/>
      <c r="E617">
        <f t="shared" si="9"/>
        <v>1.58</v>
      </c>
      <c r="F617">
        <f t="shared" si="10"/>
        <v>0</v>
      </c>
      <c r="G617">
        <f t="shared" si="11"/>
        <v>0</v>
      </c>
    </row>
    <row r="618" spans="1:7" x14ac:dyDescent="0.2">
      <c r="A618" t="s">
        <v>2345</v>
      </c>
      <c r="B618" s="95"/>
      <c r="E618">
        <f t="shared" si="9"/>
        <v>1.58</v>
      </c>
      <c r="F618">
        <f t="shared" si="10"/>
        <v>0</v>
      </c>
      <c r="G618">
        <f t="shared" si="11"/>
        <v>0</v>
      </c>
    </row>
    <row r="619" spans="1:7" x14ac:dyDescent="0.2">
      <c r="B619" s="95"/>
      <c r="E619">
        <f t="shared" si="9"/>
        <v>1.58</v>
      </c>
      <c r="F619">
        <f t="shared" si="10"/>
        <v>0</v>
      </c>
      <c r="G619">
        <f t="shared" si="11"/>
        <v>0</v>
      </c>
    </row>
    <row r="620" spans="1:7" x14ac:dyDescent="0.2">
      <c r="B620" s="95"/>
      <c r="E620">
        <f t="shared" si="9"/>
        <v>1.58</v>
      </c>
      <c r="F620">
        <f t="shared" si="10"/>
        <v>0</v>
      </c>
      <c r="G620">
        <f t="shared" si="11"/>
        <v>0</v>
      </c>
    </row>
    <row r="621" spans="1:7" x14ac:dyDescent="0.2">
      <c r="B621" s="95"/>
      <c r="E621">
        <f t="shared" si="9"/>
        <v>1.58</v>
      </c>
      <c r="F621">
        <f t="shared" si="10"/>
        <v>0</v>
      </c>
      <c r="G621">
        <f t="shared" si="11"/>
        <v>0</v>
      </c>
    </row>
    <row r="622" spans="1:7" ht="13.8" x14ac:dyDescent="0.25">
      <c r="A622" s="767" t="s">
        <v>2346</v>
      </c>
      <c r="B622" s="95"/>
      <c r="E622">
        <f t="shared" si="9"/>
        <v>1.58</v>
      </c>
      <c r="F622">
        <f t="shared" si="10"/>
        <v>0</v>
      </c>
      <c r="G622">
        <f t="shared" si="11"/>
        <v>0</v>
      </c>
    </row>
    <row r="623" spans="1:7" x14ac:dyDescent="0.2">
      <c r="A623" t="s">
        <v>2338</v>
      </c>
      <c r="B623" s="95"/>
      <c r="E623">
        <f t="shared" si="9"/>
        <v>1.58</v>
      </c>
      <c r="F623">
        <f t="shared" si="10"/>
        <v>0</v>
      </c>
      <c r="G623">
        <f t="shared" si="11"/>
        <v>0</v>
      </c>
    </row>
    <row r="624" spans="1:7" x14ac:dyDescent="0.2">
      <c r="A624" t="s">
        <v>273</v>
      </c>
      <c r="B624" s="95"/>
      <c r="E624">
        <f t="shared" si="9"/>
        <v>1.58</v>
      </c>
      <c r="F624">
        <f t="shared" si="10"/>
        <v>0</v>
      </c>
      <c r="G624">
        <f t="shared" si="11"/>
        <v>0</v>
      </c>
    </row>
    <row r="625" spans="1:7" x14ac:dyDescent="0.2">
      <c r="A625" t="s">
        <v>2350</v>
      </c>
      <c r="B625" s="95"/>
      <c r="E625">
        <f t="shared" si="9"/>
        <v>1.58</v>
      </c>
      <c r="F625">
        <f t="shared" si="10"/>
        <v>0</v>
      </c>
      <c r="G625">
        <f t="shared" si="11"/>
        <v>0</v>
      </c>
    </row>
    <row r="626" spans="1:7" x14ac:dyDescent="0.2">
      <c r="A626" t="s">
        <v>2339</v>
      </c>
      <c r="B626" s="95"/>
      <c r="E626">
        <f t="shared" si="9"/>
        <v>1.58</v>
      </c>
      <c r="F626">
        <f t="shared" si="10"/>
        <v>0</v>
      </c>
      <c r="G626">
        <f t="shared" si="11"/>
        <v>0</v>
      </c>
    </row>
    <row r="627" spans="1:7" x14ac:dyDescent="0.2">
      <c r="A627" t="s">
        <v>2342</v>
      </c>
      <c r="B627" s="95">
        <v>12</v>
      </c>
      <c r="E627">
        <f t="shared" si="9"/>
        <v>1.58</v>
      </c>
      <c r="F627">
        <f t="shared" si="10"/>
        <v>0</v>
      </c>
      <c r="G627">
        <f t="shared" si="11"/>
        <v>0</v>
      </c>
    </row>
    <row r="628" spans="1:7" x14ac:dyDescent="0.2">
      <c r="E628">
        <f t="shared" si="9"/>
        <v>1.58</v>
      </c>
      <c r="F628">
        <f t="shared" si="10"/>
        <v>0</v>
      </c>
      <c r="G628">
        <f t="shared" si="11"/>
        <v>0</v>
      </c>
    </row>
    <row r="629" spans="1:7" x14ac:dyDescent="0.2">
      <c r="E629">
        <f t="shared" si="9"/>
        <v>1.58</v>
      </c>
      <c r="F629">
        <f t="shared" si="10"/>
        <v>0</v>
      </c>
      <c r="G629">
        <f t="shared" si="11"/>
        <v>0</v>
      </c>
    </row>
    <row r="630" spans="1:7" x14ac:dyDescent="0.2">
      <c r="B630" s="95"/>
      <c r="E630">
        <f t="shared" si="9"/>
        <v>1.58</v>
      </c>
      <c r="F630">
        <f t="shared" si="10"/>
        <v>0</v>
      </c>
      <c r="G630">
        <f t="shared" si="11"/>
        <v>0</v>
      </c>
    </row>
    <row r="631" spans="1:7" ht="13.8" x14ac:dyDescent="0.25">
      <c r="A631" s="767" t="s">
        <v>2347</v>
      </c>
      <c r="B631" s="95"/>
      <c r="E631">
        <f t="shared" si="9"/>
        <v>1.58</v>
      </c>
      <c r="F631">
        <f t="shared" si="10"/>
        <v>0</v>
      </c>
      <c r="G631">
        <f t="shared" si="11"/>
        <v>0</v>
      </c>
    </row>
    <row r="632" spans="1:7" x14ac:dyDescent="0.2">
      <c r="B632" s="95"/>
      <c r="E632">
        <f t="shared" si="9"/>
        <v>1.58</v>
      </c>
      <c r="F632">
        <f t="shared" si="10"/>
        <v>0</v>
      </c>
      <c r="G632">
        <f t="shared" si="11"/>
        <v>0</v>
      </c>
    </row>
    <row r="633" spans="1:7" x14ac:dyDescent="0.2">
      <c r="B633" s="95"/>
      <c r="E633">
        <f t="shared" si="9"/>
        <v>1.58</v>
      </c>
      <c r="F633">
        <f t="shared" si="10"/>
        <v>0</v>
      </c>
      <c r="G633">
        <f t="shared" si="11"/>
        <v>0</v>
      </c>
    </row>
    <row r="634" spans="1:7" x14ac:dyDescent="0.2">
      <c r="B634" s="95"/>
      <c r="E634">
        <f t="shared" si="9"/>
        <v>1.58</v>
      </c>
      <c r="F634">
        <f t="shared" si="10"/>
        <v>0</v>
      </c>
      <c r="G634">
        <f t="shared" si="11"/>
        <v>0</v>
      </c>
    </row>
    <row r="635" spans="1:7" x14ac:dyDescent="0.2">
      <c r="A635" s="538" t="s">
        <v>2348</v>
      </c>
      <c r="E635">
        <f t="shared" si="9"/>
        <v>1.58</v>
      </c>
      <c r="F635">
        <f t="shared" si="10"/>
        <v>0</v>
      </c>
      <c r="G635">
        <f t="shared" si="11"/>
        <v>0</v>
      </c>
    </row>
    <row r="636" spans="1:7" x14ac:dyDescent="0.2">
      <c r="E636">
        <f t="shared" si="9"/>
        <v>1.58</v>
      </c>
      <c r="F636">
        <f t="shared" si="10"/>
        <v>0</v>
      </c>
      <c r="G636">
        <f t="shared" si="11"/>
        <v>0</v>
      </c>
    </row>
    <row r="637" spans="1:7" x14ac:dyDescent="0.2">
      <c r="E637">
        <f t="shared" si="9"/>
        <v>1.58</v>
      </c>
      <c r="F637">
        <f t="shared" si="10"/>
        <v>0</v>
      </c>
      <c r="G637">
        <f t="shared" si="11"/>
        <v>0</v>
      </c>
    </row>
    <row r="638" spans="1:7" x14ac:dyDescent="0.2">
      <c r="E638">
        <f t="shared" si="9"/>
        <v>1.58</v>
      </c>
      <c r="F638">
        <f t="shared" si="10"/>
        <v>0</v>
      </c>
      <c r="G638">
        <f t="shared" si="11"/>
        <v>0</v>
      </c>
    </row>
    <row r="639" spans="1:7" x14ac:dyDescent="0.2">
      <c r="E639">
        <f t="shared" si="9"/>
        <v>1.58</v>
      </c>
      <c r="F639">
        <f t="shared" si="10"/>
        <v>0</v>
      </c>
      <c r="G639">
        <f t="shared" si="11"/>
        <v>0</v>
      </c>
    </row>
    <row r="640" spans="1:7" x14ac:dyDescent="0.2">
      <c r="E640">
        <f t="shared" si="9"/>
        <v>1.58</v>
      </c>
      <c r="F640">
        <f t="shared" si="10"/>
        <v>0</v>
      </c>
      <c r="G640">
        <f t="shared" si="11"/>
        <v>0</v>
      </c>
    </row>
    <row r="641" spans="5:7" x14ac:dyDescent="0.2">
      <c r="E641">
        <f t="shared" si="9"/>
        <v>1.58</v>
      </c>
      <c r="F641">
        <f t="shared" si="10"/>
        <v>0</v>
      </c>
      <c r="G641">
        <f t="shared" si="11"/>
        <v>0</v>
      </c>
    </row>
    <row r="642" spans="5:7" x14ac:dyDescent="0.2">
      <c r="E642">
        <f t="shared" si="9"/>
        <v>1.58</v>
      </c>
      <c r="F642">
        <f t="shared" si="10"/>
        <v>0</v>
      </c>
      <c r="G642">
        <f t="shared" si="11"/>
        <v>0</v>
      </c>
    </row>
    <row r="643" spans="5:7" x14ac:dyDescent="0.2">
      <c r="E643">
        <f t="shared" si="9"/>
        <v>1.58</v>
      </c>
      <c r="F643">
        <f t="shared" si="10"/>
        <v>0</v>
      </c>
      <c r="G643">
        <f t="shared" si="11"/>
        <v>0</v>
      </c>
    </row>
    <row r="644" spans="5:7" x14ac:dyDescent="0.2">
      <c r="E644">
        <f t="shared" si="9"/>
        <v>1.58</v>
      </c>
      <c r="F644">
        <f t="shared" si="10"/>
        <v>0</v>
      </c>
      <c r="G644">
        <f t="shared" si="11"/>
        <v>0</v>
      </c>
    </row>
    <row r="645" spans="5:7" x14ac:dyDescent="0.2">
      <c r="E645">
        <f t="shared" si="9"/>
        <v>1.58</v>
      </c>
      <c r="F645">
        <f t="shared" si="10"/>
        <v>0</v>
      </c>
      <c r="G645">
        <f t="shared" si="11"/>
        <v>0</v>
      </c>
    </row>
    <row r="646" spans="5:7" x14ac:dyDescent="0.2">
      <c r="E646">
        <f t="shared" si="9"/>
        <v>1.58</v>
      </c>
      <c r="F646">
        <f t="shared" si="10"/>
        <v>0</v>
      </c>
      <c r="G646">
        <f t="shared" si="11"/>
        <v>0</v>
      </c>
    </row>
    <row r="647" spans="5:7" x14ac:dyDescent="0.2">
      <c r="E647">
        <f t="shared" si="9"/>
        <v>1.58</v>
      </c>
      <c r="F647">
        <f t="shared" si="10"/>
        <v>0</v>
      </c>
      <c r="G647">
        <f t="shared" si="11"/>
        <v>0</v>
      </c>
    </row>
    <row r="648" spans="5:7" x14ac:dyDescent="0.2">
      <c r="E648">
        <f t="shared" si="9"/>
        <v>1.58</v>
      </c>
      <c r="F648">
        <f t="shared" si="10"/>
        <v>0</v>
      </c>
      <c r="G648">
        <f t="shared" si="11"/>
        <v>0</v>
      </c>
    </row>
    <row r="649" spans="5:7" x14ac:dyDescent="0.2">
      <c r="E649">
        <f t="shared" si="9"/>
        <v>1.58</v>
      </c>
      <c r="F649">
        <f t="shared" si="10"/>
        <v>0</v>
      </c>
      <c r="G649">
        <f t="shared" si="11"/>
        <v>0</v>
      </c>
    </row>
    <row r="650" spans="5:7" x14ac:dyDescent="0.2">
      <c r="E650">
        <f t="shared" si="9"/>
        <v>1.58</v>
      </c>
      <c r="F650">
        <f t="shared" si="10"/>
        <v>0</v>
      </c>
      <c r="G650">
        <f t="shared" si="11"/>
        <v>0</v>
      </c>
    </row>
    <row r="651" spans="5:7" x14ac:dyDescent="0.2">
      <c r="E651">
        <f t="shared" si="9"/>
        <v>1.58</v>
      </c>
      <c r="F651">
        <f t="shared" si="10"/>
        <v>0</v>
      </c>
      <c r="G651">
        <f t="shared" si="11"/>
        <v>0</v>
      </c>
    </row>
    <row r="652" spans="5:7" x14ac:dyDescent="0.2">
      <c r="E652">
        <f t="shared" si="9"/>
        <v>1.58</v>
      </c>
      <c r="F652">
        <f t="shared" si="10"/>
        <v>0</v>
      </c>
      <c r="G652">
        <f t="shared" si="11"/>
        <v>0</v>
      </c>
    </row>
    <row r="653" spans="5:7" x14ac:dyDescent="0.2">
      <c r="E653">
        <f t="shared" si="9"/>
        <v>1.58</v>
      </c>
      <c r="F653">
        <f t="shared" si="10"/>
        <v>0</v>
      </c>
      <c r="G653">
        <f t="shared" si="11"/>
        <v>0</v>
      </c>
    </row>
    <row r="654" spans="5:7" x14ac:dyDescent="0.2">
      <c r="E654">
        <f t="shared" si="9"/>
        <v>1.58</v>
      </c>
      <c r="F654">
        <f t="shared" si="10"/>
        <v>0</v>
      </c>
      <c r="G654">
        <f t="shared" si="11"/>
        <v>0</v>
      </c>
    </row>
    <row r="655" spans="5:7" x14ac:dyDescent="0.2">
      <c r="E655">
        <f t="shared" si="9"/>
        <v>1.58</v>
      </c>
      <c r="F655">
        <f t="shared" si="10"/>
        <v>0</v>
      </c>
      <c r="G655">
        <f t="shared" si="11"/>
        <v>0</v>
      </c>
    </row>
    <row r="656" spans="5:7" x14ac:dyDescent="0.2">
      <c r="E656">
        <f t="shared" si="9"/>
        <v>1.58</v>
      </c>
      <c r="F656">
        <f t="shared" si="10"/>
        <v>0</v>
      </c>
      <c r="G656">
        <f t="shared" si="11"/>
        <v>0</v>
      </c>
    </row>
    <row r="657" spans="5:7" x14ac:dyDescent="0.2">
      <c r="E657">
        <f t="shared" si="9"/>
        <v>1.58</v>
      </c>
      <c r="F657">
        <f t="shared" si="10"/>
        <v>0</v>
      </c>
      <c r="G657">
        <f t="shared" si="11"/>
        <v>0</v>
      </c>
    </row>
    <row r="658" spans="5:7" x14ac:dyDescent="0.2">
      <c r="E658">
        <f t="shared" si="9"/>
        <v>1.58</v>
      </c>
      <c r="F658">
        <f t="shared" si="10"/>
        <v>0</v>
      </c>
      <c r="G658">
        <f t="shared" si="11"/>
        <v>0</v>
      </c>
    </row>
    <row r="659" spans="5:7" x14ac:dyDescent="0.2">
      <c r="E659">
        <f t="shared" si="9"/>
        <v>1.58</v>
      </c>
      <c r="F659">
        <f t="shared" si="10"/>
        <v>0</v>
      </c>
      <c r="G659">
        <f t="shared" si="11"/>
        <v>0</v>
      </c>
    </row>
    <row r="660" spans="5:7" x14ac:dyDescent="0.2">
      <c r="E660">
        <f t="shared" si="9"/>
        <v>1.58</v>
      </c>
      <c r="F660">
        <f t="shared" si="10"/>
        <v>0</v>
      </c>
      <c r="G660">
        <f t="shared" si="11"/>
        <v>0</v>
      </c>
    </row>
    <row r="661" spans="5:7" x14ac:dyDescent="0.2">
      <c r="E661">
        <f t="shared" si="9"/>
        <v>1.58</v>
      </c>
      <c r="F661">
        <f t="shared" si="10"/>
        <v>0</v>
      </c>
      <c r="G661">
        <f t="shared" si="11"/>
        <v>0</v>
      </c>
    </row>
    <row r="662" spans="5:7" x14ac:dyDescent="0.2">
      <c r="E662">
        <f t="shared" si="9"/>
        <v>1.58</v>
      </c>
      <c r="F662">
        <f t="shared" si="10"/>
        <v>0</v>
      </c>
      <c r="G662">
        <f t="shared" si="11"/>
        <v>0</v>
      </c>
    </row>
    <row r="663" spans="5:7" x14ac:dyDescent="0.2">
      <c r="E663">
        <f t="shared" si="9"/>
        <v>1.58</v>
      </c>
      <c r="F663">
        <f t="shared" si="10"/>
        <v>0</v>
      </c>
      <c r="G663">
        <f t="shared" si="11"/>
        <v>0</v>
      </c>
    </row>
    <row r="664" spans="5:7" x14ac:dyDescent="0.2">
      <c r="E664">
        <f t="shared" si="9"/>
        <v>1.58</v>
      </c>
      <c r="F664">
        <f t="shared" si="10"/>
        <v>0</v>
      </c>
      <c r="G664">
        <f t="shared" si="11"/>
        <v>0</v>
      </c>
    </row>
    <row r="665" spans="5:7" x14ac:dyDescent="0.2">
      <c r="E665">
        <f t="shared" si="9"/>
        <v>1.58</v>
      </c>
      <c r="F665">
        <f t="shared" si="10"/>
        <v>0</v>
      </c>
      <c r="G665">
        <f t="shared" si="11"/>
        <v>0</v>
      </c>
    </row>
    <row r="666" spans="5:7" x14ac:dyDescent="0.2">
      <c r="E666">
        <f t="shared" si="9"/>
        <v>1.58</v>
      </c>
      <c r="F666">
        <f t="shared" si="10"/>
        <v>0</v>
      </c>
      <c r="G666">
        <f t="shared" si="11"/>
        <v>0</v>
      </c>
    </row>
    <row r="667" spans="5:7" x14ac:dyDescent="0.2">
      <c r="E667">
        <f t="shared" si="9"/>
        <v>1.58</v>
      </c>
      <c r="F667">
        <f t="shared" si="10"/>
        <v>0</v>
      </c>
      <c r="G667">
        <f t="shared" si="11"/>
        <v>0</v>
      </c>
    </row>
    <row r="668" spans="5:7" x14ac:dyDescent="0.2">
      <c r="E668">
        <f t="shared" ref="E668:E692" si="12">+$B$1</f>
        <v>1.58</v>
      </c>
      <c r="F668">
        <f t="shared" ref="F668:F692" si="13">+C668*$B$2</f>
        <v>0</v>
      </c>
      <c r="G668">
        <f t="shared" ref="G668:G692" si="14">+D668*$B$3</f>
        <v>0</v>
      </c>
    </row>
    <row r="669" spans="5:7" x14ac:dyDescent="0.2">
      <c r="E669">
        <f t="shared" si="12"/>
        <v>1.58</v>
      </c>
      <c r="F669">
        <f t="shared" si="13"/>
        <v>0</v>
      </c>
      <c r="G669">
        <f t="shared" si="14"/>
        <v>0</v>
      </c>
    </row>
    <row r="670" spans="5:7" x14ac:dyDescent="0.2">
      <c r="E670">
        <f t="shared" si="12"/>
        <v>1.58</v>
      </c>
      <c r="F670">
        <f t="shared" si="13"/>
        <v>0</v>
      </c>
      <c r="G670">
        <f t="shared" si="14"/>
        <v>0</v>
      </c>
    </row>
    <row r="671" spans="5:7" x14ac:dyDescent="0.2">
      <c r="E671">
        <f t="shared" si="12"/>
        <v>1.58</v>
      </c>
      <c r="F671">
        <f t="shared" si="13"/>
        <v>0</v>
      </c>
      <c r="G671">
        <f t="shared" si="14"/>
        <v>0</v>
      </c>
    </row>
    <row r="672" spans="5:7" x14ac:dyDescent="0.2">
      <c r="E672">
        <f t="shared" si="12"/>
        <v>1.58</v>
      </c>
      <c r="F672">
        <f t="shared" si="13"/>
        <v>0</v>
      </c>
      <c r="G672">
        <f t="shared" si="14"/>
        <v>0</v>
      </c>
    </row>
    <row r="673" spans="5:7" x14ac:dyDescent="0.2">
      <c r="E673">
        <f t="shared" si="12"/>
        <v>1.58</v>
      </c>
      <c r="F673">
        <f t="shared" si="13"/>
        <v>0</v>
      </c>
      <c r="G673">
        <f t="shared" si="14"/>
        <v>0</v>
      </c>
    </row>
    <row r="674" spans="5:7" x14ac:dyDescent="0.2">
      <c r="E674">
        <f t="shared" si="12"/>
        <v>1.58</v>
      </c>
      <c r="F674">
        <f t="shared" si="13"/>
        <v>0</v>
      </c>
      <c r="G674">
        <f t="shared" si="14"/>
        <v>0</v>
      </c>
    </row>
    <row r="675" spans="5:7" x14ac:dyDescent="0.2">
      <c r="E675">
        <f t="shared" si="12"/>
        <v>1.58</v>
      </c>
      <c r="F675">
        <f t="shared" si="13"/>
        <v>0</v>
      </c>
      <c r="G675">
        <f t="shared" si="14"/>
        <v>0</v>
      </c>
    </row>
    <row r="676" spans="5:7" x14ac:dyDescent="0.2">
      <c r="E676">
        <f t="shared" si="12"/>
        <v>1.58</v>
      </c>
      <c r="F676">
        <f t="shared" si="13"/>
        <v>0</v>
      </c>
      <c r="G676">
        <f t="shared" si="14"/>
        <v>0</v>
      </c>
    </row>
    <row r="677" spans="5:7" x14ac:dyDescent="0.2">
      <c r="E677">
        <f t="shared" si="12"/>
        <v>1.58</v>
      </c>
      <c r="F677">
        <f t="shared" si="13"/>
        <v>0</v>
      </c>
      <c r="G677">
        <f t="shared" si="14"/>
        <v>0</v>
      </c>
    </row>
    <row r="678" spans="5:7" x14ac:dyDescent="0.2">
      <c r="E678">
        <f t="shared" si="12"/>
        <v>1.58</v>
      </c>
      <c r="F678">
        <f t="shared" si="13"/>
        <v>0</v>
      </c>
      <c r="G678">
        <f t="shared" si="14"/>
        <v>0</v>
      </c>
    </row>
    <row r="679" spans="5:7" x14ac:dyDescent="0.2">
      <c r="E679">
        <f t="shared" si="12"/>
        <v>1.58</v>
      </c>
      <c r="F679">
        <f t="shared" si="13"/>
        <v>0</v>
      </c>
      <c r="G679">
        <f t="shared" si="14"/>
        <v>0</v>
      </c>
    </row>
    <row r="680" spans="5:7" x14ac:dyDescent="0.2">
      <c r="E680">
        <f t="shared" si="12"/>
        <v>1.58</v>
      </c>
      <c r="F680">
        <f t="shared" si="13"/>
        <v>0</v>
      </c>
      <c r="G680">
        <f t="shared" si="14"/>
        <v>0</v>
      </c>
    </row>
    <row r="681" spans="5:7" x14ac:dyDescent="0.2">
      <c r="E681">
        <f t="shared" si="12"/>
        <v>1.58</v>
      </c>
      <c r="F681">
        <f t="shared" si="13"/>
        <v>0</v>
      </c>
      <c r="G681">
        <f t="shared" si="14"/>
        <v>0</v>
      </c>
    </row>
    <row r="682" spans="5:7" x14ac:dyDescent="0.2">
      <c r="E682">
        <f t="shared" si="12"/>
        <v>1.58</v>
      </c>
      <c r="F682">
        <f t="shared" si="13"/>
        <v>0</v>
      </c>
      <c r="G682">
        <f t="shared" si="14"/>
        <v>0</v>
      </c>
    </row>
    <row r="683" spans="5:7" x14ac:dyDescent="0.2">
      <c r="E683">
        <f t="shared" si="12"/>
        <v>1.58</v>
      </c>
      <c r="F683">
        <f t="shared" si="13"/>
        <v>0</v>
      </c>
      <c r="G683">
        <f t="shared" si="14"/>
        <v>0</v>
      </c>
    </row>
    <row r="684" spans="5:7" x14ac:dyDescent="0.2">
      <c r="E684">
        <f t="shared" si="12"/>
        <v>1.58</v>
      </c>
      <c r="F684">
        <f t="shared" si="13"/>
        <v>0</v>
      </c>
      <c r="G684">
        <f t="shared" si="14"/>
        <v>0</v>
      </c>
    </row>
    <row r="685" spans="5:7" x14ac:dyDescent="0.2">
      <c r="E685">
        <f t="shared" si="12"/>
        <v>1.58</v>
      </c>
      <c r="F685">
        <f t="shared" si="13"/>
        <v>0</v>
      </c>
      <c r="G685">
        <f t="shared" si="14"/>
        <v>0</v>
      </c>
    </row>
    <row r="686" spans="5:7" x14ac:dyDescent="0.2">
      <c r="E686">
        <f t="shared" si="12"/>
        <v>1.58</v>
      </c>
      <c r="F686">
        <f t="shared" si="13"/>
        <v>0</v>
      </c>
      <c r="G686">
        <f t="shared" si="14"/>
        <v>0</v>
      </c>
    </row>
    <row r="687" spans="5:7" x14ac:dyDescent="0.2">
      <c r="E687">
        <f t="shared" si="12"/>
        <v>1.58</v>
      </c>
      <c r="F687">
        <f t="shared" si="13"/>
        <v>0</v>
      </c>
      <c r="G687">
        <f t="shared" si="14"/>
        <v>0</v>
      </c>
    </row>
    <row r="688" spans="5:7" x14ac:dyDescent="0.2">
      <c r="E688">
        <f t="shared" si="12"/>
        <v>1.58</v>
      </c>
      <c r="F688">
        <f t="shared" si="13"/>
        <v>0</v>
      </c>
      <c r="G688">
        <f t="shared" si="14"/>
        <v>0</v>
      </c>
    </row>
    <row r="689" spans="5:7" x14ac:dyDescent="0.2">
      <c r="E689">
        <f t="shared" si="12"/>
        <v>1.58</v>
      </c>
      <c r="F689">
        <f t="shared" si="13"/>
        <v>0</v>
      </c>
      <c r="G689">
        <f t="shared" si="14"/>
        <v>0</v>
      </c>
    </row>
    <row r="690" spans="5:7" x14ac:dyDescent="0.2">
      <c r="E690">
        <f t="shared" si="12"/>
        <v>1.58</v>
      </c>
      <c r="F690">
        <f t="shared" si="13"/>
        <v>0</v>
      </c>
      <c r="G690">
        <f t="shared" si="14"/>
        <v>0</v>
      </c>
    </row>
    <row r="691" spans="5:7" x14ac:dyDescent="0.2">
      <c r="E691">
        <f t="shared" si="12"/>
        <v>1.58</v>
      </c>
      <c r="F691">
        <f t="shared" si="13"/>
        <v>0</v>
      </c>
      <c r="G691">
        <f t="shared" si="14"/>
        <v>0</v>
      </c>
    </row>
    <row r="692" spans="5:7" x14ac:dyDescent="0.2">
      <c r="E692">
        <f t="shared" si="12"/>
        <v>1.58</v>
      </c>
      <c r="F692">
        <f t="shared" si="13"/>
        <v>0</v>
      </c>
      <c r="G692">
        <f t="shared" si="14"/>
        <v>0</v>
      </c>
    </row>
  </sheetData>
  <mergeCells count="68">
    <mergeCell ref="S2:U2"/>
    <mergeCell ref="D2:F2"/>
    <mergeCell ref="G2:I2"/>
    <mergeCell ref="J2:L2"/>
    <mergeCell ref="M2:O2"/>
    <mergeCell ref="P2:R2"/>
    <mergeCell ref="BC2:BE2"/>
    <mergeCell ref="V2:X2"/>
    <mergeCell ref="Y2:AA2"/>
    <mergeCell ref="AB2:AD2"/>
    <mergeCell ref="AE2:AG2"/>
    <mergeCell ref="AH2:AJ2"/>
    <mergeCell ref="AK2:AM2"/>
    <mergeCell ref="AN2:AP2"/>
    <mergeCell ref="AQ2:AS2"/>
    <mergeCell ref="AT2:AV2"/>
    <mergeCell ref="AW2:AY2"/>
    <mergeCell ref="AZ2:BB2"/>
    <mergeCell ref="CM2:CO2"/>
    <mergeCell ref="BF2:BH2"/>
    <mergeCell ref="BI2:BK2"/>
    <mergeCell ref="BL2:BN2"/>
    <mergeCell ref="BO2:BQ2"/>
    <mergeCell ref="BR2:BT2"/>
    <mergeCell ref="BU2:BW2"/>
    <mergeCell ref="BX2:BZ2"/>
    <mergeCell ref="CA2:CC2"/>
    <mergeCell ref="CD2:CF2"/>
    <mergeCell ref="CG2:CI2"/>
    <mergeCell ref="CJ2:CL2"/>
    <mergeCell ref="DW2:DY2"/>
    <mergeCell ref="CP2:CR2"/>
    <mergeCell ref="CS2:CU2"/>
    <mergeCell ref="CV2:CX2"/>
    <mergeCell ref="CY2:DA2"/>
    <mergeCell ref="DB2:DD2"/>
    <mergeCell ref="DE2:DG2"/>
    <mergeCell ref="DH2:DJ2"/>
    <mergeCell ref="DK2:DM2"/>
    <mergeCell ref="DN2:DP2"/>
    <mergeCell ref="DQ2:DS2"/>
    <mergeCell ref="DT2:DV2"/>
    <mergeCell ref="EY2:FA2"/>
    <mergeCell ref="FB2:FD2"/>
    <mergeCell ref="FE2:FG2"/>
    <mergeCell ref="FH2:FJ2"/>
    <mergeCell ref="DZ2:EB2"/>
    <mergeCell ref="EC2:EE2"/>
    <mergeCell ref="EF2:EH2"/>
    <mergeCell ref="EI2:EK2"/>
    <mergeCell ref="EL2:EN2"/>
    <mergeCell ref="EP2:ER2"/>
    <mergeCell ref="A590:B590"/>
    <mergeCell ref="A4:B4"/>
    <mergeCell ref="GC2:GE2"/>
    <mergeCell ref="A5:B5"/>
    <mergeCell ref="A6:B6"/>
    <mergeCell ref="A7:B7"/>
    <mergeCell ref="A31:A34"/>
    <mergeCell ref="A589:B589"/>
    <mergeCell ref="FK2:FM2"/>
    <mergeCell ref="FN2:FP2"/>
    <mergeCell ref="FQ2:FS2"/>
    <mergeCell ref="FT2:FV2"/>
    <mergeCell ref="FW2:FY2"/>
    <mergeCell ref="FZ2:GB2"/>
    <mergeCell ref="ES2:EU2"/>
    <mergeCell ref="EV2:EX2"/>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9535-D15C-478F-8AA2-C3B01BCF40CF}">
  <sheetPr>
    <tabColor theme="4"/>
  </sheetPr>
  <dimension ref="A1:AE52"/>
  <sheetViews>
    <sheetView workbookViewId="0">
      <selection activeCell="N17" sqref="N17"/>
    </sheetView>
  </sheetViews>
  <sheetFormatPr defaultRowHeight="14.4" x14ac:dyDescent="0.3"/>
  <cols>
    <col min="1" max="1" width="4.90625" customWidth="1"/>
    <col min="2" max="2" width="5.26953125" customWidth="1"/>
    <col min="3" max="3" width="7.36328125" customWidth="1"/>
    <col min="4" max="4" width="4.08984375" bestFit="1" customWidth="1"/>
    <col min="5" max="5" width="4.08984375" customWidth="1"/>
    <col min="6" max="6" width="7.453125" bestFit="1" customWidth="1"/>
    <col min="7" max="7" width="7.08984375" bestFit="1" customWidth="1"/>
    <col min="8" max="8" width="6.6328125" customWidth="1"/>
    <col min="9" max="9" width="5.08984375" customWidth="1"/>
    <col min="10" max="11" width="5.453125" customWidth="1"/>
    <col min="12" max="12" width="5.90625" customWidth="1"/>
    <col min="13" max="13" width="6.36328125" customWidth="1"/>
    <col min="14" max="14" width="6.90625" bestFit="1" customWidth="1"/>
    <col min="15" max="15" width="6.08984375" bestFit="1" customWidth="1"/>
    <col min="16" max="16" width="5.453125" customWidth="1"/>
    <col min="17" max="17" width="6.453125" customWidth="1"/>
    <col min="18" max="18" width="5.90625" customWidth="1"/>
    <col min="19" max="21" width="6.90625" customWidth="1"/>
    <col min="22" max="26" width="8.7265625" customWidth="1"/>
    <col min="27" max="27" width="33.6328125" customWidth="1"/>
    <col min="29" max="29" width="4.90625" style="263" bestFit="1" customWidth="1"/>
    <col min="30" max="31" width="4.90625" style="120" customWidth="1"/>
    <col min="32" max="34" width="1.90625" customWidth="1"/>
  </cols>
  <sheetData>
    <row r="1" spans="1:29" ht="15" customHeight="1" x14ac:dyDescent="0.3">
      <c r="A1" s="4125" t="s">
        <v>432</v>
      </c>
      <c r="B1" s="4125"/>
      <c r="C1" s="4125"/>
      <c r="D1" s="4125"/>
      <c r="E1" s="4125"/>
      <c r="F1" s="4125"/>
      <c r="G1" s="4125"/>
      <c r="H1" s="4125"/>
      <c r="I1" s="4125"/>
      <c r="J1" s="4125"/>
      <c r="K1" s="4125"/>
      <c r="L1" s="262" t="s">
        <v>433</v>
      </c>
      <c r="M1" s="262"/>
      <c r="N1" s="262"/>
      <c r="O1" s="4126" t="s">
        <v>434</v>
      </c>
      <c r="P1" s="4126"/>
      <c r="Q1" s="4126"/>
      <c r="R1" s="4126"/>
      <c r="S1" s="4126"/>
      <c r="T1" s="4126"/>
      <c r="U1" s="4126"/>
      <c r="V1" s="4126"/>
      <c r="W1" s="4126"/>
      <c r="X1" s="4126"/>
      <c r="Y1" s="4126"/>
      <c r="Z1" s="4126"/>
      <c r="AA1" s="4126"/>
      <c r="AB1" s="4126"/>
    </row>
    <row r="2" spans="1:29" ht="15" customHeight="1" x14ac:dyDescent="0.3">
      <c r="A2" s="4125"/>
      <c r="B2" s="4125"/>
      <c r="C2" s="4125"/>
      <c r="D2" s="4125"/>
      <c r="E2" s="4125"/>
      <c r="F2" s="4125"/>
      <c r="G2" s="4125"/>
      <c r="H2" s="4125"/>
      <c r="I2" s="4125"/>
      <c r="J2" s="4125"/>
      <c r="K2" s="4125"/>
      <c r="L2" s="262" t="s">
        <v>435</v>
      </c>
      <c r="M2" s="262"/>
      <c r="N2" s="264"/>
      <c r="O2" s="4126"/>
      <c r="P2" s="4126"/>
      <c r="Q2" s="4126"/>
      <c r="R2" s="4126"/>
      <c r="S2" s="4126"/>
      <c r="T2" s="4126"/>
      <c r="U2" s="4126"/>
      <c r="V2" s="4126"/>
      <c r="W2" s="4126"/>
      <c r="X2" s="4126"/>
      <c r="Y2" s="4126"/>
      <c r="Z2" s="4126"/>
      <c r="AA2" s="4126"/>
      <c r="AB2" s="4126"/>
    </row>
    <row r="3" spans="1:29" x14ac:dyDescent="0.3">
      <c r="A3" s="262"/>
      <c r="B3" s="262"/>
      <c r="C3" s="262"/>
      <c r="D3" s="262"/>
      <c r="E3" s="262"/>
      <c r="F3" s="262"/>
      <c r="G3" s="262"/>
      <c r="H3" s="262"/>
      <c r="I3" s="262"/>
      <c r="J3" s="262"/>
      <c r="K3" s="262"/>
      <c r="L3" s="262"/>
      <c r="M3" s="262"/>
      <c r="N3" s="262"/>
      <c r="O3" s="262"/>
      <c r="P3" s="262"/>
      <c r="Q3" s="262"/>
      <c r="R3" s="262"/>
      <c r="S3" s="262"/>
      <c r="T3" s="262"/>
      <c r="U3" s="262"/>
      <c r="V3" s="262"/>
      <c r="W3" s="262"/>
      <c r="X3" s="262"/>
      <c r="Y3" s="262"/>
      <c r="Z3" s="262"/>
      <c r="AA3" s="265" t="s">
        <v>436</v>
      </c>
      <c r="AB3" s="266" t="s">
        <v>437</v>
      </c>
    </row>
    <row r="4" spans="1:29" x14ac:dyDescent="0.3">
      <c r="A4" s="267"/>
      <c r="B4" s="267"/>
      <c r="C4" s="268" t="s">
        <v>438</v>
      </c>
      <c r="D4" s="4127"/>
      <c r="E4" s="4127"/>
      <c r="F4" s="4127"/>
      <c r="G4" s="4127"/>
      <c r="H4" s="4127"/>
      <c r="I4" s="4127"/>
      <c r="J4" s="4127"/>
      <c r="K4" s="4127"/>
      <c r="L4" s="4128"/>
      <c r="M4" s="268" t="s">
        <v>439</v>
      </c>
      <c r="N4" s="4129"/>
      <c r="O4" s="4129"/>
      <c r="P4" s="4129"/>
      <c r="Q4" s="4129"/>
      <c r="R4" s="4129"/>
      <c r="S4" s="4129"/>
      <c r="T4" s="4129"/>
      <c r="U4" s="4129"/>
      <c r="V4" s="4129"/>
      <c r="W4" s="4130"/>
      <c r="X4" s="267"/>
      <c r="Y4" s="267"/>
      <c r="Z4" s="267"/>
      <c r="AA4" s="269" t="s">
        <v>440</v>
      </c>
      <c r="AB4" s="270"/>
    </row>
    <row r="5" spans="1:29" x14ac:dyDescent="0.3">
      <c r="A5" s="267"/>
      <c r="B5" s="267"/>
      <c r="C5" s="271"/>
      <c r="D5" s="4131"/>
      <c r="E5" s="4131"/>
      <c r="F5" s="4131"/>
      <c r="G5" s="4131"/>
      <c r="H5" s="4131"/>
      <c r="I5" s="4131"/>
      <c r="J5" s="4131"/>
      <c r="K5" s="4131"/>
      <c r="L5" s="4132"/>
      <c r="M5" s="271"/>
      <c r="N5" s="4133" t="s">
        <v>441</v>
      </c>
      <c r="O5" s="4133"/>
      <c r="P5" s="4133"/>
      <c r="Q5" s="4133"/>
      <c r="R5" s="4133"/>
      <c r="S5" s="4133"/>
      <c r="T5" s="4133"/>
      <c r="U5" s="4133"/>
      <c r="V5" s="4133"/>
      <c r="W5" s="4134"/>
      <c r="X5" s="267"/>
      <c r="Y5" s="267"/>
      <c r="Z5" s="267"/>
      <c r="AA5" s="272" t="s">
        <v>442</v>
      </c>
      <c r="AB5" s="273" t="s">
        <v>443</v>
      </c>
    </row>
    <row r="6" spans="1:29" x14ac:dyDescent="0.3">
      <c r="A6" s="267"/>
      <c r="B6" s="267"/>
      <c r="C6" s="271"/>
      <c r="D6" s="4131"/>
      <c r="E6" s="4131"/>
      <c r="F6" s="4131"/>
      <c r="G6" s="4131"/>
      <c r="H6" s="4131"/>
      <c r="I6" s="4131"/>
      <c r="J6" s="4131"/>
      <c r="K6" s="4131"/>
      <c r="L6" s="4132"/>
      <c r="M6" s="271"/>
      <c r="N6" s="4133"/>
      <c r="O6" s="4133"/>
      <c r="P6" s="4133"/>
      <c r="Q6" s="4133"/>
      <c r="R6" s="4133"/>
      <c r="S6" s="4133"/>
      <c r="T6" s="4133"/>
      <c r="U6" s="4133"/>
      <c r="V6" s="4133"/>
      <c r="W6" s="4134"/>
      <c r="X6" s="267"/>
      <c r="Y6" s="267"/>
      <c r="Z6" s="267"/>
      <c r="AA6" s="274"/>
      <c r="AB6" s="275"/>
    </row>
    <row r="7" spans="1:29" x14ac:dyDescent="0.3">
      <c r="A7" s="267"/>
      <c r="B7" s="267"/>
      <c r="C7" s="276"/>
      <c r="D7" s="4135"/>
      <c r="E7" s="4135"/>
      <c r="F7" s="4135"/>
      <c r="G7" s="4135"/>
      <c r="H7" s="4135"/>
      <c r="I7" s="4135"/>
      <c r="J7" s="4135"/>
      <c r="K7" s="4135"/>
      <c r="L7" s="4136"/>
      <c r="M7" s="276"/>
      <c r="N7" s="4137"/>
      <c r="O7" s="4137"/>
      <c r="P7" s="4137"/>
      <c r="Q7" s="4137"/>
      <c r="R7" s="4137"/>
      <c r="S7" s="4137"/>
      <c r="T7" s="4137"/>
      <c r="U7" s="4137"/>
      <c r="V7" s="4137"/>
      <c r="W7" s="4138"/>
      <c r="X7" s="267"/>
      <c r="Y7" s="267"/>
      <c r="Z7" s="267"/>
      <c r="AA7" s="272" t="s">
        <v>444</v>
      </c>
      <c r="AB7" s="267"/>
    </row>
    <row r="8" spans="1:29" x14ac:dyDescent="0.3">
      <c r="A8" s="267"/>
      <c r="B8" s="4139" t="s">
        <v>445</v>
      </c>
      <c r="C8" s="4139"/>
      <c r="D8" s="4139"/>
      <c r="E8" s="4139"/>
      <c r="F8" s="4139"/>
      <c r="G8" s="4140"/>
      <c r="H8" s="4140"/>
      <c r="I8" s="4140"/>
      <c r="J8" s="4140"/>
      <c r="K8" s="4140"/>
      <c r="L8" s="4140"/>
      <c r="M8" s="4140"/>
      <c r="N8" s="4140"/>
      <c r="O8" s="4142" t="s">
        <v>446</v>
      </c>
      <c r="P8" s="4143"/>
      <c r="Q8" s="4144" t="s">
        <v>447</v>
      </c>
      <c r="R8" s="4144"/>
      <c r="S8" s="4144"/>
      <c r="T8" s="4144"/>
      <c r="U8" s="277" t="s">
        <v>448</v>
      </c>
      <c r="V8" s="4146" t="s">
        <v>449</v>
      </c>
      <c r="W8" s="4146"/>
      <c r="X8" s="267"/>
      <c r="Y8" s="267"/>
      <c r="Z8" s="267"/>
      <c r="AA8" s="274"/>
      <c r="AB8" s="267"/>
    </row>
    <row r="9" spans="1:29" x14ac:dyDescent="0.3">
      <c r="A9" s="267"/>
      <c r="B9" s="4139" t="s">
        <v>450</v>
      </c>
      <c r="C9" s="4139"/>
      <c r="D9" s="4139"/>
      <c r="E9" s="4139"/>
      <c r="F9" s="4139"/>
      <c r="G9" s="4141"/>
      <c r="H9" s="4141"/>
      <c r="I9" s="4141"/>
      <c r="J9" s="4141"/>
      <c r="K9" s="4141"/>
      <c r="L9" s="4141"/>
      <c r="M9" s="4141"/>
      <c r="N9" s="4141"/>
      <c r="O9" s="267"/>
      <c r="P9" s="267"/>
      <c r="Q9" s="4145"/>
      <c r="R9" s="4145"/>
      <c r="S9" s="4145"/>
      <c r="T9" s="4145"/>
      <c r="U9" s="267"/>
      <c r="V9" s="267"/>
      <c r="W9" s="267"/>
      <c r="X9" s="267"/>
      <c r="Y9" s="267"/>
      <c r="Z9" s="267"/>
      <c r="AA9" s="272" t="s">
        <v>451</v>
      </c>
      <c r="AB9" s="267"/>
    </row>
    <row r="10" spans="1:29" x14ac:dyDescent="0.3">
      <c r="A10" s="267"/>
      <c r="B10" s="278"/>
      <c r="C10" s="278"/>
      <c r="D10" s="278"/>
      <c r="E10" s="278"/>
      <c r="F10" s="278"/>
      <c r="G10" s="278"/>
      <c r="H10" s="278"/>
      <c r="I10" s="278"/>
      <c r="J10" s="278"/>
      <c r="K10" s="278"/>
      <c r="L10" s="278"/>
      <c r="M10" s="278"/>
      <c r="N10" s="278"/>
      <c r="O10" s="278"/>
      <c r="P10" s="278"/>
      <c r="Q10" s="278"/>
      <c r="R10" s="278"/>
      <c r="S10" s="279"/>
      <c r="T10" s="279"/>
      <c r="U10" s="279"/>
      <c r="V10" s="279"/>
      <c r="W10" s="279"/>
      <c r="X10" s="279"/>
      <c r="Y10" s="279"/>
      <c r="Z10" s="279"/>
      <c r="AA10" s="280"/>
      <c r="AB10" s="281"/>
    </row>
    <row r="11" spans="1:29" ht="15.75" customHeight="1" x14ac:dyDescent="0.3">
      <c r="A11" s="267"/>
      <c r="B11" s="4114" t="s">
        <v>452</v>
      </c>
      <c r="C11" s="4116" t="s">
        <v>453</v>
      </c>
      <c r="D11" s="4117"/>
      <c r="E11" s="4117"/>
      <c r="F11" s="4117"/>
      <c r="G11" s="4117"/>
      <c r="H11" s="4117"/>
      <c r="I11" s="4117"/>
      <c r="J11" s="4117"/>
      <c r="K11" s="4117"/>
      <c r="L11" s="4117"/>
      <c r="M11" s="4117"/>
      <c r="N11" s="4117"/>
      <c r="O11" s="4117"/>
      <c r="P11" s="4117"/>
      <c r="Q11" s="4117"/>
      <c r="R11" s="4117"/>
      <c r="S11" s="4117"/>
      <c r="T11" s="4117"/>
      <c r="U11" s="4117"/>
      <c r="V11" s="4117"/>
      <c r="W11" s="4118"/>
      <c r="X11" s="267"/>
      <c r="Y11" s="267"/>
      <c r="Z11" s="267"/>
      <c r="AA11" s="267"/>
      <c r="AB11" s="267"/>
    </row>
    <row r="12" spans="1:29" ht="15.75" customHeight="1" x14ac:dyDescent="0.3">
      <c r="A12" s="267"/>
      <c r="B12" s="4115"/>
      <c r="C12" s="4119"/>
      <c r="D12" s="4120"/>
      <c r="E12" s="4120"/>
      <c r="F12" s="4120"/>
      <c r="G12" s="4120"/>
      <c r="H12" s="4120"/>
      <c r="I12" s="4120"/>
      <c r="J12" s="4120"/>
      <c r="K12" s="4120"/>
      <c r="L12" s="4120"/>
      <c r="M12" s="4120"/>
      <c r="N12" s="4120"/>
      <c r="O12" s="4120"/>
      <c r="P12" s="4120"/>
      <c r="Q12" s="4120"/>
      <c r="R12" s="4120"/>
      <c r="S12" s="4120"/>
      <c r="T12" s="4120"/>
      <c r="U12" s="4120"/>
      <c r="V12" s="4120"/>
      <c r="W12" s="4121"/>
      <c r="X12" s="267"/>
      <c r="Y12" s="267"/>
      <c r="Z12" s="267"/>
      <c r="AA12" s="267"/>
      <c r="AB12" s="267"/>
    </row>
    <row r="13" spans="1:29" ht="15.75" customHeight="1" x14ac:dyDescent="0.3">
      <c r="A13" s="267"/>
      <c r="B13" s="4115"/>
      <c r="C13" s="4119"/>
      <c r="D13" s="4120"/>
      <c r="E13" s="4120"/>
      <c r="F13" s="4120"/>
      <c r="G13" s="4120"/>
      <c r="H13" s="4120"/>
      <c r="I13" s="4120"/>
      <c r="J13" s="4120"/>
      <c r="K13" s="4120"/>
      <c r="L13" s="4120"/>
      <c r="M13" s="4120"/>
      <c r="N13" s="4120"/>
      <c r="O13" s="4120"/>
      <c r="P13" s="4120"/>
      <c r="Q13" s="4120"/>
      <c r="R13" s="4120"/>
      <c r="S13" s="4120"/>
      <c r="T13" s="4120"/>
      <c r="U13" s="4120"/>
      <c r="V13" s="4120"/>
      <c r="W13" s="4121"/>
      <c r="X13" s="267"/>
      <c r="Y13" s="267"/>
      <c r="Z13" s="267"/>
      <c r="AA13" s="267"/>
      <c r="AB13" s="267"/>
    </row>
    <row r="14" spans="1:29" ht="15.75" customHeight="1" x14ac:dyDescent="0.3">
      <c r="A14" s="267"/>
      <c r="B14" s="4115"/>
      <c r="C14" s="4122"/>
      <c r="D14" s="4123"/>
      <c r="E14" s="4123"/>
      <c r="F14" s="4123"/>
      <c r="G14" s="4123"/>
      <c r="H14" s="4123"/>
      <c r="I14" s="4123"/>
      <c r="J14" s="4123"/>
      <c r="K14" s="4123"/>
      <c r="L14" s="4123"/>
      <c r="M14" s="4123"/>
      <c r="N14" s="4123"/>
      <c r="O14" s="4123"/>
      <c r="P14" s="4123"/>
      <c r="Q14" s="4123"/>
      <c r="R14" s="4123"/>
      <c r="S14" s="4123"/>
      <c r="T14" s="4123"/>
      <c r="U14" s="4123"/>
      <c r="V14" s="4123"/>
      <c r="W14" s="4124"/>
      <c r="X14" s="267"/>
      <c r="Y14" s="267"/>
      <c r="Z14" s="267"/>
      <c r="AA14" s="267"/>
      <c r="AB14" s="267"/>
    </row>
    <row r="15" spans="1:29" ht="15.75" customHeight="1" thickBot="1" x14ac:dyDescent="0.35">
      <c r="A15" s="282" t="s">
        <v>454</v>
      </c>
      <c r="B15" s="283"/>
      <c r="C15" s="283"/>
      <c r="D15" s="284"/>
      <c r="E15" s="284"/>
      <c r="F15" s="284"/>
      <c r="G15" s="284"/>
      <c r="H15" s="284"/>
      <c r="I15" s="284"/>
      <c r="J15" s="284"/>
      <c r="K15" s="284"/>
      <c r="L15" s="284"/>
      <c r="M15" s="284"/>
      <c r="N15" s="284"/>
      <c r="O15" s="284"/>
      <c r="P15" s="284"/>
      <c r="Q15" s="284"/>
      <c r="R15" s="284"/>
      <c r="S15" s="284"/>
      <c r="T15" s="284"/>
      <c r="U15" s="284"/>
      <c r="V15" s="284"/>
      <c r="W15" s="284"/>
      <c r="X15" s="284"/>
      <c r="Y15" s="284"/>
      <c r="Z15" s="284"/>
      <c r="AA15" s="285"/>
      <c r="AB15" s="176"/>
    </row>
    <row r="16" spans="1:29" s="292" customFormat="1" ht="33" x14ac:dyDescent="0.2">
      <c r="A16" s="286" t="s">
        <v>455</v>
      </c>
      <c r="B16" s="286" t="s">
        <v>16</v>
      </c>
      <c r="C16" s="287" t="s">
        <v>456</v>
      </c>
      <c r="D16" s="287" t="s">
        <v>457</v>
      </c>
      <c r="E16" s="287" t="s">
        <v>458</v>
      </c>
      <c r="F16" s="287" t="s">
        <v>459</v>
      </c>
      <c r="G16" s="286" t="s">
        <v>460</v>
      </c>
      <c r="H16" s="286" t="s">
        <v>461</v>
      </c>
      <c r="I16" s="286" t="s">
        <v>462</v>
      </c>
      <c r="J16" s="4097" t="s">
        <v>463</v>
      </c>
      <c r="K16" s="4097"/>
      <c r="L16" s="4097" t="s">
        <v>464</v>
      </c>
      <c r="M16" s="4098"/>
      <c r="N16" s="288" t="s">
        <v>465</v>
      </c>
      <c r="O16" s="288" t="s">
        <v>466</v>
      </c>
      <c r="P16" s="288" t="s">
        <v>467</v>
      </c>
      <c r="Q16" s="288" t="s">
        <v>468</v>
      </c>
      <c r="R16" s="288" t="s">
        <v>469</v>
      </c>
      <c r="S16" s="288" t="s">
        <v>470</v>
      </c>
      <c r="T16" s="4102" t="s">
        <v>471</v>
      </c>
      <c r="U16" s="4103"/>
      <c r="V16" s="286" t="s">
        <v>472</v>
      </c>
      <c r="W16" s="286" t="s">
        <v>473</v>
      </c>
      <c r="X16" s="286" t="s">
        <v>474</v>
      </c>
      <c r="Y16" s="286" t="s">
        <v>133</v>
      </c>
      <c r="Z16" s="288" t="s">
        <v>475</v>
      </c>
      <c r="AA16" s="289" t="s">
        <v>476</v>
      </c>
      <c r="AB16" s="290" t="s">
        <v>477</v>
      </c>
      <c r="AC16" s="291"/>
    </row>
    <row r="17" spans="1:29" s="306" customFormat="1" ht="32.25" customHeight="1" x14ac:dyDescent="0.3">
      <c r="A17" s="293" t="s">
        <v>92</v>
      </c>
      <c r="B17" s="293" t="s">
        <v>92</v>
      </c>
      <c r="C17" s="293" t="s">
        <v>478</v>
      </c>
      <c r="D17" s="294">
        <v>16</v>
      </c>
      <c r="E17" s="293" t="s">
        <v>479</v>
      </c>
      <c r="F17" s="295" t="s">
        <v>480</v>
      </c>
      <c r="G17" s="293" t="s">
        <v>481</v>
      </c>
      <c r="H17" s="293" t="s">
        <v>482</v>
      </c>
      <c r="I17" s="296" t="s">
        <v>483</v>
      </c>
      <c r="J17" s="4110">
        <v>30</v>
      </c>
      <c r="K17" s="4111"/>
      <c r="L17" s="4112">
        <v>80</v>
      </c>
      <c r="M17" s="4110"/>
      <c r="N17" s="297" t="s">
        <v>484</v>
      </c>
      <c r="O17" s="298" t="s">
        <v>485</v>
      </c>
      <c r="P17" s="299" t="s">
        <v>486</v>
      </c>
      <c r="Q17" s="298" t="s">
        <v>487</v>
      </c>
      <c r="R17" s="300" t="s">
        <v>78</v>
      </c>
      <c r="S17" s="301" t="s">
        <v>488</v>
      </c>
      <c r="T17" s="4113" t="s">
        <v>489</v>
      </c>
      <c r="U17" s="4108"/>
      <c r="V17" s="302" t="s">
        <v>490</v>
      </c>
      <c r="W17" s="294">
        <v>4</v>
      </c>
      <c r="X17" s="293" t="s">
        <v>486</v>
      </c>
      <c r="Y17" s="293" t="s">
        <v>491</v>
      </c>
      <c r="Z17" s="300"/>
      <c r="AA17" s="303"/>
      <c r="AB17" s="304"/>
      <c r="AC17" s="305"/>
    </row>
    <row r="18" spans="1:29" s="319" customFormat="1" ht="15.6" x14ac:dyDescent="0.3">
      <c r="A18" s="307"/>
      <c r="B18" s="308"/>
      <c r="C18" s="308"/>
      <c r="D18" s="309"/>
      <c r="E18" s="308"/>
      <c r="F18" s="310" t="s">
        <v>492</v>
      </c>
      <c r="G18" s="4099" t="s">
        <v>493</v>
      </c>
      <c r="H18" s="4100"/>
      <c r="I18" s="311" t="s">
        <v>494</v>
      </c>
      <c r="J18" s="4101" t="s">
        <v>463</v>
      </c>
      <c r="K18" s="4101"/>
      <c r="L18" s="4101" t="s">
        <v>464</v>
      </c>
      <c r="M18" s="4101"/>
      <c r="N18" s="311" t="s">
        <v>495</v>
      </c>
      <c r="O18" s="4101" t="s">
        <v>467</v>
      </c>
      <c r="P18" s="4101"/>
      <c r="Q18" s="4101" t="s">
        <v>496</v>
      </c>
      <c r="R18" s="4101"/>
      <c r="S18" s="312" t="s">
        <v>497</v>
      </c>
      <c r="T18" s="313" t="s">
        <v>498</v>
      </c>
      <c r="U18" s="313" t="s">
        <v>499</v>
      </c>
      <c r="V18" s="311" t="s">
        <v>500</v>
      </c>
      <c r="W18" s="314" t="s">
        <v>501</v>
      </c>
      <c r="X18" s="314" t="s">
        <v>502</v>
      </c>
      <c r="Y18" s="314" t="s">
        <v>503</v>
      </c>
      <c r="Z18" s="315" t="s">
        <v>504</v>
      </c>
      <c r="AA18" s="316" t="s">
        <v>476</v>
      </c>
      <c r="AB18" s="317"/>
      <c r="AC18" s="318"/>
    </row>
    <row r="19" spans="1:29" ht="25.5" customHeight="1" x14ac:dyDescent="0.3">
      <c r="A19" s="4092"/>
      <c r="B19" s="4092"/>
      <c r="C19" s="293" t="s">
        <v>505</v>
      </c>
      <c r="D19" s="4093"/>
      <c r="E19" s="4093"/>
      <c r="F19" s="320"/>
      <c r="G19" s="4094"/>
      <c r="H19" s="4095"/>
      <c r="I19" s="321" t="s">
        <v>506</v>
      </c>
      <c r="J19" s="4096"/>
      <c r="K19" s="4096"/>
      <c r="L19" s="4096"/>
      <c r="M19" s="4096"/>
      <c r="N19" s="320"/>
      <c r="O19" s="4091"/>
      <c r="P19" s="4091"/>
      <c r="Q19" s="4091" t="s">
        <v>507</v>
      </c>
      <c r="R19" s="4091"/>
      <c r="S19" s="293" t="s">
        <v>508</v>
      </c>
      <c r="T19" s="293" t="s">
        <v>481</v>
      </c>
      <c r="U19" s="293" t="s">
        <v>509</v>
      </c>
      <c r="V19" s="320"/>
      <c r="W19" s="320"/>
      <c r="X19" s="320"/>
      <c r="Y19" s="320"/>
      <c r="Z19" s="322"/>
      <c r="AA19" s="303"/>
      <c r="AB19" s="323"/>
      <c r="AC19" s="324"/>
    </row>
    <row r="20" spans="1:29" x14ac:dyDescent="0.3">
      <c r="A20" s="325"/>
      <c r="B20" s="326"/>
      <c r="C20" s="326"/>
      <c r="D20" s="327" t="s">
        <v>510</v>
      </c>
      <c r="E20" s="327"/>
      <c r="F20" s="328" t="s">
        <v>511</v>
      </c>
      <c r="G20" s="4078" t="str">
        <f>IF(I17="SK","See Elevation Form","")</f>
        <v/>
      </c>
      <c r="H20" s="4079"/>
      <c r="I20" s="4080"/>
      <c r="J20" s="4081" t="s">
        <v>512</v>
      </c>
      <c r="K20" s="4081"/>
      <c r="L20" s="4081" t="s">
        <v>513</v>
      </c>
      <c r="M20" s="4081"/>
      <c r="N20" s="328" t="s">
        <v>511</v>
      </c>
      <c r="O20" s="4081" t="s">
        <v>514</v>
      </c>
      <c r="P20" s="4081"/>
      <c r="Q20" s="4081" t="s">
        <v>515</v>
      </c>
      <c r="R20" s="4081"/>
      <c r="S20" s="4061" t="s">
        <v>516</v>
      </c>
      <c r="T20" s="4061"/>
      <c r="U20" s="4061"/>
      <c r="V20" s="4062" t="s">
        <v>517</v>
      </c>
      <c r="W20" s="4062"/>
      <c r="X20" s="4062"/>
      <c r="Y20" s="4062"/>
      <c r="Z20" s="4063"/>
      <c r="AA20" s="316" t="s">
        <v>476</v>
      </c>
      <c r="AB20" s="323"/>
    </row>
    <row r="21" spans="1:29" ht="18" customHeight="1" x14ac:dyDescent="0.3">
      <c r="A21" s="4064" t="s">
        <v>518</v>
      </c>
      <c r="B21" s="4065"/>
      <c r="C21" s="4065"/>
      <c r="D21" s="329" t="s">
        <v>519</v>
      </c>
      <c r="E21" s="330"/>
      <c r="F21" s="330"/>
      <c r="G21" s="330"/>
      <c r="H21" s="330"/>
      <c r="I21" s="331"/>
      <c r="J21" s="330"/>
      <c r="K21" s="332"/>
      <c r="L21" s="4068" t="s">
        <v>520</v>
      </c>
      <c r="M21" s="333" t="s">
        <v>521</v>
      </c>
      <c r="N21" s="4070" t="s">
        <v>85</v>
      </c>
      <c r="O21" s="4070"/>
      <c r="P21" s="4070"/>
      <c r="Q21" s="4070"/>
      <c r="R21" s="4070"/>
      <c r="S21" s="333" t="s">
        <v>468</v>
      </c>
      <c r="T21" s="4071"/>
      <c r="U21" s="4072"/>
      <c r="V21" s="4072"/>
      <c r="W21" s="4072"/>
      <c r="X21" s="4073"/>
      <c r="Y21" s="335" t="s">
        <v>522</v>
      </c>
      <c r="Z21" s="300" t="s">
        <v>523</v>
      </c>
      <c r="AA21" s="303"/>
      <c r="AB21" s="323"/>
      <c r="AC21" s="263" t="e">
        <v>#REF!</v>
      </c>
    </row>
    <row r="22" spans="1:29" ht="18" customHeight="1" x14ac:dyDescent="0.3">
      <c r="A22" s="4074"/>
      <c r="B22" s="4075"/>
      <c r="C22" s="4075"/>
      <c r="D22" s="336"/>
      <c r="E22" s="334"/>
      <c r="F22" s="334"/>
      <c r="G22" s="334"/>
      <c r="H22" s="334"/>
      <c r="I22" s="337"/>
      <c r="J22" s="334"/>
      <c r="K22" s="334"/>
      <c r="L22" s="4068"/>
      <c r="M22" s="333" t="s">
        <v>524</v>
      </c>
      <c r="N22" s="4070" t="s">
        <v>525</v>
      </c>
      <c r="O22" s="4070"/>
      <c r="P22" s="4070"/>
      <c r="Q22" s="4070"/>
      <c r="R22" s="4070"/>
      <c r="S22" s="333" t="s">
        <v>526</v>
      </c>
      <c r="T22" s="4070"/>
      <c r="U22" s="4070"/>
      <c r="V22" s="4070"/>
      <c r="W22" s="4070"/>
      <c r="X22" s="4070"/>
      <c r="Y22" s="338"/>
      <c r="Z22" s="4082"/>
      <c r="AA22" s="4083"/>
      <c r="AB22" s="323"/>
      <c r="AC22" s="263" t="e">
        <v>#REF!</v>
      </c>
    </row>
    <row r="23" spans="1:29" ht="18" customHeight="1" x14ac:dyDescent="0.3">
      <c r="A23" s="4074"/>
      <c r="B23" s="4075"/>
      <c r="C23" s="4075"/>
      <c r="D23" s="336"/>
      <c r="E23" s="334"/>
      <c r="F23" s="334"/>
      <c r="G23" s="334"/>
      <c r="H23" s="334"/>
      <c r="I23" s="337"/>
      <c r="J23" s="334"/>
      <c r="K23" s="334"/>
      <c r="L23" s="4068"/>
      <c r="M23" s="333" t="s">
        <v>527</v>
      </c>
      <c r="N23" s="4070" t="s">
        <v>528</v>
      </c>
      <c r="O23" s="4070"/>
      <c r="P23" s="4070"/>
      <c r="Q23" s="4070"/>
      <c r="R23" s="4070"/>
      <c r="S23" s="333" t="s">
        <v>133</v>
      </c>
      <c r="T23" s="4070"/>
      <c r="U23" s="4070"/>
      <c r="V23" s="4070"/>
      <c r="W23" s="4070"/>
      <c r="X23" s="4070"/>
      <c r="Y23" s="338" t="e">
        <v>#REF!</v>
      </c>
      <c r="Z23" s="4084"/>
      <c r="AA23" s="4085"/>
      <c r="AB23" s="323"/>
      <c r="AC23" s="263" t="e">
        <v>#REF!</v>
      </c>
    </row>
    <row r="24" spans="1:29" ht="18" customHeight="1" thickBot="1" x14ac:dyDescent="0.35">
      <c r="A24" s="4076"/>
      <c r="B24" s="4077"/>
      <c r="C24" s="4077"/>
      <c r="D24" s="4086"/>
      <c r="E24" s="4086"/>
      <c r="F24" s="4086"/>
      <c r="G24" s="4086"/>
      <c r="H24" s="4086"/>
      <c r="I24" s="4086"/>
      <c r="J24" s="4086"/>
      <c r="K24" s="4088"/>
      <c r="L24" s="4069"/>
      <c r="M24" s="339" t="s">
        <v>529</v>
      </c>
      <c r="N24" s="4087" t="s">
        <v>530</v>
      </c>
      <c r="O24" s="4086"/>
      <c r="P24" s="4086"/>
      <c r="Q24" s="4086"/>
      <c r="R24" s="4088"/>
      <c r="S24" s="339" t="s">
        <v>475</v>
      </c>
      <c r="T24" s="4087"/>
      <c r="U24" s="4086"/>
      <c r="V24" s="4086"/>
      <c r="W24" s="4086"/>
      <c r="X24" s="4088"/>
      <c r="Y24" s="340" t="e">
        <v>#REF!</v>
      </c>
      <c r="Z24" s="4089"/>
      <c r="AA24" s="4090"/>
      <c r="AB24" s="341"/>
    </row>
    <row r="25" spans="1:29" s="292" customFormat="1" ht="36" customHeight="1" x14ac:dyDescent="0.2">
      <c r="A25" s="286" t="s">
        <v>455</v>
      </c>
      <c r="B25" s="286" t="s">
        <v>16</v>
      </c>
      <c r="C25" s="286" t="s">
        <v>531</v>
      </c>
      <c r="D25" s="286" t="s">
        <v>532</v>
      </c>
      <c r="E25" s="286" t="s">
        <v>499</v>
      </c>
      <c r="F25" s="286" t="s">
        <v>533</v>
      </c>
      <c r="G25" s="286" t="s">
        <v>460</v>
      </c>
      <c r="H25" s="286" t="s">
        <v>461</v>
      </c>
      <c r="I25" s="286" t="s">
        <v>462</v>
      </c>
      <c r="J25" s="4097" t="s">
        <v>463</v>
      </c>
      <c r="K25" s="4097"/>
      <c r="L25" s="4097" t="s">
        <v>464</v>
      </c>
      <c r="M25" s="4098"/>
      <c r="N25" s="288" t="s">
        <v>465</v>
      </c>
      <c r="O25" s="288" t="s">
        <v>466</v>
      </c>
      <c r="P25" s="288" t="s">
        <v>467</v>
      </c>
      <c r="Q25" s="288" t="s">
        <v>468</v>
      </c>
      <c r="R25" s="288" t="s">
        <v>469</v>
      </c>
      <c r="S25" s="288" t="s">
        <v>470</v>
      </c>
      <c r="T25" s="4102" t="s">
        <v>471</v>
      </c>
      <c r="U25" s="4103"/>
      <c r="V25" s="286" t="s">
        <v>472</v>
      </c>
      <c r="W25" s="286" t="s">
        <v>473</v>
      </c>
      <c r="X25" s="286" t="s">
        <v>474</v>
      </c>
      <c r="Y25" s="286" t="s">
        <v>133</v>
      </c>
      <c r="Z25" s="288" t="s">
        <v>475</v>
      </c>
      <c r="AA25" s="289" t="s">
        <v>476</v>
      </c>
      <c r="AB25" s="290" t="s">
        <v>477</v>
      </c>
      <c r="AC25" s="291"/>
    </row>
    <row r="26" spans="1:29" s="306" customFormat="1" ht="32.25" customHeight="1" x14ac:dyDescent="0.3">
      <c r="A26" s="293" t="s">
        <v>534</v>
      </c>
      <c r="B26" s="293" t="s">
        <v>92</v>
      </c>
      <c r="C26" s="293" t="s">
        <v>535</v>
      </c>
      <c r="D26" s="294">
        <v>16</v>
      </c>
      <c r="E26" s="293" t="s">
        <v>479</v>
      </c>
      <c r="F26" s="295" t="s">
        <v>480</v>
      </c>
      <c r="G26" s="293" t="s">
        <v>536</v>
      </c>
      <c r="H26" s="293" t="s">
        <v>537</v>
      </c>
      <c r="I26" s="296" t="s">
        <v>483</v>
      </c>
      <c r="J26" s="4110">
        <v>20</v>
      </c>
      <c r="K26" s="4111"/>
      <c r="L26" s="4112">
        <v>80</v>
      </c>
      <c r="M26" s="4110"/>
      <c r="N26" s="297" t="s">
        <v>484</v>
      </c>
      <c r="O26" s="298">
        <v>478</v>
      </c>
      <c r="P26" s="299" t="s">
        <v>486</v>
      </c>
      <c r="Q26" s="298"/>
      <c r="R26" s="300" t="s">
        <v>538</v>
      </c>
      <c r="S26" s="301" t="s">
        <v>488</v>
      </c>
      <c r="T26" s="4113" t="s">
        <v>489</v>
      </c>
      <c r="U26" s="4108"/>
      <c r="V26" s="302">
        <v>450</v>
      </c>
      <c r="W26" s="294">
        <v>4</v>
      </c>
      <c r="X26" s="293" t="s">
        <v>486</v>
      </c>
      <c r="Y26" s="293" t="s">
        <v>491</v>
      </c>
      <c r="Z26" s="300" t="s">
        <v>539</v>
      </c>
      <c r="AA26" s="303"/>
      <c r="AB26" s="304"/>
      <c r="AC26" s="305"/>
    </row>
    <row r="27" spans="1:29" s="319" customFormat="1" ht="15.6" x14ac:dyDescent="0.3">
      <c r="A27" s="307"/>
      <c r="B27" s="308"/>
      <c r="C27" s="308"/>
      <c r="D27" s="309"/>
      <c r="E27" s="308"/>
      <c r="F27" s="310" t="s">
        <v>492</v>
      </c>
      <c r="G27" s="4099" t="s">
        <v>493</v>
      </c>
      <c r="H27" s="4100"/>
      <c r="I27" s="311" t="s">
        <v>494</v>
      </c>
      <c r="J27" s="4101" t="s">
        <v>463</v>
      </c>
      <c r="K27" s="4101"/>
      <c r="L27" s="4101" t="s">
        <v>464</v>
      </c>
      <c r="M27" s="4101"/>
      <c r="N27" s="311" t="s">
        <v>495</v>
      </c>
      <c r="O27" s="4101" t="s">
        <v>467</v>
      </c>
      <c r="P27" s="4101"/>
      <c r="Q27" s="4101" t="s">
        <v>496</v>
      </c>
      <c r="R27" s="4101"/>
      <c r="S27" s="312" t="s">
        <v>497</v>
      </c>
      <c r="T27" s="313" t="s">
        <v>498</v>
      </c>
      <c r="U27" s="313" t="s">
        <v>499</v>
      </c>
      <c r="V27" s="311" t="s">
        <v>500</v>
      </c>
      <c r="W27" s="314" t="s">
        <v>501</v>
      </c>
      <c r="X27" s="314" t="s">
        <v>502</v>
      </c>
      <c r="Y27" s="314" t="s">
        <v>503</v>
      </c>
      <c r="Z27" s="315" t="s">
        <v>504</v>
      </c>
      <c r="AA27" s="316" t="s">
        <v>476</v>
      </c>
      <c r="AB27" s="317"/>
      <c r="AC27" s="318"/>
    </row>
    <row r="28" spans="1:29" ht="25.5" customHeight="1" x14ac:dyDescent="0.3">
      <c r="A28" s="4092" t="s">
        <v>540</v>
      </c>
      <c r="B28" s="4092"/>
      <c r="C28" s="293" t="s">
        <v>505</v>
      </c>
      <c r="D28" s="4093" t="s">
        <v>541</v>
      </c>
      <c r="E28" s="4093"/>
      <c r="F28" s="320"/>
      <c r="G28" s="4094"/>
      <c r="H28" s="4095"/>
      <c r="I28" s="321"/>
      <c r="J28" s="4096">
        <v>36</v>
      </c>
      <c r="K28" s="4096"/>
      <c r="L28" s="4096" t="s">
        <v>542</v>
      </c>
      <c r="M28" s="4096"/>
      <c r="N28" s="320"/>
      <c r="O28" s="4091"/>
      <c r="P28" s="4091"/>
      <c r="Q28" s="4091" t="s">
        <v>507</v>
      </c>
      <c r="R28" s="4091"/>
      <c r="S28" s="293" t="s">
        <v>508</v>
      </c>
      <c r="T28" s="293" t="s">
        <v>481</v>
      </c>
      <c r="U28" s="293" t="s">
        <v>509</v>
      </c>
      <c r="V28" s="320"/>
      <c r="W28" s="320"/>
      <c r="X28" s="320"/>
      <c r="Y28" s="320"/>
      <c r="Z28" s="322"/>
      <c r="AA28" s="303"/>
      <c r="AB28" s="323"/>
      <c r="AC28" s="324"/>
    </row>
    <row r="29" spans="1:29" x14ac:dyDescent="0.3">
      <c r="A29" s="325"/>
      <c r="B29" s="326"/>
      <c r="C29" s="326"/>
      <c r="D29" s="327" t="s">
        <v>510</v>
      </c>
      <c r="E29" s="327"/>
      <c r="F29" s="328" t="s">
        <v>511</v>
      </c>
      <c r="G29" s="4078" t="str">
        <f>IF(I26="SK","See Elevation Form","")</f>
        <v/>
      </c>
      <c r="H29" s="4079"/>
      <c r="I29" s="4080"/>
      <c r="J29" s="4081" t="s">
        <v>512</v>
      </c>
      <c r="K29" s="4081"/>
      <c r="L29" s="4081" t="s">
        <v>513</v>
      </c>
      <c r="M29" s="4081"/>
      <c r="N29" s="328" t="s">
        <v>511</v>
      </c>
      <c r="O29" s="4081" t="s">
        <v>514</v>
      </c>
      <c r="P29" s="4081"/>
      <c r="Q29" s="4081" t="s">
        <v>515</v>
      </c>
      <c r="R29" s="4081"/>
      <c r="S29" s="4061" t="s">
        <v>516</v>
      </c>
      <c r="T29" s="4061"/>
      <c r="U29" s="4061"/>
      <c r="V29" s="4062" t="s">
        <v>517</v>
      </c>
      <c r="W29" s="4062"/>
      <c r="X29" s="4062"/>
      <c r="Y29" s="4062"/>
      <c r="Z29" s="4063"/>
      <c r="AA29" s="316" t="s">
        <v>476</v>
      </c>
      <c r="AB29" s="323"/>
    </row>
    <row r="30" spans="1:29" ht="18" customHeight="1" x14ac:dyDescent="0.3">
      <c r="A30" s="4064" t="s">
        <v>518</v>
      </c>
      <c r="B30" s="4065"/>
      <c r="C30" s="4065"/>
      <c r="D30" s="4066"/>
      <c r="E30" s="4066"/>
      <c r="F30" s="4066"/>
      <c r="G30" s="4066"/>
      <c r="H30" s="4066"/>
      <c r="I30" s="4066"/>
      <c r="J30" s="4066"/>
      <c r="K30" s="4067"/>
      <c r="L30" s="4068" t="s">
        <v>520</v>
      </c>
      <c r="M30" s="333" t="s">
        <v>521</v>
      </c>
      <c r="N30" s="4070"/>
      <c r="O30" s="4070"/>
      <c r="P30" s="4070"/>
      <c r="Q30" s="4070"/>
      <c r="R30" s="4070"/>
      <c r="S30" s="333" t="s">
        <v>468</v>
      </c>
      <c r="T30" s="4071"/>
      <c r="U30" s="4072"/>
      <c r="V30" s="4072"/>
      <c r="W30" s="4072"/>
      <c r="X30" s="4073"/>
      <c r="Y30" s="335" t="s">
        <v>522</v>
      </c>
      <c r="Z30" s="300" t="s">
        <v>523</v>
      </c>
      <c r="AA30" s="303"/>
      <c r="AB30" s="323"/>
      <c r="AC30" s="263" t="e">
        <v>#REF!</v>
      </c>
    </row>
    <row r="31" spans="1:29" ht="18" customHeight="1" x14ac:dyDescent="0.3">
      <c r="A31" s="4074"/>
      <c r="B31" s="4075"/>
      <c r="C31" s="4075"/>
      <c r="D31" s="329" t="s">
        <v>519</v>
      </c>
      <c r="E31" s="334"/>
      <c r="F31" s="334"/>
      <c r="G31" s="334"/>
      <c r="H31" s="334"/>
      <c r="I31" s="337"/>
      <c r="J31" s="342"/>
      <c r="K31" s="342"/>
      <c r="L31" s="4068"/>
      <c r="M31" s="333" t="s">
        <v>524</v>
      </c>
      <c r="N31" s="4070"/>
      <c r="O31" s="4070"/>
      <c r="P31" s="4070"/>
      <c r="Q31" s="4070"/>
      <c r="R31" s="4070"/>
      <c r="S31" s="333" t="s">
        <v>526</v>
      </c>
      <c r="T31" s="4070"/>
      <c r="U31" s="4070"/>
      <c r="V31" s="4070"/>
      <c r="W31" s="4070"/>
      <c r="X31" s="4070"/>
      <c r="Y31" s="338"/>
      <c r="Z31" s="4082"/>
      <c r="AA31" s="4083"/>
      <c r="AB31" s="323"/>
      <c r="AC31" s="263" t="e">
        <v>#REF!</v>
      </c>
    </row>
    <row r="32" spans="1:29" ht="18" customHeight="1" x14ac:dyDescent="0.3">
      <c r="A32" s="4074"/>
      <c r="B32" s="4075"/>
      <c r="C32" s="4075"/>
      <c r="D32" s="4070"/>
      <c r="E32" s="4070"/>
      <c r="F32" s="4070"/>
      <c r="G32" s="4070"/>
      <c r="H32" s="4070"/>
      <c r="I32" s="4070"/>
      <c r="J32" s="4070"/>
      <c r="K32" s="4070"/>
      <c r="L32" s="4068"/>
      <c r="M32" s="333" t="s">
        <v>527</v>
      </c>
      <c r="N32" s="4070"/>
      <c r="O32" s="4070"/>
      <c r="P32" s="4070"/>
      <c r="Q32" s="4070"/>
      <c r="R32" s="4070"/>
      <c r="S32" s="333" t="s">
        <v>133</v>
      </c>
      <c r="T32" s="4070"/>
      <c r="U32" s="4070"/>
      <c r="V32" s="4070"/>
      <c r="W32" s="4070"/>
      <c r="X32" s="4070"/>
      <c r="Y32" s="338"/>
      <c r="Z32" s="4084"/>
      <c r="AA32" s="4085"/>
      <c r="AB32" s="323"/>
      <c r="AC32" s="263" t="e">
        <v>#REF!</v>
      </c>
    </row>
    <row r="33" spans="1:29" s="344" customFormat="1" ht="18" customHeight="1" thickBot="1" x14ac:dyDescent="0.35">
      <c r="A33" s="4076"/>
      <c r="B33" s="4077"/>
      <c r="C33" s="4077"/>
      <c r="D33" s="4086"/>
      <c r="E33" s="4086"/>
      <c r="F33" s="4086"/>
      <c r="G33" s="4086"/>
      <c r="H33" s="4086"/>
      <c r="I33" s="4086"/>
      <c r="J33" s="4086"/>
      <c r="K33" s="4088"/>
      <c r="L33" s="4069"/>
      <c r="M33" s="339" t="s">
        <v>529</v>
      </c>
      <c r="N33" s="4087"/>
      <c r="O33" s="4086"/>
      <c r="P33" s="4086"/>
      <c r="Q33" s="4086"/>
      <c r="R33" s="4088"/>
      <c r="S33" s="339" t="s">
        <v>475</v>
      </c>
      <c r="T33" s="4087"/>
      <c r="U33" s="4086"/>
      <c r="V33" s="4086"/>
      <c r="W33" s="4086"/>
      <c r="X33" s="4088"/>
      <c r="Y33" s="340" t="e">
        <v>#REF!</v>
      </c>
      <c r="Z33" s="4089"/>
      <c r="AA33" s="4090"/>
      <c r="AB33" s="341"/>
      <c r="AC33" s="343"/>
    </row>
    <row r="34" spans="1:29" s="292" customFormat="1" ht="36" customHeight="1" x14ac:dyDescent="0.2">
      <c r="A34" s="286" t="s">
        <v>455</v>
      </c>
      <c r="B34" s="286" t="s">
        <v>16</v>
      </c>
      <c r="C34" s="286" t="s">
        <v>531</v>
      </c>
      <c r="D34" s="286" t="s">
        <v>532</v>
      </c>
      <c r="E34" s="286" t="s">
        <v>499</v>
      </c>
      <c r="F34" s="286" t="s">
        <v>533</v>
      </c>
      <c r="G34" s="286" t="s">
        <v>460</v>
      </c>
      <c r="H34" s="286" t="s">
        <v>461</v>
      </c>
      <c r="I34" s="286" t="s">
        <v>462</v>
      </c>
      <c r="J34" s="4097" t="s">
        <v>463</v>
      </c>
      <c r="K34" s="4097"/>
      <c r="L34" s="4097" t="s">
        <v>464</v>
      </c>
      <c r="M34" s="4098"/>
      <c r="N34" s="288" t="s">
        <v>465</v>
      </c>
      <c r="O34" s="288" t="s">
        <v>466</v>
      </c>
      <c r="P34" s="288" t="s">
        <v>467</v>
      </c>
      <c r="Q34" s="288" t="s">
        <v>468</v>
      </c>
      <c r="R34" s="288" t="s">
        <v>469</v>
      </c>
      <c r="S34" s="288" t="s">
        <v>470</v>
      </c>
      <c r="T34" s="4102" t="s">
        <v>471</v>
      </c>
      <c r="U34" s="4103"/>
      <c r="V34" s="286" t="s">
        <v>472</v>
      </c>
      <c r="W34" s="286" t="s">
        <v>473</v>
      </c>
      <c r="X34" s="286" t="s">
        <v>474</v>
      </c>
      <c r="Y34" s="286" t="s">
        <v>133</v>
      </c>
      <c r="Z34" s="288" t="s">
        <v>475</v>
      </c>
      <c r="AA34" s="289" t="s">
        <v>476</v>
      </c>
      <c r="AB34" s="290" t="s">
        <v>477</v>
      </c>
      <c r="AC34" s="291"/>
    </row>
    <row r="35" spans="1:29" s="306" customFormat="1" ht="32.25" customHeight="1" x14ac:dyDescent="0.3">
      <c r="A35" s="293"/>
      <c r="B35" s="293"/>
      <c r="C35" s="293"/>
      <c r="D35" s="294"/>
      <c r="E35" s="293"/>
      <c r="F35" s="295"/>
      <c r="G35" s="293"/>
      <c r="H35" s="293"/>
      <c r="I35" s="296"/>
      <c r="J35" s="4104"/>
      <c r="K35" s="4105"/>
      <c r="L35" s="4106"/>
      <c r="M35" s="4107"/>
      <c r="N35" s="297"/>
      <c r="O35" s="298"/>
      <c r="P35" s="299"/>
      <c r="Q35" s="298"/>
      <c r="R35" s="300"/>
      <c r="S35" s="301"/>
      <c r="T35" s="4108"/>
      <c r="U35" s="4109"/>
      <c r="V35" s="302"/>
      <c r="W35" s="294"/>
      <c r="X35" s="293"/>
      <c r="Y35" s="293"/>
      <c r="Z35" s="300"/>
      <c r="AA35" s="303"/>
      <c r="AB35" s="304"/>
      <c r="AC35" s="305"/>
    </row>
    <row r="36" spans="1:29" s="319" customFormat="1" ht="15.6" x14ac:dyDescent="0.3">
      <c r="A36" s="307"/>
      <c r="B36" s="308"/>
      <c r="C36" s="308"/>
      <c r="D36" s="309"/>
      <c r="E36" s="308"/>
      <c r="F36" s="310" t="s">
        <v>492</v>
      </c>
      <c r="G36" s="4099" t="s">
        <v>493</v>
      </c>
      <c r="H36" s="4100"/>
      <c r="I36" s="311" t="s">
        <v>494</v>
      </c>
      <c r="J36" s="4101" t="s">
        <v>463</v>
      </c>
      <c r="K36" s="4101"/>
      <c r="L36" s="4101" t="s">
        <v>464</v>
      </c>
      <c r="M36" s="4101"/>
      <c r="N36" s="311" t="s">
        <v>495</v>
      </c>
      <c r="O36" s="4101" t="s">
        <v>467</v>
      </c>
      <c r="P36" s="4101"/>
      <c r="Q36" s="4101" t="s">
        <v>496</v>
      </c>
      <c r="R36" s="4101"/>
      <c r="S36" s="312" t="s">
        <v>497</v>
      </c>
      <c r="T36" s="313" t="s">
        <v>498</v>
      </c>
      <c r="U36" s="313" t="s">
        <v>499</v>
      </c>
      <c r="V36" s="311" t="s">
        <v>500</v>
      </c>
      <c r="W36" s="314" t="s">
        <v>501</v>
      </c>
      <c r="X36" s="314" t="s">
        <v>502</v>
      </c>
      <c r="Y36" s="314" t="s">
        <v>503</v>
      </c>
      <c r="Z36" s="315" t="s">
        <v>504</v>
      </c>
      <c r="AA36" s="316" t="s">
        <v>476</v>
      </c>
      <c r="AB36" s="317"/>
      <c r="AC36" s="318"/>
    </row>
    <row r="37" spans="1:29" ht="25.5" customHeight="1" x14ac:dyDescent="0.3">
      <c r="A37" s="4092" t="s">
        <v>540</v>
      </c>
      <c r="B37" s="4092"/>
      <c r="C37" s="293" t="s">
        <v>543</v>
      </c>
      <c r="D37" s="4093" t="s">
        <v>541</v>
      </c>
      <c r="E37" s="4093"/>
      <c r="F37" s="320"/>
      <c r="G37" s="4094"/>
      <c r="H37" s="4095"/>
      <c r="I37" s="321"/>
      <c r="J37" s="4096">
        <v>36</v>
      </c>
      <c r="K37" s="4096"/>
      <c r="L37" s="4096" t="s">
        <v>542</v>
      </c>
      <c r="M37" s="4096"/>
      <c r="N37" s="320"/>
      <c r="O37" s="4091"/>
      <c r="P37" s="4091"/>
      <c r="Q37" s="4091" t="s">
        <v>507</v>
      </c>
      <c r="R37" s="4091"/>
      <c r="S37" s="293"/>
      <c r="T37" s="293"/>
      <c r="U37" s="293"/>
      <c r="V37" s="320"/>
      <c r="W37" s="320"/>
      <c r="X37" s="320"/>
      <c r="Y37" s="320"/>
      <c r="Z37" s="322"/>
      <c r="AA37" s="303"/>
      <c r="AB37" s="323"/>
      <c r="AC37" s="324"/>
    </row>
    <row r="38" spans="1:29" x14ac:dyDescent="0.3">
      <c r="A38" s="325"/>
      <c r="B38" s="326"/>
      <c r="C38" s="326"/>
      <c r="D38" s="327" t="s">
        <v>510</v>
      </c>
      <c r="E38" s="327"/>
      <c r="F38" s="328" t="s">
        <v>511</v>
      </c>
      <c r="G38" s="4078" t="str">
        <f>IF(I35="SK","See Elevation Form","")</f>
        <v/>
      </c>
      <c r="H38" s="4079"/>
      <c r="I38" s="4080"/>
      <c r="J38" s="4081" t="s">
        <v>512</v>
      </c>
      <c r="K38" s="4081"/>
      <c r="L38" s="4081" t="s">
        <v>513</v>
      </c>
      <c r="M38" s="4081"/>
      <c r="N38" s="328" t="s">
        <v>511</v>
      </c>
      <c r="O38" s="4081" t="s">
        <v>514</v>
      </c>
      <c r="P38" s="4081"/>
      <c r="Q38" s="4081" t="s">
        <v>515</v>
      </c>
      <c r="R38" s="4081"/>
      <c r="S38" s="4061" t="s">
        <v>516</v>
      </c>
      <c r="T38" s="4061"/>
      <c r="U38" s="4061"/>
      <c r="V38" s="4062" t="s">
        <v>517</v>
      </c>
      <c r="W38" s="4062"/>
      <c r="X38" s="4062"/>
      <c r="Y38" s="4062"/>
      <c r="Z38" s="4063"/>
      <c r="AA38" s="316" t="s">
        <v>476</v>
      </c>
      <c r="AB38" s="323"/>
    </row>
    <row r="39" spans="1:29" ht="18" customHeight="1" x14ac:dyDescent="0.3">
      <c r="A39" s="4064" t="s">
        <v>518</v>
      </c>
      <c r="B39" s="4065"/>
      <c r="C39" s="4065"/>
      <c r="D39" s="4066"/>
      <c r="E39" s="4066"/>
      <c r="F39" s="4066"/>
      <c r="G39" s="4066"/>
      <c r="H39" s="4066"/>
      <c r="I39" s="4066"/>
      <c r="J39" s="4066"/>
      <c r="K39" s="4067"/>
      <c r="L39" s="4068" t="s">
        <v>520</v>
      </c>
      <c r="M39" s="333" t="s">
        <v>521</v>
      </c>
      <c r="N39" s="4070"/>
      <c r="O39" s="4070"/>
      <c r="P39" s="4070"/>
      <c r="Q39" s="4070"/>
      <c r="R39" s="4070"/>
      <c r="S39" s="333" t="s">
        <v>468</v>
      </c>
      <c r="T39" s="4071" t="s">
        <v>544</v>
      </c>
      <c r="U39" s="4072"/>
      <c r="V39" s="4072"/>
      <c r="W39" s="4072"/>
      <c r="X39" s="4073"/>
      <c r="Y39" s="335" t="s">
        <v>522</v>
      </c>
      <c r="Z39" s="300" t="s">
        <v>523</v>
      </c>
      <c r="AA39" s="303"/>
      <c r="AB39" s="323"/>
      <c r="AC39" s="263" t="e">
        <v>#REF!</v>
      </c>
    </row>
    <row r="40" spans="1:29" ht="18" customHeight="1" x14ac:dyDescent="0.3">
      <c r="A40" s="4074"/>
      <c r="B40" s="4075"/>
      <c r="C40" s="4075"/>
      <c r="D40" s="336" t="s">
        <v>545</v>
      </c>
      <c r="E40" s="342"/>
      <c r="F40" s="342"/>
      <c r="G40" s="342"/>
      <c r="H40" s="342"/>
      <c r="I40" s="342"/>
      <c r="J40" s="342"/>
      <c r="K40" s="342"/>
      <c r="L40" s="4068"/>
      <c r="M40" s="333" t="s">
        <v>524</v>
      </c>
      <c r="N40" s="4070"/>
      <c r="O40" s="4070"/>
      <c r="P40" s="4070"/>
      <c r="Q40" s="4070"/>
      <c r="R40" s="4070"/>
      <c r="S40" s="333" t="s">
        <v>526</v>
      </c>
      <c r="T40" s="4070"/>
      <c r="U40" s="4070"/>
      <c r="V40" s="4070"/>
      <c r="W40" s="4070"/>
      <c r="X40" s="4070"/>
      <c r="Y40" s="338" t="e">
        <v>#REF!</v>
      </c>
      <c r="Z40" s="4082"/>
      <c r="AA40" s="4083"/>
      <c r="AB40" s="323"/>
      <c r="AC40" s="263" t="e">
        <v>#REF!</v>
      </c>
    </row>
    <row r="41" spans="1:29" ht="18" customHeight="1" x14ac:dyDescent="0.3">
      <c r="A41" s="4074"/>
      <c r="B41" s="4075"/>
      <c r="C41" s="4075"/>
      <c r="D41" s="4070"/>
      <c r="E41" s="4070"/>
      <c r="F41" s="4070"/>
      <c r="G41" s="4070"/>
      <c r="H41" s="4070"/>
      <c r="I41" s="4070"/>
      <c r="J41" s="4070"/>
      <c r="K41" s="4070"/>
      <c r="L41" s="4068"/>
      <c r="M41" s="333" t="s">
        <v>527</v>
      </c>
      <c r="N41" s="4070"/>
      <c r="O41" s="4070"/>
      <c r="P41" s="4070"/>
      <c r="Q41" s="4070"/>
      <c r="R41" s="4070"/>
      <c r="S41" s="333" t="s">
        <v>133</v>
      </c>
      <c r="T41" s="4070"/>
      <c r="U41" s="4070"/>
      <c r="V41" s="4070"/>
      <c r="W41" s="4070"/>
      <c r="X41" s="4070"/>
      <c r="Y41" s="338" t="e">
        <v>#REF!</v>
      </c>
      <c r="Z41" s="4084"/>
      <c r="AA41" s="4085"/>
      <c r="AB41" s="323"/>
      <c r="AC41" s="263" t="e">
        <v>#REF!</v>
      </c>
    </row>
    <row r="42" spans="1:29" ht="18" customHeight="1" thickBot="1" x14ac:dyDescent="0.35">
      <c r="A42" s="4076"/>
      <c r="B42" s="4077"/>
      <c r="C42" s="4077"/>
      <c r="D42" s="4086"/>
      <c r="E42" s="4086"/>
      <c r="F42" s="4086"/>
      <c r="G42" s="4086"/>
      <c r="H42" s="4086"/>
      <c r="I42" s="4086"/>
      <c r="J42" s="4086"/>
      <c r="K42" s="4086"/>
      <c r="L42" s="4069"/>
      <c r="M42" s="339" t="s">
        <v>529</v>
      </c>
      <c r="N42" s="4087"/>
      <c r="O42" s="4086"/>
      <c r="P42" s="4086"/>
      <c r="Q42" s="4086"/>
      <c r="R42" s="4088"/>
      <c r="S42" s="339" t="s">
        <v>475</v>
      </c>
      <c r="T42" s="4087"/>
      <c r="U42" s="4086"/>
      <c r="V42" s="4086"/>
      <c r="W42" s="4086"/>
      <c r="X42" s="4088"/>
      <c r="Y42" s="340" t="e">
        <v>#REF!</v>
      </c>
      <c r="Z42" s="4089"/>
      <c r="AA42" s="4090"/>
      <c r="AB42" s="341"/>
    </row>
    <row r="43" spans="1:29" s="292" customFormat="1" ht="36" customHeight="1" x14ac:dyDescent="0.2">
      <c r="A43" s="345" t="s">
        <v>455</v>
      </c>
      <c r="B43" s="345" t="s">
        <v>16</v>
      </c>
      <c r="C43" s="345" t="s">
        <v>531</v>
      </c>
      <c r="D43" s="345" t="s">
        <v>532</v>
      </c>
      <c r="E43" s="345" t="s">
        <v>499</v>
      </c>
      <c r="F43" s="345" t="s">
        <v>533</v>
      </c>
      <c r="G43" s="345" t="s">
        <v>460</v>
      </c>
      <c r="H43" s="345" t="s">
        <v>461</v>
      </c>
      <c r="I43" s="345" t="s">
        <v>462</v>
      </c>
      <c r="J43" s="4031" t="s">
        <v>463</v>
      </c>
      <c r="K43" s="4031"/>
      <c r="L43" s="4031" t="s">
        <v>464</v>
      </c>
      <c r="M43" s="4032"/>
      <c r="N43" s="346" t="s">
        <v>465</v>
      </c>
      <c r="O43" s="346" t="s">
        <v>466</v>
      </c>
      <c r="P43" s="346" t="s">
        <v>467</v>
      </c>
      <c r="Q43" s="346" t="s">
        <v>468</v>
      </c>
      <c r="R43" s="346" t="s">
        <v>469</v>
      </c>
      <c r="S43" s="346" t="s">
        <v>470</v>
      </c>
      <c r="T43" s="4021" t="s">
        <v>471</v>
      </c>
      <c r="U43" s="4022"/>
      <c r="V43" s="345" t="s">
        <v>472</v>
      </c>
      <c r="W43" s="345" t="s">
        <v>473</v>
      </c>
      <c r="X43" s="345" t="s">
        <v>474</v>
      </c>
      <c r="Y43" s="345" t="s">
        <v>133</v>
      </c>
      <c r="Z43" s="346" t="s">
        <v>475</v>
      </c>
      <c r="AA43" s="348" t="s">
        <v>476</v>
      </c>
      <c r="AB43" s="349" t="s">
        <v>477</v>
      </c>
      <c r="AC43" s="291"/>
    </row>
    <row r="44" spans="1:29" s="306" customFormat="1" ht="32.25" customHeight="1" x14ac:dyDescent="0.3">
      <c r="A44" s="350"/>
      <c r="B44" s="350"/>
      <c r="C44" s="351"/>
      <c r="D44" s="352"/>
      <c r="E44" s="351"/>
      <c r="F44" s="353"/>
      <c r="G44" s="351"/>
      <c r="H44" s="351"/>
      <c r="I44" s="354"/>
      <c r="J44" s="4023"/>
      <c r="K44" s="4024"/>
      <c r="L44" s="4025"/>
      <c r="M44" s="4023"/>
      <c r="N44" s="355"/>
      <c r="O44" s="356"/>
      <c r="P44" s="357"/>
      <c r="Q44" s="356"/>
      <c r="R44" s="358"/>
      <c r="S44" s="359"/>
      <c r="T44" s="4026"/>
      <c r="U44" s="4027"/>
      <c r="V44" s="360"/>
      <c r="W44" s="361"/>
      <c r="X44" s="350"/>
      <c r="Y44" s="350"/>
      <c r="Z44" s="362"/>
      <c r="AA44" s="363"/>
      <c r="AB44" s="364"/>
      <c r="AC44" s="305"/>
    </row>
    <row r="45" spans="1:29" s="319" customFormat="1" ht="15.6" x14ac:dyDescent="0.3">
      <c r="A45" s="365"/>
      <c r="B45" s="366"/>
      <c r="C45" s="367"/>
      <c r="D45" s="368"/>
      <c r="E45" s="367"/>
      <c r="F45" s="369" t="s">
        <v>492</v>
      </c>
      <c r="G45" s="4033" t="s">
        <v>493</v>
      </c>
      <c r="H45" s="4034"/>
      <c r="I45" s="370" t="s">
        <v>494</v>
      </c>
      <c r="J45" s="4035" t="s">
        <v>463</v>
      </c>
      <c r="K45" s="4035"/>
      <c r="L45" s="4035" t="s">
        <v>464</v>
      </c>
      <c r="M45" s="4035"/>
      <c r="N45" s="370" t="s">
        <v>495</v>
      </c>
      <c r="O45" s="4035" t="s">
        <v>467</v>
      </c>
      <c r="P45" s="4035"/>
      <c r="Q45" s="4035" t="s">
        <v>496</v>
      </c>
      <c r="R45" s="4035"/>
      <c r="S45" s="371" t="s">
        <v>497</v>
      </c>
      <c r="T45" s="372" t="s">
        <v>498</v>
      </c>
      <c r="U45" s="372" t="s">
        <v>499</v>
      </c>
      <c r="V45" s="370" t="s">
        <v>500</v>
      </c>
      <c r="W45" s="373" t="s">
        <v>501</v>
      </c>
      <c r="X45" s="373" t="s">
        <v>502</v>
      </c>
      <c r="Y45" s="373" t="s">
        <v>503</v>
      </c>
      <c r="Z45" s="374" t="s">
        <v>504</v>
      </c>
      <c r="AA45" s="375" t="s">
        <v>476</v>
      </c>
      <c r="AB45" s="376"/>
      <c r="AC45" s="318"/>
    </row>
    <row r="46" spans="1:29" ht="25.5" customHeight="1" x14ac:dyDescent="0.3">
      <c r="A46" s="4042" t="s">
        <v>540</v>
      </c>
      <c r="B46" s="4042"/>
      <c r="C46" s="351"/>
      <c r="D46" s="4043" t="s">
        <v>541</v>
      </c>
      <c r="E46" s="4043"/>
      <c r="F46" s="377"/>
      <c r="G46" s="4044"/>
      <c r="H46" s="4045"/>
      <c r="I46" s="378"/>
      <c r="J46" s="4046">
        <v>36</v>
      </c>
      <c r="K46" s="4046"/>
      <c r="L46" s="4046"/>
      <c r="M46" s="4046"/>
      <c r="N46" s="377"/>
      <c r="O46" s="4038"/>
      <c r="P46" s="4038"/>
      <c r="Q46" s="4038"/>
      <c r="R46" s="4038"/>
      <c r="S46" s="351"/>
      <c r="T46" s="351"/>
      <c r="U46" s="351"/>
      <c r="V46" s="377">
        <v>10</v>
      </c>
      <c r="W46" s="377">
        <v>6.75</v>
      </c>
      <c r="X46" s="377">
        <v>56</v>
      </c>
      <c r="Y46" s="377"/>
      <c r="Z46" s="379"/>
      <c r="AA46" s="363"/>
      <c r="AB46" s="380"/>
      <c r="AC46" s="324"/>
    </row>
    <row r="47" spans="1:29" x14ac:dyDescent="0.3">
      <c r="A47" s="381"/>
      <c r="B47" s="382"/>
      <c r="C47" s="382"/>
      <c r="D47" s="383" t="s">
        <v>510</v>
      </c>
      <c r="E47" s="383"/>
      <c r="F47" s="384" t="s">
        <v>511</v>
      </c>
      <c r="G47" s="4057" t="str">
        <f>IF(I44="SK","See Elevation Form","")</f>
        <v/>
      </c>
      <c r="H47" s="4058"/>
      <c r="I47" s="4059"/>
      <c r="J47" s="4060" t="s">
        <v>512</v>
      </c>
      <c r="K47" s="4060"/>
      <c r="L47" s="4060"/>
      <c r="M47" s="4060"/>
      <c r="N47" s="384" t="s">
        <v>511</v>
      </c>
      <c r="O47" s="4060"/>
      <c r="P47" s="4060"/>
      <c r="Q47" s="4060"/>
      <c r="R47" s="4060"/>
      <c r="S47" s="4028" t="s">
        <v>516</v>
      </c>
      <c r="T47" s="4028"/>
      <c r="U47" s="4028"/>
      <c r="V47" s="4029" t="s">
        <v>517</v>
      </c>
      <c r="W47" s="4029"/>
      <c r="X47" s="4029"/>
      <c r="Y47" s="4029"/>
      <c r="Z47" s="4030"/>
      <c r="AA47" s="375" t="s">
        <v>476</v>
      </c>
      <c r="AB47" s="380"/>
    </row>
    <row r="48" spans="1:29" ht="18" customHeight="1" x14ac:dyDescent="0.3">
      <c r="A48" s="4047" t="s">
        <v>518</v>
      </c>
      <c r="B48" s="4048"/>
      <c r="C48" s="4048"/>
      <c r="D48" s="4049"/>
      <c r="E48" s="4049"/>
      <c r="F48" s="4049"/>
      <c r="G48" s="4049"/>
      <c r="H48" s="4049"/>
      <c r="I48" s="4049"/>
      <c r="J48" s="4049"/>
      <c r="K48" s="4050"/>
      <c r="L48" s="4051" t="s">
        <v>520</v>
      </c>
      <c r="M48" s="385" t="s">
        <v>521</v>
      </c>
      <c r="N48" s="4018"/>
      <c r="O48" s="4018"/>
      <c r="P48" s="4018"/>
      <c r="Q48" s="4018"/>
      <c r="R48" s="4018"/>
      <c r="S48" s="385" t="s">
        <v>468</v>
      </c>
      <c r="T48" s="4039"/>
      <c r="U48" s="4040"/>
      <c r="V48" s="4040"/>
      <c r="W48" s="4040"/>
      <c r="X48" s="4041"/>
      <c r="Y48" s="386" t="s">
        <v>522</v>
      </c>
      <c r="Z48" s="362"/>
      <c r="AA48" s="363"/>
      <c r="AB48" s="380"/>
      <c r="AC48" s="263" t="e">
        <v>#REF!</v>
      </c>
    </row>
    <row r="49" spans="1:29" ht="18" customHeight="1" x14ac:dyDescent="0.3">
      <c r="A49" s="4053"/>
      <c r="B49" s="4054"/>
      <c r="C49" s="4054"/>
      <c r="D49" s="4018"/>
      <c r="E49" s="4018"/>
      <c r="F49" s="4018"/>
      <c r="G49" s="4018"/>
      <c r="H49" s="4018"/>
      <c r="I49" s="4018"/>
      <c r="J49" s="4018"/>
      <c r="K49" s="4018"/>
      <c r="L49" s="4051"/>
      <c r="M49" s="385" t="s">
        <v>524</v>
      </c>
      <c r="N49" s="4018"/>
      <c r="O49" s="4018"/>
      <c r="P49" s="4018"/>
      <c r="Q49" s="4018"/>
      <c r="R49" s="4018"/>
      <c r="S49" s="385" t="s">
        <v>526</v>
      </c>
      <c r="T49" s="4018"/>
      <c r="U49" s="4018"/>
      <c r="V49" s="4018"/>
      <c r="W49" s="4018"/>
      <c r="X49" s="4018"/>
      <c r="Y49" s="387" t="e">
        <v>#REF!</v>
      </c>
      <c r="Z49" s="4016"/>
      <c r="AA49" s="4017"/>
      <c r="AB49" s="380"/>
      <c r="AC49" s="263" t="e">
        <v>#REF!</v>
      </c>
    </row>
    <row r="50" spans="1:29" ht="18" customHeight="1" x14ac:dyDescent="0.3">
      <c r="A50" s="4053"/>
      <c r="B50" s="4054"/>
      <c r="C50" s="4054"/>
      <c r="D50" s="4018"/>
      <c r="E50" s="4018"/>
      <c r="F50" s="4018"/>
      <c r="G50" s="4018"/>
      <c r="H50" s="4018"/>
      <c r="I50" s="4018"/>
      <c r="J50" s="4018"/>
      <c r="K50" s="4018"/>
      <c r="L50" s="4051"/>
      <c r="M50" s="385" t="s">
        <v>527</v>
      </c>
      <c r="N50" s="4018"/>
      <c r="O50" s="4018"/>
      <c r="P50" s="4018"/>
      <c r="Q50" s="4018"/>
      <c r="R50" s="4018"/>
      <c r="S50" s="385" t="s">
        <v>133</v>
      </c>
      <c r="T50" s="4018"/>
      <c r="U50" s="4018"/>
      <c r="V50" s="4018"/>
      <c r="W50" s="4018"/>
      <c r="X50" s="4018"/>
      <c r="Y50" s="387" t="e">
        <v>#REF!</v>
      </c>
      <c r="Z50" s="4019"/>
      <c r="AA50" s="4020"/>
      <c r="AB50" s="380"/>
      <c r="AC50" s="263" t="e">
        <v>#REF!</v>
      </c>
    </row>
    <row r="51" spans="1:29" ht="18" customHeight="1" thickBot="1" x14ac:dyDescent="0.35">
      <c r="A51" s="4055"/>
      <c r="B51" s="4056"/>
      <c r="C51" s="4056"/>
      <c r="D51" s="4014"/>
      <c r="E51" s="4014"/>
      <c r="F51" s="4014"/>
      <c r="G51" s="4014"/>
      <c r="H51" s="4014"/>
      <c r="I51" s="4014"/>
      <c r="J51" s="4014"/>
      <c r="K51" s="4014"/>
      <c r="L51" s="4052"/>
      <c r="M51" s="388" t="s">
        <v>529</v>
      </c>
      <c r="N51" s="4013"/>
      <c r="O51" s="4014"/>
      <c r="P51" s="4014"/>
      <c r="Q51" s="4014"/>
      <c r="R51" s="4015"/>
      <c r="S51" s="388" t="s">
        <v>475</v>
      </c>
      <c r="T51" s="4013"/>
      <c r="U51" s="4014"/>
      <c r="V51" s="4014"/>
      <c r="W51" s="4014"/>
      <c r="X51" s="4015"/>
      <c r="Y51" s="389" t="e">
        <v>#REF!</v>
      </c>
      <c r="Z51" s="4036"/>
      <c r="AA51" s="4037"/>
      <c r="AB51" s="390"/>
    </row>
    <row r="52" spans="1:29" x14ac:dyDescent="0.3">
      <c r="AA52" t="s">
        <v>546</v>
      </c>
    </row>
  </sheetData>
  <mergeCells count="185">
    <mergeCell ref="B11:B14"/>
    <mergeCell ref="C11:W14"/>
    <mergeCell ref="J16:K16"/>
    <mergeCell ref="L16:M16"/>
    <mergeCell ref="T16:U16"/>
    <mergeCell ref="J17:K17"/>
    <mergeCell ref="L17:M17"/>
    <mergeCell ref="T17:U17"/>
    <mergeCell ref="A1:K2"/>
    <mergeCell ref="O1:AB2"/>
    <mergeCell ref="D4:L4"/>
    <mergeCell ref="N4:W4"/>
    <mergeCell ref="D5:L5"/>
    <mergeCell ref="N5:W5"/>
    <mergeCell ref="D6:L6"/>
    <mergeCell ref="N6:W6"/>
    <mergeCell ref="D7:L7"/>
    <mergeCell ref="N7:W7"/>
    <mergeCell ref="B8:F8"/>
    <mergeCell ref="G8:N9"/>
    <mergeCell ref="O8:P8"/>
    <mergeCell ref="Q8:T9"/>
    <mergeCell ref="V8:W8"/>
    <mergeCell ref="B9:F9"/>
    <mergeCell ref="G18:H18"/>
    <mergeCell ref="J18:K18"/>
    <mergeCell ref="L18:M18"/>
    <mergeCell ref="O18:P18"/>
    <mergeCell ref="Q18:R18"/>
    <mergeCell ref="A19:B19"/>
    <mergeCell ref="D19:E19"/>
    <mergeCell ref="G19:H19"/>
    <mergeCell ref="J19:K19"/>
    <mergeCell ref="L19:M19"/>
    <mergeCell ref="A21:C21"/>
    <mergeCell ref="L21:L24"/>
    <mergeCell ref="N21:R21"/>
    <mergeCell ref="T21:X21"/>
    <mergeCell ref="A22:C24"/>
    <mergeCell ref="N22:R22"/>
    <mergeCell ref="T22:X22"/>
    <mergeCell ref="N23:R23"/>
    <mergeCell ref="T23:X23"/>
    <mergeCell ref="Z23:AA23"/>
    <mergeCell ref="D24:K24"/>
    <mergeCell ref="N24:R24"/>
    <mergeCell ref="T24:X24"/>
    <mergeCell ref="Z24:AA24"/>
    <mergeCell ref="S20:U20"/>
    <mergeCell ref="V20:Z20"/>
    <mergeCell ref="Z22:AA22"/>
    <mergeCell ref="O19:P19"/>
    <mergeCell ref="Q19:R19"/>
    <mergeCell ref="G20:I20"/>
    <mergeCell ref="J20:K20"/>
    <mergeCell ref="L20:M20"/>
    <mergeCell ref="O20:P20"/>
    <mergeCell ref="Q20:R20"/>
    <mergeCell ref="O28:P28"/>
    <mergeCell ref="Q28:R28"/>
    <mergeCell ref="A28:B28"/>
    <mergeCell ref="D28:E28"/>
    <mergeCell ref="G28:H28"/>
    <mergeCell ref="J28:K28"/>
    <mergeCell ref="L28:M28"/>
    <mergeCell ref="J25:K25"/>
    <mergeCell ref="L25:M25"/>
    <mergeCell ref="G27:H27"/>
    <mergeCell ref="J27:K27"/>
    <mergeCell ref="L27:M27"/>
    <mergeCell ref="O27:P27"/>
    <mergeCell ref="Q27:R27"/>
    <mergeCell ref="T25:U25"/>
    <mergeCell ref="J26:K26"/>
    <mergeCell ref="L26:M26"/>
    <mergeCell ref="T26:U26"/>
    <mergeCell ref="S29:U29"/>
    <mergeCell ref="V29:Z29"/>
    <mergeCell ref="A30:C30"/>
    <mergeCell ref="D30:K30"/>
    <mergeCell ref="L30:L33"/>
    <mergeCell ref="N30:R30"/>
    <mergeCell ref="T30:X30"/>
    <mergeCell ref="A31:C33"/>
    <mergeCell ref="N31:R31"/>
    <mergeCell ref="T31:X31"/>
    <mergeCell ref="G29:I29"/>
    <mergeCell ref="J29:K29"/>
    <mergeCell ref="L29:M29"/>
    <mergeCell ref="O29:P29"/>
    <mergeCell ref="Q29:R29"/>
    <mergeCell ref="Z31:AA31"/>
    <mergeCell ref="D32:K32"/>
    <mergeCell ref="N32:R32"/>
    <mergeCell ref="T32:X32"/>
    <mergeCell ref="Z32:AA32"/>
    <mergeCell ref="D33:K33"/>
    <mergeCell ref="N33:R33"/>
    <mergeCell ref="T33:X33"/>
    <mergeCell ref="Z33:AA33"/>
    <mergeCell ref="O37:P37"/>
    <mergeCell ref="Q37:R37"/>
    <mergeCell ref="A37:B37"/>
    <mergeCell ref="D37:E37"/>
    <mergeCell ref="G37:H37"/>
    <mergeCell ref="J37:K37"/>
    <mergeCell ref="L37:M37"/>
    <mergeCell ref="J34:K34"/>
    <mergeCell ref="L34:M34"/>
    <mergeCell ref="G36:H36"/>
    <mergeCell ref="J36:K36"/>
    <mergeCell ref="L36:M36"/>
    <mergeCell ref="O36:P36"/>
    <mergeCell ref="Q36:R36"/>
    <mergeCell ref="T34:U34"/>
    <mergeCell ref="J35:K35"/>
    <mergeCell ref="L35:M35"/>
    <mergeCell ref="T35:U35"/>
    <mergeCell ref="S38:U38"/>
    <mergeCell ref="V38:Z38"/>
    <mergeCell ref="A39:C39"/>
    <mergeCell ref="D39:K39"/>
    <mergeCell ref="L39:L42"/>
    <mergeCell ref="N39:R39"/>
    <mergeCell ref="T39:X39"/>
    <mergeCell ref="A40:C42"/>
    <mergeCell ref="N40:R40"/>
    <mergeCell ref="T40:X40"/>
    <mergeCell ref="G38:I38"/>
    <mergeCell ref="J38:K38"/>
    <mergeCell ref="L38:M38"/>
    <mergeCell ref="O38:P38"/>
    <mergeCell ref="Q38:R38"/>
    <mergeCell ref="Z40:AA40"/>
    <mergeCell ref="D41:K41"/>
    <mergeCell ref="N41:R41"/>
    <mergeCell ref="T41:X41"/>
    <mergeCell ref="Z41:AA41"/>
    <mergeCell ref="D42:K42"/>
    <mergeCell ref="N42:R42"/>
    <mergeCell ref="T42:X42"/>
    <mergeCell ref="Z42:AA42"/>
    <mergeCell ref="A46:B46"/>
    <mergeCell ref="D46:E46"/>
    <mergeCell ref="G46:H46"/>
    <mergeCell ref="J46:K46"/>
    <mergeCell ref="L46:M46"/>
    <mergeCell ref="A48:C48"/>
    <mergeCell ref="D48:K48"/>
    <mergeCell ref="L48:L51"/>
    <mergeCell ref="N48:R48"/>
    <mergeCell ref="A49:C51"/>
    <mergeCell ref="D49:K49"/>
    <mergeCell ref="N49:R49"/>
    <mergeCell ref="G47:I47"/>
    <mergeCell ref="J47:K47"/>
    <mergeCell ref="L47:M47"/>
    <mergeCell ref="O47:P47"/>
    <mergeCell ref="Q47:R47"/>
    <mergeCell ref="D51:K51"/>
    <mergeCell ref="N51:R51"/>
    <mergeCell ref="T51:X51"/>
    <mergeCell ref="Z49:AA49"/>
    <mergeCell ref="D50:K50"/>
    <mergeCell ref="N50:R50"/>
    <mergeCell ref="T50:X50"/>
    <mergeCell ref="Z50:AA50"/>
    <mergeCell ref="T43:U43"/>
    <mergeCell ref="J44:K44"/>
    <mergeCell ref="L44:M44"/>
    <mergeCell ref="T44:U44"/>
    <mergeCell ref="S47:U47"/>
    <mergeCell ref="V47:Z47"/>
    <mergeCell ref="J43:K43"/>
    <mergeCell ref="L43:M43"/>
    <mergeCell ref="G45:H45"/>
    <mergeCell ref="J45:K45"/>
    <mergeCell ref="L45:M45"/>
    <mergeCell ref="O45:P45"/>
    <mergeCell ref="Q45:R45"/>
    <mergeCell ref="Z51:AA51"/>
    <mergeCell ref="T49:X49"/>
    <mergeCell ref="O46:P46"/>
    <mergeCell ref="Q46:R46"/>
    <mergeCell ref="T48:X48"/>
  </mergeCells>
  <conditionalFormatting sqref="C19">
    <cfRule type="expression" dxfId="1588" priority="154">
      <formula>AND($G17="I",OR($C19="SNGL",$C19="DBLE"))</formula>
    </cfRule>
  </conditionalFormatting>
  <conditionalFormatting sqref="C28">
    <cfRule type="expression" dxfId="1587" priority="57">
      <formula>AND($G26="I",OR($C28="SNGL",$C28="DBLE"))</formula>
    </cfRule>
  </conditionalFormatting>
  <conditionalFormatting sqref="C37">
    <cfRule type="expression" dxfId="1586" priority="11">
      <formula>AND($G35="I",OR($C37="SNGL",$C37="DBLE"))</formula>
    </cfRule>
  </conditionalFormatting>
  <conditionalFormatting sqref="C46">
    <cfRule type="expression" dxfId="1585" priority="101">
      <formula>AND($G44="I",OR($C46="SNGL",$C46="DBLE"))</formula>
    </cfRule>
  </conditionalFormatting>
  <conditionalFormatting sqref="F19">
    <cfRule type="expression" dxfId="1584" priority="192">
      <formula>F17&lt;&gt;"SPL"</formula>
    </cfRule>
    <cfRule type="expression" dxfId="1583" priority="194">
      <formula>AND(F17="SPL",F19="")</formula>
    </cfRule>
  </conditionalFormatting>
  <conditionalFormatting sqref="F20">
    <cfRule type="expression" dxfId="1582" priority="188">
      <formula>F17&lt;&gt;"SPL"</formula>
    </cfRule>
  </conditionalFormatting>
  <conditionalFormatting sqref="F28">
    <cfRule type="expression" dxfId="1581" priority="92">
      <formula>AND(F26="SPL",F28="")</formula>
    </cfRule>
    <cfRule type="expression" dxfId="1580" priority="90">
      <formula>F26&lt;&gt;"SPL"</formula>
    </cfRule>
  </conditionalFormatting>
  <conditionalFormatting sqref="F29">
    <cfRule type="expression" dxfId="1579" priority="86">
      <formula>F26&lt;&gt;"SPL"</formula>
    </cfRule>
  </conditionalFormatting>
  <conditionalFormatting sqref="F37">
    <cfRule type="expression" dxfId="1578" priority="40">
      <formula>F35&lt;&gt;"SPL"</formula>
    </cfRule>
    <cfRule type="expression" dxfId="1577" priority="42">
      <formula>AND(F35="SPL",F37="")</formula>
    </cfRule>
  </conditionalFormatting>
  <conditionalFormatting sqref="F38">
    <cfRule type="expression" dxfId="1576" priority="36">
      <formula>F35&lt;&gt;"SPL"</formula>
    </cfRule>
  </conditionalFormatting>
  <conditionalFormatting sqref="F46">
    <cfRule type="expression" dxfId="1575" priority="137">
      <formula>F44&lt;&gt;"SPL"</formula>
    </cfRule>
    <cfRule type="expression" dxfId="1574" priority="139">
      <formula>AND(F44="SPL",F46="")</formula>
    </cfRule>
  </conditionalFormatting>
  <conditionalFormatting sqref="F47">
    <cfRule type="expression" dxfId="1573" priority="133">
      <formula>F44&lt;&gt;"SPL"</formula>
    </cfRule>
  </conditionalFormatting>
  <conditionalFormatting sqref="G19:H19">
    <cfRule type="expression" dxfId="1572" priority="147">
      <formula>AND(I17="SK",G19="")</formula>
    </cfRule>
  </conditionalFormatting>
  <conditionalFormatting sqref="G28:H28">
    <cfRule type="expression" dxfId="1571" priority="48">
      <formula>AND(I26="SK",G28="")</formula>
    </cfRule>
  </conditionalFormatting>
  <conditionalFormatting sqref="G37:H37">
    <cfRule type="expression" dxfId="1570" priority="9">
      <formula>AND(I35="SK",G37="")</formula>
    </cfRule>
  </conditionalFormatting>
  <conditionalFormatting sqref="G46:H46">
    <cfRule type="expression" dxfId="1569" priority="94">
      <formula>AND(I44="SK",G46="")</formula>
    </cfRule>
  </conditionalFormatting>
  <conditionalFormatting sqref="G20:I20">
    <cfRule type="expression" dxfId="1568" priority="148">
      <formula>I17&lt;&gt;"SK"</formula>
    </cfRule>
  </conditionalFormatting>
  <conditionalFormatting sqref="G29:I29">
    <cfRule type="expression" dxfId="1567" priority="52">
      <formula>I26&lt;&gt;"SK"</formula>
    </cfRule>
  </conditionalFormatting>
  <conditionalFormatting sqref="G38:I38">
    <cfRule type="expression" dxfId="1566" priority="10">
      <formula>I35&lt;&gt;"SK"</formula>
    </cfRule>
  </conditionalFormatting>
  <conditionalFormatting sqref="G47:I47">
    <cfRule type="expression" dxfId="1565" priority="95">
      <formula>I44&lt;&gt;"SK"</formula>
    </cfRule>
  </conditionalFormatting>
  <conditionalFormatting sqref="I19">
    <cfRule type="expression" dxfId="1564" priority="190">
      <formula>OR(I17="F",RIGHT(I17,1)="P")</formula>
    </cfRule>
    <cfRule type="expression" dxfId="1563" priority="193">
      <formula>AND(I17&lt;&gt;"F",RIGHT(I17,1)&lt;&gt;"P",I19="",I17&lt;&gt;"")</formula>
    </cfRule>
  </conditionalFormatting>
  <conditionalFormatting sqref="I28">
    <cfRule type="expression" dxfId="1562" priority="91">
      <formula>AND(I26&lt;&gt;"F",RIGHT(I26,1)&lt;&gt;"P",I28="",I26&lt;&gt;"")</formula>
    </cfRule>
    <cfRule type="expression" dxfId="1561" priority="88">
      <formula>OR(I26="F",RIGHT(I26,1)="P")</formula>
    </cfRule>
  </conditionalFormatting>
  <conditionalFormatting sqref="I37">
    <cfRule type="expression" dxfId="1560" priority="41">
      <formula>AND(I35&lt;&gt;"F",RIGHT(I35,1)&lt;&gt;"P",I37="",I35&lt;&gt;"")</formula>
    </cfRule>
    <cfRule type="expression" dxfId="1559" priority="38">
      <formula>OR(I35="F",RIGHT(I35,1)="P")</formula>
    </cfRule>
  </conditionalFormatting>
  <conditionalFormatting sqref="I46">
    <cfRule type="expression" dxfId="1558" priority="135">
      <formula>OR(I44="F",RIGHT(I44,1)="P")</formula>
    </cfRule>
    <cfRule type="expression" dxfId="1557" priority="138">
      <formula>AND(I44&lt;&gt;"F",RIGHT(I44,1)&lt;&gt;"P",I46="",I44&lt;&gt;"")</formula>
    </cfRule>
  </conditionalFormatting>
  <conditionalFormatting sqref="J19:K19">
    <cfRule type="expression" dxfId="1556" priority="189">
      <formula>J17&lt;&gt;"SW"</formula>
    </cfRule>
    <cfRule type="expression" dxfId="1555" priority="191">
      <formula>AND(J17="SW",J19="")</formula>
    </cfRule>
  </conditionalFormatting>
  <conditionalFormatting sqref="J20:K20">
    <cfRule type="expression" dxfId="1554" priority="187">
      <formula>AND(J17="SW",J20="")</formula>
    </cfRule>
    <cfRule type="expression" dxfId="1553" priority="186">
      <formula>J17&lt;&gt;"SW"</formula>
    </cfRule>
  </conditionalFormatting>
  <conditionalFormatting sqref="J28:K28">
    <cfRule type="expression" dxfId="1552" priority="89">
      <formula>AND(J26="SW",J28="")</formula>
    </cfRule>
    <cfRule type="expression" dxfId="1551" priority="87">
      <formula>J26&lt;&gt;"SW"</formula>
    </cfRule>
  </conditionalFormatting>
  <conditionalFormatting sqref="J29:K29">
    <cfRule type="expression" dxfId="1550" priority="85">
      <formula>AND(J26="SW",J29="")</formula>
    </cfRule>
    <cfRule type="expression" dxfId="1549" priority="84">
      <formula>J26&lt;&gt;"SW"</formula>
    </cfRule>
  </conditionalFormatting>
  <conditionalFormatting sqref="J37:K37">
    <cfRule type="expression" dxfId="1548" priority="39">
      <formula>AND(J35="SW",J37="")</formula>
    </cfRule>
    <cfRule type="expression" dxfId="1547" priority="37">
      <formula>J35&lt;&gt;"SW"</formula>
    </cfRule>
  </conditionalFormatting>
  <conditionalFormatting sqref="J38:K38">
    <cfRule type="expression" dxfId="1546" priority="35">
      <formula>AND(J35="SW",J38="")</formula>
    </cfRule>
    <cfRule type="expression" dxfId="1545" priority="34">
      <formula>J35&lt;&gt;"SW"</formula>
    </cfRule>
  </conditionalFormatting>
  <conditionalFormatting sqref="J46:K46">
    <cfRule type="expression" dxfId="1544" priority="136">
      <formula>AND(J44="SW",J46="")</formula>
    </cfRule>
    <cfRule type="expression" dxfId="1543" priority="134">
      <formula>J44&lt;&gt;"SW"</formula>
    </cfRule>
  </conditionalFormatting>
  <conditionalFormatting sqref="J47:K47">
    <cfRule type="expression" dxfId="1542" priority="132">
      <formula>AND(J44="SW",J47="")</formula>
    </cfRule>
    <cfRule type="expression" dxfId="1541" priority="131">
      <formula>J44&lt;&gt;"SW"</formula>
    </cfRule>
  </conditionalFormatting>
  <conditionalFormatting sqref="L19:M19">
    <cfRule type="expression" dxfId="1540" priority="185">
      <formula>AND(L17="SH",L19="")</formula>
    </cfRule>
    <cfRule type="expression" dxfId="1539" priority="184">
      <formula>L17&lt;&gt;"SH"</formula>
    </cfRule>
  </conditionalFormatting>
  <conditionalFormatting sqref="L20:M20">
    <cfRule type="expression" dxfId="1538" priority="183">
      <formula>AND(L17="SH",L20="")</formula>
    </cfRule>
    <cfRule type="expression" dxfId="1537" priority="182">
      <formula>L17&lt;&gt;"SH"</formula>
    </cfRule>
  </conditionalFormatting>
  <conditionalFormatting sqref="L28:M28">
    <cfRule type="expression" dxfId="1536" priority="83">
      <formula>AND(L26="SH",L28="")</formula>
    </cfRule>
    <cfRule type="expression" dxfId="1535" priority="82">
      <formula>L26&lt;&gt;"SH"</formula>
    </cfRule>
  </conditionalFormatting>
  <conditionalFormatting sqref="L29:M29">
    <cfRule type="expression" dxfId="1534" priority="81">
      <formula>AND(L26="SH",L29="")</formula>
    </cfRule>
    <cfRule type="expression" dxfId="1533" priority="80">
      <formula>L26&lt;&gt;"SH"</formula>
    </cfRule>
  </conditionalFormatting>
  <conditionalFormatting sqref="L37:M37">
    <cfRule type="expression" dxfId="1532" priority="33">
      <formula>AND(L35="SH",L37="")</formula>
    </cfRule>
    <cfRule type="expression" dxfId="1531" priority="32">
      <formula>L35&lt;&gt;"SH"</formula>
    </cfRule>
  </conditionalFormatting>
  <conditionalFormatting sqref="L38:M38">
    <cfRule type="expression" dxfId="1530" priority="30">
      <formula>L35&lt;&gt;"SH"</formula>
    </cfRule>
    <cfRule type="expression" dxfId="1529" priority="31">
      <formula>AND(L35="SH",L38="")</formula>
    </cfRule>
  </conditionalFormatting>
  <conditionalFormatting sqref="L46:M46">
    <cfRule type="expression" dxfId="1528" priority="130">
      <formula>AND(L44="SH",L46="")</formula>
    </cfRule>
    <cfRule type="expression" dxfId="1527" priority="129">
      <formula>L44&lt;&gt;"SH"</formula>
    </cfRule>
  </conditionalFormatting>
  <conditionalFormatting sqref="L47:M47">
    <cfRule type="expression" dxfId="1526" priority="128">
      <formula>AND(L44="SH",L47="")</formula>
    </cfRule>
    <cfRule type="expression" dxfId="1525" priority="127">
      <formula>L44&lt;&gt;"SH"</formula>
    </cfRule>
  </conditionalFormatting>
  <conditionalFormatting sqref="N19">
    <cfRule type="expression" dxfId="1524" priority="181">
      <formula>AND(N17="SPL",N19="")</formula>
    </cfRule>
    <cfRule type="expression" dxfId="1523" priority="180">
      <formula>N17&lt;&gt;"SPL"</formula>
    </cfRule>
  </conditionalFormatting>
  <conditionalFormatting sqref="N20">
    <cfRule type="expression" dxfId="1522" priority="179">
      <formula>N17&lt;&gt;"SPL"</formula>
    </cfRule>
  </conditionalFormatting>
  <conditionalFormatting sqref="N21">
    <cfRule type="expression" dxfId="1521" priority="158">
      <formula>AND(AC21="*",N21="")</formula>
    </cfRule>
  </conditionalFormatting>
  <conditionalFormatting sqref="N22">
    <cfRule type="expression" dxfId="1520" priority="153">
      <formula>AND(AC21="*",N22="")</formula>
    </cfRule>
  </conditionalFormatting>
  <conditionalFormatting sqref="N23:N24">
    <cfRule type="expression" dxfId="1519" priority="151">
      <formula>AND(AC21="*",N23="")</formula>
    </cfRule>
  </conditionalFormatting>
  <conditionalFormatting sqref="N28">
    <cfRule type="expression" dxfId="1518" priority="78">
      <formula>N26&lt;&gt;"SPL"</formula>
    </cfRule>
    <cfRule type="expression" dxfId="1517" priority="79">
      <formula>AND(N26="SPL",N28="")</formula>
    </cfRule>
  </conditionalFormatting>
  <conditionalFormatting sqref="N29">
    <cfRule type="expression" dxfId="1516" priority="77">
      <formula>N26&lt;&gt;"SPL"</formula>
    </cfRule>
  </conditionalFormatting>
  <conditionalFormatting sqref="N30:N32">
    <cfRule type="expression" dxfId="1515" priority="60">
      <formula>AND(AC30="*",N30="")</formula>
    </cfRule>
  </conditionalFormatting>
  <conditionalFormatting sqref="N33">
    <cfRule type="expression" dxfId="1514" priority="55">
      <formula>AND(AND(AC30="*",N33=""),$C28&lt;&gt;"SNGL")</formula>
    </cfRule>
  </conditionalFormatting>
  <conditionalFormatting sqref="N37">
    <cfRule type="expression" dxfId="1513" priority="28">
      <formula>N35&lt;&gt;"SPL"</formula>
    </cfRule>
    <cfRule type="expression" dxfId="1512" priority="29">
      <formula>AND(N35="SPL",N37="")</formula>
    </cfRule>
  </conditionalFormatting>
  <conditionalFormatting sqref="N38">
    <cfRule type="expression" dxfId="1511" priority="27">
      <formula>N35&lt;&gt;"SPL"</formula>
    </cfRule>
  </conditionalFormatting>
  <conditionalFormatting sqref="N39:N41">
    <cfRule type="expression" dxfId="1510" priority="2">
      <formula>AND(AC39="*",N39="")</formula>
    </cfRule>
  </conditionalFormatting>
  <conditionalFormatting sqref="N42">
    <cfRule type="expression" dxfId="1509" priority="143">
      <formula>AND(AND(AC39="*",N42=""),$C37&lt;&gt;"SNGL")</formula>
    </cfRule>
  </conditionalFormatting>
  <conditionalFormatting sqref="N46">
    <cfRule type="expression" dxfId="1508" priority="125">
      <formula>N44&lt;&gt;"SPL"</formula>
    </cfRule>
    <cfRule type="expression" dxfId="1507" priority="126">
      <formula>AND(N44="SPL",N46="")</formula>
    </cfRule>
  </conditionalFormatting>
  <conditionalFormatting sqref="N47">
    <cfRule type="expression" dxfId="1506" priority="124">
      <formula>N44&lt;&gt;"SPL"</formula>
    </cfRule>
  </conditionalFormatting>
  <conditionalFormatting sqref="N48">
    <cfRule type="expression" dxfId="1505" priority="49">
      <formula>AND(AC48="*",N48="")</formula>
    </cfRule>
  </conditionalFormatting>
  <conditionalFormatting sqref="N49">
    <cfRule type="expression" dxfId="1504" priority="100">
      <formula>AND(AC48="*",N49="")</formula>
    </cfRule>
  </conditionalFormatting>
  <conditionalFormatting sqref="N50">
    <cfRule type="expression" dxfId="1503" priority="99">
      <formula>AND(AC48="*",N50="")</formula>
    </cfRule>
  </conditionalFormatting>
  <conditionalFormatting sqref="N51">
    <cfRule type="expression" dxfId="1502" priority="98">
      <formula>AND(AND(AC48="*",N51=""),$C46&lt;&gt;"SNGL")</formula>
    </cfRule>
  </conditionalFormatting>
  <conditionalFormatting sqref="O19:P19">
    <cfRule type="expression" dxfId="1501" priority="156">
      <formula>P17&lt;&gt;"SPL"</formula>
    </cfRule>
    <cfRule type="expression" dxfId="1500" priority="157">
      <formula>AND(P17="SPL",O19="")</formula>
    </cfRule>
  </conditionalFormatting>
  <conditionalFormatting sqref="O20:P20">
    <cfRule type="expression" dxfId="1499" priority="177">
      <formula>P17&lt;&gt;"SPL"</formula>
    </cfRule>
    <cfRule type="expression" dxfId="1498" priority="178">
      <formula>AND(P17="SPL",O20="")</formula>
    </cfRule>
  </conditionalFormatting>
  <conditionalFormatting sqref="O28:P28">
    <cfRule type="expression" dxfId="1497" priority="59">
      <formula>AND(P26="SPL",O28="")</formula>
    </cfRule>
    <cfRule type="expression" dxfId="1496" priority="58">
      <formula>P26&lt;&gt;"SPL"</formula>
    </cfRule>
  </conditionalFormatting>
  <conditionalFormatting sqref="O29:P29">
    <cfRule type="expression" dxfId="1495" priority="75">
      <formula>P26&lt;&gt;"SPL"</formula>
    </cfRule>
    <cfRule type="expression" dxfId="1494" priority="76">
      <formula>AND(P26="SPL",O29="")</formula>
    </cfRule>
  </conditionalFormatting>
  <conditionalFormatting sqref="O37:P37">
    <cfRule type="expression" dxfId="1493" priority="13">
      <formula>AND(P35="SPL",O37="")</formula>
    </cfRule>
    <cfRule type="expression" dxfId="1492" priority="12">
      <formula>P35&lt;&gt;"SPL"</formula>
    </cfRule>
  </conditionalFormatting>
  <conditionalFormatting sqref="O38:P38">
    <cfRule type="expression" dxfId="1491" priority="26">
      <formula>AND(P35="SPL",O38="")</formula>
    </cfRule>
    <cfRule type="expression" dxfId="1490" priority="25">
      <formula>P35&lt;&gt;"SPL"</formula>
    </cfRule>
  </conditionalFormatting>
  <conditionalFormatting sqref="O46:P46">
    <cfRule type="expression" dxfId="1489" priority="102">
      <formula>P44&lt;&gt;"SPL"</formula>
    </cfRule>
    <cfRule type="expression" dxfId="1488" priority="103">
      <formula>AND(P44="SPL",O46="")</formula>
    </cfRule>
  </conditionalFormatting>
  <conditionalFormatting sqref="O47:P47">
    <cfRule type="expression" dxfId="1487" priority="122">
      <formula>P44&lt;&gt;"SPL"</formula>
    </cfRule>
    <cfRule type="expression" dxfId="1486" priority="123">
      <formula>AND(P44="SPL",O47="")</formula>
    </cfRule>
  </conditionalFormatting>
  <conditionalFormatting sqref="O21:R24">
    <cfRule type="expression" dxfId="1485" priority="152">
      <formula>AND(AD31="*",O21="")</formula>
    </cfRule>
  </conditionalFormatting>
  <conditionalFormatting sqref="O30:R33">
    <cfRule type="expression" dxfId="1484" priority="56">
      <formula>AND(AD40="*",O30="")</formula>
    </cfRule>
  </conditionalFormatting>
  <conditionalFormatting sqref="O39:R42">
    <cfRule type="expression" dxfId="1483" priority="3">
      <formula>AND(AD49="*",O39="")</formula>
    </cfRule>
  </conditionalFormatting>
  <conditionalFormatting sqref="O48:R51">
    <cfRule type="expression" dxfId="1482" priority="50">
      <formula>AND(AD58="*",O48="")</formula>
    </cfRule>
  </conditionalFormatting>
  <conditionalFormatting sqref="Q19:R19">
    <cfRule type="expression" dxfId="1481" priority="176">
      <formula>AND(OR(Q17&lt;&gt;"NONE",Q17&lt;&gt;""),Q19="")</formula>
    </cfRule>
    <cfRule type="expression" dxfId="1480" priority="175">
      <formula>OR(Q17="NONE",Q17="")</formula>
    </cfRule>
  </conditionalFormatting>
  <conditionalFormatting sqref="Q20:R20">
    <cfRule type="expression" dxfId="1479" priority="174">
      <formula>AND(Q17&lt;&gt;"NONE",Q20="")</formula>
    </cfRule>
    <cfRule type="expression" dxfId="1478" priority="173">
      <formula>OR(Q17="NONE",Q17="")</formula>
    </cfRule>
  </conditionalFormatting>
  <conditionalFormatting sqref="Q28:R28">
    <cfRule type="expression" dxfId="1477" priority="46">
      <formula>AND(OR(Q26&lt;&gt;"NONE",Q26&lt;&gt;""),Q28="")</formula>
    </cfRule>
    <cfRule type="expression" dxfId="1476" priority="45">
      <formula>OR(Q26="NONE",Q26="")</formula>
    </cfRule>
  </conditionalFormatting>
  <conditionalFormatting sqref="Q29:R29">
    <cfRule type="expression" dxfId="1475" priority="43">
      <formula>OR(Q26="NONE",Q26="")</formula>
    </cfRule>
    <cfRule type="expression" dxfId="1474" priority="44">
      <formula>AND(Q26&lt;&gt;"NONE",Q29="")</formula>
    </cfRule>
  </conditionalFormatting>
  <conditionalFormatting sqref="Q37:R37">
    <cfRule type="expression" dxfId="1473" priority="7">
      <formula>AND(OR(Q35&lt;&gt;"NONE",Q35&lt;&gt;""),Q37="")</formula>
    </cfRule>
    <cfRule type="expression" dxfId="1472" priority="6">
      <formula>OR(Q35="NONE",Q35="")</formula>
    </cfRule>
  </conditionalFormatting>
  <conditionalFormatting sqref="Q38:R38">
    <cfRule type="expression" dxfId="1471" priority="4">
      <formula>OR(Q35="NONE",Q35="")</formula>
    </cfRule>
    <cfRule type="expression" dxfId="1470" priority="5">
      <formula>AND(Q35&lt;&gt;"NONE",Q38="")</formula>
    </cfRule>
  </conditionalFormatting>
  <conditionalFormatting sqref="Q46:R46">
    <cfRule type="expression" dxfId="1469" priority="121">
      <formula>AND(OR(Q44&lt;&gt;"NONE",Q44&lt;&gt;""),Q46="")</formula>
    </cfRule>
    <cfRule type="expression" dxfId="1468" priority="120">
      <formula>OR(Q44="NONE",Q44="")</formula>
    </cfRule>
  </conditionalFormatting>
  <conditionalFormatting sqref="Q47:R47">
    <cfRule type="expression" dxfId="1467" priority="119">
      <formula>AND(Q44&lt;&gt;"NONE",Q47="")</formula>
    </cfRule>
    <cfRule type="expression" dxfId="1466" priority="118">
      <formula>OR(Q44="NONE",Q44="")</formula>
    </cfRule>
  </conditionalFormatting>
  <conditionalFormatting sqref="S19">
    <cfRule type="expression" dxfId="1465" priority="171">
      <formula>S18="L"</formula>
    </cfRule>
  </conditionalFormatting>
  <conditionalFormatting sqref="S28">
    <cfRule type="expression" dxfId="1464" priority="73">
      <formula>S27="L"</formula>
    </cfRule>
  </conditionalFormatting>
  <conditionalFormatting sqref="S37">
    <cfRule type="expression" dxfId="1463" priority="24">
      <formula>S36="L"</formula>
    </cfRule>
  </conditionalFormatting>
  <conditionalFormatting sqref="S46">
    <cfRule type="expression" dxfId="1462" priority="116">
      <formula>S45="L"</formula>
    </cfRule>
  </conditionalFormatting>
  <conditionalFormatting sqref="T19">
    <cfRule type="expression" dxfId="1461" priority="170">
      <formula>S18="L"</formula>
    </cfRule>
  </conditionalFormatting>
  <conditionalFormatting sqref="T21">
    <cfRule type="expression" dxfId="1460" priority="172">
      <formula>AND(Q17="SPL",T21="")</formula>
    </cfRule>
  </conditionalFormatting>
  <conditionalFormatting sqref="T22">
    <cfRule type="expression" dxfId="1459" priority="149">
      <formula>AND(AC22="*",T22="")</formula>
    </cfRule>
  </conditionalFormatting>
  <conditionalFormatting sqref="T28">
    <cfRule type="expression" dxfId="1458" priority="72">
      <formula>S27="L"</formula>
    </cfRule>
  </conditionalFormatting>
  <conditionalFormatting sqref="T30">
    <cfRule type="expression" dxfId="1457" priority="74">
      <formula>AND(Q26="SPL",T30="")</formula>
    </cfRule>
  </conditionalFormatting>
  <conditionalFormatting sqref="T31">
    <cfRule type="expression" dxfId="1456" priority="53">
      <formula>AND(AC31="*",T31="")</formula>
    </cfRule>
  </conditionalFormatting>
  <conditionalFormatting sqref="T37">
    <cfRule type="expression" dxfId="1455" priority="23">
      <formula>S36="L"</formula>
    </cfRule>
  </conditionalFormatting>
  <conditionalFormatting sqref="T39">
    <cfRule type="expression" dxfId="1454" priority="1">
      <formula>AND(Q35="SPL",T39="")</formula>
    </cfRule>
  </conditionalFormatting>
  <conditionalFormatting sqref="T40">
    <cfRule type="expression" dxfId="1453" priority="141">
      <formula>AND(AC40="*",T40="")</formula>
    </cfRule>
  </conditionalFormatting>
  <conditionalFormatting sqref="T46">
    <cfRule type="expression" dxfId="1452" priority="115">
      <formula>S45="L"</formula>
    </cfRule>
  </conditionalFormatting>
  <conditionalFormatting sqref="T48">
    <cfRule type="expression" dxfId="1451" priority="117">
      <formula>AND(Q44="SPL",T48="")</formula>
    </cfRule>
  </conditionalFormatting>
  <conditionalFormatting sqref="T49">
    <cfRule type="expression" dxfId="1450" priority="96">
      <formula>AND(AC49="*",T49="")</formula>
    </cfRule>
  </conditionalFormatting>
  <conditionalFormatting sqref="T23:X24">
    <cfRule type="expression" dxfId="1449" priority="195">
      <formula>AND(AC23="*",T23="")</formula>
    </cfRule>
  </conditionalFormatting>
  <conditionalFormatting sqref="T32:X33">
    <cfRule type="expression" dxfId="1448" priority="93">
      <formula>AND(AC32="*",T32="")</formula>
    </cfRule>
  </conditionalFormatting>
  <conditionalFormatting sqref="T41:X42">
    <cfRule type="expression" dxfId="1447" priority="146">
      <formula>AND(AC41="*",T41="")</formula>
    </cfRule>
  </conditionalFormatting>
  <conditionalFormatting sqref="T50:X51">
    <cfRule type="expression" dxfId="1446" priority="140">
      <formula>AND(AC50="*",T50="")</formula>
    </cfRule>
  </conditionalFormatting>
  <conditionalFormatting sqref="U19">
    <cfRule type="expression" dxfId="1445" priority="169">
      <formula>S18="L"</formula>
    </cfRule>
  </conditionalFormatting>
  <conditionalFormatting sqref="U28">
    <cfRule type="expression" dxfId="1444" priority="71">
      <formula>S27="L"</formula>
    </cfRule>
  </conditionalFormatting>
  <conditionalFormatting sqref="U37">
    <cfRule type="expression" dxfId="1443" priority="22">
      <formula>S36="L"</formula>
    </cfRule>
  </conditionalFormatting>
  <conditionalFormatting sqref="U46">
    <cfRule type="expression" dxfId="1442" priority="114">
      <formula>S45="L"</formula>
    </cfRule>
  </conditionalFormatting>
  <conditionalFormatting sqref="U22:X22">
    <cfRule type="expression" dxfId="1441" priority="150">
      <formula>AND(AJ32="*",U22="")</formula>
    </cfRule>
  </conditionalFormatting>
  <conditionalFormatting sqref="U31:X31">
    <cfRule type="expression" dxfId="1440" priority="54">
      <formula>AND(AJ41="*",U31="")</formula>
    </cfRule>
  </conditionalFormatting>
  <conditionalFormatting sqref="U40:X40">
    <cfRule type="expression" dxfId="1439" priority="142">
      <formula>AND(AJ50="*",U40="")</formula>
    </cfRule>
  </conditionalFormatting>
  <conditionalFormatting sqref="U49:X49">
    <cfRule type="expression" dxfId="1438" priority="97">
      <formula>AND(AJ59="*",U49="")</formula>
    </cfRule>
  </conditionalFormatting>
  <conditionalFormatting sqref="V19">
    <cfRule type="expression" dxfId="1437" priority="167">
      <formula>X17&lt;&gt;"SPL"</formula>
    </cfRule>
    <cfRule type="expression" dxfId="1436" priority="168">
      <formula>AND(X17="SPL",V19="",W17&gt;0)</formula>
    </cfRule>
  </conditionalFormatting>
  <conditionalFormatting sqref="V28">
    <cfRule type="expression" dxfId="1435" priority="70">
      <formula>AND(X26="SPL",V28="",W26&gt;0)</formula>
    </cfRule>
    <cfRule type="expression" dxfId="1434" priority="69">
      <formula>X26&lt;&gt;"SPL"</formula>
    </cfRule>
  </conditionalFormatting>
  <conditionalFormatting sqref="V37">
    <cfRule type="expression" dxfId="1433" priority="20">
      <formula>X35&lt;&gt;"SPL"</formula>
    </cfRule>
    <cfRule type="expression" dxfId="1432" priority="21">
      <formula>AND(X35="SPL",V37="",W35&gt;0)</formula>
    </cfRule>
  </conditionalFormatting>
  <conditionalFormatting sqref="V46">
    <cfRule type="expression" dxfId="1431" priority="112">
      <formula>X44&lt;&gt;"SPL"</formula>
    </cfRule>
    <cfRule type="expression" dxfId="1430" priority="113">
      <formula>AND(X44="SPL",V46="",W44&gt;0)</formula>
    </cfRule>
  </conditionalFormatting>
  <conditionalFormatting sqref="V20:Z20">
    <cfRule type="expression" dxfId="1429" priority="161">
      <formula>$X$17&lt;&gt;"SPL"</formula>
    </cfRule>
  </conditionalFormatting>
  <conditionalFormatting sqref="V29:Z29">
    <cfRule type="expression" dxfId="1428" priority="63">
      <formula>$X$17&lt;&gt;"SPL"</formula>
    </cfRule>
  </conditionalFormatting>
  <conditionalFormatting sqref="V38:Z38">
    <cfRule type="expression" dxfId="1427" priority="14">
      <formula>$X$17&lt;&gt;"SPL"</formula>
    </cfRule>
  </conditionalFormatting>
  <conditionalFormatting sqref="V47:Z47">
    <cfRule type="expression" dxfId="1426" priority="106">
      <formula>$X$17&lt;&gt;"SPL"</formula>
    </cfRule>
  </conditionalFormatting>
  <conditionalFormatting sqref="W19">
    <cfRule type="expression" dxfId="1425" priority="166">
      <formula>AND($X17="SPL",W19="",$W17&gt;1)</formula>
    </cfRule>
  </conditionalFormatting>
  <conditionalFormatting sqref="W28">
    <cfRule type="expression" dxfId="1424" priority="68">
      <formula>AND($X26="SPL",W28="",$W26&gt;1)</formula>
    </cfRule>
  </conditionalFormatting>
  <conditionalFormatting sqref="W37">
    <cfRule type="expression" dxfId="1423" priority="19">
      <formula>AND($X35="SPL",W37="",$W35&gt;1)</formula>
    </cfRule>
  </conditionalFormatting>
  <conditionalFormatting sqref="W46">
    <cfRule type="expression" dxfId="1422" priority="111">
      <formula>AND($X44="SPL",W46="",$W44&gt;1)</formula>
    </cfRule>
  </conditionalFormatting>
  <conditionalFormatting sqref="W19:Z19">
    <cfRule type="expression" dxfId="1421" priority="162">
      <formula>$X17&lt;&gt;"SPL"</formula>
    </cfRule>
  </conditionalFormatting>
  <conditionalFormatting sqref="W28:Z28">
    <cfRule type="expression" dxfId="1420" priority="64">
      <formula>$X26&lt;&gt;"SPL"</formula>
    </cfRule>
  </conditionalFormatting>
  <conditionalFormatting sqref="W37:Z37">
    <cfRule type="expression" dxfId="1419" priority="15">
      <formula>$X35&lt;&gt;"SPL"</formula>
    </cfRule>
  </conditionalFormatting>
  <conditionalFormatting sqref="W46:Z46">
    <cfRule type="expression" dxfId="1418" priority="107">
      <formula>$X44&lt;&gt;"SPL"</formula>
    </cfRule>
  </conditionalFormatting>
  <conditionalFormatting sqref="X19">
    <cfRule type="expression" dxfId="1417" priority="165">
      <formula>AND($X17="SPL",X19="",$W17&gt;2)</formula>
    </cfRule>
  </conditionalFormatting>
  <conditionalFormatting sqref="X28">
    <cfRule type="expression" dxfId="1416" priority="67">
      <formula>AND($X26="SPL",X28="",$W26&gt;2)</formula>
    </cfRule>
  </conditionalFormatting>
  <conditionalFormatting sqref="X37">
    <cfRule type="expression" dxfId="1415" priority="18">
      <formula>AND($X35="SPL",X37="",$W35&gt;2)</formula>
    </cfRule>
  </conditionalFormatting>
  <conditionalFormatting sqref="X46">
    <cfRule type="expression" dxfId="1414" priority="110">
      <formula>AND($X44="SPL",X46="",$W44&gt;2)</formula>
    </cfRule>
  </conditionalFormatting>
  <conditionalFormatting sqref="Y17">
    <cfRule type="expression" dxfId="1413" priority="155">
      <formula>AND($S17="L",$Y17="")</formula>
    </cfRule>
  </conditionalFormatting>
  <conditionalFormatting sqref="Y19">
    <cfRule type="expression" dxfId="1412" priority="164">
      <formula>AND($X17="SPL",Y19="",$W17&gt;3)</formula>
    </cfRule>
  </conditionalFormatting>
  <conditionalFormatting sqref="Y22:Y24">
    <cfRule type="expression" dxfId="1411" priority="160">
      <formula>ISNA(Y22)</formula>
    </cfRule>
    <cfRule type="expression" dxfId="1410" priority="159">
      <formula>Y22=0</formula>
    </cfRule>
  </conditionalFormatting>
  <conditionalFormatting sqref="Y26">
    <cfRule type="expression" dxfId="1409" priority="47">
      <formula>AND($S26="L",$Y26="")</formula>
    </cfRule>
  </conditionalFormatting>
  <conditionalFormatting sqref="Y28">
    <cfRule type="expression" dxfId="1408" priority="66">
      <formula>AND($X26="SPL",Y28="",$W26&gt;3)</formula>
    </cfRule>
  </conditionalFormatting>
  <conditionalFormatting sqref="Y31:Y33">
    <cfRule type="expression" dxfId="1407" priority="62">
      <formula>ISNA(Y31)</formula>
    </cfRule>
    <cfRule type="expression" dxfId="1406" priority="61">
      <formula>Y31=0</formula>
    </cfRule>
  </conditionalFormatting>
  <conditionalFormatting sqref="Y35">
    <cfRule type="expression" dxfId="1405" priority="8">
      <formula>AND($S35="L",$Y35="")</formula>
    </cfRule>
  </conditionalFormatting>
  <conditionalFormatting sqref="Y37">
    <cfRule type="expression" dxfId="1404" priority="17">
      <formula>AND($X35="SPL",Y37="",$W35&gt;3)</formula>
    </cfRule>
  </conditionalFormatting>
  <conditionalFormatting sqref="Y40:Y42">
    <cfRule type="expression" dxfId="1403" priority="145">
      <formula>ISNA(Y40)</formula>
    </cfRule>
    <cfRule type="expression" dxfId="1402" priority="144">
      <formula>Y40=0</formula>
    </cfRule>
  </conditionalFormatting>
  <conditionalFormatting sqref="Y44">
    <cfRule type="expression" dxfId="1401" priority="51">
      <formula>AND($S44="L",$Y44="")</formula>
    </cfRule>
  </conditionalFormatting>
  <conditionalFormatting sqref="Y46">
    <cfRule type="expression" dxfId="1400" priority="109">
      <formula>AND($X44="SPL",Y46="",$W44&gt;3)</formula>
    </cfRule>
  </conditionalFormatting>
  <conditionalFormatting sqref="Y49:Y51">
    <cfRule type="expression" dxfId="1399" priority="104">
      <formula>Y49=0</formula>
    </cfRule>
    <cfRule type="expression" dxfId="1398" priority="105">
      <formula>ISNA(Y49)</formula>
    </cfRule>
  </conditionalFormatting>
  <conditionalFormatting sqref="Z19">
    <cfRule type="expression" dxfId="1397" priority="163">
      <formula>AND($X17="SPL",Z19="",$W17&gt;4)</formula>
    </cfRule>
  </conditionalFormatting>
  <conditionalFormatting sqref="Z28">
    <cfRule type="expression" dxfId="1396" priority="65">
      <formula>AND($X26="SPL",Z28="",$W26&gt;4)</formula>
    </cfRule>
  </conditionalFormatting>
  <conditionalFormatting sqref="Z37">
    <cfRule type="expression" dxfId="1395" priority="16">
      <formula>AND($X35="SPL",Z37="",$W35&gt;4)</formula>
    </cfRule>
  </conditionalFormatting>
  <conditionalFormatting sqref="Z46">
    <cfRule type="expression" dxfId="1394" priority="108">
      <formula>AND($X44="SPL",Z46="",$W44&gt;4)</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957B-B2F5-4229-80F0-4105FC7CED29}">
  <sheetPr>
    <tabColor theme="4"/>
  </sheetPr>
  <dimension ref="A1:BI136"/>
  <sheetViews>
    <sheetView topLeftCell="E1" workbookViewId="0">
      <selection activeCell="E19" sqref="E19"/>
    </sheetView>
  </sheetViews>
  <sheetFormatPr defaultRowHeight="12.6" x14ac:dyDescent="0.2"/>
  <cols>
    <col min="1" max="1" width="9.08984375" style="398"/>
    <col min="2" max="2" width="37.36328125" style="400" bestFit="1" customWidth="1"/>
    <col min="3" max="3" width="7.6328125" customWidth="1"/>
    <col min="4" max="4" width="26.08984375" customWidth="1"/>
    <col min="5" max="5" width="9.08984375" style="398"/>
    <col min="6" max="6" width="23.36328125" style="400" bestFit="1" customWidth="1"/>
    <col min="7" max="7" width="9.08984375" style="398"/>
    <col min="8" max="8" width="23" style="400" bestFit="1" customWidth="1"/>
    <col min="10" max="10" width="17.08984375" style="400" customWidth="1"/>
    <col min="12" max="12" width="30.6328125" style="400" customWidth="1"/>
    <col min="13" max="13" width="8.90625" customWidth="1"/>
    <col min="14" max="14" width="30.6328125" customWidth="1"/>
    <col min="15" max="15" width="8.90625" customWidth="1"/>
    <col min="16" max="16" width="30.6328125" customWidth="1"/>
    <col min="18" max="18" width="26.90625" style="400" customWidth="1"/>
    <col min="20" max="20" width="30.36328125" style="400" bestFit="1" customWidth="1"/>
    <col min="22" max="22" width="19.08984375" style="400" bestFit="1" customWidth="1"/>
    <col min="23" max="23" width="9.08984375" style="398"/>
    <col min="24" max="24" width="37.90625" style="400" customWidth="1"/>
    <col min="25" max="25" width="7.453125" customWidth="1"/>
    <col min="26" max="26" width="40.26953125" style="403" customWidth="1"/>
    <col min="27" max="27" width="6.08984375" style="403" customWidth="1"/>
    <col min="28" max="28" width="40.26953125" style="403" customWidth="1"/>
    <col min="29" max="29" width="10.6328125" style="403" customWidth="1"/>
    <col min="30" max="30" width="23" style="400" bestFit="1" customWidth="1"/>
    <col min="31" max="31" width="9.08984375" style="403"/>
    <col min="32" max="32" width="51.36328125" style="404" bestFit="1" customWidth="1"/>
    <col min="33" max="33" width="9.6328125" style="538" customWidth="1"/>
    <col min="34" max="34" width="51.36328125" style="538" customWidth="1"/>
    <col min="35" max="35" width="5.08984375" bestFit="1" customWidth="1"/>
    <col min="36" max="36" width="37" style="400" bestFit="1" customWidth="1"/>
    <col min="38" max="38" width="31.90625" style="400" bestFit="1" customWidth="1"/>
    <col min="40" max="40" width="30.08984375" style="400" bestFit="1" customWidth="1"/>
    <col min="41" max="41" width="39.90625" style="398" customWidth="1"/>
    <col min="42" max="42" width="16.90625" style="400" bestFit="1" customWidth="1"/>
    <col min="44" max="44" width="33.36328125" style="400" bestFit="1" customWidth="1"/>
    <col min="46" max="46" width="44.26953125" style="400" bestFit="1" customWidth="1"/>
    <col min="48" max="48" width="41.6328125" style="400" bestFit="1" customWidth="1"/>
    <col min="49" max="49" width="9.08984375" style="402"/>
    <col min="50" max="50" width="5.6328125" style="403" bestFit="1" customWidth="1"/>
    <col min="51" max="51" width="43.08984375" style="400" bestFit="1" customWidth="1"/>
    <col min="53" max="53" width="40.453125" style="400" customWidth="1"/>
    <col min="55" max="55" width="49.6328125" style="400" customWidth="1"/>
    <col min="56" max="56" width="7.90625" customWidth="1"/>
    <col min="57" max="57" width="51.90625" style="400" bestFit="1" customWidth="1"/>
  </cols>
  <sheetData>
    <row r="1" spans="1:61" s="393" customFormat="1" ht="23.25" customHeight="1" x14ac:dyDescent="0.2">
      <c r="A1" s="4147" t="s">
        <v>1310</v>
      </c>
      <c r="B1" s="4147"/>
      <c r="E1" s="4147" t="s">
        <v>1311</v>
      </c>
      <c r="F1" s="4147"/>
      <c r="G1" s="4147" t="s">
        <v>1312</v>
      </c>
      <c r="H1" s="4147"/>
      <c r="I1" s="4147" t="s">
        <v>295</v>
      </c>
      <c r="J1" s="4147"/>
      <c r="K1" s="4147" t="s">
        <v>1313</v>
      </c>
      <c r="L1" s="4147"/>
      <c r="M1" s="4147" t="s">
        <v>1314</v>
      </c>
      <c r="N1" s="4147"/>
      <c r="O1" s="4147" t="s">
        <v>1315</v>
      </c>
      <c r="P1" s="4147"/>
      <c r="S1" s="4147" t="s">
        <v>94</v>
      </c>
      <c r="T1" s="4147"/>
      <c r="U1" s="4147" t="s">
        <v>1316</v>
      </c>
      <c r="V1" s="4147"/>
      <c r="W1" s="4147" t="s">
        <v>1317</v>
      </c>
      <c r="X1" s="4147"/>
      <c r="Y1" s="4148" t="s">
        <v>1318</v>
      </c>
      <c r="Z1" s="4148"/>
      <c r="AA1" s="530"/>
      <c r="AB1" s="530"/>
      <c r="AC1" s="4149" t="s">
        <v>22</v>
      </c>
      <c r="AD1" s="4150"/>
      <c r="AE1" s="531"/>
      <c r="AF1" s="529" t="s">
        <v>1267</v>
      </c>
      <c r="AG1" s="4148" t="s">
        <v>1319</v>
      </c>
      <c r="AH1" s="4148"/>
      <c r="AI1" s="4148" t="s">
        <v>1320</v>
      </c>
      <c r="AJ1" s="4148"/>
      <c r="AK1" s="529"/>
      <c r="AL1" s="529" t="s">
        <v>1321</v>
      </c>
      <c r="AM1" s="4148" t="s">
        <v>24</v>
      </c>
      <c r="AN1" s="4148"/>
      <c r="AO1" s="4148" t="s">
        <v>1322</v>
      </c>
      <c r="AP1" s="4148"/>
      <c r="AQ1" s="4148" t="s">
        <v>1323</v>
      </c>
      <c r="AR1" s="4148"/>
      <c r="AS1" s="529" t="s">
        <v>1324</v>
      </c>
      <c r="AU1" s="4147"/>
      <c r="AV1" s="4147"/>
      <c r="AW1" s="4147"/>
      <c r="AX1" s="4147"/>
      <c r="AY1" s="4147"/>
      <c r="AZ1" s="4147"/>
      <c r="BA1" s="532"/>
      <c r="BB1" s="4147"/>
      <c r="BC1" s="4147"/>
      <c r="BD1" s="4147"/>
      <c r="BE1" s="4147"/>
      <c r="BF1" s="4147"/>
      <c r="BG1" s="4147"/>
      <c r="BI1" s="533" t="s">
        <v>1324</v>
      </c>
    </row>
    <row r="2" spans="1:61" x14ac:dyDescent="0.2">
      <c r="A2" t="s">
        <v>1795</v>
      </c>
      <c r="B2" t="s">
        <v>1325</v>
      </c>
      <c r="E2" t="s">
        <v>483</v>
      </c>
      <c r="F2" s="400" t="s">
        <v>1326</v>
      </c>
      <c r="G2"/>
      <c r="H2" t="s">
        <v>1327</v>
      </c>
      <c r="I2" s="398"/>
      <c r="J2"/>
      <c r="K2" s="534">
        <v>20</v>
      </c>
      <c r="L2" s="535" t="s">
        <v>1328</v>
      </c>
      <c r="M2" s="536">
        <v>68</v>
      </c>
      <c r="N2" s="535" t="s">
        <v>1329</v>
      </c>
      <c r="O2" s="537" t="s">
        <v>965</v>
      </c>
      <c r="P2" s="400" t="s">
        <v>1330</v>
      </c>
      <c r="S2" s="398">
        <v>18</v>
      </c>
      <c r="T2" s="535" t="s">
        <v>1331</v>
      </c>
      <c r="U2" s="398" t="s">
        <v>1332</v>
      </c>
      <c r="V2" s="535" t="s">
        <v>1333</v>
      </c>
      <c r="W2" s="398" t="s">
        <v>964</v>
      </c>
      <c r="X2" s="535" t="s">
        <v>1334</v>
      </c>
      <c r="Y2" s="528" t="s">
        <v>486</v>
      </c>
      <c r="Z2" s="400" t="s">
        <v>1335</v>
      </c>
      <c r="AA2"/>
      <c r="AB2"/>
      <c r="AC2"/>
      <c r="AD2" s="398"/>
      <c r="AE2"/>
      <c r="AF2"/>
      <c r="AG2" s="403"/>
      <c r="AH2"/>
      <c r="AI2" s="403"/>
      <c r="AJ2" s="538"/>
      <c r="AK2" s="538"/>
      <c r="AL2" s="538"/>
      <c r="AN2"/>
      <c r="AO2"/>
      <c r="AP2"/>
      <c r="AR2"/>
      <c r="AS2" s="398"/>
      <c r="AT2"/>
      <c r="AV2"/>
      <c r="AW2"/>
      <c r="AX2"/>
      <c r="AY2"/>
      <c r="BA2" s="402"/>
      <c r="BB2" s="403"/>
      <c r="BC2"/>
      <c r="BE2"/>
      <c r="BI2" s="400"/>
    </row>
    <row r="3" spans="1:61" x14ac:dyDescent="0.2">
      <c r="A3" t="s">
        <v>1908</v>
      </c>
      <c r="B3" t="s">
        <v>1336</v>
      </c>
      <c r="E3" t="s">
        <v>1337</v>
      </c>
      <c r="F3" s="400" t="s">
        <v>1338</v>
      </c>
      <c r="G3"/>
      <c r="H3" t="s">
        <v>1339</v>
      </c>
      <c r="I3" s="398"/>
      <c r="J3"/>
      <c r="K3" s="534">
        <v>24</v>
      </c>
      <c r="L3" s="535" t="s">
        <v>1340</v>
      </c>
      <c r="M3" s="536">
        <v>70</v>
      </c>
      <c r="N3" s="535" t="s">
        <v>1341</v>
      </c>
      <c r="O3" s="539" t="s">
        <v>484</v>
      </c>
      <c r="P3" s="400" t="s">
        <v>1342</v>
      </c>
      <c r="S3" s="398">
        <v>16</v>
      </c>
      <c r="T3" s="535" t="s">
        <v>1343</v>
      </c>
      <c r="U3" s="398" t="s">
        <v>1344</v>
      </c>
      <c r="V3" s="535" t="s">
        <v>1345</v>
      </c>
      <c r="W3" s="398" t="s">
        <v>1346</v>
      </c>
      <c r="X3" s="535" t="s">
        <v>1347</v>
      </c>
      <c r="Y3" s="528" t="s">
        <v>1348</v>
      </c>
      <c r="Z3" s="400" t="s">
        <v>1349</v>
      </c>
      <c r="AA3"/>
      <c r="AB3"/>
      <c r="AC3"/>
      <c r="AD3" s="398"/>
      <c r="AE3"/>
      <c r="AF3"/>
      <c r="AG3" s="403"/>
      <c r="AH3"/>
      <c r="AI3" s="403"/>
      <c r="AJ3" s="538"/>
      <c r="AK3" s="538"/>
      <c r="AL3" s="538"/>
      <c r="AN3"/>
      <c r="AO3"/>
      <c r="AP3"/>
      <c r="AR3"/>
      <c r="AS3" s="398"/>
      <c r="AT3"/>
      <c r="AV3"/>
      <c r="AW3"/>
      <c r="AX3"/>
      <c r="AY3"/>
      <c r="BA3" s="402"/>
      <c r="BB3" s="403"/>
      <c r="BC3"/>
      <c r="BE3"/>
      <c r="BI3" s="400"/>
    </row>
    <row r="4" spans="1:61" x14ac:dyDescent="0.2">
      <c r="A4" t="s">
        <v>80</v>
      </c>
      <c r="B4" t="s">
        <v>1350</v>
      </c>
      <c r="E4" t="s">
        <v>1351</v>
      </c>
      <c r="F4" s="400" t="s">
        <v>1352</v>
      </c>
      <c r="G4"/>
      <c r="H4" t="s">
        <v>1353</v>
      </c>
      <c r="I4" s="398"/>
      <c r="J4"/>
      <c r="K4" s="534">
        <v>26</v>
      </c>
      <c r="L4" s="535" t="s">
        <v>1354</v>
      </c>
      <c r="M4" s="536">
        <v>72</v>
      </c>
      <c r="N4" s="535" t="s">
        <v>1355</v>
      </c>
      <c r="O4" s="540" t="s">
        <v>1356</v>
      </c>
      <c r="P4" s="400" t="s">
        <v>1357</v>
      </c>
      <c r="S4" s="398">
        <v>14</v>
      </c>
      <c r="T4" s="535" t="s">
        <v>1358</v>
      </c>
      <c r="U4" s="398" t="s">
        <v>1359</v>
      </c>
      <c r="V4" s="528" t="s">
        <v>1360</v>
      </c>
      <c r="W4" s="398" t="s">
        <v>1361</v>
      </c>
      <c r="X4" s="535" t="s">
        <v>1362</v>
      </c>
      <c r="Y4" s="528" t="s">
        <v>1363</v>
      </c>
      <c r="Z4" s="400" t="s">
        <v>1364</v>
      </c>
      <c r="AA4"/>
      <c r="AB4"/>
      <c r="AC4"/>
      <c r="AD4" s="398"/>
      <c r="AE4"/>
      <c r="AF4"/>
      <c r="AG4" s="403"/>
      <c r="AH4"/>
      <c r="AI4" s="403"/>
      <c r="AJ4" s="538"/>
      <c r="AK4" s="538"/>
      <c r="AL4" s="538"/>
      <c r="AN4"/>
      <c r="AO4"/>
      <c r="AP4"/>
      <c r="AR4"/>
      <c r="AS4" s="398"/>
      <c r="AT4"/>
      <c r="AV4"/>
      <c r="AW4"/>
      <c r="AX4"/>
      <c r="AY4"/>
      <c r="BA4" s="402"/>
      <c r="BB4" s="403"/>
      <c r="BC4"/>
      <c r="BE4"/>
      <c r="BI4" s="400"/>
    </row>
    <row r="5" spans="1:61" x14ac:dyDescent="0.2">
      <c r="A5" t="s">
        <v>2304</v>
      </c>
      <c r="B5" t="s">
        <v>1365</v>
      </c>
      <c r="E5" t="s">
        <v>1366</v>
      </c>
      <c r="F5" s="400" t="s">
        <v>1367</v>
      </c>
      <c r="G5"/>
      <c r="H5"/>
      <c r="I5" s="398"/>
      <c r="J5"/>
      <c r="K5" s="534">
        <v>28</v>
      </c>
      <c r="L5" s="535" t="s">
        <v>1368</v>
      </c>
      <c r="M5" s="536" t="s">
        <v>1369</v>
      </c>
      <c r="N5" s="535" t="s">
        <v>1370</v>
      </c>
      <c r="O5" s="398" t="s">
        <v>1227</v>
      </c>
      <c r="P5" s="400" t="s">
        <v>1371</v>
      </c>
      <c r="S5" s="398">
        <v>12</v>
      </c>
      <c r="T5" s="535" t="s">
        <v>1372</v>
      </c>
      <c r="U5" s="398">
        <v>304</v>
      </c>
      <c r="V5" s="528" t="s">
        <v>1373</v>
      </c>
      <c r="W5" s="398" t="s">
        <v>478</v>
      </c>
      <c r="X5" s="535" t="s">
        <v>1374</v>
      </c>
      <c r="Y5" s="528" t="s">
        <v>1375</v>
      </c>
      <c r="Z5" s="400" t="s">
        <v>1376</v>
      </c>
      <c r="AA5"/>
      <c r="AB5"/>
      <c r="AC5"/>
      <c r="AD5" s="398"/>
      <c r="AE5"/>
      <c r="AF5"/>
      <c r="AG5" s="403"/>
      <c r="AH5"/>
      <c r="AI5" s="403"/>
      <c r="AJ5" s="538"/>
      <c r="AK5" s="538"/>
      <c r="AL5" s="538"/>
      <c r="AN5"/>
      <c r="AO5"/>
      <c r="AP5"/>
      <c r="AR5"/>
      <c r="AS5" s="398"/>
      <c r="AT5"/>
      <c r="AV5"/>
      <c r="AW5"/>
      <c r="AX5"/>
      <c r="AY5"/>
      <c r="BA5" s="402"/>
      <c r="BB5" s="403"/>
      <c r="BC5"/>
      <c r="BE5"/>
      <c r="BI5" s="400"/>
    </row>
    <row r="6" spans="1:61" x14ac:dyDescent="0.2">
      <c r="A6" t="s">
        <v>2305</v>
      </c>
      <c r="B6" t="s">
        <v>1377</v>
      </c>
      <c r="E6" t="s">
        <v>1378</v>
      </c>
      <c r="F6" s="400" t="s">
        <v>1379</v>
      </c>
      <c r="G6"/>
      <c r="H6"/>
      <c r="I6" s="398"/>
      <c r="J6"/>
      <c r="K6" s="534" t="s">
        <v>1380</v>
      </c>
      <c r="L6" s="535" t="s">
        <v>1381</v>
      </c>
      <c r="M6" s="536">
        <v>80</v>
      </c>
      <c r="N6" s="535" t="s">
        <v>1382</v>
      </c>
      <c r="O6" s="541">
        <v>1</v>
      </c>
      <c r="P6" s="400"/>
      <c r="T6"/>
      <c r="U6" s="398">
        <v>316</v>
      </c>
      <c r="V6" s="528" t="s">
        <v>1383</v>
      </c>
      <c r="W6" s="398" t="s">
        <v>1384</v>
      </c>
      <c r="X6" s="535" t="s">
        <v>1385</v>
      </c>
      <c r="Y6" s="528" t="s">
        <v>1386</v>
      </c>
      <c r="Z6" s="400" t="s">
        <v>1387</v>
      </c>
      <c r="AA6"/>
      <c r="AB6"/>
      <c r="AC6"/>
      <c r="AD6" s="398"/>
      <c r="AE6"/>
      <c r="AF6"/>
      <c r="AG6" s="403"/>
      <c r="AH6"/>
      <c r="AI6" s="403"/>
      <c r="AJ6" s="538"/>
      <c r="AK6" s="538"/>
      <c r="AL6" s="538"/>
      <c r="AN6"/>
      <c r="AO6"/>
      <c r="AP6"/>
      <c r="AR6"/>
      <c r="AS6" s="398"/>
      <c r="AT6"/>
      <c r="AV6"/>
      <c r="AW6"/>
      <c r="AX6"/>
      <c r="AY6"/>
      <c r="BA6" s="402"/>
      <c r="BB6" s="403"/>
      <c r="BC6"/>
      <c r="BE6"/>
      <c r="BI6" s="400"/>
    </row>
    <row r="7" spans="1:61" x14ac:dyDescent="0.2">
      <c r="A7" t="s">
        <v>2306</v>
      </c>
      <c r="B7" t="s">
        <v>1388</v>
      </c>
      <c r="E7" t="s">
        <v>1389</v>
      </c>
      <c r="F7" s="400" t="s">
        <v>1390</v>
      </c>
      <c r="G7"/>
      <c r="H7"/>
      <c r="I7" s="398"/>
      <c r="J7"/>
      <c r="K7" s="534">
        <v>30</v>
      </c>
      <c r="L7" s="535" t="s">
        <v>1391</v>
      </c>
      <c r="M7" s="528" t="s">
        <v>1392</v>
      </c>
      <c r="N7" s="535" t="s">
        <v>1393</v>
      </c>
      <c r="O7" s="541">
        <v>1.0625</v>
      </c>
      <c r="P7" s="400"/>
      <c r="T7"/>
      <c r="V7"/>
      <c r="W7" s="398" t="s">
        <v>1394</v>
      </c>
      <c r="X7" s="535" t="s">
        <v>1395</v>
      </c>
      <c r="Y7" s="528" t="s">
        <v>1396</v>
      </c>
      <c r="Z7" s="400" t="s">
        <v>1397</v>
      </c>
      <c r="AA7"/>
      <c r="AB7"/>
      <c r="AC7"/>
      <c r="AD7" s="398"/>
      <c r="AE7"/>
      <c r="AF7"/>
      <c r="AG7" s="403"/>
      <c r="AH7"/>
      <c r="AI7" s="403"/>
      <c r="AJ7" s="538"/>
      <c r="AK7" s="538"/>
      <c r="AL7" s="538"/>
      <c r="AN7"/>
      <c r="AO7"/>
      <c r="AP7"/>
      <c r="AR7"/>
      <c r="AS7" s="398"/>
      <c r="AT7"/>
      <c r="AV7"/>
      <c r="AW7"/>
      <c r="AX7"/>
      <c r="AY7"/>
      <c r="BA7" s="402"/>
      <c r="BB7" s="403"/>
      <c r="BC7"/>
      <c r="BE7"/>
      <c r="BI7" s="400"/>
    </row>
    <row r="8" spans="1:61" x14ac:dyDescent="0.2">
      <c r="A8" t="s">
        <v>2307</v>
      </c>
      <c r="B8" t="s">
        <v>1398</v>
      </c>
      <c r="E8" t="s">
        <v>1399</v>
      </c>
      <c r="F8" s="400" t="s">
        <v>1400</v>
      </c>
      <c r="G8"/>
      <c r="H8"/>
      <c r="I8" s="398"/>
      <c r="J8"/>
      <c r="K8" s="534">
        <v>34</v>
      </c>
      <c r="L8" s="535" t="s">
        <v>1401</v>
      </c>
      <c r="M8" s="542" t="s">
        <v>1402</v>
      </c>
      <c r="N8" s="535" t="s">
        <v>1403</v>
      </c>
      <c r="O8" s="541">
        <v>1.125</v>
      </c>
      <c r="P8" s="400"/>
      <c r="T8"/>
      <c r="V8"/>
      <c r="W8" s="398" t="s">
        <v>1243</v>
      </c>
      <c r="X8" s="535" t="s">
        <v>1404</v>
      </c>
      <c r="Y8" s="528" t="s">
        <v>1405</v>
      </c>
      <c r="Z8" s="400" t="s">
        <v>1406</v>
      </c>
      <c r="AA8"/>
      <c r="AB8"/>
      <c r="AC8"/>
      <c r="AD8" s="398"/>
      <c r="AE8"/>
      <c r="AF8"/>
      <c r="AG8" s="403"/>
      <c r="AH8"/>
      <c r="AI8" s="403"/>
      <c r="AJ8" s="538"/>
      <c r="AK8" s="538"/>
      <c r="AL8" s="538"/>
      <c r="AN8"/>
      <c r="AO8"/>
      <c r="AP8"/>
      <c r="AR8"/>
      <c r="AS8" s="398"/>
      <c r="AT8"/>
      <c r="AV8"/>
      <c r="AW8"/>
      <c r="AX8"/>
      <c r="AY8"/>
      <c r="BA8" s="402"/>
      <c r="BB8" s="403"/>
      <c r="BC8"/>
      <c r="BE8"/>
      <c r="BI8" s="400"/>
    </row>
    <row r="9" spans="1:61" x14ac:dyDescent="0.2">
      <c r="A9" t="s">
        <v>2308</v>
      </c>
      <c r="B9" t="s">
        <v>1407</v>
      </c>
      <c r="E9" t="s">
        <v>1408</v>
      </c>
      <c r="F9" s="400" t="s">
        <v>1409</v>
      </c>
      <c r="G9"/>
      <c r="H9"/>
      <c r="I9" s="398"/>
      <c r="J9"/>
      <c r="K9" s="534">
        <v>36</v>
      </c>
      <c r="L9" s="535" t="s">
        <v>1410</v>
      </c>
      <c r="O9" s="541">
        <v>1.1875</v>
      </c>
      <c r="P9" s="400"/>
      <c r="T9"/>
      <c r="V9"/>
      <c r="W9" s="398" t="s">
        <v>535</v>
      </c>
      <c r="X9" s="535" t="s">
        <v>1411</v>
      </c>
      <c r="Y9" s="528" t="s">
        <v>1227</v>
      </c>
      <c r="Z9" s="400" t="s">
        <v>1412</v>
      </c>
      <c r="AA9"/>
      <c r="AB9"/>
      <c r="AC9"/>
      <c r="AD9" s="398"/>
      <c r="AE9"/>
      <c r="AF9"/>
      <c r="AG9" s="403"/>
      <c r="AH9"/>
      <c r="AI9" s="403"/>
      <c r="AJ9" s="538"/>
      <c r="AK9" s="538"/>
      <c r="AL9" s="538"/>
      <c r="AN9"/>
      <c r="AO9"/>
      <c r="AP9"/>
      <c r="AR9"/>
      <c r="AS9" s="398"/>
      <c r="AT9"/>
      <c r="AV9"/>
      <c r="AW9"/>
      <c r="AX9"/>
      <c r="AY9"/>
      <c r="BA9" s="402"/>
      <c r="BB9" s="403"/>
      <c r="BC9"/>
      <c r="BE9"/>
      <c r="BI9" s="400"/>
    </row>
    <row r="10" spans="1:61" x14ac:dyDescent="0.2">
      <c r="A10" t="s">
        <v>2300</v>
      </c>
      <c r="B10" t="s">
        <v>505</v>
      </c>
      <c r="E10" t="s">
        <v>1413</v>
      </c>
      <c r="F10" s="400" t="s">
        <v>1414</v>
      </c>
      <c r="G10"/>
      <c r="H10"/>
      <c r="I10" s="398"/>
      <c r="J10"/>
      <c r="K10" s="534">
        <v>38</v>
      </c>
      <c r="L10" s="535" t="s">
        <v>1415</v>
      </c>
      <c r="O10" s="541">
        <v>1.25</v>
      </c>
      <c r="P10" s="400"/>
      <c r="T10"/>
      <c r="V10"/>
      <c r="W10" s="543" t="s">
        <v>1416</v>
      </c>
      <c r="X10" s="544" t="s">
        <v>1417</v>
      </c>
      <c r="AD10" s="398"/>
      <c r="AE10"/>
      <c r="AF10"/>
      <c r="AG10" s="403"/>
      <c r="AH10"/>
      <c r="AI10" s="403"/>
      <c r="AJ10" s="538"/>
      <c r="AK10" s="538"/>
      <c r="AL10" s="538"/>
      <c r="AN10"/>
      <c r="AO10"/>
      <c r="AP10"/>
      <c r="AR10"/>
      <c r="AS10" s="398"/>
      <c r="AT10"/>
      <c r="AV10"/>
      <c r="AW10"/>
      <c r="AX10"/>
      <c r="AY10"/>
      <c r="BA10" s="402"/>
      <c r="BB10" s="403"/>
      <c r="BC10"/>
      <c r="BE10"/>
      <c r="BI10" s="400"/>
    </row>
    <row r="11" spans="1:61" x14ac:dyDescent="0.2">
      <c r="A11" t="s">
        <v>2301</v>
      </c>
      <c r="B11" t="s">
        <v>1418</v>
      </c>
      <c r="E11" t="s">
        <v>1419</v>
      </c>
      <c r="F11" s="400" t="s">
        <v>1420</v>
      </c>
      <c r="G11"/>
      <c r="H11"/>
      <c r="I11" s="398"/>
      <c r="J11"/>
      <c r="K11" s="534" t="s">
        <v>1421</v>
      </c>
      <c r="L11" s="535" t="s">
        <v>1422</v>
      </c>
      <c r="O11" s="541">
        <v>1.3125</v>
      </c>
      <c r="P11" s="400"/>
      <c r="T11"/>
      <c r="V11"/>
      <c r="W11" s="398" t="s">
        <v>1423</v>
      </c>
      <c r="X11" s="535" t="s">
        <v>1424</v>
      </c>
      <c r="Z11" s="400"/>
      <c r="AA11"/>
      <c r="AB11"/>
      <c r="AC11"/>
      <c r="AD11" s="398"/>
      <c r="AE11"/>
      <c r="AF11"/>
      <c r="AG11" s="403"/>
      <c r="AH11"/>
      <c r="AI11" s="403"/>
      <c r="AJ11" s="538"/>
      <c r="AK11" s="538"/>
      <c r="AL11" s="538"/>
      <c r="AN11"/>
      <c r="AO11"/>
      <c r="AP11"/>
      <c r="AR11"/>
      <c r="AS11" s="398"/>
      <c r="AT11"/>
      <c r="AV11"/>
      <c r="AW11"/>
      <c r="AX11"/>
      <c r="AY11"/>
      <c r="BA11" s="402"/>
      <c r="BB11" s="403"/>
      <c r="BC11"/>
      <c r="BE11"/>
      <c r="BI11" s="400"/>
    </row>
    <row r="12" spans="1:61" x14ac:dyDescent="0.2">
      <c r="A12" t="s">
        <v>2302</v>
      </c>
      <c r="B12" t="s">
        <v>1425</v>
      </c>
      <c r="E12" t="s">
        <v>1426</v>
      </c>
      <c r="F12" s="400" t="s">
        <v>1427</v>
      </c>
      <c r="G12"/>
      <c r="H12"/>
      <c r="I12" s="398"/>
      <c r="J12"/>
      <c r="K12" s="534">
        <v>40</v>
      </c>
      <c r="L12" s="535" t="s">
        <v>1428</v>
      </c>
      <c r="O12" s="541">
        <v>1.375</v>
      </c>
      <c r="P12" s="400"/>
      <c r="T12"/>
      <c r="V12"/>
      <c r="W12" s="398" t="s">
        <v>1429</v>
      </c>
      <c r="X12" s="535" t="s">
        <v>1430</v>
      </c>
      <c r="Z12" s="400"/>
      <c r="AA12"/>
      <c r="AB12"/>
      <c r="AC12"/>
      <c r="AD12" s="398"/>
      <c r="AE12"/>
      <c r="AF12"/>
      <c r="AG12" s="403"/>
      <c r="AH12"/>
      <c r="AI12" s="403"/>
      <c r="AJ12" s="538"/>
      <c r="AK12" s="538"/>
      <c r="AL12" s="538"/>
      <c r="AN12"/>
      <c r="AO12"/>
      <c r="AP12"/>
      <c r="AR12"/>
      <c r="AS12" s="398"/>
      <c r="AT12"/>
      <c r="AV12"/>
      <c r="AW12"/>
      <c r="AX12"/>
      <c r="AY12"/>
      <c r="BA12" s="402"/>
      <c r="BB12" s="403"/>
      <c r="BC12"/>
      <c r="BE12"/>
      <c r="BI12" s="400"/>
    </row>
    <row r="13" spans="1:61" x14ac:dyDescent="0.2">
      <c r="A13" t="s">
        <v>2309</v>
      </c>
      <c r="B13" t="s">
        <v>1431</v>
      </c>
      <c r="E13" t="s">
        <v>1432</v>
      </c>
      <c r="F13" s="400" t="s">
        <v>1433</v>
      </c>
      <c r="G13"/>
      <c r="H13"/>
      <c r="I13" s="398"/>
      <c r="J13"/>
      <c r="K13" s="528" t="s">
        <v>1434</v>
      </c>
      <c r="L13" s="535" t="s">
        <v>1435</v>
      </c>
      <c r="O13" s="541">
        <v>1.4375</v>
      </c>
      <c r="P13" s="400"/>
      <c r="T13"/>
      <c r="V13"/>
      <c r="W13" s="543" t="s">
        <v>1436</v>
      </c>
      <c r="X13" s="544" t="s">
        <v>1437</v>
      </c>
      <c r="AD13" s="398"/>
      <c r="AE13"/>
      <c r="AF13"/>
      <c r="AG13" s="403"/>
      <c r="AH13"/>
      <c r="AI13" s="403"/>
      <c r="AJ13" s="538"/>
      <c r="AK13" s="538"/>
      <c r="AL13" s="538"/>
      <c r="AN13"/>
      <c r="AO13"/>
      <c r="AP13"/>
      <c r="AR13"/>
      <c r="AS13" s="398"/>
      <c r="AT13"/>
      <c r="AV13"/>
      <c r="AW13"/>
      <c r="AX13"/>
      <c r="AY13"/>
      <c r="BA13" s="402"/>
      <c r="BB13" s="403"/>
      <c r="BC13"/>
      <c r="BE13"/>
      <c r="BI13" s="400"/>
    </row>
    <row r="14" spans="1:61" x14ac:dyDescent="0.2">
      <c r="A14" t="s">
        <v>2303</v>
      </c>
      <c r="B14" t="s">
        <v>1438</v>
      </c>
      <c r="E14" t="s">
        <v>1439</v>
      </c>
      <c r="F14" s="400" t="s">
        <v>1440</v>
      </c>
      <c r="G14"/>
      <c r="H14"/>
      <c r="I14" s="398"/>
      <c r="J14"/>
      <c r="L14"/>
      <c r="M14" s="398"/>
      <c r="O14" s="541">
        <v>1.5</v>
      </c>
      <c r="P14" s="400"/>
      <c r="T14"/>
      <c r="V14"/>
      <c r="W14" s="398" t="s">
        <v>1441</v>
      </c>
      <c r="X14" s="535" t="s">
        <v>1442</v>
      </c>
      <c r="AD14" s="398"/>
      <c r="AE14"/>
      <c r="AF14"/>
      <c r="AG14" s="403"/>
      <c r="AH14"/>
      <c r="AI14" s="403"/>
      <c r="AJ14" s="538"/>
      <c r="AK14" s="538"/>
      <c r="AL14" s="538"/>
      <c r="AN14"/>
      <c r="AO14"/>
      <c r="AP14"/>
      <c r="AR14"/>
      <c r="AS14" s="398"/>
      <c r="AT14"/>
      <c r="AV14"/>
      <c r="AW14"/>
      <c r="AX14"/>
      <c r="AY14"/>
      <c r="BA14" s="402"/>
      <c r="BB14" s="403"/>
      <c r="BC14"/>
      <c r="BE14"/>
      <c r="BI14" s="400"/>
    </row>
    <row r="15" spans="1:61" x14ac:dyDescent="0.2">
      <c r="A15" t="s">
        <v>2311</v>
      </c>
      <c r="B15" t="s">
        <v>1443</v>
      </c>
      <c r="E15"/>
      <c r="G15"/>
      <c r="H15"/>
      <c r="I15" s="398"/>
      <c r="J15"/>
      <c r="L15"/>
      <c r="M15" s="398"/>
      <c r="O15" s="541"/>
      <c r="P15" s="400"/>
      <c r="T15"/>
      <c r="V15"/>
      <c r="W15" s="543" t="s">
        <v>1444</v>
      </c>
      <c r="X15" s="544" t="s">
        <v>1445</v>
      </c>
      <c r="AD15" s="398"/>
      <c r="AE15"/>
      <c r="AF15"/>
      <c r="AG15" s="403"/>
      <c r="AH15"/>
      <c r="AI15" s="403"/>
      <c r="AJ15" s="538"/>
      <c r="AK15" s="538"/>
      <c r="AL15" s="538"/>
      <c r="AN15"/>
      <c r="AO15"/>
      <c r="AP15"/>
      <c r="AR15"/>
      <c r="AS15" s="398"/>
      <c r="AT15"/>
      <c r="AV15"/>
      <c r="AW15"/>
      <c r="AX15"/>
      <c r="AY15"/>
      <c r="BA15" s="402"/>
      <c r="BB15" s="403"/>
      <c r="BC15"/>
      <c r="BE15"/>
      <c r="BI15" s="400"/>
    </row>
    <row r="16" spans="1:61" x14ac:dyDescent="0.2">
      <c r="A16" t="s">
        <v>2312</v>
      </c>
      <c r="B16" t="s">
        <v>1446</v>
      </c>
      <c r="E16"/>
      <c r="G16"/>
      <c r="H16"/>
      <c r="I16" s="398"/>
      <c r="J16"/>
      <c r="L16"/>
      <c r="M16" s="398"/>
      <c r="O16" s="541"/>
      <c r="P16" s="400"/>
      <c r="T16"/>
      <c r="V16"/>
      <c r="W16" s="398" t="s">
        <v>1447</v>
      </c>
      <c r="X16" s="535" t="s">
        <v>1448</v>
      </c>
      <c r="Z16" s="545"/>
      <c r="AA16" s="546"/>
      <c r="AB16" s="546"/>
      <c r="AC16" s="546"/>
      <c r="AD16" s="398"/>
      <c r="AE16"/>
      <c r="AF16"/>
      <c r="AG16" s="403"/>
      <c r="AH16"/>
      <c r="AI16" s="403"/>
      <c r="AJ16" s="538"/>
      <c r="AK16" s="538"/>
      <c r="AL16" s="538"/>
      <c r="AN16"/>
      <c r="AO16"/>
      <c r="AP16"/>
      <c r="AR16"/>
      <c r="AS16" s="398"/>
      <c r="AT16"/>
      <c r="AV16"/>
      <c r="AW16"/>
      <c r="AX16"/>
      <c r="AY16"/>
      <c r="BA16" s="402"/>
      <c r="BB16" s="403"/>
      <c r="BC16"/>
      <c r="BE16"/>
      <c r="BI16" s="400"/>
    </row>
    <row r="17" spans="1:47" x14ac:dyDescent="0.2">
      <c r="A17" t="s">
        <v>2310</v>
      </c>
      <c r="B17" t="s">
        <v>1449</v>
      </c>
      <c r="E17"/>
      <c r="G17"/>
      <c r="H17"/>
      <c r="I17" s="398"/>
      <c r="J17"/>
      <c r="L17"/>
      <c r="M17" s="398"/>
      <c r="O17" s="541"/>
      <c r="P17" s="400"/>
      <c r="T17"/>
      <c r="V17"/>
      <c r="W17" s="398" t="s">
        <v>1450</v>
      </c>
      <c r="X17" s="535" t="s">
        <v>1451</v>
      </c>
      <c r="Z17" s="400"/>
      <c r="AA17"/>
      <c r="AB17"/>
      <c r="AC17"/>
      <c r="AD17" s="398"/>
      <c r="AE17"/>
      <c r="AF17"/>
      <c r="AG17" s="403"/>
      <c r="AH17"/>
      <c r="AI17" s="403"/>
      <c r="AJ17" s="538"/>
      <c r="AK17" s="538"/>
      <c r="AL17" s="538"/>
      <c r="AN17"/>
      <c r="AO17"/>
      <c r="AP17"/>
      <c r="AR17"/>
      <c r="AS17" s="398"/>
      <c r="AT17"/>
    </row>
    <row r="18" spans="1:47" x14ac:dyDescent="0.2">
      <c r="A18"/>
      <c r="B18"/>
      <c r="E18"/>
      <c r="G18"/>
      <c r="H18"/>
      <c r="I18" s="398"/>
      <c r="J18"/>
      <c r="L18"/>
      <c r="M18" s="398"/>
      <c r="P18" s="400"/>
      <c r="T18"/>
      <c r="V18"/>
      <c r="W18" s="398" t="s">
        <v>1452</v>
      </c>
      <c r="X18" s="535" t="s">
        <v>1453</v>
      </c>
      <c r="Z18" s="400"/>
      <c r="AA18"/>
      <c r="AB18"/>
      <c r="AC18"/>
      <c r="AD18" s="398"/>
      <c r="AE18"/>
      <c r="AF18"/>
      <c r="AG18" s="403"/>
      <c r="AH18"/>
      <c r="AI18" s="403"/>
      <c r="AJ18" s="538"/>
      <c r="AK18" s="538"/>
      <c r="AL18" s="538"/>
      <c r="AN18"/>
      <c r="AO18"/>
      <c r="AP18"/>
      <c r="AR18"/>
      <c r="AS18" s="398"/>
      <c r="AT18"/>
    </row>
    <row r="19" spans="1:47" x14ac:dyDescent="0.2">
      <c r="A19"/>
      <c r="B19"/>
      <c r="E19"/>
      <c r="G19"/>
      <c r="H19"/>
      <c r="I19" s="398"/>
      <c r="J19"/>
      <c r="L19"/>
      <c r="M19" s="398"/>
      <c r="P19" s="400"/>
      <c r="T19"/>
      <c r="V19"/>
      <c r="W19" s="398" t="s">
        <v>539</v>
      </c>
      <c r="X19" s="535" t="s">
        <v>1454</v>
      </c>
      <c r="Z19"/>
      <c r="AA19"/>
      <c r="AB19"/>
      <c r="AC19"/>
      <c r="AD19" s="398"/>
      <c r="AE19"/>
      <c r="AF19"/>
      <c r="AG19" s="403"/>
      <c r="AH19"/>
      <c r="AI19" s="403"/>
      <c r="AJ19" s="538"/>
      <c r="AK19" s="538"/>
      <c r="AL19" s="538"/>
      <c r="AN19"/>
      <c r="AO19"/>
      <c r="AP19"/>
      <c r="AR19"/>
      <c r="AS19" s="398"/>
      <c r="AT19"/>
    </row>
    <row r="20" spans="1:47" x14ac:dyDescent="0.2">
      <c r="A20"/>
      <c r="B20"/>
      <c r="E20"/>
      <c r="G20"/>
      <c r="H20"/>
      <c r="I20" s="398"/>
      <c r="J20"/>
      <c r="L20"/>
      <c r="M20" s="398"/>
      <c r="P20" s="400"/>
      <c r="T20"/>
      <c r="V20"/>
      <c r="W20" s="398" t="s">
        <v>1455</v>
      </c>
      <c r="X20" s="535" t="s">
        <v>1456</v>
      </c>
      <c r="Z20"/>
      <c r="AA20"/>
      <c r="AB20"/>
      <c r="AC20"/>
      <c r="AD20" s="398"/>
      <c r="AE20"/>
      <c r="AF20"/>
      <c r="AG20" s="403"/>
      <c r="AH20"/>
      <c r="AI20" s="403"/>
      <c r="AJ20" s="538"/>
      <c r="AK20" s="538"/>
      <c r="AL20" s="538"/>
      <c r="AN20"/>
      <c r="AO20"/>
      <c r="AP20"/>
      <c r="AR20"/>
      <c r="AS20" s="398"/>
      <c r="AT20"/>
    </row>
    <row r="21" spans="1:47" x14ac:dyDescent="0.2">
      <c r="A21"/>
      <c r="B21"/>
      <c r="E21"/>
      <c r="G21"/>
      <c r="H21"/>
      <c r="I21" s="398"/>
      <c r="J21"/>
      <c r="L21"/>
      <c r="M21" s="398"/>
      <c r="P21" s="400"/>
      <c r="T21"/>
      <c r="V21"/>
      <c r="Z21"/>
      <c r="AA21"/>
      <c r="AB21"/>
      <c r="AC21"/>
      <c r="AD21" s="398"/>
      <c r="AE21"/>
      <c r="AF21"/>
      <c r="AG21" s="403"/>
      <c r="AH21"/>
      <c r="AI21" s="403"/>
      <c r="AJ21" s="538"/>
      <c r="AK21" s="538"/>
      <c r="AL21" s="538"/>
      <c r="AN21"/>
      <c r="AO21"/>
      <c r="AP21"/>
      <c r="AR21"/>
      <c r="AS21" s="398"/>
      <c r="AT21"/>
    </row>
    <row r="22" spans="1:47" x14ac:dyDescent="0.2">
      <c r="A22"/>
      <c r="B22"/>
      <c r="E22"/>
      <c r="G22"/>
      <c r="H22"/>
      <c r="I22" s="398"/>
      <c r="J22"/>
      <c r="L22"/>
      <c r="M22" s="398"/>
      <c r="P22" s="400"/>
      <c r="T22"/>
      <c r="V22"/>
      <c r="Z22"/>
      <c r="AA22"/>
      <c r="AB22"/>
      <c r="AC22"/>
      <c r="AD22" s="398"/>
      <c r="AE22"/>
      <c r="AF22"/>
      <c r="AG22" s="403"/>
      <c r="AH22"/>
      <c r="AI22" s="403"/>
      <c r="AJ22" s="538"/>
      <c r="AK22" s="538"/>
      <c r="AL22" s="538"/>
      <c r="AN22"/>
      <c r="AO22"/>
      <c r="AP22"/>
      <c r="AR22"/>
      <c r="AS22" s="398"/>
      <c r="AT22"/>
    </row>
    <row r="23" spans="1:47" x14ac:dyDescent="0.2">
      <c r="A23"/>
      <c r="B23"/>
      <c r="E23"/>
      <c r="G23"/>
      <c r="H23"/>
      <c r="I23" s="398"/>
      <c r="J23"/>
      <c r="L23"/>
      <c r="M23" s="398"/>
      <c r="P23" s="400"/>
      <c r="T23"/>
      <c r="V23"/>
      <c r="Z23"/>
      <c r="AA23"/>
      <c r="AB23"/>
      <c r="AC23"/>
      <c r="AD23" s="398"/>
      <c r="AE23"/>
      <c r="AF23"/>
      <c r="AG23" s="403"/>
      <c r="AH23"/>
      <c r="AI23" s="403"/>
      <c r="AJ23" s="538"/>
      <c r="AK23" s="538"/>
      <c r="AL23" s="538"/>
      <c r="AN23"/>
      <c r="AO23"/>
      <c r="AP23"/>
      <c r="AR23"/>
      <c r="AS23" s="398"/>
      <c r="AT23"/>
    </row>
    <row r="24" spans="1:47" x14ac:dyDescent="0.2">
      <c r="A24"/>
      <c r="B24"/>
      <c r="E24"/>
      <c r="G24"/>
      <c r="H24"/>
      <c r="I24" s="398"/>
      <c r="J24"/>
      <c r="L24"/>
      <c r="M24" s="398"/>
      <c r="P24" s="400"/>
      <c r="T24"/>
      <c r="V24"/>
      <c r="Z24"/>
      <c r="AA24"/>
      <c r="AB24"/>
      <c r="AC24"/>
      <c r="AD24" s="398"/>
      <c r="AE24"/>
      <c r="AF24"/>
      <c r="AG24" s="403"/>
      <c r="AH24"/>
      <c r="AI24" s="403"/>
      <c r="AJ24" s="538"/>
      <c r="AK24" s="538"/>
      <c r="AL24" s="538"/>
      <c r="AN24"/>
      <c r="AO24"/>
      <c r="AP24"/>
      <c r="AR24"/>
      <c r="AS24" s="398"/>
      <c r="AT24"/>
    </row>
    <row r="25" spans="1:47" x14ac:dyDescent="0.2">
      <c r="A25"/>
      <c r="B25"/>
      <c r="E25"/>
      <c r="G25"/>
      <c r="H25"/>
      <c r="I25" s="398"/>
      <c r="J25"/>
      <c r="L25"/>
      <c r="M25" s="398"/>
      <c r="P25" s="400"/>
      <c r="T25"/>
      <c r="V25"/>
      <c r="Z25"/>
      <c r="AA25"/>
      <c r="AB25"/>
      <c r="AC25"/>
      <c r="AD25" s="398"/>
      <c r="AE25"/>
      <c r="AF25"/>
      <c r="AG25" s="403"/>
      <c r="AH25"/>
      <c r="AI25" s="403"/>
      <c r="AJ25" s="538"/>
      <c r="AK25" s="538"/>
      <c r="AL25" s="538"/>
      <c r="AN25"/>
      <c r="AO25"/>
      <c r="AP25"/>
      <c r="AR25"/>
      <c r="AS25" s="398"/>
      <c r="AT25"/>
    </row>
    <row r="26" spans="1:47" x14ac:dyDescent="0.2">
      <c r="A26"/>
      <c r="B26"/>
      <c r="G26"/>
      <c r="H26"/>
      <c r="I26" s="398"/>
      <c r="J26"/>
      <c r="L26"/>
      <c r="M26" s="398"/>
      <c r="P26" s="400"/>
      <c r="T26"/>
      <c r="V26"/>
      <c r="Z26"/>
      <c r="AA26"/>
      <c r="AB26"/>
      <c r="AC26"/>
      <c r="AD26" s="398"/>
      <c r="AE26"/>
      <c r="AF26"/>
      <c r="AG26" s="403"/>
      <c r="AH26"/>
      <c r="AI26" s="403"/>
      <c r="AJ26" s="538"/>
      <c r="AK26" s="538"/>
      <c r="AL26" s="538"/>
      <c r="AN26"/>
      <c r="AO26"/>
      <c r="AP26"/>
      <c r="AR26"/>
      <c r="AS26" s="398"/>
      <c r="AT26"/>
    </row>
    <row r="27" spans="1:47" x14ac:dyDescent="0.2">
      <c r="A27"/>
      <c r="B27"/>
      <c r="F27"/>
      <c r="G27"/>
      <c r="H27"/>
      <c r="I27" s="398"/>
      <c r="J27"/>
      <c r="L27"/>
      <c r="M27" s="398"/>
      <c r="O27" s="398"/>
      <c r="P27" s="400"/>
      <c r="T27"/>
      <c r="V27"/>
      <c r="W27" s="403"/>
      <c r="X27"/>
      <c r="Y27" s="403"/>
      <c r="Z27" s="538"/>
      <c r="AA27" s="538"/>
      <c r="AB27" s="538"/>
      <c r="AC27" s="538"/>
      <c r="AD27" s="538"/>
      <c r="AE27" s="538"/>
      <c r="AF27"/>
      <c r="AG27"/>
      <c r="AH27"/>
      <c r="AJ27"/>
      <c r="AL27" s="398"/>
      <c r="AN27"/>
      <c r="AO27"/>
      <c r="AP27"/>
      <c r="AR27"/>
      <c r="AT27" s="402"/>
      <c r="AU27" s="403"/>
    </row>
    <row r="28" spans="1:47" x14ac:dyDescent="0.2">
      <c r="B28"/>
      <c r="F28"/>
      <c r="H28"/>
      <c r="J28"/>
      <c r="L28"/>
      <c r="M28" s="398"/>
      <c r="N28" s="400"/>
      <c r="U28" s="403"/>
      <c r="V28" s="538"/>
      <c r="W28" s="538"/>
      <c r="X28" s="538"/>
      <c r="Z28"/>
      <c r="AA28"/>
      <c r="AB28"/>
      <c r="AC28"/>
      <c r="AD28"/>
      <c r="AE28"/>
      <c r="AF28"/>
      <c r="AG28"/>
      <c r="AH28" s="398"/>
      <c r="AJ28"/>
      <c r="AL28"/>
      <c r="AN28"/>
      <c r="AO28"/>
      <c r="AP28" s="402"/>
      <c r="AQ28" s="403"/>
      <c r="AR28"/>
      <c r="AT28"/>
    </row>
    <row r="29" spans="1:47" s="393" customFormat="1" ht="23.25" customHeight="1" x14ac:dyDescent="0.2">
      <c r="A29" s="4147"/>
      <c r="B29" s="4147"/>
      <c r="C29" s="391"/>
      <c r="D29" s="391"/>
      <c r="E29" s="4147"/>
      <c r="F29" s="4147"/>
      <c r="G29" s="4147"/>
      <c r="H29" s="4147"/>
      <c r="I29" s="4147"/>
      <c r="J29" s="4147"/>
      <c r="K29" s="4147" t="s">
        <v>1457</v>
      </c>
      <c r="L29" s="4147"/>
      <c r="M29" s="398"/>
      <c r="N29" s="400"/>
      <c r="O29" s="4147" t="s">
        <v>1458</v>
      </c>
      <c r="P29" s="4147"/>
      <c r="U29" s="4147" t="s">
        <v>1459</v>
      </c>
      <c r="V29" s="4147"/>
      <c r="W29" s="391"/>
      <c r="X29" s="391"/>
      <c r="Y29" s="4147" t="s">
        <v>1460</v>
      </c>
      <c r="Z29" s="4147"/>
      <c r="AA29" s="4147" t="s">
        <v>469</v>
      </c>
      <c r="AB29" s="4147"/>
      <c r="AC29" s="4147" t="s">
        <v>1315</v>
      </c>
      <c r="AD29" s="4147"/>
      <c r="AE29" s="4147" t="s">
        <v>470</v>
      </c>
      <c r="AF29" s="4147"/>
      <c r="AG29" s="4147" t="s">
        <v>1461</v>
      </c>
      <c r="AH29" s="4147"/>
      <c r="AI29" s="4147" t="s">
        <v>526</v>
      </c>
      <c r="AJ29" s="4147"/>
      <c r="AK29" s="532" t="s">
        <v>16</v>
      </c>
      <c r="AL29" s="4147" t="s">
        <v>133</v>
      </c>
      <c r="AM29" s="4147"/>
      <c r="AN29" s="4147" t="s">
        <v>475</v>
      </c>
      <c r="AO29" s="4147"/>
      <c r="AP29" s="4147" t="s">
        <v>1462</v>
      </c>
      <c r="AQ29" s="4147"/>
      <c r="AS29" s="533" t="s">
        <v>1324</v>
      </c>
      <c r="AT29" s="393" t="s">
        <v>1463</v>
      </c>
    </row>
    <row r="30" spans="1:47" x14ac:dyDescent="0.2">
      <c r="I30" s="69"/>
      <c r="K30" t="s">
        <v>543</v>
      </c>
      <c r="L30" s="400" t="s">
        <v>1464</v>
      </c>
      <c r="M30" s="398"/>
      <c r="N30" s="400"/>
      <c r="O30" t="s">
        <v>481</v>
      </c>
      <c r="P30" s="400" t="s">
        <v>1465</v>
      </c>
      <c r="U30" s="403" t="s">
        <v>1185</v>
      </c>
      <c r="V30" s="404" t="s">
        <v>1466</v>
      </c>
      <c r="W30" s="538"/>
      <c r="X30" s="538"/>
      <c r="Y30" s="547" t="s">
        <v>487</v>
      </c>
      <c r="Z30" s="400" t="s">
        <v>1467</v>
      </c>
      <c r="AA30" s="401" t="s">
        <v>1468</v>
      </c>
      <c r="AB30" s="400" t="s">
        <v>1469</v>
      </c>
      <c r="AC30" s="537" t="s">
        <v>965</v>
      </c>
      <c r="AD30" s="400" t="s">
        <v>1330</v>
      </c>
      <c r="AE30" s="398" t="s">
        <v>537</v>
      </c>
      <c r="AF30" s="400" t="s">
        <v>1470</v>
      </c>
      <c r="AG30" t="s">
        <v>489</v>
      </c>
      <c r="AH30" s="400" t="s">
        <v>1471</v>
      </c>
      <c r="AI30" s="69">
        <v>450</v>
      </c>
      <c r="AJ30" s="548" t="s">
        <v>1472</v>
      </c>
      <c r="AK30" s="402">
        <v>1</v>
      </c>
      <c r="AL30" s="403" t="s">
        <v>1473</v>
      </c>
      <c r="AM30" s="400" t="s">
        <v>1474</v>
      </c>
      <c r="AN30" t="s">
        <v>1475</v>
      </c>
      <c r="AO30" s="400" t="s">
        <v>1476</v>
      </c>
      <c r="AP30" t="s">
        <v>523</v>
      </c>
      <c r="AQ30" s="400" t="s">
        <v>1477</v>
      </c>
      <c r="AR30" s="528"/>
      <c r="AS30" s="400" t="s">
        <v>1478</v>
      </c>
      <c r="AT30" t="s">
        <v>1479</v>
      </c>
    </row>
    <row r="31" spans="1:47" x14ac:dyDescent="0.2">
      <c r="I31" s="69"/>
      <c r="K31" t="s">
        <v>505</v>
      </c>
      <c r="L31" s="400" t="s">
        <v>1480</v>
      </c>
      <c r="O31" t="s">
        <v>536</v>
      </c>
      <c r="P31" s="400" t="s">
        <v>1481</v>
      </c>
      <c r="U31" s="403" t="s">
        <v>485</v>
      </c>
      <c r="V31" s="404" t="s">
        <v>1482</v>
      </c>
      <c r="W31" s="538"/>
      <c r="X31" s="538"/>
      <c r="Y31" s="547" t="s">
        <v>1483</v>
      </c>
      <c r="Z31" s="400" t="s">
        <v>1484</v>
      </c>
      <c r="AA31" s="401" t="s">
        <v>78</v>
      </c>
      <c r="AB31" s="400" t="s">
        <v>1485</v>
      </c>
      <c r="AC31" s="539" t="s">
        <v>484</v>
      </c>
      <c r="AD31" s="400" t="s">
        <v>1342</v>
      </c>
      <c r="AE31" s="398" t="s">
        <v>488</v>
      </c>
      <c r="AF31" s="400" t="s">
        <v>1486</v>
      </c>
      <c r="AG31" t="s">
        <v>1487</v>
      </c>
      <c r="AH31" s="400" t="s">
        <v>1488</v>
      </c>
      <c r="AI31" s="69">
        <v>500</v>
      </c>
      <c r="AJ31" s="548" t="s">
        <v>1489</v>
      </c>
      <c r="AK31" s="402">
        <v>2</v>
      </c>
      <c r="AL31" s="403" t="s">
        <v>491</v>
      </c>
      <c r="AM31" s="400" t="s">
        <v>1490</v>
      </c>
      <c r="AN31" t="s">
        <v>1491</v>
      </c>
      <c r="AO31" s="400" t="s">
        <v>1492</v>
      </c>
      <c r="AP31" t="s">
        <v>1493</v>
      </c>
      <c r="AQ31" s="400" t="s">
        <v>1494</v>
      </c>
      <c r="AR31" s="528"/>
      <c r="AS31" s="400" t="s">
        <v>1495</v>
      </c>
      <c r="AT31" t="s">
        <v>1496</v>
      </c>
    </row>
    <row r="32" spans="1:47" ht="14.4" x14ac:dyDescent="0.3">
      <c r="I32" s="69"/>
      <c r="K32" t="s">
        <v>1497</v>
      </c>
      <c r="L32" s="400" t="s">
        <v>1498</v>
      </c>
      <c r="O32" t="s">
        <v>1499</v>
      </c>
      <c r="P32" s="400" t="s">
        <v>1500</v>
      </c>
      <c r="S32" s="398" t="s">
        <v>1501</v>
      </c>
      <c r="T32" s="400" t="s">
        <v>1502</v>
      </c>
      <c r="U32" s="403" t="s">
        <v>1188</v>
      </c>
      <c r="V32" s="404" t="s">
        <v>1503</v>
      </c>
      <c r="W32" s="538"/>
      <c r="X32" s="538"/>
      <c r="Y32" s="547" t="s">
        <v>1227</v>
      </c>
      <c r="Z32" s="400" t="s">
        <v>1504</v>
      </c>
      <c r="AA32" t="s">
        <v>1505</v>
      </c>
      <c r="AB32" s="400" t="s">
        <v>1506</v>
      </c>
      <c r="AC32" s="540" t="s">
        <v>1356</v>
      </c>
      <c r="AD32" s="400" t="s">
        <v>1357</v>
      </c>
      <c r="AE32"/>
      <c r="AF32" s="400"/>
      <c r="AG32" t="s">
        <v>1507</v>
      </c>
      <c r="AH32" s="400" t="s">
        <v>1508</v>
      </c>
      <c r="AI32" s="69" t="s">
        <v>490</v>
      </c>
      <c r="AJ32" s="548" t="s">
        <v>1509</v>
      </c>
      <c r="AK32" s="402">
        <v>3</v>
      </c>
      <c r="AL32" s="403" t="s">
        <v>1510</v>
      </c>
      <c r="AM32" s="400" t="s">
        <v>1511</v>
      </c>
      <c r="AN32" t="s">
        <v>1512</v>
      </c>
      <c r="AO32" s="549" t="s">
        <v>1513</v>
      </c>
      <c r="AP32" t="s">
        <v>1514</v>
      </c>
      <c r="AQ32" s="400" t="s">
        <v>1515</v>
      </c>
      <c r="AR32"/>
      <c r="AS32" s="400"/>
      <c r="AT32"/>
    </row>
    <row r="33" spans="15:47" ht="14.4" x14ac:dyDescent="0.3">
      <c r="O33" t="s">
        <v>1516</v>
      </c>
      <c r="P33" s="400" t="s">
        <v>1517</v>
      </c>
      <c r="S33" s="398" t="s">
        <v>1455</v>
      </c>
      <c r="T33" s="400" t="s">
        <v>1456</v>
      </c>
      <c r="U33" s="403" t="s">
        <v>1191</v>
      </c>
      <c r="V33" s="404" t="s">
        <v>1518</v>
      </c>
      <c r="W33" s="538"/>
      <c r="X33" s="538"/>
      <c r="Y33" s="547" t="s">
        <v>1220</v>
      </c>
      <c r="Z33" s="400" t="s">
        <v>1519</v>
      </c>
      <c r="AA33" t="s">
        <v>538</v>
      </c>
      <c r="AB33" s="400" t="s">
        <v>1520</v>
      </c>
      <c r="AC33" s="398" t="s">
        <v>1227</v>
      </c>
      <c r="AD33" s="400" t="s">
        <v>1371</v>
      </c>
      <c r="AE33" s="398" t="s">
        <v>1521</v>
      </c>
      <c r="AF33" s="400" t="s">
        <v>1522</v>
      </c>
      <c r="AG33" t="s">
        <v>1523</v>
      </c>
      <c r="AH33" s="400" t="s">
        <v>1524</v>
      </c>
      <c r="AI33" s="69" t="s">
        <v>1525</v>
      </c>
      <c r="AJ33" s="548" t="s">
        <v>1526</v>
      </c>
      <c r="AK33" s="402">
        <v>4</v>
      </c>
      <c r="AL33" s="403" t="s">
        <v>1527</v>
      </c>
      <c r="AM33" s="400" t="s">
        <v>1528</v>
      </c>
      <c r="AN33" t="s">
        <v>1529</v>
      </c>
      <c r="AO33" s="550" t="s">
        <v>1530</v>
      </c>
      <c r="AP33" t="s">
        <v>1531</v>
      </c>
      <c r="AQ33" s="400" t="s">
        <v>1532</v>
      </c>
      <c r="AR33" s="528"/>
      <c r="AS33" s="400" t="s">
        <v>1533</v>
      </c>
      <c r="AT33"/>
    </row>
    <row r="34" spans="15:47" x14ac:dyDescent="0.2">
      <c r="S34" t="s">
        <v>537</v>
      </c>
      <c r="T34" s="400" t="s">
        <v>1534</v>
      </c>
      <c r="U34" s="403" t="s">
        <v>1193</v>
      </c>
      <c r="V34" s="404" t="s">
        <v>1535</v>
      </c>
      <c r="W34" s="538"/>
      <c r="X34" s="538"/>
      <c r="Y34" s="547" t="s">
        <v>1221</v>
      </c>
      <c r="Z34" s="400" t="s">
        <v>1536</v>
      </c>
      <c r="AA34" t="s">
        <v>1537</v>
      </c>
      <c r="AB34" s="400" t="s">
        <v>1538</v>
      </c>
      <c r="AC34" s="541">
        <v>6.25E-2</v>
      </c>
      <c r="AE34" s="398" t="s">
        <v>508</v>
      </c>
      <c r="AF34" s="400" t="s">
        <v>1539</v>
      </c>
      <c r="AG34" t="s">
        <v>1540</v>
      </c>
      <c r="AH34" s="400" t="s">
        <v>1541</v>
      </c>
      <c r="AI34" s="69" t="s">
        <v>1542</v>
      </c>
      <c r="AJ34" s="548" t="s">
        <v>1543</v>
      </c>
      <c r="AK34" s="402">
        <v>5</v>
      </c>
      <c r="AL34" s="403" t="s">
        <v>1544</v>
      </c>
      <c r="AM34" s="400" t="s">
        <v>1545</v>
      </c>
      <c r="AN34" t="s">
        <v>539</v>
      </c>
      <c r="AO34" s="400" t="s">
        <v>1546</v>
      </c>
      <c r="AP34" t="s">
        <v>1547</v>
      </c>
      <c r="AQ34" s="400" t="s">
        <v>1548</v>
      </c>
      <c r="AR34" s="528"/>
      <c r="AS34" s="400" t="s">
        <v>1549</v>
      </c>
      <c r="AT34" s="382"/>
    </row>
    <row r="35" spans="15:47" x14ac:dyDescent="0.2">
      <c r="S35" t="s">
        <v>1550</v>
      </c>
      <c r="T35" s="400" t="s">
        <v>1551</v>
      </c>
      <c r="U35" s="403" t="s">
        <v>1195</v>
      </c>
      <c r="V35" s="404" t="s">
        <v>1552</v>
      </c>
      <c r="W35" s="538"/>
      <c r="X35" s="538"/>
      <c r="Y35" s="547" t="s">
        <v>1553</v>
      </c>
      <c r="Z35" s="400" t="s">
        <v>1554</v>
      </c>
      <c r="AA35" t="s">
        <v>1555</v>
      </c>
      <c r="AB35" s="400" t="s">
        <v>1556</v>
      </c>
      <c r="AC35" s="541">
        <v>0.125</v>
      </c>
      <c r="AE35" s="398" t="s">
        <v>1557</v>
      </c>
      <c r="AF35" s="400" t="s">
        <v>1558</v>
      </c>
      <c r="AG35" t="s">
        <v>1559</v>
      </c>
      <c r="AH35" s="400" t="s">
        <v>1560</v>
      </c>
      <c r="AI35" s="69" t="s">
        <v>1561</v>
      </c>
      <c r="AJ35" s="548" t="s">
        <v>1562</v>
      </c>
      <c r="AK35" s="402"/>
      <c r="AL35" s="403" t="s">
        <v>1563</v>
      </c>
      <c r="AM35" s="400" t="s">
        <v>1564</v>
      </c>
      <c r="AN35" t="s">
        <v>1565</v>
      </c>
      <c r="AO35" s="400" t="s">
        <v>1566</v>
      </c>
      <c r="AP35" t="s">
        <v>1567</v>
      </c>
      <c r="AQ35" s="400" t="s">
        <v>1568</v>
      </c>
      <c r="AR35" s="528"/>
      <c r="AS35" s="400" t="s">
        <v>1569</v>
      </c>
      <c r="AT35"/>
    </row>
    <row r="36" spans="15:47" x14ac:dyDescent="0.2">
      <c r="S36" t="s">
        <v>1570</v>
      </c>
      <c r="T36" s="400" t="s">
        <v>1571</v>
      </c>
      <c r="U36" s="403" t="s">
        <v>1197</v>
      </c>
      <c r="V36" s="404" t="s">
        <v>1572</v>
      </c>
      <c r="W36" s="538"/>
      <c r="X36" s="538"/>
      <c r="Y36" s="547" t="s">
        <v>1573</v>
      </c>
      <c r="Z36" s="400" t="s">
        <v>1574</v>
      </c>
      <c r="AA36"/>
      <c r="AB36" s="400"/>
      <c r="AC36" s="541">
        <v>0.1875</v>
      </c>
      <c r="AE36"/>
      <c r="AF36" s="400"/>
      <c r="AG36" t="s">
        <v>1575</v>
      </c>
      <c r="AH36" s="400" t="s">
        <v>1576</v>
      </c>
      <c r="AI36" s="69" t="s">
        <v>1577</v>
      </c>
      <c r="AJ36" s="548" t="s">
        <v>1578</v>
      </c>
      <c r="AK36" s="402"/>
      <c r="AL36" s="403" t="s">
        <v>1579</v>
      </c>
      <c r="AM36" s="400" t="s">
        <v>1580</v>
      </c>
      <c r="AN36" t="s">
        <v>1581</v>
      </c>
      <c r="AO36" s="400" t="s">
        <v>1582</v>
      </c>
      <c r="AP36" t="s">
        <v>1583</v>
      </c>
      <c r="AQ36" s="400" t="s">
        <v>1584</v>
      </c>
      <c r="AR36" s="528"/>
      <c r="AS36" s="400" t="s">
        <v>1585</v>
      </c>
      <c r="AT36"/>
    </row>
    <row r="37" spans="15:47" ht="14.4" x14ac:dyDescent="0.3">
      <c r="S37" t="s">
        <v>1586</v>
      </c>
      <c r="T37" s="400" t="s">
        <v>1587</v>
      </c>
      <c r="U37" s="403" t="s">
        <v>488</v>
      </c>
      <c r="V37" s="404" t="s">
        <v>1588</v>
      </c>
      <c r="W37" s="538"/>
      <c r="X37" s="538"/>
      <c r="Y37" s="547" t="s">
        <v>1589</v>
      </c>
      <c r="Z37" s="400" t="s">
        <v>1590</v>
      </c>
      <c r="AA37"/>
      <c r="AB37" s="400"/>
      <c r="AC37" s="541">
        <v>0.25</v>
      </c>
      <c r="AE37" s="398" t="s">
        <v>481</v>
      </c>
      <c r="AF37" s="400" t="s">
        <v>1591</v>
      </c>
      <c r="AG37" t="s">
        <v>1592</v>
      </c>
      <c r="AH37" s="400" t="s">
        <v>1593</v>
      </c>
      <c r="AI37" s="69" t="s">
        <v>1594</v>
      </c>
      <c r="AJ37" s="548" t="s">
        <v>1595</v>
      </c>
      <c r="AK37" s="402"/>
      <c r="AL37" s="403"/>
      <c r="AM37" s="400"/>
      <c r="AN37" t="s">
        <v>1596</v>
      </c>
      <c r="AO37" s="400" t="s">
        <v>1597</v>
      </c>
      <c r="AP37" t="s">
        <v>1598</v>
      </c>
      <c r="AQ37" s="400" t="s">
        <v>1599</v>
      </c>
      <c r="AR37" s="263"/>
      <c r="AS37" s="400"/>
      <c r="AT37"/>
      <c r="AU37" t="s">
        <v>1600</v>
      </c>
    </row>
    <row r="38" spans="15:47" ht="14.4" x14ac:dyDescent="0.2">
      <c r="S38" t="s">
        <v>482</v>
      </c>
      <c r="T38" s="400" t="s">
        <v>1601</v>
      </c>
      <c r="U38" s="403" t="s">
        <v>1200</v>
      </c>
      <c r="V38" s="404" t="s">
        <v>1602</v>
      </c>
      <c r="W38" s="538"/>
      <c r="X38" s="538"/>
      <c r="Y38" s="547" t="s">
        <v>1603</v>
      </c>
      <c r="Z38" s="400" t="s">
        <v>1604</v>
      </c>
      <c r="AA38"/>
      <c r="AB38" s="400"/>
      <c r="AC38" s="541">
        <v>0.3125</v>
      </c>
      <c r="AE38" s="398" t="s">
        <v>1242</v>
      </c>
      <c r="AF38" s="400" t="s">
        <v>1605</v>
      </c>
      <c r="AG38" t="s">
        <v>1606</v>
      </c>
      <c r="AH38" s="400" t="s">
        <v>1607</v>
      </c>
      <c r="AI38" s="69" t="s">
        <v>1608</v>
      </c>
      <c r="AJ38" s="548" t="s">
        <v>1609</v>
      </c>
      <c r="AK38" s="402"/>
      <c r="AL38" s="403"/>
      <c r="AM38" s="400"/>
      <c r="AN38" t="s">
        <v>1610</v>
      </c>
      <c r="AO38" s="400" t="s">
        <v>1611</v>
      </c>
      <c r="AP38" t="s">
        <v>1612</v>
      </c>
      <c r="AQ38" s="400" t="s">
        <v>1613</v>
      </c>
      <c r="AR38" t="s">
        <v>1614</v>
      </c>
      <c r="AS38" s="400" t="s">
        <v>1615</v>
      </c>
      <c r="AT38" s="160" t="s">
        <v>1616</v>
      </c>
      <c r="AU38" s="160" t="s">
        <v>1617</v>
      </c>
    </row>
    <row r="39" spans="15:47" ht="14.4" x14ac:dyDescent="0.3">
      <c r="S39" t="s">
        <v>1618</v>
      </c>
      <c r="T39" s="400" t="s">
        <v>1619</v>
      </c>
      <c r="U39" s="403" t="s">
        <v>1204</v>
      </c>
      <c r="V39" s="404" t="s">
        <v>1620</v>
      </c>
      <c r="W39" s="538"/>
      <c r="X39" s="538"/>
      <c r="Y39" s="547" t="s">
        <v>1621</v>
      </c>
      <c r="Z39" s="400" t="s">
        <v>1622</v>
      </c>
      <c r="AA39"/>
      <c r="AB39" s="400"/>
      <c r="AC39" s="541">
        <v>0.4375</v>
      </c>
      <c r="AE39" s="398" t="s">
        <v>1243</v>
      </c>
      <c r="AF39" s="400" t="s">
        <v>1623</v>
      </c>
      <c r="AG39" t="s">
        <v>1624</v>
      </c>
      <c r="AH39" s="400" t="s">
        <v>1625</v>
      </c>
      <c r="AI39" s="69" t="s">
        <v>1626</v>
      </c>
      <c r="AJ39" s="548" t="s">
        <v>1627</v>
      </c>
      <c r="AK39" s="402"/>
      <c r="AL39" s="403"/>
      <c r="AM39" s="400"/>
      <c r="AN39" t="s">
        <v>1628</v>
      </c>
      <c r="AO39" s="400" t="s">
        <v>1629</v>
      </c>
      <c r="AP39" t="s">
        <v>1630</v>
      </c>
      <c r="AQ39" s="400" t="s">
        <v>1631</v>
      </c>
      <c r="AR39" s="263"/>
      <c r="AS39" s="400"/>
      <c r="AT39" s="160" t="s">
        <v>514</v>
      </c>
      <c r="AU39" s="160" t="s">
        <v>1632</v>
      </c>
    </row>
    <row r="40" spans="15:47" ht="14.4" x14ac:dyDescent="0.2">
      <c r="S40" t="s">
        <v>970</v>
      </c>
      <c r="T40" s="400" t="s">
        <v>1633</v>
      </c>
      <c r="U40" s="403" t="s">
        <v>141</v>
      </c>
      <c r="V40" s="404" t="s">
        <v>1634</v>
      </c>
      <c r="W40" s="538"/>
      <c r="X40" s="538"/>
      <c r="Y40" s="547" t="s">
        <v>1635</v>
      </c>
      <c r="Z40" s="400" t="s">
        <v>1636</v>
      </c>
      <c r="AA40"/>
      <c r="AB40" s="400"/>
      <c r="AC40" s="541">
        <v>0.5</v>
      </c>
      <c r="AE40" s="540" t="s">
        <v>1637</v>
      </c>
      <c r="AF40" s="400" t="s">
        <v>1638</v>
      </c>
      <c r="AG40" t="s">
        <v>1639</v>
      </c>
      <c r="AH40" s="400" t="s">
        <v>1640</v>
      </c>
      <c r="AI40" s="69" t="s">
        <v>1641</v>
      </c>
      <c r="AJ40" s="548" t="s">
        <v>1642</v>
      </c>
      <c r="AK40" s="402"/>
      <c r="AL40" s="403"/>
      <c r="AM40" s="400"/>
      <c r="AN40"/>
      <c r="AO40" s="400"/>
      <c r="AP40"/>
      <c r="AQ40" s="400"/>
      <c r="AR40"/>
      <c r="AS40" s="400" t="s">
        <v>1643</v>
      </c>
      <c r="AT40" s="160" t="s">
        <v>1644</v>
      </c>
      <c r="AU40" s="160" t="s">
        <v>1645</v>
      </c>
    </row>
    <row r="41" spans="15:47" ht="14.4" x14ac:dyDescent="0.2">
      <c r="S41" t="s">
        <v>1646</v>
      </c>
      <c r="T41" s="400" t="s">
        <v>1647</v>
      </c>
      <c r="U41" s="403" t="s">
        <v>1207</v>
      </c>
      <c r="V41" s="404" t="s">
        <v>1648</v>
      </c>
      <c r="W41" s="538"/>
      <c r="X41" s="538"/>
      <c r="Y41" s="547" t="s">
        <v>1649</v>
      </c>
      <c r="Z41" s="400" t="s">
        <v>1650</v>
      </c>
      <c r="AA41"/>
      <c r="AB41" s="400"/>
      <c r="AC41" s="541">
        <v>0.5625</v>
      </c>
      <c r="AE41" s="398" t="s">
        <v>1651</v>
      </c>
      <c r="AF41" s="400" t="s">
        <v>1652</v>
      </c>
      <c r="AG41"/>
      <c r="AH41" s="400"/>
      <c r="AI41" s="69" t="s">
        <v>1653</v>
      </c>
      <c r="AJ41" s="548" t="s">
        <v>1654</v>
      </c>
      <c r="AK41" s="402"/>
      <c r="AL41" s="403"/>
      <c r="AM41" s="400"/>
      <c r="AN41"/>
      <c r="AO41" s="400"/>
      <c r="AP41"/>
      <c r="AQ41" s="400"/>
      <c r="AR41"/>
      <c r="AS41" s="400"/>
      <c r="AT41" s="160" t="s">
        <v>515</v>
      </c>
      <c r="AU41" s="160" t="s">
        <v>1655</v>
      </c>
    </row>
    <row r="42" spans="15:47" x14ac:dyDescent="0.2">
      <c r="U42" s="403" t="s">
        <v>1208</v>
      </c>
      <c r="V42" s="404" t="s">
        <v>1656</v>
      </c>
      <c r="W42" s="538"/>
      <c r="X42" s="538"/>
      <c r="Y42" s="547" t="s">
        <v>1226</v>
      </c>
      <c r="Z42" s="400" t="s">
        <v>1657</v>
      </c>
      <c r="AA42"/>
      <c r="AB42" s="400"/>
      <c r="AC42" s="541">
        <v>0.6875</v>
      </c>
      <c r="AE42"/>
      <c r="AF42" s="400"/>
      <c r="AG42"/>
      <c r="AH42" s="400"/>
      <c r="AI42" s="69" t="s">
        <v>1658</v>
      </c>
      <c r="AJ42" s="548" t="s">
        <v>1659</v>
      </c>
      <c r="AK42" s="402"/>
      <c r="AL42" s="403"/>
      <c r="AM42" s="400"/>
      <c r="AN42"/>
      <c r="AO42" s="400"/>
      <c r="AP42"/>
      <c r="AQ42" s="400"/>
      <c r="AR42"/>
      <c r="AS42" s="400" t="s">
        <v>1660</v>
      </c>
      <c r="AT42"/>
    </row>
    <row r="43" spans="15:47" x14ac:dyDescent="0.2">
      <c r="U43" s="403" t="s">
        <v>1209</v>
      </c>
      <c r="V43" s="404" t="s">
        <v>1661</v>
      </c>
      <c r="W43" s="538"/>
      <c r="X43" s="538"/>
      <c r="Y43" s="547" t="s">
        <v>1225</v>
      </c>
      <c r="Z43" s="400" t="s">
        <v>1662</v>
      </c>
      <c r="AA43"/>
      <c r="AB43" s="400"/>
      <c r="AC43" s="541">
        <v>0.8125</v>
      </c>
      <c r="AE43" s="398" t="s">
        <v>1663</v>
      </c>
      <c r="AF43" s="400" t="s">
        <v>1664</v>
      </c>
      <c r="AG43"/>
      <c r="AH43" s="400"/>
      <c r="AI43" s="69" t="s">
        <v>1665</v>
      </c>
      <c r="AJ43" s="548" t="s">
        <v>1666</v>
      </c>
      <c r="AK43" s="402"/>
      <c r="AL43" s="403"/>
      <c r="AM43" s="400"/>
      <c r="AN43"/>
      <c r="AO43" s="400"/>
      <c r="AP43"/>
      <c r="AQ43" s="400"/>
      <c r="AR43" t="s">
        <v>1667</v>
      </c>
      <c r="AS43" s="400" t="s">
        <v>1668</v>
      </c>
      <c r="AT43" s="382"/>
    </row>
    <row r="44" spans="15:47" x14ac:dyDescent="0.2">
      <c r="U44" s="403" t="s">
        <v>1210</v>
      </c>
      <c r="V44" s="404" t="s">
        <v>1669</v>
      </c>
      <c r="W44" s="538"/>
      <c r="X44" s="538"/>
      <c r="Z44" s="400"/>
      <c r="AA44"/>
      <c r="AB44" s="400"/>
      <c r="AC44" s="541">
        <v>0.875</v>
      </c>
      <c r="AE44" s="398" t="s">
        <v>509</v>
      </c>
      <c r="AF44" s="400" t="s">
        <v>1670</v>
      </c>
      <c r="AG44"/>
      <c r="AH44" s="400"/>
      <c r="AI44" s="69" t="s">
        <v>1671</v>
      </c>
      <c r="AJ44" s="548" t="s">
        <v>1672</v>
      </c>
      <c r="AK44" s="402"/>
      <c r="AL44" s="403"/>
      <c r="AM44" s="400"/>
      <c r="AN44"/>
      <c r="AO44" s="400"/>
      <c r="AP44"/>
      <c r="AQ44" s="400"/>
      <c r="AR44"/>
      <c r="AS44" s="400" t="s">
        <v>1673</v>
      </c>
      <c r="AT44"/>
    </row>
    <row r="45" spans="15:47" x14ac:dyDescent="0.2">
      <c r="U45" s="403" t="s">
        <v>1211</v>
      </c>
      <c r="V45" s="404" t="s">
        <v>1674</v>
      </c>
      <c r="W45" s="538"/>
      <c r="X45" s="538"/>
      <c r="Z45" s="400"/>
      <c r="AA45"/>
      <c r="AB45" s="400"/>
      <c r="AC45" s="541">
        <v>0.9375</v>
      </c>
      <c r="AE45" s="398" t="s">
        <v>1675</v>
      </c>
      <c r="AF45" s="400" t="s">
        <v>1676</v>
      </c>
      <c r="AG45"/>
      <c r="AH45" s="400"/>
      <c r="AI45" s="69" t="s">
        <v>1677</v>
      </c>
      <c r="AJ45" s="548" t="s">
        <v>1678</v>
      </c>
      <c r="AK45" s="402"/>
      <c r="AL45" s="403"/>
      <c r="AM45" s="400"/>
      <c r="AN45"/>
      <c r="AO45" s="400"/>
      <c r="AP45"/>
      <c r="AQ45" s="400"/>
      <c r="AR45" t="s">
        <v>1679</v>
      </c>
      <c r="AS45" s="400" t="s">
        <v>1680</v>
      </c>
      <c r="AT45" t="s">
        <v>1681</v>
      </c>
    </row>
    <row r="46" spans="15:47" x14ac:dyDescent="0.2">
      <c r="U46" s="403" t="s">
        <v>1212</v>
      </c>
      <c r="V46" s="404" t="s">
        <v>1682</v>
      </c>
      <c r="W46" s="538"/>
      <c r="X46" s="538"/>
      <c r="Z46" s="400"/>
      <c r="AA46"/>
      <c r="AB46" s="400"/>
      <c r="AC46" s="541">
        <v>1</v>
      </c>
      <c r="AE46"/>
      <c r="AF46" s="400"/>
      <c r="AG46"/>
      <c r="AH46" s="400"/>
      <c r="AI46" s="69">
        <v>350</v>
      </c>
      <c r="AJ46" s="548" t="s">
        <v>1683</v>
      </c>
      <c r="AK46" s="402"/>
      <c r="AL46" s="403"/>
      <c r="AM46" s="400"/>
      <c r="AN46"/>
      <c r="AO46" s="400"/>
      <c r="AP46"/>
      <c r="AQ46" s="400"/>
      <c r="AR46"/>
      <c r="AS46" s="400"/>
      <c r="AT46"/>
    </row>
    <row r="47" spans="15:47" x14ac:dyDescent="0.2">
      <c r="U47" s="403" t="s">
        <v>1213</v>
      </c>
      <c r="V47" s="404" t="s">
        <v>1684</v>
      </c>
      <c r="W47" s="538"/>
      <c r="X47" s="538"/>
      <c r="Z47" s="400"/>
      <c r="AA47"/>
      <c r="AB47" s="400"/>
      <c r="AC47" s="541">
        <v>1.0625</v>
      </c>
      <c r="AE47"/>
      <c r="AF47" s="400"/>
      <c r="AG47"/>
      <c r="AH47" s="400"/>
      <c r="AI47" s="69">
        <v>400</v>
      </c>
      <c r="AJ47" s="548" t="s">
        <v>1685</v>
      </c>
      <c r="AK47" s="402"/>
      <c r="AL47" s="403"/>
      <c r="AM47" s="400"/>
      <c r="AN47"/>
      <c r="AO47" s="400"/>
      <c r="AP47"/>
      <c r="AQ47" s="400"/>
      <c r="AR47" t="s">
        <v>1686</v>
      </c>
      <c r="AS47" s="400" t="s">
        <v>1687</v>
      </c>
      <c r="AT47"/>
    </row>
    <row r="48" spans="15:47" x14ac:dyDescent="0.2">
      <c r="U48" s="403" t="s">
        <v>1214</v>
      </c>
      <c r="V48" s="404" t="s">
        <v>1688</v>
      </c>
      <c r="W48" s="538"/>
      <c r="X48" s="538"/>
      <c r="Z48" s="400"/>
      <c r="AA48"/>
      <c r="AB48" s="400"/>
      <c r="AC48" s="541">
        <v>1.125</v>
      </c>
      <c r="AE48"/>
      <c r="AF48" s="400"/>
      <c r="AG48"/>
      <c r="AH48" s="400"/>
      <c r="AK48" s="402"/>
      <c r="AL48" s="403"/>
      <c r="AM48" s="400"/>
      <c r="AN48"/>
      <c r="AO48" s="400"/>
      <c r="AP48"/>
      <c r="AQ48" s="400"/>
      <c r="AR48"/>
      <c r="AS48" s="400" t="s">
        <v>1689</v>
      </c>
      <c r="AT48"/>
    </row>
    <row r="49" spans="21:46" x14ac:dyDescent="0.2">
      <c r="U49" s="403" t="s">
        <v>1215</v>
      </c>
      <c r="V49" s="404" t="s">
        <v>1690</v>
      </c>
      <c r="W49" s="538"/>
      <c r="X49" s="538"/>
      <c r="Z49" s="400"/>
      <c r="AA49"/>
      <c r="AB49" s="400"/>
      <c r="AC49" s="541">
        <v>1.1875</v>
      </c>
      <c r="AE49"/>
      <c r="AF49" s="400"/>
      <c r="AG49"/>
      <c r="AH49" s="400"/>
      <c r="AK49" s="402"/>
      <c r="AL49" s="403"/>
      <c r="AM49" s="400"/>
      <c r="AN49"/>
      <c r="AO49" s="400"/>
      <c r="AP49"/>
      <c r="AQ49" s="400"/>
      <c r="AR49" t="s">
        <v>1691</v>
      </c>
      <c r="AS49" s="400" t="s">
        <v>1692</v>
      </c>
      <c r="AT49"/>
    </row>
    <row r="50" spans="21:46" x14ac:dyDescent="0.2">
      <c r="U50" s="403" t="s">
        <v>1216</v>
      </c>
      <c r="V50" s="404" t="s">
        <v>1693</v>
      </c>
      <c r="W50" s="538"/>
      <c r="X50" s="538"/>
      <c r="Z50" s="400"/>
      <c r="AA50"/>
      <c r="AB50" s="400"/>
      <c r="AC50" s="541">
        <v>1.25</v>
      </c>
      <c r="AE50"/>
      <c r="AF50" s="400"/>
      <c r="AG50"/>
      <c r="AH50" s="400"/>
      <c r="AK50" s="402"/>
      <c r="AL50" s="403"/>
      <c r="AM50" s="400"/>
      <c r="AN50"/>
      <c r="AO50" s="400"/>
      <c r="AP50"/>
      <c r="AQ50" s="400"/>
      <c r="AR50" t="s">
        <v>1694</v>
      </c>
      <c r="AS50" s="400" t="s">
        <v>1695</v>
      </c>
      <c r="AT50"/>
    </row>
    <row r="51" spans="21:46" x14ac:dyDescent="0.2">
      <c r="U51" s="403" t="s">
        <v>1217</v>
      </c>
      <c r="V51" s="404" t="s">
        <v>1696</v>
      </c>
      <c r="W51" s="538"/>
      <c r="X51" s="538"/>
      <c r="Z51" s="400"/>
      <c r="AA51"/>
      <c r="AB51" s="400"/>
      <c r="AC51" s="541">
        <v>1.3125</v>
      </c>
      <c r="AE51"/>
      <c r="AF51" s="400"/>
      <c r="AG51"/>
      <c r="AH51" s="400"/>
      <c r="AK51" s="402"/>
      <c r="AL51" s="403"/>
      <c r="AM51" s="400"/>
      <c r="AN51"/>
      <c r="AO51" s="400"/>
      <c r="AP51"/>
      <c r="AQ51" s="400"/>
      <c r="AR51"/>
      <c r="AS51" s="400"/>
      <c r="AT51"/>
    </row>
    <row r="52" spans="21:46" x14ac:dyDescent="0.2">
      <c r="U52" s="403" t="s">
        <v>1218</v>
      </c>
      <c r="V52" s="404" t="s">
        <v>1697</v>
      </c>
      <c r="W52" s="538"/>
      <c r="X52" s="538"/>
      <c r="Z52" s="400"/>
      <c r="AA52"/>
      <c r="AB52" s="400"/>
      <c r="AC52" s="541">
        <v>1.375</v>
      </c>
      <c r="AE52"/>
      <c r="AF52" s="400"/>
      <c r="AG52"/>
      <c r="AH52" s="400"/>
      <c r="AK52" s="402"/>
      <c r="AL52" s="403"/>
      <c r="AM52" s="400"/>
      <c r="AN52"/>
      <c r="AO52" s="400"/>
      <c r="AP52"/>
      <c r="AQ52" s="400"/>
      <c r="AR52"/>
      <c r="AS52" s="400" t="s">
        <v>1698</v>
      </c>
      <c r="AT52"/>
    </row>
    <row r="53" spans="21:46" x14ac:dyDescent="0.2">
      <c r="U53" s="403" t="s">
        <v>1219</v>
      </c>
      <c r="V53" s="404" t="s">
        <v>1699</v>
      </c>
      <c r="W53" s="538"/>
      <c r="X53" s="538"/>
      <c r="Z53" s="400"/>
      <c r="AA53"/>
      <c r="AB53" s="400"/>
      <c r="AC53" s="541">
        <v>1.4375</v>
      </c>
      <c r="AE53"/>
      <c r="AF53" s="400"/>
      <c r="AG53"/>
      <c r="AH53" s="400"/>
      <c r="AK53" s="402"/>
      <c r="AL53" s="403"/>
      <c r="AM53" s="400"/>
      <c r="AN53"/>
      <c r="AO53" s="400"/>
      <c r="AP53"/>
      <c r="AQ53" s="400"/>
      <c r="AR53"/>
      <c r="AS53" s="400" t="s">
        <v>1700</v>
      </c>
      <c r="AT53"/>
    </row>
    <row r="54" spans="21:46" x14ac:dyDescent="0.2">
      <c r="U54" s="403">
        <v>478</v>
      </c>
      <c r="V54" s="404" t="s">
        <v>1701</v>
      </c>
      <c r="W54" s="538"/>
      <c r="X54" s="538"/>
      <c r="Z54" s="400"/>
      <c r="AA54"/>
      <c r="AB54" s="400"/>
      <c r="AC54" s="541">
        <v>1.5</v>
      </c>
      <c r="AE54"/>
      <c r="AF54" s="400"/>
      <c r="AG54"/>
      <c r="AH54" s="400"/>
      <c r="AK54" s="402"/>
      <c r="AL54" s="403"/>
      <c r="AM54" s="400"/>
      <c r="AN54"/>
      <c r="AO54" s="400"/>
      <c r="AP54"/>
      <c r="AQ54" s="400"/>
      <c r="AR54" t="s">
        <v>1702</v>
      </c>
      <c r="AS54" s="400" t="s">
        <v>1703</v>
      </c>
      <c r="AT54"/>
    </row>
    <row r="55" spans="21:46" x14ac:dyDescent="0.2">
      <c r="U55" s="403" t="s">
        <v>1220</v>
      </c>
      <c r="V55" s="404" t="s">
        <v>1704</v>
      </c>
      <c r="W55" s="538"/>
      <c r="X55" s="538"/>
      <c r="Z55" s="400"/>
      <c r="AA55"/>
      <c r="AB55" s="400"/>
      <c r="AC55" s="398"/>
      <c r="AE55"/>
      <c r="AF55" s="400"/>
      <c r="AG55"/>
      <c r="AH55" s="400"/>
      <c r="AK55" s="402"/>
      <c r="AL55" s="403"/>
      <c r="AM55" s="400"/>
      <c r="AN55"/>
      <c r="AO55" s="400"/>
      <c r="AP55"/>
      <c r="AQ55" s="400"/>
      <c r="AR55" t="s">
        <v>1705</v>
      </c>
      <c r="AS55" s="400" t="s">
        <v>1706</v>
      </c>
      <c r="AT55"/>
    </row>
    <row r="56" spans="21:46" ht="14.4" x14ac:dyDescent="0.3">
      <c r="U56" s="403">
        <v>234</v>
      </c>
      <c r="V56" s="404" t="s">
        <v>1707</v>
      </c>
      <c r="W56" s="538"/>
      <c r="X56" s="538"/>
      <c r="Z56" s="400"/>
      <c r="AA56"/>
      <c r="AB56" s="400"/>
      <c r="AC56" s="398"/>
      <c r="AE56"/>
      <c r="AF56" s="400"/>
      <c r="AG56"/>
      <c r="AH56" s="400"/>
      <c r="AI56" s="552" t="s">
        <v>1708</v>
      </c>
      <c r="AJ56" s="553"/>
      <c r="AK56" s="402"/>
      <c r="AL56" s="552" t="s">
        <v>1708</v>
      </c>
      <c r="AM56" s="553"/>
      <c r="AN56"/>
      <c r="AO56" s="400"/>
      <c r="AP56"/>
      <c r="AQ56" s="400"/>
      <c r="AR56"/>
      <c r="AS56" s="400"/>
      <c r="AT56"/>
    </row>
    <row r="57" spans="21:46" x14ac:dyDescent="0.2">
      <c r="U57" s="403" t="s">
        <v>1221</v>
      </c>
      <c r="V57" s="404" t="s">
        <v>1709</v>
      </c>
      <c r="W57" s="538"/>
      <c r="X57" s="538"/>
      <c r="Z57" s="400"/>
      <c r="AA57"/>
      <c r="AB57" s="400"/>
      <c r="AC57" s="398"/>
      <c r="AE57"/>
      <c r="AF57" s="400"/>
      <c r="AG57"/>
      <c r="AH57" s="400"/>
      <c r="AI57" s="69">
        <v>450</v>
      </c>
      <c r="AK57" s="402"/>
      <c r="AL57" s="403" t="s">
        <v>1473</v>
      </c>
      <c r="AM57" s="400"/>
      <c r="AN57"/>
      <c r="AO57" s="400"/>
      <c r="AP57"/>
      <c r="AQ57" s="400"/>
      <c r="AR57" t="s">
        <v>1710</v>
      </c>
      <c r="AS57" s="400" t="s">
        <v>1711</v>
      </c>
      <c r="AT57"/>
    </row>
    <row r="58" spans="21:46" x14ac:dyDescent="0.2">
      <c r="U58" s="403" t="s">
        <v>1222</v>
      </c>
      <c r="V58" s="404" t="s">
        <v>1712</v>
      </c>
      <c r="W58" s="538"/>
      <c r="X58" s="538"/>
      <c r="Z58" s="400"/>
      <c r="AA58"/>
      <c r="AB58" s="400"/>
      <c r="AC58" s="398"/>
      <c r="AE58"/>
      <c r="AF58" s="400"/>
      <c r="AG58"/>
      <c r="AH58" s="400"/>
      <c r="AI58" s="69">
        <v>500</v>
      </c>
      <c r="AK58" s="402"/>
      <c r="AL58" s="403" t="s">
        <v>491</v>
      </c>
      <c r="AM58" s="400"/>
      <c r="AN58"/>
      <c r="AO58" s="400"/>
      <c r="AP58"/>
      <c r="AQ58" s="400"/>
      <c r="AR58"/>
      <c r="AS58" s="400" t="s">
        <v>1713</v>
      </c>
      <c r="AT58"/>
    </row>
    <row r="59" spans="21:46" x14ac:dyDescent="0.2">
      <c r="U59" s="403" t="s">
        <v>1223</v>
      </c>
      <c r="V59" s="404" t="s">
        <v>1714</v>
      </c>
      <c r="W59" s="538"/>
      <c r="X59" s="538"/>
      <c r="Z59" s="400"/>
      <c r="AA59"/>
      <c r="AB59" s="400"/>
      <c r="AC59" s="398"/>
      <c r="AE59"/>
      <c r="AF59" s="400"/>
      <c r="AG59"/>
      <c r="AH59" s="400"/>
      <c r="AI59" s="69" t="s">
        <v>490</v>
      </c>
      <c r="AK59" s="402"/>
      <c r="AL59" s="403" t="s">
        <v>1510</v>
      </c>
      <c r="AM59" s="400"/>
      <c r="AN59"/>
      <c r="AO59" s="400"/>
      <c r="AP59"/>
      <c r="AQ59" s="400"/>
      <c r="AR59" t="s">
        <v>1715</v>
      </c>
      <c r="AS59" s="400" t="s">
        <v>1716</v>
      </c>
      <c r="AT59"/>
    </row>
    <row r="60" spans="21:46" x14ac:dyDescent="0.2">
      <c r="U60" s="403" t="s">
        <v>1224</v>
      </c>
      <c r="V60" s="404" t="s">
        <v>1717</v>
      </c>
      <c r="W60" s="538"/>
      <c r="X60" s="538"/>
      <c r="Z60" s="400"/>
      <c r="AA60"/>
      <c r="AB60" s="400"/>
      <c r="AC60" s="398"/>
      <c r="AE60"/>
      <c r="AF60" s="400"/>
      <c r="AG60"/>
      <c r="AH60" s="400"/>
      <c r="AI60" s="69" t="s">
        <v>1525</v>
      </c>
      <c r="AK60" s="402"/>
      <c r="AL60" s="403" t="s">
        <v>1527</v>
      </c>
      <c r="AM60" s="400" t="s">
        <v>1189</v>
      </c>
      <c r="AN60"/>
      <c r="AO60" s="400"/>
      <c r="AP60"/>
      <c r="AQ60" s="400"/>
      <c r="AR60" t="s">
        <v>1718</v>
      </c>
      <c r="AS60" s="400" t="s">
        <v>1719</v>
      </c>
      <c r="AT60"/>
    </row>
    <row r="61" spans="21:46" x14ac:dyDescent="0.2">
      <c r="U61" s="403" t="s">
        <v>1225</v>
      </c>
      <c r="V61" s="404" t="s">
        <v>1662</v>
      </c>
      <c r="W61" s="538"/>
      <c r="X61" s="538"/>
      <c r="Z61" s="400"/>
      <c r="AA61"/>
      <c r="AB61" s="400"/>
      <c r="AC61" s="398"/>
      <c r="AE61"/>
      <c r="AF61" s="400"/>
      <c r="AG61"/>
      <c r="AH61" s="400"/>
      <c r="AI61" s="69" t="s">
        <v>1542</v>
      </c>
      <c r="AJ61" s="400" t="s">
        <v>1189</v>
      </c>
      <c r="AK61" s="402"/>
      <c r="AL61" s="403" t="s">
        <v>1544</v>
      </c>
      <c r="AM61" s="400" t="s">
        <v>1189</v>
      </c>
      <c r="AN61"/>
      <c r="AO61" s="400"/>
      <c r="AP61"/>
      <c r="AQ61" s="400"/>
      <c r="AR61" t="s">
        <v>1720</v>
      </c>
      <c r="AS61" s="400" t="s">
        <v>1721</v>
      </c>
      <c r="AT61"/>
    </row>
    <row r="62" spans="21:46" x14ac:dyDescent="0.2">
      <c r="U62" s="403" t="s">
        <v>1226</v>
      </c>
      <c r="V62" s="404" t="s">
        <v>1657</v>
      </c>
      <c r="W62" s="538"/>
      <c r="X62" s="538"/>
      <c r="Z62" s="400"/>
      <c r="AA62"/>
      <c r="AB62" s="400"/>
      <c r="AC62" s="398"/>
      <c r="AE62"/>
      <c r="AF62" s="400"/>
      <c r="AG62"/>
      <c r="AH62" s="400"/>
      <c r="AI62" s="69" t="s">
        <v>1561</v>
      </c>
      <c r="AJ62" s="400" t="s">
        <v>1189</v>
      </c>
      <c r="AK62" s="402"/>
      <c r="AL62" s="403" t="s">
        <v>1563</v>
      </c>
      <c r="AM62" s="400" t="s">
        <v>1189</v>
      </c>
      <c r="AN62"/>
      <c r="AO62" s="400"/>
      <c r="AP62"/>
      <c r="AQ62" s="400"/>
      <c r="AR62" t="s">
        <v>1722</v>
      </c>
      <c r="AS62" s="400" t="s">
        <v>1723</v>
      </c>
      <c r="AT62"/>
    </row>
    <row r="63" spans="21:46" x14ac:dyDescent="0.2">
      <c r="U63" s="403" t="s">
        <v>1227</v>
      </c>
      <c r="V63" s="404" t="s">
        <v>1724</v>
      </c>
      <c r="W63" s="538"/>
      <c r="X63" s="538"/>
      <c r="Z63" s="400"/>
      <c r="AA63"/>
      <c r="AB63" s="400"/>
      <c r="AC63" s="398"/>
      <c r="AE63"/>
      <c r="AF63" s="400"/>
      <c r="AG63"/>
      <c r="AH63" s="400"/>
      <c r="AI63" s="69" t="s">
        <v>1577</v>
      </c>
      <c r="AK63" s="402"/>
      <c r="AL63" s="403" t="s">
        <v>1579</v>
      </c>
      <c r="AM63" s="400"/>
      <c r="AN63"/>
      <c r="AO63" s="400"/>
      <c r="AP63"/>
      <c r="AQ63" s="400"/>
      <c r="AR63" t="s">
        <v>1725</v>
      </c>
      <c r="AS63" s="400" t="s">
        <v>1726</v>
      </c>
      <c r="AT63"/>
    </row>
    <row r="64" spans="21:46" x14ac:dyDescent="0.2">
      <c r="U64" s="403" t="s">
        <v>1228</v>
      </c>
      <c r="V64" s="404" t="s">
        <v>1727</v>
      </c>
      <c r="W64" s="538"/>
      <c r="X64" s="538"/>
      <c r="Z64" s="400"/>
      <c r="AA64"/>
      <c r="AB64" s="400"/>
      <c r="AC64" s="398"/>
      <c r="AE64"/>
      <c r="AF64" s="400"/>
      <c r="AG64"/>
      <c r="AH64" s="400"/>
      <c r="AI64" s="69" t="s">
        <v>1594</v>
      </c>
      <c r="AJ64" s="400" t="s">
        <v>1189</v>
      </c>
      <c r="AK64" s="402"/>
      <c r="AL64" s="403"/>
      <c r="AM64" s="400"/>
      <c r="AN64"/>
      <c r="AO64" s="400"/>
      <c r="AP64"/>
      <c r="AQ64" s="400"/>
      <c r="AR64" t="s">
        <v>1728</v>
      </c>
      <c r="AS64" s="400" t="s">
        <v>1729</v>
      </c>
      <c r="AT64"/>
    </row>
    <row r="65" spans="21:46" x14ac:dyDescent="0.2">
      <c r="U65" s="403" t="s">
        <v>1229</v>
      </c>
      <c r="V65" s="404" t="s">
        <v>1730</v>
      </c>
      <c r="W65" s="538"/>
      <c r="X65" s="538"/>
      <c r="Z65" s="400"/>
      <c r="AA65"/>
      <c r="AB65" s="400"/>
      <c r="AC65" s="398"/>
      <c r="AE65"/>
      <c r="AF65" s="400"/>
      <c r="AG65"/>
      <c r="AH65" s="400"/>
      <c r="AI65" s="69" t="s">
        <v>1608</v>
      </c>
      <c r="AJ65" s="400" t="s">
        <v>1189</v>
      </c>
      <c r="AK65" s="402"/>
      <c r="AL65" s="403"/>
      <c r="AM65" s="400"/>
      <c r="AN65"/>
      <c r="AO65" s="400"/>
      <c r="AP65"/>
      <c r="AQ65" s="400"/>
      <c r="AR65"/>
      <c r="AS65" s="400"/>
      <c r="AT65"/>
    </row>
    <row r="66" spans="21:46" x14ac:dyDescent="0.2">
      <c r="U66" s="403" t="s">
        <v>1230</v>
      </c>
      <c r="V66" s="404" t="s">
        <v>1731</v>
      </c>
      <c r="W66" s="538"/>
      <c r="X66" s="538"/>
      <c r="Z66" s="400"/>
      <c r="AA66"/>
      <c r="AB66" s="400"/>
      <c r="AC66" s="398"/>
      <c r="AE66"/>
      <c r="AF66" s="400"/>
      <c r="AG66"/>
      <c r="AH66" s="400"/>
      <c r="AI66" s="69" t="s">
        <v>1626</v>
      </c>
      <c r="AK66" s="402"/>
      <c r="AL66" s="403"/>
      <c r="AM66" s="400"/>
      <c r="AN66"/>
      <c r="AO66" s="400"/>
      <c r="AP66"/>
      <c r="AQ66" s="400"/>
      <c r="AR66" t="s">
        <v>1732</v>
      </c>
      <c r="AS66" s="400" t="s">
        <v>1733</v>
      </c>
      <c r="AT66"/>
    </row>
    <row r="67" spans="21:46" x14ac:dyDescent="0.2">
      <c r="U67" s="403" t="s">
        <v>1231</v>
      </c>
      <c r="V67" s="404" t="s">
        <v>1734</v>
      </c>
      <c r="W67" s="538"/>
      <c r="X67" s="538"/>
      <c r="Z67" s="400"/>
      <c r="AA67"/>
      <c r="AB67" s="400"/>
      <c r="AC67" s="398"/>
      <c r="AE67"/>
      <c r="AF67" s="400"/>
      <c r="AG67"/>
      <c r="AH67" s="400"/>
      <c r="AI67" s="69" t="s">
        <v>1641</v>
      </c>
      <c r="AK67" s="402"/>
      <c r="AL67" s="403"/>
      <c r="AM67" s="400"/>
      <c r="AN67"/>
      <c r="AO67" s="400"/>
      <c r="AP67"/>
      <c r="AQ67" s="400"/>
      <c r="AR67"/>
      <c r="AS67" s="400" t="s">
        <v>1735</v>
      </c>
      <c r="AT67"/>
    </row>
    <row r="68" spans="21:46" x14ac:dyDescent="0.2">
      <c r="U68" s="403" t="s">
        <v>1232</v>
      </c>
      <c r="V68" s="404" t="s">
        <v>1736</v>
      </c>
      <c r="W68" s="538"/>
      <c r="X68" s="538"/>
      <c r="Z68" s="400"/>
      <c r="AA68"/>
      <c r="AB68" s="400"/>
      <c r="AC68" s="398"/>
      <c r="AE68"/>
      <c r="AF68" s="400"/>
      <c r="AG68"/>
      <c r="AH68" s="400"/>
      <c r="AI68" s="69" t="s">
        <v>1653</v>
      </c>
      <c r="AJ68" s="400" t="s">
        <v>1189</v>
      </c>
      <c r="AK68" s="402"/>
      <c r="AL68" s="403"/>
      <c r="AM68" s="400"/>
      <c r="AN68"/>
      <c r="AO68" s="400"/>
      <c r="AP68"/>
      <c r="AQ68" s="400"/>
      <c r="AR68" t="s">
        <v>1737</v>
      </c>
      <c r="AS68" s="400" t="s">
        <v>1738</v>
      </c>
      <c r="AT68"/>
    </row>
    <row r="69" spans="21:46" x14ac:dyDescent="0.2">
      <c r="U69" s="403" t="s">
        <v>1233</v>
      </c>
      <c r="V69" s="404" t="s">
        <v>1739</v>
      </c>
      <c r="W69" s="538"/>
      <c r="X69" s="538"/>
      <c r="Z69" s="400"/>
      <c r="AA69"/>
      <c r="AB69" s="400"/>
      <c r="AC69" s="398"/>
      <c r="AE69"/>
      <c r="AF69" s="400"/>
      <c r="AG69"/>
      <c r="AH69" s="400"/>
      <c r="AI69" s="69" t="s">
        <v>1658</v>
      </c>
      <c r="AJ69" s="400" t="s">
        <v>1189</v>
      </c>
      <c r="AK69" s="402"/>
      <c r="AL69" s="403"/>
      <c r="AM69" s="400"/>
      <c r="AN69"/>
      <c r="AO69" s="400"/>
      <c r="AP69"/>
      <c r="AQ69" s="400"/>
      <c r="AR69"/>
      <c r="AS69" s="400"/>
      <c r="AT69"/>
    </row>
    <row r="70" spans="21:46" ht="14.4" x14ac:dyDescent="0.3">
      <c r="U70" s="403" t="s">
        <v>966</v>
      </c>
      <c r="V70" s="404" t="s">
        <v>1740</v>
      </c>
      <c r="W70" s="538"/>
      <c r="X70" s="538"/>
      <c r="Z70" s="400"/>
      <c r="AA70"/>
      <c r="AB70" s="400"/>
      <c r="AC70" s="398"/>
      <c r="AE70"/>
      <c r="AF70" s="400"/>
      <c r="AG70"/>
      <c r="AH70" s="400"/>
      <c r="AI70" s="69" t="s">
        <v>1665</v>
      </c>
      <c r="AJ70" s="400" t="s">
        <v>1189</v>
      </c>
      <c r="AK70" s="402"/>
      <c r="AL70" s="403"/>
      <c r="AM70" s="400"/>
      <c r="AN70"/>
      <c r="AO70" s="400"/>
      <c r="AP70"/>
      <c r="AQ70" s="400"/>
      <c r="AR70" s="263"/>
      <c r="AS70" s="400"/>
      <c r="AT70"/>
    </row>
    <row r="71" spans="21:46" x14ac:dyDescent="0.2">
      <c r="U71" s="403" t="s">
        <v>1234</v>
      </c>
      <c r="V71" s="404" t="s">
        <v>1741</v>
      </c>
      <c r="W71" s="538"/>
      <c r="X71" s="538"/>
      <c r="Z71" s="400"/>
      <c r="AA71"/>
      <c r="AB71" s="400"/>
      <c r="AC71" s="398"/>
      <c r="AE71"/>
      <c r="AF71" s="400"/>
      <c r="AG71"/>
      <c r="AH71" s="400"/>
      <c r="AI71" s="69" t="s">
        <v>1671</v>
      </c>
      <c r="AJ71" s="400" t="s">
        <v>1189</v>
      </c>
      <c r="AK71" s="402"/>
      <c r="AL71" s="403"/>
      <c r="AM71" s="400"/>
      <c r="AN71"/>
      <c r="AO71" s="400"/>
      <c r="AP71"/>
      <c r="AQ71" s="400"/>
      <c r="AR71"/>
      <c r="AS71" s="400"/>
      <c r="AT71"/>
    </row>
    <row r="72" spans="21:46" x14ac:dyDescent="0.2">
      <c r="U72" s="403" t="s">
        <v>1235</v>
      </c>
      <c r="V72" s="404" t="s">
        <v>1742</v>
      </c>
      <c r="W72" s="538"/>
      <c r="X72" s="538"/>
      <c r="Z72" s="400"/>
      <c r="AA72"/>
      <c r="AB72" s="400"/>
      <c r="AC72" s="398"/>
      <c r="AE72"/>
      <c r="AF72" s="400"/>
      <c r="AG72"/>
      <c r="AH72" s="400"/>
      <c r="AI72" s="69" t="s">
        <v>1743</v>
      </c>
      <c r="AJ72" s="400" t="s">
        <v>1189</v>
      </c>
      <c r="AK72" s="402"/>
      <c r="AL72" s="403"/>
      <c r="AM72" s="400"/>
      <c r="AN72"/>
      <c r="AO72" s="400"/>
      <c r="AP72"/>
      <c r="AQ72" s="400"/>
      <c r="AR72"/>
      <c r="AS72" s="400"/>
      <c r="AT72"/>
    </row>
    <row r="73" spans="21:46" x14ac:dyDescent="0.2">
      <c r="U73" s="403" t="s">
        <v>1236</v>
      </c>
      <c r="V73" s="404" t="s">
        <v>1744</v>
      </c>
      <c r="W73" s="538"/>
      <c r="X73" s="538"/>
      <c r="Z73" s="400"/>
      <c r="AA73"/>
      <c r="AB73" s="400"/>
      <c r="AC73" s="398"/>
      <c r="AE73"/>
      <c r="AF73" s="400"/>
      <c r="AG73"/>
      <c r="AH73" s="400"/>
      <c r="AI73" s="69" t="s">
        <v>1745</v>
      </c>
      <c r="AJ73" s="400" t="s">
        <v>1189</v>
      </c>
      <c r="AK73" s="402"/>
      <c r="AL73" s="403"/>
      <c r="AM73" s="400"/>
      <c r="AN73"/>
      <c r="AO73" s="400"/>
      <c r="AP73"/>
      <c r="AQ73" s="400"/>
      <c r="AR73" s="554"/>
      <c r="AS73" s="400"/>
      <c r="AT73"/>
    </row>
    <row r="74" spans="21:46" x14ac:dyDescent="0.2">
      <c r="U74" s="403" t="s">
        <v>1237</v>
      </c>
      <c r="V74" s="404" t="s">
        <v>1746</v>
      </c>
      <c r="W74" s="538"/>
      <c r="X74" s="538"/>
      <c r="Z74" s="400"/>
      <c r="AA74"/>
      <c r="AB74" s="400"/>
      <c r="AC74" s="398"/>
      <c r="AE74"/>
      <c r="AF74" s="400"/>
      <c r="AG74"/>
      <c r="AH74" s="400"/>
      <c r="AI74" s="69" t="s">
        <v>1747</v>
      </c>
      <c r="AJ74" s="400" t="s">
        <v>1189</v>
      </c>
      <c r="AK74" s="402"/>
      <c r="AL74" s="403"/>
      <c r="AM74" s="400"/>
      <c r="AN74"/>
      <c r="AO74" s="400"/>
      <c r="AP74"/>
      <c r="AQ74" s="400"/>
      <c r="AR74"/>
      <c r="AS74" s="400"/>
      <c r="AT74"/>
    </row>
    <row r="75" spans="21:46" x14ac:dyDescent="0.2">
      <c r="U75" s="403" t="s">
        <v>1238</v>
      </c>
      <c r="V75" s="404" t="s">
        <v>1748</v>
      </c>
      <c r="W75" s="538"/>
      <c r="X75" s="538"/>
      <c r="Z75" s="400"/>
      <c r="AA75"/>
      <c r="AB75" s="400"/>
      <c r="AC75" s="398"/>
      <c r="AE75"/>
      <c r="AF75" s="400"/>
      <c r="AG75"/>
      <c r="AH75" s="400"/>
      <c r="AI75" s="69" t="s">
        <v>1677</v>
      </c>
      <c r="AJ75" s="400" t="s">
        <v>1189</v>
      </c>
      <c r="AK75" s="402"/>
      <c r="AL75" s="403"/>
      <c r="AM75" s="400"/>
      <c r="AN75"/>
      <c r="AO75" s="400"/>
      <c r="AP75"/>
      <c r="AQ75" s="400"/>
      <c r="AR75"/>
      <c r="AS75" s="400"/>
      <c r="AT75"/>
    </row>
    <row r="76" spans="21:46" x14ac:dyDescent="0.2">
      <c r="U76" s="403" t="s">
        <v>1227</v>
      </c>
      <c r="V76" s="404" t="s">
        <v>1749</v>
      </c>
      <c r="W76" s="538"/>
      <c r="X76" s="538"/>
      <c r="Z76" s="400"/>
      <c r="AA76"/>
      <c r="AB76" s="400"/>
      <c r="AC76" s="398"/>
      <c r="AE76"/>
      <c r="AF76" s="400"/>
      <c r="AG76"/>
      <c r="AH76" s="400"/>
      <c r="AI76" s="69">
        <v>350</v>
      </c>
      <c r="AK76" s="402"/>
      <c r="AL76" s="403"/>
      <c r="AM76" s="400"/>
      <c r="AN76"/>
      <c r="AO76" s="400"/>
      <c r="AP76"/>
      <c r="AQ76" s="400"/>
      <c r="AR76"/>
      <c r="AS76" s="400"/>
      <c r="AT76"/>
    </row>
    <row r="77" spans="21:46" x14ac:dyDescent="0.2">
      <c r="U77" s="403"/>
      <c r="V77" s="404"/>
      <c r="W77" s="538"/>
      <c r="X77" s="538"/>
      <c r="Z77" s="400"/>
      <c r="AA77"/>
      <c r="AB77" s="400"/>
      <c r="AC77" s="398"/>
      <c r="AE77"/>
      <c r="AF77" s="400"/>
      <c r="AG77"/>
      <c r="AH77" s="400"/>
      <c r="AI77" s="69">
        <v>400</v>
      </c>
      <c r="AK77" s="402"/>
      <c r="AL77" s="403"/>
      <c r="AM77" s="400"/>
      <c r="AN77"/>
      <c r="AO77" s="400"/>
      <c r="AP77"/>
      <c r="AQ77" s="400"/>
      <c r="AR77"/>
      <c r="AS77" s="400"/>
      <c r="AT77"/>
    </row>
    <row r="85" spans="21:22" ht="14.4" x14ac:dyDescent="0.3">
      <c r="U85" s="555"/>
      <c r="V85" s="556" t="s">
        <v>1102</v>
      </c>
    </row>
    <row r="86" spans="21:22" x14ac:dyDescent="0.2">
      <c r="U86" s="403" t="s">
        <v>1185</v>
      </c>
      <c r="V86" s="558"/>
    </row>
    <row r="87" spans="21:22" x14ac:dyDescent="0.2">
      <c r="U87" s="403" t="s">
        <v>485</v>
      </c>
      <c r="V87" s="558"/>
    </row>
    <row r="88" spans="21:22" x14ac:dyDescent="0.2">
      <c r="U88" s="403" t="s">
        <v>1188</v>
      </c>
      <c r="V88" s="558" t="s">
        <v>1189</v>
      </c>
    </row>
    <row r="89" spans="21:22" x14ac:dyDescent="0.2">
      <c r="U89" s="403" t="s">
        <v>1191</v>
      </c>
      <c r="V89" s="558"/>
    </row>
    <row r="90" spans="21:22" x14ac:dyDescent="0.2">
      <c r="U90" s="403" t="s">
        <v>1193</v>
      </c>
      <c r="V90" s="558"/>
    </row>
    <row r="91" spans="21:22" x14ac:dyDescent="0.2">
      <c r="U91" s="403" t="s">
        <v>1195</v>
      </c>
      <c r="V91" s="558"/>
    </row>
    <row r="92" spans="21:22" x14ac:dyDescent="0.2">
      <c r="U92" s="403" t="s">
        <v>1197</v>
      </c>
      <c r="V92" s="558"/>
    </row>
    <row r="93" spans="21:22" x14ac:dyDescent="0.2">
      <c r="U93" s="403" t="s">
        <v>488</v>
      </c>
      <c r="V93" s="558" t="s">
        <v>1189</v>
      </c>
    </row>
    <row r="94" spans="21:22" x14ac:dyDescent="0.2">
      <c r="U94" s="403" t="s">
        <v>1200</v>
      </c>
      <c r="V94" s="558" t="s">
        <v>1189</v>
      </c>
    </row>
    <row r="95" spans="21:22" x14ac:dyDescent="0.2">
      <c r="U95" s="403" t="s">
        <v>1202</v>
      </c>
      <c r="V95" s="558"/>
    </row>
    <row r="96" spans="21:22" x14ac:dyDescent="0.2">
      <c r="U96" s="403" t="s">
        <v>1204</v>
      </c>
      <c r="V96" s="558"/>
    </row>
    <row r="97" spans="21:22" x14ac:dyDescent="0.2">
      <c r="U97" s="403" t="s">
        <v>141</v>
      </c>
      <c r="V97" s="558"/>
    </row>
    <row r="98" spans="21:22" x14ac:dyDescent="0.2">
      <c r="U98" s="403" t="s">
        <v>1207</v>
      </c>
      <c r="V98" s="558"/>
    </row>
    <row r="99" spans="21:22" x14ac:dyDescent="0.2">
      <c r="U99" s="403" t="s">
        <v>1208</v>
      </c>
      <c r="V99" s="558"/>
    </row>
    <row r="100" spans="21:22" x14ac:dyDescent="0.2">
      <c r="U100" s="403" t="s">
        <v>1209</v>
      </c>
      <c r="V100" s="558"/>
    </row>
    <row r="101" spans="21:22" x14ac:dyDescent="0.2">
      <c r="U101" s="403" t="s">
        <v>1210</v>
      </c>
      <c r="V101" s="558"/>
    </row>
    <row r="102" spans="21:22" x14ac:dyDescent="0.2">
      <c r="U102" s="403" t="s">
        <v>1211</v>
      </c>
      <c r="V102" s="558"/>
    </row>
    <row r="103" spans="21:22" x14ac:dyDescent="0.2">
      <c r="U103" s="403" t="s">
        <v>1212</v>
      </c>
      <c r="V103" s="558"/>
    </row>
    <row r="104" spans="21:22" x14ac:dyDescent="0.2">
      <c r="U104" s="403" t="s">
        <v>1213</v>
      </c>
      <c r="V104" s="558"/>
    </row>
    <row r="105" spans="21:22" x14ac:dyDescent="0.2">
      <c r="U105" s="403" t="s">
        <v>1202</v>
      </c>
      <c r="V105" s="558"/>
    </row>
    <row r="106" spans="21:22" x14ac:dyDescent="0.2">
      <c r="U106" s="403" t="s">
        <v>1214</v>
      </c>
      <c r="V106" s="558" t="s">
        <v>1189</v>
      </c>
    </row>
    <row r="107" spans="21:22" x14ac:dyDescent="0.2">
      <c r="U107" s="403" t="s">
        <v>1215</v>
      </c>
      <c r="V107" s="558" t="s">
        <v>1189</v>
      </c>
    </row>
    <row r="108" spans="21:22" x14ac:dyDescent="0.2">
      <c r="U108" s="403" t="s">
        <v>1216</v>
      </c>
      <c r="V108" s="558" t="s">
        <v>1189</v>
      </c>
    </row>
    <row r="109" spans="21:22" x14ac:dyDescent="0.2">
      <c r="U109" s="403" t="s">
        <v>1217</v>
      </c>
      <c r="V109" s="558" t="s">
        <v>1189</v>
      </c>
    </row>
    <row r="110" spans="21:22" x14ac:dyDescent="0.2">
      <c r="U110" s="403" t="s">
        <v>1218</v>
      </c>
      <c r="V110" s="558" t="s">
        <v>1189</v>
      </c>
    </row>
    <row r="111" spans="21:22" x14ac:dyDescent="0.2">
      <c r="U111" s="403" t="s">
        <v>1219</v>
      </c>
      <c r="V111" s="558" t="s">
        <v>1189</v>
      </c>
    </row>
    <row r="112" spans="21:22" x14ac:dyDescent="0.2">
      <c r="U112" s="403" t="s">
        <v>1202</v>
      </c>
      <c r="V112" s="558"/>
    </row>
    <row r="113" spans="21:22" x14ac:dyDescent="0.2">
      <c r="U113" s="403">
        <v>478</v>
      </c>
      <c r="V113" s="558"/>
    </row>
    <row r="114" spans="21:22" x14ac:dyDescent="0.2">
      <c r="U114" s="403" t="s">
        <v>1220</v>
      </c>
      <c r="V114" s="558"/>
    </row>
    <row r="115" spans="21:22" x14ac:dyDescent="0.2">
      <c r="U115" s="403">
        <v>234</v>
      </c>
      <c r="V115" s="558"/>
    </row>
    <row r="116" spans="21:22" x14ac:dyDescent="0.2">
      <c r="U116" s="403" t="s">
        <v>1221</v>
      </c>
      <c r="V116" s="558"/>
    </row>
    <row r="117" spans="21:22" x14ac:dyDescent="0.2">
      <c r="U117" s="403" t="s">
        <v>1222</v>
      </c>
      <c r="V117" s="558"/>
    </row>
    <row r="118" spans="21:22" x14ac:dyDescent="0.2">
      <c r="U118" s="403" t="s">
        <v>1223</v>
      </c>
      <c r="V118" s="558" t="s">
        <v>1189</v>
      </c>
    </row>
    <row r="119" spans="21:22" x14ac:dyDescent="0.2">
      <c r="U119" s="403" t="s">
        <v>1224</v>
      </c>
      <c r="V119" s="558" t="s">
        <v>1189</v>
      </c>
    </row>
    <row r="120" spans="21:22" x14ac:dyDescent="0.2">
      <c r="U120" s="403" t="s">
        <v>1225</v>
      </c>
      <c r="V120" s="558" t="s">
        <v>1189</v>
      </c>
    </row>
    <row r="121" spans="21:22" x14ac:dyDescent="0.2">
      <c r="U121" s="403" t="s">
        <v>1226</v>
      </c>
      <c r="V121" s="558"/>
    </row>
    <row r="122" spans="21:22" x14ac:dyDescent="0.2">
      <c r="U122" s="403" t="s">
        <v>1227</v>
      </c>
      <c r="V122" s="558" t="s">
        <v>1189</v>
      </c>
    </row>
    <row r="123" spans="21:22" x14ac:dyDescent="0.2">
      <c r="U123" s="403" t="s">
        <v>1202</v>
      </c>
      <c r="V123" s="558"/>
    </row>
    <row r="124" spans="21:22" x14ac:dyDescent="0.2">
      <c r="U124" s="403" t="s">
        <v>1228</v>
      </c>
      <c r="V124" s="558" t="s">
        <v>1189</v>
      </c>
    </row>
    <row r="125" spans="21:22" x14ac:dyDescent="0.2">
      <c r="U125" s="403" t="s">
        <v>1229</v>
      </c>
      <c r="V125" s="558"/>
    </row>
    <row r="126" spans="21:22" x14ac:dyDescent="0.2">
      <c r="U126" s="403" t="s">
        <v>1230</v>
      </c>
      <c r="V126" s="558" t="s">
        <v>1189</v>
      </c>
    </row>
    <row r="127" spans="21:22" x14ac:dyDescent="0.2">
      <c r="U127" s="403" t="s">
        <v>1231</v>
      </c>
      <c r="V127" s="558" t="s">
        <v>1189</v>
      </c>
    </row>
    <row r="128" spans="21:22" x14ac:dyDescent="0.2">
      <c r="U128" s="403" t="s">
        <v>1232</v>
      </c>
      <c r="V128" s="558" t="s">
        <v>1189</v>
      </c>
    </row>
    <row r="129" spans="21:22" x14ac:dyDescent="0.2">
      <c r="U129" s="403" t="s">
        <v>1233</v>
      </c>
      <c r="V129" s="558" t="s">
        <v>1189</v>
      </c>
    </row>
    <row r="130" spans="21:22" x14ac:dyDescent="0.2">
      <c r="U130" s="403" t="s">
        <v>1202</v>
      </c>
      <c r="V130" s="558"/>
    </row>
    <row r="131" spans="21:22" x14ac:dyDescent="0.2">
      <c r="U131" s="403" t="s">
        <v>966</v>
      </c>
      <c r="V131" s="558"/>
    </row>
    <row r="132" spans="21:22" x14ac:dyDescent="0.2">
      <c r="U132" s="403" t="s">
        <v>1234</v>
      </c>
      <c r="V132" s="558"/>
    </row>
    <row r="133" spans="21:22" x14ac:dyDescent="0.2">
      <c r="U133" s="403" t="s">
        <v>1235</v>
      </c>
      <c r="V133" s="558"/>
    </row>
    <row r="134" spans="21:22" x14ac:dyDescent="0.2">
      <c r="U134" s="403" t="s">
        <v>1236</v>
      </c>
      <c r="V134" s="558"/>
    </row>
    <row r="135" spans="21:22" x14ac:dyDescent="0.2">
      <c r="U135" s="403" t="s">
        <v>1237</v>
      </c>
      <c r="V135" s="558"/>
    </row>
    <row r="136" spans="21:22" x14ac:dyDescent="0.2">
      <c r="U136" s="403" t="s">
        <v>1238</v>
      </c>
      <c r="V136" s="558"/>
    </row>
  </sheetData>
  <mergeCells count="39">
    <mergeCell ref="Y1:Z1"/>
    <mergeCell ref="AC1:AD1"/>
    <mergeCell ref="A1:B1"/>
    <mergeCell ref="E1:F1"/>
    <mergeCell ref="G1:H1"/>
    <mergeCell ref="I1:J1"/>
    <mergeCell ref="K1:L1"/>
    <mergeCell ref="M1:N1"/>
    <mergeCell ref="BF1:BG1"/>
    <mergeCell ref="A29:B29"/>
    <mergeCell ref="E29:F29"/>
    <mergeCell ref="G29:H29"/>
    <mergeCell ref="I29:J29"/>
    <mergeCell ref="K29:L29"/>
    <mergeCell ref="AG1:AH1"/>
    <mergeCell ref="AI1:AJ1"/>
    <mergeCell ref="AM1:AN1"/>
    <mergeCell ref="AO1:AP1"/>
    <mergeCell ref="AQ1:AR1"/>
    <mergeCell ref="AU1:AV1"/>
    <mergeCell ref="O1:P1"/>
    <mergeCell ref="S1:T1"/>
    <mergeCell ref="U1:V1"/>
    <mergeCell ref="W1:X1"/>
    <mergeCell ref="AE29:AF29"/>
    <mergeCell ref="AW1:AX1"/>
    <mergeCell ref="AY1:AZ1"/>
    <mergeCell ref="BB1:BC1"/>
    <mergeCell ref="BD1:BE1"/>
    <mergeCell ref="AG29:AH29"/>
    <mergeCell ref="AI29:AJ29"/>
    <mergeCell ref="AL29:AM29"/>
    <mergeCell ref="AN29:AO29"/>
    <mergeCell ref="AP29:AQ29"/>
    <mergeCell ref="O29:P29"/>
    <mergeCell ref="U29:V29"/>
    <mergeCell ref="Y29:Z29"/>
    <mergeCell ref="AA29:AB29"/>
    <mergeCell ref="AC29:AD29"/>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154FD-8073-4379-9B4E-FEDB78491EBB}">
  <sheetPr>
    <tabColor rgb="FFFFC000"/>
  </sheetPr>
  <dimension ref="A1:AD160"/>
  <sheetViews>
    <sheetView workbookViewId="0">
      <selection activeCell="D12" sqref="D12:X15"/>
    </sheetView>
  </sheetViews>
  <sheetFormatPr defaultRowHeight="14.4" x14ac:dyDescent="0.3"/>
  <cols>
    <col min="1" max="1" width="2.6328125" style="569" customWidth="1"/>
    <col min="2" max="2" width="4.90625" customWidth="1"/>
    <col min="3" max="3" width="5.36328125" customWidth="1"/>
    <col min="4" max="4" width="7.453125" customWidth="1"/>
    <col min="5" max="5" width="5.08984375" bestFit="1" customWidth="1"/>
    <col min="6" max="6" width="4.08984375" customWidth="1"/>
    <col min="7" max="7" width="7.453125" bestFit="1" customWidth="1"/>
    <col min="8" max="8" width="7.08984375" bestFit="1" customWidth="1"/>
    <col min="9" max="9" width="5.36328125" customWidth="1"/>
    <col min="10" max="10" width="8.08984375" bestFit="1" customWidth="1"/>
    <col min="11" max="13" width="5.90625" customWidth="1"/>
    <col min="14" max="14" width="7.08984375" bestFit="1" customWidth="1"/>
    <col min="15" max="15" width="5.36328125" customWidth="1"/>
    <col min="16" max="16" width="6.08984375" bestFit="1" customWidth="1"/>
    <col min="17" max="17" width="5.36328125" customWidth="1"/>
    <col min="18" max="18" width="5.36328125" bestFit="1" customWidth="1"/>
    <col min="19" max="19" width="5.90625" customWidth="1"/>
    <col min="20" max="20" width="7.90625" customWidth="1"/>
    <col min="21" max="25" width="7.08984375" customWidth="1"/>
    <col min="26" max="26" width="7.08984375" style="528" bestFit="1" customWidth="1"/>
    <col min="28" max="28" width="33.453125" customWidth="1"/>
    <col min="30" max="30" width="2.26953125" style="263" customWidth="1"/>
  </cols>
  <sheetData>
    <row r="1" spans="1:30" s="572" customFormat="1" ht="10.8" x14ac:dyDescent="0.25">
      <c r="A1" s="569">
        <v>26</v>
      </c>
      <c r="B1" s="570" t="s">
        <v>2241</v>
      </c>
      <c r="C1" s="570" t="s">
        <v>2242</v>
      </c>
      <c r="D1" s="570" t="s">
        <v>2243</v>
      </c>
      <c r="E1" s="570" t="s">
        <v>2244</v>
      </c>
      <c r="F1" s="570" t="s">
        <v>2245</v>
      </c>
      <c r="G1" s="570" t="s">
        <v>2246</v>
      </c>
      <c r="H1" s="570" t="s">
        <v>2247</v>
      </c>
      <c r="I1" s="570" t="s">
        <v>2248</v>
      </c>
      <c r="J1" s="570" t="s">
        <v>2249</v>
      </c>
      <c r="K1" s="570" t="s">
        <v>2250</v>
      </c>
      <c r="L1" s="570" t="s">
        <v>2251</v>
      </c>
      <c r="M1" s="570" t="s">
        <v>2252</v>
      </c>
      <c r="N1" s="570" t="s">
        <v>2253</v>
      </c>
      <c r="O1" s="570" t="s">
        <v>2254</v>
      </c>
      <c r="P1" s="570" t="s">
        <v>2255</v>
      </c>
      <c r="Q1" s="570" t="s">
        <v>2256</v>
      </c>
      <c r="R1" s="570" t="s">
        <v>2257</v>
      </c>
      <c r="S1" s="570" t="s">
        <v>2258</v>
      </c>
      <c r="T1" s="570" t="s">
        <v>2259</v>
      </c>
      <c r="U1" s="570" t="s">
        <v>2260</v>
      </c>
      <c r="V1" s="570" t="s">
        <v>2261</v>
      </c>
      <c r="W1" s="570" t="s">
        <v>2262</v>
      </c>
      <c r="X1" s="570" t="s">
        <v>2263</v>
      </c>
      <c r="Y1" s="570" t="s">
        <v>2264</v>
      </c>
      <c r="Z1" s="570" t="s">
        <v>2265</v>
      </c>
      <c r="AA1" s="570" t="s">
        <v>2266</v>
      </c>
      <c r="AB1" s="570" t="s">
        <v>2267</v>
      </c>
      <c r="AC1" s="570" t="s">
        <v>2268</v>
      </c>
      <c r="AD1" s="571" t="s">
        <v>2269</v>
      </c>
    </row>
    <row r="2" spans="1:30" s="575" customFormat="1" ht="15" customHeight="1" x14ac:dyDescent="0.3">
      <c r="A2" s="569">
        <v>10</v>
      </c>
      <c r="B2" s="4195" t="s">
        <v>2270</v>
      </c>
      <c r="C2" s="4195"/>
      <c r="D2" s="4195"/>
      <c r="E2" s="4195"/>
      <c r="F2" s="4195"/>
      <c r="G2" s="4195"/>
      <c r="H2" s="4195"/>
      <c r="I2" s="4195"/>
      <c r="J2" s="4195"/>
      <c r="K2" s="4195"/>
      <c r="L2" s="4195"/>
      <c r="M2" s="573" t="s">
        <v>433</v>
      </c>
      <c r="N2" s="573"/>
      <c r="O2" s="573"/>
      <c r="P2" s="4196" t="s">
        <v>2271</v>
      </c>
      <c r="Q2" s="4196"/>
      <c r="R2" s="4196"/>
      <c r="S2" s="4196"/>
      <c r="T2" s="4196"/>
      <c r="U2" s="4196"/>
      <c r="V2" s="4196"/>
      <c r="W2" s="4196"/>
      <c r="X2" s="4196"/>
      <c r="Y2" s="4196"/>
      <c r="Z2" s="4196"/>
      <c r="AA2" s="4196"/>
      <c r="AB2" s="4196"/>
      <c r="AC2" s="4196"/>
      <c r="AD2" s="574"/>
    </row>
    <row r="3" spans="1:30" s="575" customFormat="1" ht="15" customHeight="1" x14ac:dyDescent="0.3">
      <c r="A3" s="569">
        <v>11</v>
      </c>
      <c r="B3" s="4195"/>
      <c r="C3" s="4195"/>
      <c r="D3" s="4195"/>
      <c r="E3" s="4195"/>
      <c r="F3" s="4195"/>
      <c r="G3" s="4195"/>
      <c r="H3" s="4195"/>
      <c r="I3" s="4195"/>
      <c r="J3" s="4195"/>
      <c r="K3" s="4195"/>
      <c r="L3" s="4195"/>
      <c r="M3" s="573" t="s">
        <v>435</v>
      </c>
      <c r="N3" s="573"/>
      <c r="O3" s="576"/>
      <c r="P3" s="4196"/>
      <c r="Q3" s="4196"/>
      <c r="R3" s="4196"/>
      <c r="S3" s="4196"/>
      <c r="T3" s="4196"/>
      <c r="U3" s="4196"/>
      <c r="V3" s="4196"/>
      <c r="W3" s="4196"/>
      <c r="X3" s="4196"/>
      <c r="Y3" s="4196"/>
      <c r="Z3" s="4196"/>
      <c r="AA3" s="4196"/>
      <c r="AB3" s="4196"/>
      <c r="AC3" s="4196"/>
      <c r="AD3" s="574"/>
    </row>
    <row r="4" spans="1:30" s="575" customFormat="1" x14ac:dyDescent="0.3">
      <c r="A4" s="569">
        <v>12</v>
      </c>
      <c r="B4" s="573"/>
      <c r="C4" s="573"/>
      <c r="D4" s="573"/>
      <c r="E4" s="573"/>
      <c r="F4" s="573"/>
      <c r="G4" s="573"/>
      <c r="H4" s="573"/>
      <c r="I4" s="573"/>
      <c r="J4" s="573"/>
      <c r="K4" s="573"/>
      <c r="L4" s="573"/>
      <c r="M4" s="573"/>
      <c r="N4" s="573"/>
      <c r="O4" s="573"/>
      <c r="P4" s="573"/>
      <c r="Q4" s="573"/>
      <c r="R4" s="573"/>
      <c r="S4" s="573"/>
      <c r="T4" s="573"/>
      <c r="U4" s="573"/>
      <c r="V4" s="573"/>
      <c r="W4" s="573"/>
      <c r="X4" s="573"/>
      <c r="Y4" s="573"/>
      <c r="Z4" s="573"/>
      <c r="AA4" s="573"/>
      <c r="AB4" s="577" t="s">
        <v>436</v>
      </c>
      <c r="AC4" s="578" t="s">
        <v>437</v>
      </c>
      <c r="AD4" s="574"/>
    </row>
    <row r="5" spans="1:30" s="575" customFormat="1" x14ac:dyDescent="0.3">
      <c r="A5" s="569">
        <v>13</v>
      </c>
      <c r="B5" s="573"/>
      <c r="C5" s="573"/>
      <c r="D5" s="579" t="s">
        <v>438</v>
      </c>
      <c r="E5" s="4127"/>
      <c r="F5" s="4127"/>
      <c r="G5" s="4127"/>
      <c r="H5" s="4127"/>
      <c r="I5" s="4127"/>
      <c r="J5" s="4127"/>
      <c r="K5" s="4127"/>
      <c r="L5" s="4127"/>
      <c r="M5" s="4128"/>
      <c r="N5" s="579" t="s">
        <v>2272</v>
      </c>
      <c r="O5" s="4197"/>
      <c r="P5" s="4197"/>
      <c r="Q5" s="4197"/>
      <c r="R5" s="4197"/>
      <c r="S5" s="4197"/>
      <c r="T5" s="4197"/>
      <c r="U5" s="4197"/>
      <c r="V5" s="4197"/>
      <c r="W5" s="4197"/>
      <c r="X5" s="4198"/>
      <c r="Y5" s="573"/>
      <c r="Z5" s="573"/>
      <c r="AA5" s="573"/>
      <c r="AB5" s="580" t="s">
        <v>440</v>
      </c>
      <c r="AC5" s="581"/>
      <c r="AD5" s="574"/>
    </row>
    <row r="6" spans="1:30" s="575" customFormat="1" x14ac:dyDescent="0.3">
      <c r="A6" s="569">
        <v>14</v>
      </c>
      <c r="B6" s="573"/>
      <c r="C6" s="573"/>
      <c r="D6" s="271"/>
      <c r="E6" s="4131"/>
      <c r="F6" s="4131"/>
      <c r="G6" s="4131"/>
      <c r="H6" s="4131"/>
      <c r="I6" s="4131"/>
      <c r="J6" s="4131"/>
      <c r="K6" s="4131"/>
      <c r="L6" s="4131"/>
      <c r="M6" s="4132"/>
      <c r="N6" s="582"/>
      <c r="O6" s="4199" t="s">
        <v>2273</v>
      </c>
      <c r="P6" s="4199"/>
      <c r="Q6" s="4199"/>
      <c r="R6" s="4199"/>
      <c r="S6" s="4199"/>
      <c r="T6" s="4199"/>
      <c r="U6" s="4199"/>
      <c r="V6" s="4199"/>
      <c r="W6" s="4199"/>
      <c r="X6" s="4200"/>
      <c r="Y6" s="573"/>
      <c r="Z6" s="573"/>
      <c r="AA6" s="573"/>
      <c r="AB6" s="577" t="s">
        <v>442</v>
      </c>
      <c r="AC6" s="583" t="s">
        <v>443</v>
      </c>
      <c r="AD6" s="574"/>
    </row>
    <row r="7" spans="1:30" s="575" customFormat="1" x14ac:dyDescent="0.3">
      <c r="A7" s="569">
        <v>15</v>
      </c>
      <c r="B7" s="573"/>
      <c r="C7" s="573"/>
      <c r="D7" s="271"/>
      <c r="E7" s="4131"/>
      <c r="F7" s="4131"/>
      <c r="G7" s="4131"/>
      <c r="H7" s="4131"/>
      <c r="I7" s="4131"/>
      <c r="J7" s="4131"/>
      <c r="K7" s="4131"/>
      <c r="L7" s="4131"/>
      <c r="M7" s="4132"/>
      <c r="N7" s="582"/>
      <c r="O7" s="4199"/>
      <c r="P7" s="4199"/>
      <c r="Q7" s="4199"/>
      <c r="R7" s="4199"/>
      <c r="S7" s="4199"/>
      <c r="T7" s="4199"/>
      <c r="U7" s="4199"/>
      <c r="V7" s="4199"/>
      <c r="W7" s="4199"/>
      <c r="X7" s="4200"/>
      <c r="Y7" s="573"/>
      <c r="Z7" s="573"/>
      <c r="AA7" s="573"/>
      <c r="AB7" s="584"/>
      <c r="AC7" s="585"/>
      <c r="AD7" s="574"/>
    </row>
    <row r="8" spans="1:30" s="575" customFormat="1" x14ac:dyDescent="0.3">
      <c r="A8" s="569">
        <v>16</v>
      </c>
      <c r="B8" s="573"/>
      <c r="C8" s="573"/>
      <c r="D8" s="276"/>
      <c r="E8" s="4135"/>
      <c r="F8" s="4135"/>
      <c r="G8" s="4135"/>
      <c r="H8" s="4135"/>
      <c r="I8" s="4135"/>
      <c r="J8" s="4135"/>
      <c r="K8" s="4135"/>
      <c r="L8" s="4135"/>
      <c r="M8" s="4136"/>
      <c r="N8" s="586"/>
      <c r="O8" s="4201"/>
      <c r="P8" s="4201"/>
      <c r="Q8" s="4201"/>
      <c r="R8" s="4201"/>
      <c r="S8" s="4201"/>
      <c r="T8" s="4201"/>
      <c r="U8" s="4201"/>
      <c r="V8" s="4201"/>
      <c r="W8" s="4201"/>
      <c r="X8" s="4202"/>
      <c r="Y8" s="573"/>
      <c r="Z8" s="573"/>
      <c r="AA8" s="573"/>
      <c r="AB8" s="577" t="s">
        <v>444</v>
      </c>
      <c r="AC8" s="573"/>
      <c r="AD8" s="574"/>
    </row>
    <row r="9" spans="1:30" s="575" customFormat="1" x14ac:dyDescent="0.3">
      <c r="A9" s="569">
        <v>17</v>
      </c>
      <c r="B9" s="573"/>
      <c r="C9" s="4176" t="s">
        <v>445</v>
      </c>
      <c r="D9" s="4176"/>
      <c r="E9" s="4176"/>
      <c r="F9" s="4176"/>
      <c r="G9" s="4176"/>
      <c r="H9" s="4177"/>
      <c r="I9" s="4177"/>
      <c r="J9" s="4177"/>
      <c r="K9" s="4177"/>
      <c r="L9" s="4177"/>
      <c r="M9" s="4177"/>
      <c r="N9" s="4177"/>
      <c r="O9" s="4177"/>
      <c r="P9" s="4179" t="s">
        <v>446</v>
      </c>
      <c r="Q9" s="4180"/>
      <c r="R9" s="4181" t="s">
        <v>2274</v>
      </c>
      <c r="S9" s="4181"/>
      <c r="T9" s="4181"/>
      <c r="U9" s="4181"/>
      <c r="V9" s="587" t="s">
        <v>448</v>
      </c>
      <c r="W9" s="4183"/>
      <c r="X9" s="4183"/>
      <c r="Y9" s="573"/>
      <c r="Z9" s="573"/>
      <c r="AA9" s="573"/>
      <c r="AB9" s="584"/>
      <c r="AC9" s="573"/>
      <c r="AD9" s="574"/>
    </row>
    <row r="10" spans="1:30" s="575" customFormat="1" x14ac:dyDescent="0.3">
      <c r="A10" s="569">
        <v>18</v>
      </c>
      <c r="B10" s="573"/>
      <c r="C10" s="4176" t="s">
        <v>450</v>
      </c>
      <c r="D10" s="4176"/>
      <c r="E10" s="4176"/>
      <c r="F10" s="4176"/>
      <c r="G10" s="4176"/>
      <c r="H10" s="4178"/>
      <c r="I10" s="4178"/>
      <c r="J10" s="4178"/>
      <c r="K10" s="4178"/>
      <c r="L10" s="4178"/>
      <c r="M10" s="4178"/>
      <c r="N10" s="4178"/>
      <c r="O10" s="4178"/>
      <c r="P10" s="573"/>
      <c r="Q10" s="573"/>
      <c r="R10" s="4182"/>
      <c r="S10" s="4182"/>
      <c r="T10" s="4182"/>
      <c r="U10" s="4182"/>
      <c r="V10" s="573"/>
      <c r="W10" s="573"/>
      <c r="X10" s="573"/>
      <c r="Y10" s="573"/>
      <c r="Z10" s="573"/>
      <c r="AA10" s="573"/>
      <c r="AB10" s="577" t="s">
        <v>451</v>
      </c>
      <c r="AC10" s="573"/>
      <c r="AD10" s="574"/>
    </row>
    <row r="11" spans="1:30" s="575" customFormat="1" ht="15" customHeight="1" x14ac:dyDescent="0.3">
      <c r="A11" s="569">
        <v>19</v>
      </c>
      <c r="B11" s="573"/>
      <c r="C11" s="574"/>
      <c r="D11" s="588"/>
      <c r="E11" s="588"/>
      <c r="F11" s="588"/>
      <c r="G11" s="588"/>
      <c r="H11" s="588"/>
      <c r="I11" s="588"/>
      <c r="J11" s="588"/>
      <c r="K11" s="588"/>
      <c r="L11" s="588"/>
      <c r="M11" s="588"/>
      <c r="N11" s="588"/>
      <c r="O11" s="588"/>
      <c r="P11" s="588"/>
      <c r="Q11" s="588"/>
      <c r="R11" s="588"/>
      <c r="S11" s="588"/>
      <c r="T11" s="589"/>
      <c r="U11" s="589"/>
      <c r="V11" s="589"/>
      <c r="W11" s="589"/>
      <c r="X11" s="589"/>
      <c r="Y11" s="589"/>
      <c r="Z11" s="589"/>
      <c r="AA11" s="589"/>
      <c r="AB11" s="590"/>
      <c r="AC11" s="591"/>
      <c r="AD11" s="574"/>
    </row>
    <row r="12" spans="1:30" s="575" customFormat="1" ht="23.25" customHeight="1" x14ac:dyDescent="0.3">
      <c r="A12" s="569">
        <v>20</v>
      </c>
      <c r="B12" s="573"/>
      <c r="C12" s="4184" t="s">
        <v>452</v>
      </c>
      <c r="D12" s="4186" t="s">
        <v>2275</v>
      </c>
      <c r="E12" s="4187"/>
      <c r="F12" s="4187"/>
      <c r="G12" s="4187"/>
      <c r="H12" s="4187"/>
      <c r="I12" s="4187"/>
      <c r="J12" s="4187"/>
      <c r="K12" s="4187"/>
      <c r="L12" s="4187"/>
      <c r="M12" s="4187"/>
      <c r="N12" s="4187"/>
      <c r="O12" s="4187"/>
      <c r="P12" s="4187"/>
      <c r="Q12" s="4187"/>
      <c r="R12" s="4187"/>
      <c r="S12" s="4187"/>
      <c r="T12" s="4187"/>
      <c r="U12" s="4187"/>
      <c r="V12" s="4187"/>
      <c r="W12" s="4187"/>
      <c r="X12" s="4188"/>
      <c r="Y12" s="573"/>
      <c r="Z12" s="573"/>
      <c r="AA12" s="573"/>
      <c r="AB12" s="573"/>
      <c r="AC12" s="573"/>
      <c r="AD12" s="574"/>
    </row>
    <row r="13" spans="1:30" s="575" customFormat="1" ht="23.25" customHeight="1" x14ac:dyDescent="0.3">
      <c r="A13" s="569">
        <v>21</v>
      </c>
      <c r="B13" s="573"/>
      <c r="C13" s="4185"/>
      <c r="D13" s="4189"/>
      <c r="E13" s="4190"/>
      <c r="F13" s="4190"/>
      <c r="G13" s="4190"/>
      <c r="H13" s="4190"/>
      <c r="I13" s="4190"/>
      <c r="J13" s="4190"/>
      <c r="K13" s="4190"/>
      <c r="L13" s="4190"/>
      <c r="M13" s="4190"/>
      <c r="N13" s="4190"/>
      <c r="O13" s="4190"/>
      <c r="P13" s="4190"/>
      <c r="Q13" s="4190"/>
      <c r="R13" s="4190"/>
      <c r="S13" s="4190"/>
      <c r="T13" s="4190"/>
      <c r="U13" s="4190"/>
      <c r="V13" s="4190"/>
      <c r="W13" s="4190"/>
      <c r="X13" s="4191"/>
      <c r="Y13" s="573"/>
      <c r="Z13" s="573"/>
      <c r="AA13" s="573"/>
      <c r="AB13" s="573"/>
      <c r="AC13" s="573"/>
      <c r="AD13" s="574"/>
    </row>
    <row r="14" spans="1:30" s="575" customFormat="1" ht="23.25" customHeight="1" x14ac:dyDescent="0.3">
      <c r="A14" s="569">
        <v>22</v>
      </c>
      <c r="B14" s="573"/>
      <c r="C14" s="4185"/>
      <c r="D14" s="4189"/>
      <c r="E14" s="4190"/>
      <c r="F14" s="4190"/>
      <c r="G14" s="4190"/>
      <c r="H14" s="4190"/>
      <c r="I14" s="4190"/>
      <c r="J14" s="4190"/>
      <c r="K14" s="4190"/>
      <c r="L14" s="4190"/>
      <c r="M14" s="4190"/>
      <c r="N14" s="4190"/>
      <c r="O14" s="4190"/>
      <c r="P14" s="4190"/>
      <c r="Q14" s="4190"/>
      <c r="R14" s="4190"/>
      <c r="S14" s="4190"/>
      <c r="T14" s="4190"/>
      <c r="U14" s="4190"/>
      <c r="V14" s="4190"/>
      <c r="W14" s="4190"/>
      <c r="X14" s="4191"/>
      <c r="Y14" s="573"/>
      <c r="Z14" s="573"/>
      <c r="AA14" s="573"/>
      <c r="AB14" s="573"/>
      <c r="AC14" s="573"/>
      <c r="AD14" s="574"/>
    </row>
    <row r="15" spans="1:30" s="575" customFormat="1" ht="23.25" customHeight="1" x14ac:dyDescent="0.3">
      <c r="A15" s="569">
        <v>23</v>
      </c>
      <c r="B15" s="573"/>
      <c r="C15" s="4185"/>
      <c r="D15" s="4192"/>
      <c r="E15" s="4193"/>
      <c r="F15" s="4193"/>
      <c r="G15" s="4193"/>
      <c r="H15" s="4193"/>
      <c r="I15" s="4193"/>
      <c r="J15" s="4193"/>
      <c r="K15" s="4193"/>
      <c r="L15" s="4193"/>
      <c r="M15" s="4193"/>
      <c r="N15" s="4193"/>
      <c r="O15" s="4193"/>
      <c r="P15" s="4193"/>
      <c r="Q15" s="4193"/>
      <c r="R15" s="4193"/>
      <c r="S15" s="4193"/>
      <c r="T15" s="4193"/>
      <c r="U15" s="4193"/>
      <c r="V15" s="4193"/>
      <c r="W15" s="4193"/>
      <c r="X15" s="4194"/>
      <c r="Y15" s="573"/>
      <c r="Z15" s="573"/>
      <c r="AA15" s="573"/>
      <c r="AB15" s="573"/>
      <c r="AC15" s="573"/>
      <c r="AD15" s="574"/>
    </row>
    <row r="16" spans="1:30" ht="15" thickBot="1" x14ac:dyDescent="0.35">
      <c r="A16" s="569">
        <v>24</v>
      </c>
      <c r="B16" s="592" t="s">
        <v>2276</v>
      </c>
      <c r="C16" s="593"/>
      <c r="D16" s="593"/>
      <c r="E16" s="594"/>
      <c r="F16" s="594"/>
      <c r="G16" s="594"/>
      <c r="H16" s="594"/>
      <c r="I16" s="594"/>
      <c r="J16" s="594"/>
      <c r="K16" s="594"/>
      <c r="L16" s="594"/>
      <c r="M16" s="594"/>
      <c r="N16" s="594"/>
      <c r="O16" s="594"/>
      <c r="P16" s="594"/>
      <c r="Q16" s="594"/>
      <c r="R16" s="594"/>
      <c r="S16" s="594"/>
      <c r="T16" s="594"/>
      <c r="U16" s="594"/>
      <c r="V16" s="594"/>
      <c r="W16" s="594"/>
      <c r="X16" s="594"/>
      <c r="Y16" s="594"/>
      <c r="Z16" s="344"/>
      <c r="AA16" s="595"/>
      <c r="AB16" s="344" t="s">
        <v>2277</v>
      </c>
      <c r="AC16" s="344"/>
    </row>
    <row r="17" spans="1:30" ht="38.25" customHeight="1" x14ac:dyDescent="0.3">
      <c r="A17" s="596">
        <v>1</v>
      </c>
      <c r="B17" s="345" t="s">
        <v>455</v>
      </c>
      <c r="C17" s="345" t="s">
        <v>16</v>
      </c>
      <c r="D17" s="345" t="s">
        <v>531</v>
      </c>
      <c r="E17" s="345" t="s">
        <v>532</v>
      </c>
      <c r="F17" s="345" t="s">
        <v>499</v>
      </c>
      <c r="G17" s="345" t="s">
        <v>533</v>
      </c>
      <c r="H17" s="345" t="s">
        <v>2278</v>
      </c>
      <c r="I17" s="345" t="s">
        <v>494</v>
      </c>
      <c r="J17" s="345" t="s">
        <v>2279</v>
      </c>
      <c r="K17" s="4021" t="s">
        <v>463</v>
      </c>
      <c r="L17" s="4021"/>
      <c r="M17" s="4021" t="s">
        <v>464</v>
      </c>
      <c r="N17" s="4021"/>
      <c r="O17" s="345" t="s">
        <v>2280</v>
      </c>
      <c r="P17" s="345" t="s">
        <v>2281</v>
      </c>
      <c r="Q17" s="345" t="s">
        <v>2282</v>
      </c>
      <c r="R17" s="345" t="s">
        <v>469</v>
      </c>
      <c r="S17" s="345" t="s">
        <v>1757</v>
      </c>
      <c r="T17" s="345" t="s">
        <v>470</v>
      </c>
      <c r="U17" s="345" t="s">
        <v>2283</v>
      </c>
      <c r="V17" s="345" t="s">
        <v>1759</v>
      </c>
      <c r="W17" s="345" t="s">
        <v>472</v>
      </c>
      <c r="X17" s="345" t="s">
        <v>2284</v>
      </c>
      <c r="Y17" s="345" t="s">
        <v>474</v>
      </c>
      <c r="Z17" s="345" t="s">
        <v>133</v>
      </c>
      <c r="AA17" s="345" t="s">
        <v>475</v>
      </c>
      <c r="AB17" s="348" t="s">
        <v>476</v>
      </c>
      <c r="AC17" s="347" t="s">
        <v>477</v>
      </c>
    </row>
    <row r="18" spans="1:30" ht="25.5" customHeight="1" x14ac:dyDescent="0.3">
      <c r="A18" s="596">
        <v>2</v>
      </c>
      <c r="B18" s="350" t="s">
        <v>92</v>
      </c>
      <c r="C18" s="350" t="s">
        <v>2285</v>
      </c>
      <c r="D18" s="352" t="s">
        <v>1783</v>
      </c>
      <c r="E18" s="352">
        <v>18</v>
      </c>
      <c r="F18" s="352" t="s">
        <v>479</v>
      </c>
      <c r="G18" s="353" t="s">
        <v>480</v>
      </c>
      <c r="H18" s="352" t="s">
        <v>1812</v>
      </c>
      <c r="I18" s="352" t="s">
        <v>1766</v>
      </c>
      <c r="J18" s="597" t="s">
        <v>2079</v>
      </c>
      <c r="K18" s="4151">
        <v>30</v>
      </c>
      <c r="L18" s="4151"/>
      <c r="M18" s="4151">
        <v>70</v>
      </c>
      <c r="N18" s="4151"/>
      <c r="O18" s="352">
        <v>478</v>
      </c>
      <c r="P18" s="352" t="s">
        <v>486</v>
      </c>
      <c r="Q18" s="352" t="s">
        <v>487</v>
      </c>
      <c r="R18" s="352" t="s">
        <v>1468</v>
      </c>
      <c r="S18" s="360" t="s">
        <v>1772</v>
      </c>
      <c r="T18" s="352" t="s">
        <v>537</v>
      </c>
      <c r="U18" s="352" t="s">
        <v>349</v>
      </c>
      <c r="V18" s="352" t="s">
        <v>1943</v>
      </c>
      <c r="W18" s="360" t="s">
        <v>490</v>
      </c>
      <c r="X18" s="361">
        <v>3</v>
      </c>
      <c r="Y18" s="352" t="s">
        <v>486</v>
      </c>
      <c r="Z18" s="361" t="s">
        <v>491</v>
      </c>
      <c r="AA18" s="361"/>
      <c r="AB18" s="598"/>
      <c r="AC18" s="4168"/>
    </row>
    <row r="19" spans="1:30" s="319" customFormat="1" ht="15.6" x14ac:dyDescent="0.2">
      <c r="A19" s="596">
        <v>3</v>
      </c>
      <c r="B19" s="365"/>
      <c r="C19" s="366"/>
      <c r="D19" s="367"/>
      <c r="E19" s="368"/>
      <c r="F19" s="367"/>
      <c r="G19" s="599" t="s">
        <v>492</v>
      </c>
      <c r="H19" s="367"/>
      <c r="I19" s="367"/>
      <c r="J19" s="600" t="s">
        <v>1753</v>
      </c>
      <c r="K19" s="4171" t="s">
        <v>2286</v>
      </c>
      <c r="L19" s="4171"/>
      <c r="M19" s="4171" t="s">
        <v>2287</v>
      </c>
      <c r="N19" s="4171"/>
      <c r="O19" s="4171" t="s">
        <v>2281</v>
      </c>
      <c r="P19" s="4171"/>
      <c r="Q19" s="4171" t="s">
        <v>496</v>
      </c>
      <c r="R19" s="4171"/>
      <c r="S19" s="601" t="s">
        <v>2288</v>
      </c>
      <c r="T19" s="602" t="s">
        <v>497</v>
      </c>
      <c r="U19" s="603" t="s">
        <v>498</v>
      </c>
      <c r="V19" s="603" t="s">
        <v>499</v>
      </c>
      <c r="W19" s="601" t="s">
        <v>500</v>
      </c>
      <c r="X19" s="600" t="s">
        <v>501</v>
      </c>
      <c r="Y19" s="600" t="s">
        <v>502</v>
      </c>
      <c r="Z19" s="600" t="s">
        <v>503</v>
      </c>
      <c r="AA19" s="604" t="s">
        <v>504</v>
      </c>
      <c r="AB19" s="348" t="s">
        <v>476</v>
      </c>
      <c r="AC19" s="4169"/>
      <c r="AD19" s="318"/>
    </row>
    <row r="20" spans="1:30" ht="25.5" customHeight="1" x14ac:dyDescent="0.35">
      <c r="A20" s="569">
        <v>4</v>
      </c>
      <c r="B20" s="4173" t="str">
        <f>CONCATENATE(I18," ",D18,E18," ",F18)</f>
        <v>3S DW18 G</v>
      </c>
      <c r="C20" s="4173"/>
      <c r="D20" s="4173"/>
      <c r="E20" s="4174" t="s">
        <v>541</v>
      </c>
      <c r="F20" s="4043"/>
      <c r="G20" s="377"/>
      <c r="H20" s="605"/>
      <c r="I20" s="605"/>
      <c r="J20" s="377">
        <v>4</v>
      </c>
      <c r="K20" s="4151"/>
      <c r="L20" s="4151"/>
      <c r="M20" s="4151">
        <v>43</v>
      </c>
      <c r="N20" s="4151"/>
      <c r="O20" s="4175">
        <v>25.5</v>
      </c>
      <c r="P20" s="4175"/>
      <c r="Q20" s="4175"/>
      <c r="R20" s="4175"/>
      <c r="S20" s="377"/>
      <c r="T20" s="606" t="s">
        <v>1521</v>
      </c>
      <c r="U20" s="606" t="s">
        <v>481</v>
      </c>
      <c r="V20" s="606" t="s">
        <v>1663</v>
      </c>
      <c r="W20" s="607">
        <v>5</v>
      </c>
      <c r="X20" s="607">
        <v>41</v>
      </c>
      <c r="Y20" s="607"/>
      <c r="Z20" s="607"/>
      <c r="AA20" s="608"/>
      <c r="AB20" s="598"/>
      <c r="AC20" s="4169"/>
    </row>
    <row r="21" spans="1:30" s="610" customFormat="1" ht="15.75" customHeight="1" x14ac:dyDescent="0.3">
      <c r="A21" s="569">
        <v>5</v>
      </c>
      <c r="B21" s="609"/>
      <c r="E21" s="611" t="s">
        <v>510</v>
      </c>
      <c r="F21" s="611"/>
      <c r="G21" s="612" t="s">
        <v>42</v>
      </c>
      <c r="H21" s="613"/>
      <c r="I21" s="614"/>
      <c r="J21" s="612" t="s">
        <v>42</v>
      </c>
      <c r="K21" s="4172" t="s">
        <v>2289</v>
      </c>
      <c r="L21" s="4172"/>
      <c r="M21" s="4152" t="s">
        <v>2290</v>
      </c>
      <c r="N21" s="4152"/>
      <c r="O21" s="4153" t="s">
        <v>514</v>
      </c>
      <c r="P21" s="4153"/>
      <c r="Q21" s="4153"/>
      <c r="R21" s="4153"/>
      <c r="S21" s="615"/>
      <c r="T21" s="4154" t="s">
        <v>2291</v>
      </c>
      <c r="U21" s="4155"/>
      <c r="V21" s="4155"/>
      <c r="W21" s="4155" t="s">
        <v>2292</v>
      </c>
      <c r="X21" s="4155"/>
      <c r="Y21" s="4155"/>
      <c r="Z21" s="4154"/>
      <c r="AA21" s="4154"/>
      <c r="AB21" s="348" t="s">
        <v>476</v>
      </c>
      <c r="AC21" s="4169"/>
      <c r="AD21" s="616"/>
    </row>
    <row r="22" spans="1:30" x14ac:dyDescent="0.3">
      <c r="A22" s="569">
        <v>6</v>
      </c>
      <c r="B22" s="4156" t="s">
        <v>518</v>
      </c>
      <c r="C22" s="4157"/>
      <c r="D22" s="4157"/>
      <c r="E22" s="4158"/>
      <c r="F22" s="4040"/>
      <c r="G22" s="4040"/>
      <c r="H22" s="4040"/>
      <c r="I22" s="4040"/>
      <c r="J22" s="4040"/>
      <c r="K22" s="4040"/>
      <c r="L22" s="4041"/>
      <c r="M22" s="4159" t="s">
        <v>520</v>
      </c>
      <c r="N22" s="617" t="s">
        <v>2280</v>
      </c>
      <c r="O22" s="4039"/>
      <c r="P22" s="4040"/>
      <c r="Q22" s="4040"/>
      <c r="R22" s="4040"/>
      <c r="S22" s="4040"/>
      <c r="T22" s="617" t="s">
        <v>2293</v>
      </c>
      <c r="U22" s="4040"/>
      <c r="V22" s="4040"/>
      <c r="W22" s="4040"/>
      <c r="X22" s="4040"/>
      <c r="Y22" s="4041"/>
      <c r="Z22" s="618"/>
      <c r="AA22" s="619"/>
      <c r="AB22" s="598"/>
      <c r="AC22" s="4169"/>
      <c r="AD22" s="263">
        <v>0</v>
      </c>
    </row>
    <row r="23" spans="1:30" ht="15" customHeight="1" x14ac:dyDescent="0.3">
      <c r="A23" s="569">
        <v>7</v>
      </c>
      <c r="B23" s="4053"/>
      <c r="C23" s="4054"/>
      <c r="D23" s="4054"/>
      <c r="E23" s="4018" t="s">
        <v>2294</v>
      </c>
      <c r="F23" s="4018"/>
      <c r="G23" s="4018"/>
      <c r="H23" s="4018"/>
      <c r="I23" s="4018"/>
      <c r="J23" s="4018"/>
      <c r="K23" s="4018"/>
      <c r="L23" s="4162"/>
      <c r="M23" s="4160"/>
      <c r="N23" s="620" t="s">
        <v>526</v>
      </c>
      <c r="O23" s="4163"/>
      <c r="P23" s="4018"/>
      <c r="Q23" s="4018"/>
      <c r="R23" s="4018"/>
      <c r="S23" s="4018"/>
      <c r="T23" s="620" t="s">
        <v>2295</v>
      </c>
      <c r="U23" s="4164"/>
      <c r="V23" s="4164"/>
      <c r="W23" s="4164"/>
      <c r="X23" s="4164"/>
      <c r="Y23" s="4165"/>
      <c r="Z23" s="621"/>
      <c r="AA23" s="622" t="s">
        <v>2296</v>
      </c>
      <c r="AB23" s="623" t="s">
        <v>2297</v>
      </c>
      <c r="AC23" s="4169"/>
      <c r="AD23" s="263">
        <v>0</v>
      </c>
    </row>
    <row r="24" spans="1:30" ht="15" customHeight="1" x14ac:dyDescent="0.3">
      <c r="A24" s="569">
        <v>8</v>
      </c>
      <c r="B24" s="4053"/>
      <c r="C24" s="4054"/>
      <c r="D24" s="4054"/>
      <c r="E24" s="4018" t="s">
        <v>2298</v>
      </c>
      <c r="F24" s="4018"/>
      <c r="G24" s="4018"/>
      <c r="H24" s="4018"/>
      <c r="I24" s="4018"/>
      <c r="J24" s="4018"/>
      <c r="K24" s="4018"/>
      <c r="L24" s="4162"/>
      <c r="M24" s="4160"/>
      <c r="N24" s="620" t="s">
        <v>133</v>
      </c>
      <c r="O24" s="4163"/>
      <c r="P24" s="4018"/>
      <c r="Q24" s="4018"/>
      <c r="R24" s="4018"/>
      <c r="S24" s="4018"/>
      <c r="T24" s="624" t="e">
        <v>#N/A</v>
      </c>
      <c r="U24" s="4166"/>
      <c r="V24" s="4166"/>
      <c r="W24" s="4166"/>
      <c r="X24" s="4166"/>
      <c r="Y24" s="4167"/>
      <c r="Z24" s="621"/>
      <c r="AA24" s="625"/>
      <c r="AB24" s="623"/>
      <c r="AC24" s="4169"/>
      <c r="AD24" s="263" t="s">
        <v>120</v>
      </c>
    </row>
    <row r="25" spans="1:30" ht="15.75" customHeight="1" thickBot="1" x14ac:dyDescent="0.35">
      <c r="A25" s="569">
        <v>9</v>
      </c>
      <c r="B25" s="4055"/>
      <c r="C25" s="4056"/>
      <c r="D25" s="4056"/>
      <c r="E25" s="4014"/>
      <c r="F25" s="4014"/>
      <c r="G25" s="4014"/>
      <c r="H25" s="4014"/>
      <c r="I25" s="4014"/>
      <c r="J25" s="4014"/>
      <c r="K25" s="4014"/>
      <c r="L25" s="4015"/>
      <c r="M25" s="4161"/>
      <c r="N25" s="626" t="s">
        <v>2299</v>
      </c>
      <c r="O25" s="4013"/>
      <c r="P25" s="4014"/>
      <c r="Q25" s="4014"/>
      <c r="R25" s="4014"/>
      <c r="S25" s="4014"/>
      <c r="T25" s="627" t="e">
        <v>#N/A</v>
      </c>
      <c r="U25" s="4014"/>
      <c r="V25" s="4014"/>
      <c r="W25" s="4014"/>
      <c r="X25" s="4014"/>
      <c r="Y25" s="4015"/>
      <c r="Z25" s="628"/>
      <c r="AA25" s="629" t="e">
        <v>#N/A</v>
      </c>
      <c r="AB25" s="630"/>
      <c r="AC25" s="4170"/>
      <c r="AD25" s="263" t="e">
        <v>#N/A</v>
      </c>
    </row>
    <row r="26" spans="1:30" ht="38.25" customHeight="1" x14ac:dyDescent="0.3">
      <c r="A26" s="596">
        <v>1</v>
      </c>
      <c r="B26" s="345" t="s">
        <v>455</v>
      </c>
      <c r="C26" s="345" t="s">
        <v>16</v>
      </c>
      <c r="D26" s="345" t="s">
        <v>531</v>
      </c>
      <c r="E26" s="345" t="s">
        <v>532</v>
      </c>
      <c r="F26" s="345" t="s">
        <v>499</v>
      </c>
      <c r="G26" s="345" t="s">
        <v>533</v>
      </c>
      <c r="H26" s="345" t="s">
        <v>2278</v>
      </c>
      <c r="I26" s="345" t="s">
        <v>494</v>
      </c>
      <c r="J26" s="345" t="s">
        <v>2279</v>
      </c>
      <c r="K26" s="4021" t="s">
        <v>463</v>
      </c>
      <c r="L26" s="4021"/>
      <c r="M26" s="4021" t="s">
        <v>464</v>
      </c>
      <c r="N26" s="4021"/>
      <c r="O26" s="345" t="s">
        <v>2280</v>
      </c>
      <c r="P26" s="345" t="s">
        <v>2281</v>
      </c>
      <c r="Q26" s="345" t="s">
        <v>2282</v>
      </c>
      <c r="R26" s="345" t="s">
        <v>469</v>
      </c>
      <c r="S26" s="345" t="s">
        <v>1757</v>
      </c>
      <c r="T26" s="345" t="s">
        <v>470</v>
      </c>
      <c r="U26" s="345" t="s">
        <v>2283</v>
      </c>
      <c r="V26" s="345" t="s">
        <v>1759</v>
      </c>
      <c r="W26" s="345" t="s">
        <v>472</v>
      </c>
      <c r="X26" s="345" t="s">
        <v>2284</v>
      </c>
      <c r="Y26" s="345" t="s">
        <v>474</v>
      </c>
      <c r="Z26" s="345" t="s">
        <v>133</v>
      </c>
      <c r="AA26" s="345" t="s">
        <v>475</v>
      </c>
      <c r="AB26" s="348" t="s">
        <v>476</v>
      </c>
      <c r="AC26" s="347" t="s">
        <v>477</v>
      </c>
    </row>
    <row r="27" spans="1:30" ht="25.5" customHeight="1" x14ac:dyDescent="0.3">
      <c r="A27" s="596">
        <v>2</v>
      </c>
      <c r="B27" s="350" t="s">
        <v>534</v>
      </c>
      <c r="C27" s="350" t="s">
        <v>2285</v>
      </c>
      <c r="D27" s="352" t="s">
        <v>1783</v>
      </c>
      <c r="E27" s="352">
        <v>18</v>
      </c>
      <c r="F27" s="352" t="s">
        <v>479</v>
      </c>
      <c r="G27" s="353" t="s">
        <v>480</v>
      </c>
      <c r="H27" s="352" t="s">
        <v>1812</v>
      </c>
      <c r="I27" s="352" t="s">
        <v>1766</v>
      </c>
      <c r="J27" s="597" t="s">
        <v>2079</v>
      </c>
      <c r="K27" s="4151">
        <v>30</v>
      </c>
      <c r="L27" s="4151"/>
      <c r="M27" s="4151">
        <v>70</v>
      </c>
      <c r="N27" s="4151"/>
      <c r="O27" s="352">
        <v>478</v>
      </c>
      <c r="P27" s="352" t="s">
        <v>486</v>
      </c>
      <c r="Q27" s="352" t="s">
        <v>487</v>
      </c>
      <c r="R27" s="352" t="s">
        <v>1505</v>
      </c>
      <c r="S27" s="360" t="s">
        <v>1772</v>
      </c>
      <c r="T27" s="352" t="s">
        <v>537</v>
      </c>
      <c r="U27" s="352" t="s">
        <v>349</v>
      </c>
      <c r="V27" s="352" t="s">
        <v>1943</v>
      </c>
      <c r="W27" s="360">
        <v>450</v>
      </c>
      <c r="X27" s="361">
        <v>3</v>
      </c>
      <c r="Y27" s="352" t="s">
        <v>486</v>
      </c>
      <c r="Z27" s="361" t="s">
        <v>491</v>
      </c>
      <c r="AA27" s="361"/>
      <c r="AB27" s="598"/>
      <c r="AC27" s="4168"/>
    </row>
    <row r="28" spans="1:30" s="319" customFormat="1" ht="15.6" x14ac:dyDescent="0.2">
      <c r="A28" s="596">
        <v>3</v>
      </c>
      <c r="B28" s="365"/>
      <c r="C28" s="366"/>
      <c r="D28" s="367"/>
      <c r="E28" s="368"/>
      <c r="F28" s="367"/>
      <c r="G28" s="599" t="s">
        <v>492</v>
      </c>
      <c r="H28" s="367"/>
      <c r="I28" s="367"/>
      <c r="J28" s="600" t="s">
        <v>1753</v>
      </c>
      <c r="K28" s="4171" t="s">
        <v>2286</v>
      </c>
      <c r="L28" s="4171"/>
      <c r="M28" s="4171" t="s">
        <v>2287</v>
      </c>
      <c r="N28" s="4171"/>
      <c r="O28" s="4171" t="s">
        <v>2281</v>
      </c>
      <c r="P28" s="4171"/>
      <c r="Q28" s="4171" t="s">
        <v>496</v>
      </c>
      <c r="R28" s="4171"/>
      <c r="S28" s="601" t="s">
        <v>2288</v>
      </c>
      <c r="T28" s="602" t="s">
        <v>497</v>
      </c>
      <c r="U28" s="603" t="s">
        <v>498</v>
      </c>
      <c r="V28" s="603" t="s">
        <v>499</v>
      </c>
      <c r="W28" s="601" t="s">
        <v>500</v>
      </c>
      <c r="X28" s="600" t="s">
        <v>501</v>
      </c>
      <c r="Y28" s="600" t="s">
        <v>502</v>
      </c>
      <c r="Z28" s="600" t="s">
        <v>503</v>
      </c>
      <c r="AA28" s="604" t="s">
        <v>504</v>
      </c>
      <c r="AB28" s="348" t="s">
        <v>476</v>
      </c>
      <c r="AC28" s="4169"/>
      <c r="AD28" s="318"/>
    </row>
    <row r="29" spans="1:30" ht="25.5" customHeight="1" x14ac:dyDescent="0.35">
      <c r="A29" s="569">
        <v>4</v>
      </c>
      <c r="B29" s="4173" t="str">
        <f>CONCATENATE(I27," ",D27,E27," ",F27)</f>
        <v>3S DW18 G</v>
      </c>
      <c r="C29" s="4173"/>
      <c r="D29" s="4173"/>
      <c r="E29" s="4174" t="s">
        <v>541</v>
      </c>
      <c r="F29" s="4043"/>
      <c r="G29" s="377"/>
      <c r="H29" s="605"/>
      <c r="I29" s="605"/>
      <c r="J29" s="377">
        <v>4</v>
      </c>
      <c r="K29" s="4151"/>
      <c r="L29" s="4151"/>
      <c r="M29" s="4151"/>
      <c r="N29" s="4151"/>
      <c r="O29" s="4175"/>
      <c r="P29" s="4175"/>
      <c r="Q29" s="4175"/>
      <c r="R29" s="4175"/>
      <c r="S29" s="377"/>
      <c r="T29" s="606"/>
      <c r="U29" s="606"/>
      <c r="V29" s="606"/>
      <c r="W29" s="607"/>
      <c r="X29" s="607"/>
      <c r="Y29" s="607"/>
      <c r="Z29" s="607"/>
      <c r="AA29" s="608"/>
      <c r="AB29" s="598"/>
      <c r="AC29" s="4169"/>
    </row>
    <row r="30" spans="1:30" s="610" customFormat="1" ht="15.75" customHeight="1" x14ac:dyDescent="0.3">
      <c r="A30" s="569">
        <v>5</v>
      </c>
      <c r="B30" s="609"/>
      <c r="E30" s="611" t="s">
        <v>510</v>
      </c>
      <c r="F30" s="611"/>
      <c r="G30" s="612" t="s">
        <v>42</v>
      </c>
      <c r="H30" s="613"/>
      <c r="I30" s="614"/>
      <c r="J30" s="612" t="s">
        <v>42</v>
      </c>
      <c r="K30" s="4172" t="s">
        <v>2289</v>
      </c>
      <c r="L30" s="4172"/>
      <c r="M30" s="4152" t="s">
        <v>2290</v>
      </c>
      <c r="N30" s="4152"/>
      <c r="O30" s="4153"/>
      <c r="P30" s="4153"/>
      <c r="Q30" s="4153"/>
      <c r="R30" s="4153"/>
      <c r="S30" s="615"/>
      <c r="T30" s="4154" t="s">
        <v>2291</v>
      </c>
      <c r="U30" s="4155"/>
      <c r="V30" s="4155"/>
      <c r="W30" s="4155" t="s">
        <v>2292</v>
      </c>
      <c r="X30" s="4155"/>
      <c r="Y30" s="4155"/>
      <c r="Z30" s="4154"/>
      <c r="AA30" s="4154"/>
      <c r="AB30" s="348" t="s">
        <v>476</v>
      </c>
      <c r="AC30" s="4169"/>
      <c r="AD30" s="616"/>
    </row>
    <row r="31" spans="1:30" x14ac:dyDescent="0.3">
      <c r="A31" s="569">
        <v>6</v>
      </c>
      <c r="B31" s="4156" t="s">
        <v>518</v>
      </c>
      <c r="C31" s="4157"/>
      <c r="D31" s="4157"/>
      <c r="E31" s="4158"/>
      <c r="F31" s="4040"/>
      <c r="G31" s="4040"/>
      <c r="H31" s="4040"/>
      <c r="I31" s="4040"/>
      <c r="J31" s="4040"/>
      <c r="K31" s="4040"/>
      <c r="L31" s="4041"/>
      <c r="M31" s="4159" t="s">
        <v>520</v>
      </c>
      <c r="N31" s="617" t="s">
        <v>2280</v>
      </c>
      <c r="O31" s="4039"/>
      <c r="P31" s="4040"/>
      <c r="Q31" s="4040"/>
      <c r="R31" s="4040"/>
      <c r="S31" s="4040"/>
      <c r="T31" s="617" t="s">
        <v>2293</v>
      </c>
      <c r="U31" s="4040"/>
      <c r="V31" s="4040"/>
      <c r="W31" s="4040"/>
      <c r="X31" s="4040"/>
      <c r="Y31" s="4041"/>
      <c r="Z31" s="618"/>
      <c r="AA31" s="619"/>
      <c r="AB31" s="598"/>
      <c r="AC31" s="4169"/>
      <c r="AD31" s="263">
        <v>0</v>
      </c>
    </row>
    <row r="32" spans="1:30" ht="15" customHeight="1" x14ac:dyDescent="0.3">
      <c r="A32" s="569">
        <v>7</v>
      </c>
      <c r="B32" s="4053"/>
      <c r="C32" s="4054"/>
      <c r="D32" s="4054"/>
      <c r="E32" s="4018" t="s">
        <v>2294</v>
      </c>
      <c r="F32" s="4018"/>
      <c r="G32" s="4018"/>
      <c r="H32" s="4018"/>
      <c r="I32" s="4018"/>
      <c r="J32" s="4018"/>
      <c r="K32" s="4018"/>
      <c r="L32" s="4162"/>
      <c r="M32" s="4160"/>
      <c r="N32" s="620" t="s">
        <v>526</v>
      </c>
      <c r="O32" s="4163"/>
      <c r="P32" s="4018"/>
      <c r="Q32" s="4018"/>
      <c r="R32" s="4018"/>
      <c r="S32" s="4018"/>
      <c r="T32" s="620" t="s">
        <v>2295</v>
      </c>
      <c r="U32" s="4164"/>
      <c r="V32" s="4164"/>
      <c r="W32" s="4164"/>
      <c r="X32" s="4164"/>
      <c r="Y32" s="4165"/>
      <c r="Z32" s="621"/>
      <c r="AA32" s="622" t="s">
        <v>2296</v>
      </c>
      <c r="AB32" s="623" t="s">
        <v>2297</v>
      </c>
      <c r="AC32" s="4169"/>
      <c r="AD32" s="263">
        <v>0</v>
      </c>
    </row>
    <row r="33" spans="1:30" ht="15" customHeight="1" x14ac:dyDescent="0.3">
      <c r="A33" s="569">
        <v>8</v>
      </c>
      <c r="B33" s="4053"/>
      <c r="C33" s="4054"/>
      <c r="D33" s="4054"/>
      <c r="E33" s="4018" t="s">
        <v>2298</v>
      </c>
      <c r="F33" s="4018"/>
      <c r="G33" s="4018"/>
      <c r="H33" s="4018"/>
      <c r="I33" s="4018"/>
      <c r="J33" s="4018"/>
      <c r="K33" s="4018"/>
      <c r="L33" s="4162"/>
      <c r="M33" s="4160"/>
      <c r="N33" s="620" t="s">
        <v>133</v>
      </c>
      <c r="O33" s="4163"/>
      <c r="P33" s="4018"/>
      <c r="Q33" s="4018"/>
      <c r="R33" s="4018"/>
      <c r="S33" s="4018"/>
      <c r="T33" s="624" t="e">
        <v>#N/A</v>
      </c>
      <c r="U33" s="4166"/>
      <c r="V33" s="4166"/>
      <c r="W33" s="4166"/>
      <c r="X33" s="4166"/>
      <c r="Y33" s="4167"/>
      <c r="Z33" s="621"/>
      <c r="AA33" s="625"/>
      <c r="AB33" s="623"/>
      <c r="AC33" s="4169"/>
      <c r="AD33" s="263" t="s">
        <v>120</v>
      </c>
    </row>
    <row r="34" spans="1:30" ht="15.75" customHeight="1" thickBot="1" x14ac:dyDescent="0.35">
      <c r="A34" s="569">
        <v>9</v>
      </c>
      <c r="B34" s="4055"/>
      <c r="C34" s="4056"/>
      <c r="D34" s="4056"/>
      <c r="E34" s="4014"/>
      <c r="F34" s="4014"/>
      <c r="G34" s="4014"/>
      <c r="H34" s="4014"/>
      <c r="I34" s="4014"/>
      <c r="J34" s="4014"/>
      <c r="K34" s="4014"/>
      <c r="L34" s="4015"/>
      <c r="M34" s="4161"/>
      <c r="N34" s="626" t="s">
        <v>2299</v>
      </c>
      <c r="O34" s="4013"/>
      <c r="P34" s="4014"/>
      <c r="Q34" s="4014"/>
      <c r="R34" s="4014"/>
      <c r="S34" s="4014"/>
      <c r="T34" s="627" t="e">
        <v>#N/A</v>
      </c>
      <c r="U34" s="4014"/>
      <c r="V34" s="4014"/>
      <c r="W34" s="4014"/>
      <c r="X34" s="4014"/>
      <c r="Y34" s="4015"/>
      <c r="Z34" s="628"/>
      <c r="AA34" s="629" t="e">
        <v>#N/A</v>
      </c>
      <c r="AB34" s="630"/>
      <c r="AC34" s="4170"/>
      <c r="AD34" s="263" t="e">
        <v>#N/A</v>
      </c>
    </row>
    <row r="35" spans="1:30" ht="38.25" customHeight="1" x14ac:dyDescent="0.3">
      <c r="A35" s="596">
        <v>1</v>
      </c>
      <c r="B35" s="345" t="s">
        <v>455</v>
      </c>
      <c r="C35" s="345" t="s">
        <v>16</v>
      </c>
      <c r="D35" s="345" t="s">
        <v>531</v>
      </c>
      <c r="E35" s="345" t="s">
        <v>532</v>
      </c>
      <c r="F35" s="345" t="s">
        <v>499</v>
      </c>
      <c r="G35" s="345" t="s">
        <v>533</v>
      </c>
      <c r="H35" s="345" t="s">
        <v>2278</v>
      </c>
      <c r="I35" s="345" t="s">
        <v>494</v>
      </c>
      <c r="J35" s="345" t="s">
        <v>2279</v>
      </c>
      <c r="K35" s="4021" t="s">
        <v>463</v>
      </c>
      <c r="L35" s="4021"/>
      <c r="M35" s="4021" t="s">
        <v>464</v>
      </c>
      <c r="N35" s="4021"/>
      <c r="O35" s="345" t="s">
        <v>2280</v>
      </c>
      <c r="P35" s="345" t="s">
        <v>2281</v>
      </c>
      <c r="Q35" s="345" t="s">
        <v>2282</v>
      </c>
      <c r="R35" s="345" t="s">
        <v>469</v>
      </c>
      <c r="S35" s="345" t="s">
        <v>1757</v>
      </c>
      <c r="T35" s="345" t="s">
        <v>470</v>
      </c>
      <c r="U35" s="345" t="s">
        <v>2283</v>
      </c>
      <c r="V35" s="345" t="s">
        <v>1759</v>
      </c>
      <c r="W35" s="345" t="s">
        <v>472</v>
      </c>
      <c r="X35" s="345" t="s">
        <v>2284</v>
      </c>
      <c r="Y35" s="345" t="s">
        <v>474</v>
      </c>
      <c r="Z35" s="345" t="s">
        <v>133</v>
      </c>
      <c r="AA35" s="345" t="s">
        <v>475</v>
      </c>
      <c r="AB35" s="348" t="s">
        <v>476</v>
      </c>
      <c r="AC35" s="347" t="s">
        <v>477</v>
      </c>
    </row>
    <row r="36" spans="1:30" ht="25.5" customHeight="1" x14ac:dyDescent="0.3">
      <c r="A36" s="596">
        <v>2</v>
      </c>
      <c r="B36" s="350"/>
      <c r="C36" s="350"/>
      <c r="D36" s="352"/>
      <c r="E36" s="352"/>
      <c r="F36" s="352"/>
      <c r="G36" s="353"/>
      <c r="H36" s="352"/>
      <c r="I36" s="352"/>
      <c r="J36" s="597"/>
      <c r="K36" s="4151"/>
      <c r="L36" s="4151"/>
      <c r="M36" s="4151"/>
      <c r="N36" s="4151"/>
      <c r="O36" s="352"/>
      <c r="P36" s="352"/>
      <c r="Q36" s="352"/>
      <c r="R36" s="352"/>
      <c r="S36" s="360"/>
      <c r="T36" s="352"/>
      <c r="U36" s="352"/>
      <c r="V36" s="352"/>
      <c r="W36" s="360"/>
      <c r="X36" s="361"/>
      <c r="Y36" s="352"/>
      <c r="Z36" s="361"/>
      <c r="AA36" s="361"/>
      <c r="AB36" s="598"/>
      <c r="AC36" s="4168"/>
    </row>
    <row r="37" spans="1:30" s="319" customFormat="1" ht="15.6" x14ac:dyDescent="0.2">
      <c r="A37" s="596">
        <v>3</v>
      </c>
      <c r="B37" s="365"/>
      <c r="C37" s="366"/>
      <c r="D37" s="367"/>
      <c r="E37" s="368"/>
      <c r="F37" s="367"/>
      <c r="G37" s="599" t="s">
        <v>492</v>
      </c>
      <c r="H37" s="367"/>
      <c r="I37" s="367"/>
      <c r="J37" s="600" t="s">
        <v>1753</v>
      </c>
      <c r="K37" s="4171" t="s">
        <v>2286</v>
      </c>
      <c r="L37" s="4171"/>
      <c r="M37" s="4171" t="s">
        <v>2287</v>
      </c>
      <c r="N37" s="4171"/>
      <c r="O37" s="4171" t="s">
        <v>2281</v>
      </c>
      <c r="P37" s="4171"/>
      <c r="Q37" s="4171" t="s">
        <v>496</v>
      </c>
      <c r="R37" s="4171"/>
      <c r="S37" s="601" t="s">
        <v>2288</v>
      </c>
      <c r="T37" s="602" t="s">
        <v>497</v>
      </c>
      <c r="U37" s="603" t="s">
        <v>498</v>
      </c>
      <c r="V37" s="603" t="s">
        <v>499</v>
      </c>
      <c r="W37" s="601" t="s">
        <v>500</v>
      </c>
      <c r="X37" s="600" t="s">
        <v>501</v>
      </c>
      <c r="Y37" s="600" t="s">
        <v>502</v>
      </c>
      <c r="Z37" s="600" t="s">
        <v>503</v>
      </c>
      <c r="AA37" s="604" t="s">
        <v>504</v>
      </c>
      <c r="AB37" s="348" t="s">
        <v>476</v>
      </c>
      <c r="AC37" s="4169"/>
      <c r="AD37" s="318"/>
    </row>
    <row r="38" spans="1:30" ht="25.5" customHeight="1" x14ac:dyDescent="0.35">
      <c r="A38" s="569">
        <v>4</v>
      </c>
      <c r="B38" s="4173" t="str">
        <f>CONCATENATE(I36," ",D36,E36," ",F36)</f>
        <v xml:space="preserve">  </v>
      </c>
      <c r="C38" s="4173"/>
      <c r="D38" s="4173"/>
      <c r="E38" s="4174" t="s">
        <v>541</v>
      </c>
      <c r="F38" s="4043"/>
      <c r="G38" s="377"/>
      <c r="H38" s="605"/>
      <c r="I38" s="605"/>
      <c r="J38" s="377">
        <v>4</v>
      </c>
      <c r="K38" s="4151"/>
      <c r="L38" s="4151"/>
      <c r="M38" s="4151"/>
      <c r="N38" s="4151"/>
      <c r="O38" s="4175"/>
      <c r="P38" s="4175"/>
      <c r="Q38" s="4175"/>
      <c r="R38" s="4175"/>
      <c r="S38" s="377"/>
      <c r="T38" s="606"/>
      <c r="U38" s="606"/>
      <c r="V38" s="606"/>
      <c r="W38" s="607"/>
      <c r="X38" s="607"/>
      <c r="Y38" s="607"/>
      <c r="Z38" s="607"/>
      <c r="AA38" s="608"/>
      <c r="AB38" s="598"/>
      <c r="AC38" s="4169"/>
    </row>
    <row r="39" spans="1:30" s="610" customFormat="1" ht="15.75" customHeight="1" x14ac:dyDescent="0.3">
      <c r="A39" s="569">
        <v>5</v>
      </c>
      <c r="B39" s="609"/>
      <c r="E39" s="611" t="s">
        <v>510</v>
      </c>
      <c r="F39" s="611"/>
      <c r="G39" s="612" t="s">
        <v>42</v>
      </c>
      <c r="H39" s="613"/>
      <c r="I39" s="614"/>
      <c r="J39" s="612" t="s">
        <v>42</v>
      </c>
      <c r="K39" s="4172" t="s">
        <v>2289</v>
      </c>
      <c r="L39" s="4172"/>
      <c r="M39" s="4152" t="s">
        <v>2290</v>
      </c>
      <c r="N39" s="4152"/>
      <c r="O39" s="4153"/>
      <c r="P39" s="4153"/>
      <c r="Q39" s="4153"/>
      <c r="R39" s="4153"/>
      <c r="S39" s="615"/>
      <c r="T39" s="4154" t="s">
        <v>2291</v>
      </c>
      <c r="U39" s="4155"/>
      <c r="V39" s="4155"/>
      <c r="W39" s="4155" t="s">
        <v>2292</v>
      </c>
      <c r="X39" s="4155"/>
      <c r="Y39" s="4155"/>
      <c r="Z39" s="4154"/>
      <c r="AA39" s="4154"/>
      <c r="AB39" s="348" t="s">
        <v>476</v>
      </c>
      <c r="AC39" s="4169"/>
      <c r="AD39" s="616"/>
    </row>
    <row r="40" spans="1:30" x14ac:dyDescent="0.3">
      <c r="A40" s="569">
        <v>6</v>
      </c>
      <c r="B40" s="4156" t="s">
        <v>518</v>
      </c>
      <c r="C40" s="4157"/>
      <c r="D40" s="4157"/>
      <c r="E40" s="4158"/>
      <c r="F40" s="4040"/>
      <c r="G40" s="4040"/>
      <c r="H40" s="4040"/>
      <c r="I40" s="4040"/>
      <c r="J40" s="4040"/>
      <c r="K40" s="4040"/>
      <c r="L40" s="4041"/>
      <c r="M40" s="4159" t="s">
        <v>520</v>
      </c>
      <c r="N40" s="617" t="s">
        <v>2280</v>
      </c>
      <c r="O40" s="4039"/>
      <c r="P40" s="4040"/>
      <c r="Q40" s="4040"/>
      <c r="R40" s="4040"/>
      <c r="S40" s="4040"/>
      <c r="T40" s="617" t="s">
        <v>2293</v>
      </c>
      <c r="U40" s="4040"/>
      <c r="V40" s="4040"/>
      <c r="W40" s="4040"/>
      <c r="X40" s="4040"/>
      <c r="Y40" s="4041"/>
      <c r="Z40" s="618"/>
      <c r="AA40" s="619"/>
      <c r="AB40" s="598"/>
      <c r="AC40" s="4169"/>
      <c r="AD40" s="263" t="e">
        <v>#N/A</v>
      </c>
    </row>
    <row r="41" spans="1:30" ht="15" customHeight="1" x14ac:dyDescent="0.3">
      <c r="A41" s="569">
        <v>7</v>
      </c>
      <c r="B41" s="4053"/>
      <c r="C41" s="4054"/>
      <c r="D41" s="4054"/>
      <c r="E41" s="4018" t="s">
        <v>2294</v>
      </c>
      <c r="F41" s="4018"/>
      <c r="G41" s="4018"/>
      <c r="H41" s="4018"/>
      <c r="I41" s="4018"/>
      <c r="J41" s="4018"/>
      <c r="K41" s="4018"/>
      <c r="L41" s="4162"/>
      <c r="M41" s="4160"/>
      <c r="N41" s="620" t="s">
        <v>526</v>
      </c>
      <c r="O41" s="4163"/>
      <c r="P41" s="4018"/>
      <c r="Q41" s="4018"/>
      <c r="R41" s="4018"/>
      <c r="S41" s="4018"/>
      <c r="T41" s="620" t="s">
        <v>2295</v>
      </c>
      <c r="U41" s="4164"/>
      <c r="V41" s="4164"/>
      <c r="W41" s="4164"/>
      <c r="X41" s="4164"/>
      <c r="Y41" s="4165"/>
      <c r="Z41" s="621"/>
      <c r="AA41" s="622" t="s">
        <v>2296</v>
      </c>
      <c r="AB41" s="623"/>
      <c r="AC41" s="4169"/>
      <c r="AD41" s="263" t="e">
        <v>#N/A</v>
      </c>
    </row>
    <row r="42" spans="1:30" ht="15" customHeight="1" x14ac:dyDescent="0.3">
      <c r="A42" s="569">
        <v>8</v>
      </c>
      <c r="B42" s="4053"/>
      <c r="C42" s="4054"/>
      <c r="D42" s="4054"/>
      <c r="E42" s="4018" t="s">
        <v>2298</v>
      </c>
      <c r="F42" s="4018"/>
      <c r="G42" s="4018"/>
      <c r="H42" s="4018"/>
      <c r="I42" s="4018"/>
      <c r="J42" s="4018"/>
      <c r="K42" s="4018"/>
      <c r="L42" s="4162"/>
      <c r="M42" s="4160"/>
      <c r="N42" s="620" t="s">
        <v>133</v>
      </c>
      <c r="O42" s="4163"/>
      <c r="P42" s="4018"/>
      <c r="Q42" s="4018"/>
      <c r="R42" s="4018"/>
      <c r="S42" s="4018"/>
      <c r="T42" s="624" t="e">
        <v>#N/A</v>
      </c>
      <c r="U42" s="4166"/>
      <c r="V42" s="4166"/>
      <c r="W42" s="4166"/>
      <c r="X42" s="4166"/>
      <c r="Y42" s="4167"/>
      <c r="Z42" s="621"/>
      <c r="AA42" s="625"/>
      <c r="AB42" s="623"/>
      <c r="AC42" s="4169"/>
      <c r="AD42" s="263" t="e">
        <v>#N/A</v>
      </c>
    </row>
    <row r="43" spans="1:30" ht="15.75" customHeight="1" thickBot="1" x14ac:dyDescent="0.35">
      <c r="A43" s="569">
        <v>9</v>
      </c>
      <c r="B43" s="4055"/>
      <c r="C43" s="4056"/>
      <c r="D43" s="4056"/>
      <c r="E43" s="4014"/>
      <c r="F43" s="4014"/>
      <c r="G43" s="4014"/>
      <c r="H43" s="4014"/>
      <c r="I43" s="4014"/>
      <c r="J43" s="4014"/>
      <c r="K43" s="4014"/>
      <c r="L43" s="4015"/>
      <c r="M43" s="4161"/>
      <c r="N43" s="626" t="s">
        <v>2299</v>
      </c>
      <c r="O43" s="4013"/>
      <c r="P43" s="4014"/>
      <c r="Q43" s="4014"/>
      <c r="R43" s="4014"/>
      <c r="S43" s="4014"/>
      <c r="T43" s="627" t="e">
        <v>#N/A</v>
      </c>
      <c r="U43" s="4014"/>
      <c r="V43" s="4014"/>
      <c r="W43" s="4014"/>
      <c r="X43" s="4014"/>
      <c r="Y43" s="4015"/>
      <c r="Z43" s="628"/>
      <c r="AA43" s="629" t="e">
        <v>#N/A</v>
      </c>
      <c r="AB43" s="630"/>
      <c r="AC43" s="4170"/>
      <c r="AD43" s="263" t="e">
        <v>#N/A</v>
      </c>
    </row>
    <row r="44" spans="1:30" ht="38.25" customHeight="1" x14ac:dyDescent="0.3">
      <c r="A44" s="596">
        <v>1</v>
      </c>
      <c r="B44" s="345" t="s">
        <v>455</v>
      </c>
      <c r="C44" s="345" t="s">
        <v>16</v>
      </c>
      <c r="D44" s="345" t="s">
        <v>531</v>
      </c>
      <c r="E44" s="345" t="s">
        <v>532</v>
      </c>
      <c r="F44" s="345" t="s">
        <v>499</v>
      </c>
      <c r="G44" s="345" t="s">
        <v>533</v>
      </c>
      <c r="H44" s="345" t="s">
        <v>2278</v>
      </c>
      <c r="I44" s="345" t="s">
        <v>494</v>
      </c>
      <c r="J44" s="345" t="s">
        <v>2279</v>
      </c>
      <c r="K44" s="4021" t="s">
        <v>463</v>
      </c>
      <c r="L44" s="4021"/>
      <c r="M44" s="4021" t="s">
        <v>464</v>
      </c>
      <c r="N44" s="4021"/>
      <c r="O44" s="345" t="s">
        <v>2280</v>
      </c>
      <c r="P44" s="345" t="s">
        <v>2281</v>
      </c>
      <c r="Q44" s="345" t="s">
        <v>2282</v>
      </c>
      <c r="R44" s="345" t="s">
        <v>469</v>
      </c>
      <c r="S44" s="345" t="s">
        <v>1757</v>
      </c>
      <c r="T44" s="345" t="s">
        <v>470</v>
      </c>
      <c r="U44" s="345" t="s">
        <v>2283</v>
      </c>
      <c r="V44" s="345" t="s">
        <v>1759</v>
      </c>
      <c r="W44" s="345" t="s">
        <v>472</v>
      </c>
      <c r="X44" s="345" t="s">
        <v>2284</v>
      </c>
      <c r="Y44" s="345" t="s">
        <v>474</v>
      </c>
      <c r="Z44" s="345" t="s">
        <v>133</v>
      </c>
      <c r="AA44" s="345" t="s">
        <v>475</v>
      </c>
      <c r="AB44" s="348" t="s">
        <v>476</v>
      </c>
      <c r="AC44" s="347" t="s">
        <v>477</v>
      </c>
    </row>
    <row r="45" spans="1:30" ht="25.5" customHeight="1" x14ac:dyDescent="0.3">
      <c r="A45" s="596">
        <v>2</v>
      </c>
      <c r="B45" s="350"/>
      <c r="C45" s="350"/>
      <c r="D45" s="352"/>
      <c r="E45" s="352"/>
      <c r="F45" s="352"/>
      <c r="G45" s="353"/>
      <c r="H45" s="352"/>
      <c r="I45" s="352"/>
      <c r="J45" s="597"/>
      <c r="K45" s="4151"/>
      <c r="L45" s="4151"/>
      <c r="M45" s="4151"/>
      <c r="N45" s="4151"/>
      <c r="O45" s="352"/>
      <c r="P45" s="352"/>
      <c r="Q45" s="352"/>
      <c r="R45" s="352"/>
      <c r="S45" s="360"/>
      <c r="T45" s="352"/>
      <c r="U45" s="352"/>
      <c r="V45" s="352"/>
      <c r="W45" s="360"/>
      <c r="X45" s="361"/>
      <c r="Y45" s="352"/>
      <c r="Z45" s="361"/>
      <c r="AA45" s="361"/>
      <c r="AB45" s="598"/>
      <c r="AC45" s="4168"/>
    </row>
    <row r="46" spans="1:30" s="319" customFormat="1" ht="15.6" x14ac:dyDescent="0.2">
      <c r="A46" s="596">
        <v>3</v>
      </c>
      <c r="B46" s="365"/>
      <c r="C46" s="366"/>
      <c r="D46" s="367"/>
      <c r="E46" s="368"/>
      <c r="F46" s="367"/>
      <c r="G46" s="599" t="s">
        <v>492</v>
      </c>
      <c r="H46" s="367"/>
      <c r="I46" s="367"/>
      <c r="J46" s="600" t="s">
        <v>1753</v>
      </c>
      <c r="K46" s="4171" t="s">
        <v>2286</v>
      </c>
      <c r="L46" s="4171"/>
      <c r="M46" s="4171" t="s">
        <v>2287</v>
      </c>
      <c r="N46" s="4171"/>
      <c r="O46" s="4171" t="s">
        <v>2281</v>
      </c>
      <c r="P46" s="4171"/>
      <c r="Q46" s="4171" t="s">
        <v>496</v>
      </c>
      <c r="R46" s="4171"/>
      <c r="S46" s="601" t="s">
        <v>2288</v>
      </c>
      <c r="T46" s="602" t="s">
        <v>497</v>
      </c>
      <c r="U46" s="603" t="s">
        <v>498</v>
      </c>
      <c r="V46" s="603" t="s">
        <v>499</v>
      </c>
      <c r="W46" s="601" t="s">
        <v>500</v>
      </c>
      <c r="X46" s="600" t="s">
        <v>501</v>
      </c>
      <c r="Y46" s="600" t="s">
        <v>502</v>
      </c>
      <c r="Z46" s="600" t="s">
        <v>503</v>
      </c>
      <c r="AA46" s="604" t="s">
        <v>504</v>
      </c>
      <c r="AB46" s="348" t="s">
        <v>476</v>
      </c>
      <c r="AC46" s="4169"/>
      <c r="AD46" s="318"/>
    </row>
    <row r="47" spans="1:30" ht="25.5" customHeight="1" x14ac:dyDescent="0.35">
      <c r="A47" s="569">
        <v>4</v>
      </c>
      <c r="B47" s="4173" t="str">
        <f>CONCATENATE(I45," ",D45,E45," ",F45)</f>
        <v xml:space="preserve">  </v>
      </c>
      <c r="C47" s="4173"/>
      <c r="D47" s="4173"/>
      <c r="E47" s="4174" t="s">
        <v>541</v>
      </c>
      <c r="F47" s="4043"/>
      <c r="G47" s="377"/>
      <c r="H47" s="605"/>
      <c r="I47" s="605"/>
      <c r="J47" s="377"/>
      <c r="K47" s="4151"/>
      <c r="L47" s="4151"/>
      <c r="M47" s="4151"/>
      <c r="N47" s="4151"/>
      <c r="O47" s="4175"/>
      <c r="P47" s="4175"/>
      <c r="Q47" s="4175"/>
      <c r="R47" s="4175"/>
      <c r="S47" s="377"/>
      <c r="T47" s="606"/>
      <c r="U47" s="606"/>
      <c r="V47" s="606"/>
      <c r="W47" s="607"/>
      <c r="X47" s="607"/>
      <c r="Y47" s="607"/>
      <c r="Z47" s="607"/>
      <c r="AA47" s="608"/>
      <c r="AB47" s="598"/>
      <c r="AC47" s="4169"/>
    </row>
    <row r="48" spans="1:30" s="610" customFormat="1" ht="15.75" customHeight="1" x14ac:dyDescent="0.3">
      <c r="A48" s="569">
        <v>5</v>
      </c>
      <c r="B48" s="609"/>
      <c r="E48" s="611" t="s">
        <v>510</v>
      </c>
      <c r="F48" s="611"/>
      <c r="G48" s="612" t="s">
        <v>42</v>
      </c>
      <c r="H48" s="613"/>
      <c r="I48" s="614"/>
      <c r="J48" s="612" t="s">
        <v>42</v>
      </c>
      <c r="K48" s="4172" t="s">
        <v>2289</v>
      </c>
      <c r="L48" s="4172"/>
      <c r="M48" s="4152" t="s">
        <v>2290</v>
      </c>
      <c r="N48" s="4152"/>
      <c r="O48" s="4153"/>
      <c r="P48" s="4153"/>
      <c r="Q48" s="4153"/>
      <c r="R48" s="4153"/>
      <c r="S48" s="615"/>
      <c r="T48" s="4154" t="s">
        <v>2291</v>
      </c>
      <c r="U48" s="4155"/>
      <c r="V48" s="4155"/>
      <c r="W48" s="4155" t="s">
        <v>2292</v>
      </c>
      <c r="X48" s="4155"/>
      <c r="Y48" s="4155"/>
      <c r="Z48" s="4154"/>
      <c r="AA48" s="4154"/>
      <c r="AB48" s="348" t="s">
        <v>476</v>
      </c>
      <c r="AC48" s="4169"/>
      <c r="AD48" s="616"/>
    </row>
    <row r="49" spans="1:30" x14ac:dyDescent="0.3">
      <c r="A49" s="569">
        <v>6</v>
      </c>
      <c r="B49" s="4156" t="s">
        <v>518</v>
      </c>
      <c r="C49" s="4157"/>
      <c r="D49" s="4157"/>
      <c r="E49" s="4158"/>
      <c r="F49" s="4040"/>
      <c r="G49" s="4040"/>
      <c r="H49" s="4040"/>
      <c r="I49" s="4040"/>
      <c r="J49" s="4040"/>
      <c r="K49" s="4040"/>
      <c r="L49" s="4041"/>
      <c r="M49" s="4159" t="s">
        <v>520</v>
      </c>
      <c r="N49" s="617" t="s">
        <v>2280</v>
      </c>
      <c r="O49" s="4039"/>
      <c r="P49" s="4040"/>
      <c r="Q49" s="4040"/>
      <c r="R49" s="4040"/>
      <c r="S49" s="4040"/>
      <c r="T49" s="617" t="s">
        <v>2293</v>
      </c>
      <c r="U49" s="4040"/>
      <c r="V49" s="4040"/>
      <c r="W49" s="4040"/>
      <c r="X49" s="4040"/>
      <c r="Y49" s="4041"/>
      <c r="Z49" s="618"/>
      <c r="AA49" s="619"/>
      <c r="AB49" s="598"/>
      <c r="AC49" s="4169"/>
      <c r="AD49" s="263" t="e">
        <v>#N/A</v>
      </c>
    </row>
    <row r="50" spans="1:30" ht="15" customHeight="1" x14ac:dyDescent="0.3">
      <c r="A50" s="569">
        <v>7</v>
      </c>
      <c r="B50" s="4053"/>
      <c r="C50" s="4054"/>
      <c r="D50" s="4054"/>
      <c r="E50" s="4018"/>
      <c r="F50" s="4018"/>
      <c r="G50" s="4018"/>
      <c r="H50" s="4018"/>
      <c r="I50" s="4018"/>
      <c r="J50" s="4018"/>
      <c r="K50" s="4018"/>
      <c r="L50" s="4162"/>
      <c r="M50" s="4160"/>
      <c r="N50" s="620" t="s">
        <v>526</v>
      </c>
      <c r="O50" s="4163"/>
      <c r="P50" s="4018"/>
      <c r="Q50" s="4018"/>
      <c r="R50" s="4018"/>
      <c r="S50" s="4018"/>
      <c r="T50" s="620" t="s">
        <v>2295</v>
      </c>
      <c r="U50" s="4164"/>
      <c r="V50" s="4164"/>
      <c r="W50" s="4164"/>
      <c r="X50" s="4164"/>
      <c r="Y50" s="4165"/>
      <c r="Z50" s="621"/>
      <c r="AA50" s="622" t="s">
        <v>2296</v>
      </c>
      <c r="AB50" s="623"/>
      <c r="AC50" s="4169"/>
      <c r="AD50" s="263" t="e">
        <v>#N/A</v>
      </c>
    </row>
    <row r="51" spans="1:30" ht="15" customHeight="1" x14ac:dyDescent="0.3">
      <c r="A51" s="569">
        <v>8</v>
      </c>
      <c r="B51" s="4053"/>
      <c r="C51" s="4054"/>
      <c r="D51" s="4054"/>
      <c r="E51" s="4018"/>
      <c r="F51" s="4018"/>
      <c r="G51" s="4018"/>
      <c r="H51" s="4018"/>
      <c r="I51" s="4018"/>
      <c r="J51" s="4018"/>
      <c r="K51" s="4018"/>
      <c r="L51" s="4162"/>
      <c r="M51" s="4160"/>
      <c r="N51" s="620" t="s">
        <v>133</v>
      </c>
      <c r="O51" s="4163"/>
      <c r="P51" s="4018"/>
      <c r="Q51" s="4018"/>
      <c r="R51" s="4018"/>
      <c r="S51" s="4018"/>
      <c r="T51" s="624" t="e">
        <v>#N/A</v>
      </c>
      <c r="U51" s="4166"/>
      <c r="V51" s="4166"/>
      <c r="W51" s="4166"/>
      <c r="X51" s="4166"/>
      <c r="Y51" s="4167"/>
      <c r="Z51" s="621"/>
      <c r="AA51" s="625"/>
      <c r="AB51" s="623"/>
      <c r="AC51" s="4169"/>
      <c r="AD51" s="263" t="e">
        <v>#N/A</v>
      </c>
    </row>
    <row r="52" spans="1:30" ht="15.75" customHeight="1" thickBot="1" x14ac:dyDescent="0.35">
      <c r="A52" s="569">
        <v>9</v>
      </c>
      <c r="B52" s="4055"/>
      <c r="C52" s="4056"/>
      <c r="D52" s="4056"/>
      <c r="E52" s="4014"/>
      <c r="F52" s="4014"/>
      <c r="G52" s="4014"/>
      <c r="H52" s="4014"/>
      <c r="I52" s="4014"/>
      <c r="J52" s="4014"/>
      <c r="K52" s="4014"/>
      <c r="L52" s="4015"/>
      <c r="M52" s="4161"/>
      <c r="N52" s="626" t="s">
        <v>2299</v>
      </c>
      <c r="O52" s="4013"/>
      <c r="P52" s="4014"/>
      <c r="Q52" s="4014"/>
      <c r="R52" s="4014"/>
      <c r="S52" s="4014"/>
      <c r="T52" s="627" t="e">
        <v>#N/A</v>
      </c>
      <c r="U52" s="4014"/>
      <c r="V52" s="4014"/>
      <c r="W52" s="4014"/>
      <c r="X52" s="4014"/>
      <c r="Y52" s="4015"/>
      <c r="Z52" s="628"/>
      <c r="AA52" s="629" t="e">
        <v>#N/A</v>
      </c>
      <c r="AB52" s="630"/>
      <c r="AC52" s="4170"/>
      <c r="AD52" s="263" t="e">
        <v>#N/A</v>
      </c>
    </row>
    <row r="53" spans="1:30" ht="38.25" customHeight="1" x14ac:dyDescent="0.3">
      <c r="A53" s="596">
        <v>1</v>
      </c>
      <c r="B53" s="345" t="s">
        <v>455</v>
      </c>
      <c r="C53" s="345" t="s">
        <v>16</v>
      </c>
      <c r="D53" s="345" t="s">
        <v>531</v>
      </c>
      <c r="E53" s="345" t="s">
        <v>532</v>
      </c>
      <c r="F53" s="345" t="s">
        <v>499</v>
      </c>
      <c r="G53" s="345" t="s">
        <v>533</v>
      </c>
      <c r="H53" s="345" t="s">
        <v>2278</v>
      </c>
      <c r="I53" s="345" t="s">
        <v>494</v>
      </c>
      <c r="J53" s="345" t="s">
        <v>2279</v>
      </c>
      <c r="K53" s="4021" t="s">
        <v>463</v>
      </c>
      <c r="L53" s="4021"/>
      <c r="M53" s="4021" t="s">
        <v>464</v>
      </c>
      <c r="N53" s="4021"/>
      <c r="O53" s="345" t="s">
        <v>2280</v>
      </c>
      <c r="P53" s="345" t="s">
        <v>2281</v>
      </c>
      <c r="Q53" s="345" t="s">
        <v>2282</v>
      </c>
      <c r="R53" s="345" t="s">
        <v>469</v>
      </c>
      <c r="S53" s="345" t="s">
        <v>1757</v>
      </c>
      <c r="T53" s="345" t="s">
        <v>470</v>
      </c>
      <c r="U53" s="345" t="s">
        <v>2283</v>
      </c>
      <c r="V53" s="345" t="s">
        <v>1759</v>
      </c>
      <c r="W53" s="345" t="s">
        <v>472</v>
      </c>
      <c r="X53" s="345" t="s">
        <v>2284</v>
      </c>
      <c r="Y53" s="345" t="s">
        <v>474</v>
      </c>
      <c r="Z53" s="345" t="s">
        <v>133</v>
      </c>
      <c r="AA53" s="345" t="s">
        <v>475</v>
      </c>
      <c r="AB53" s="348" t="s">
        <v>476</v>
      </c>
      <c r="AC53" s="347" t="s">
        <v>477</v>
      </c>
    </row>
    <row r="54" spans="1:30" ht="25.5" customHeight="1" x14ac:dyDescent="0.3">
      <c r="A54" s="596">
        <v>2</v>
      </c>
      <c r="B54" s="350"/>
      <c r="C54" s="350"/>
      <c r="D54" s="352"/>
      <c r="E54" s="352"/>
      <c r="F54" s="352"/>
      <c r="G54" s="353"/>
      <c r="H54" s="352"/>
      <c r="I54" s="352"/>
      <c r="J54" s="597"/>
      <c r="K54" s="4151"/>
      <c r="L54" s="4151"/>
      <c r="M54" s="4151"/>
      <c r="N54" s="4151"/>
      <c r="O54" s="352"/>
      <c r="P54" s="352"/>
      <c r="Q54" s="352"/>
      <c r="R54" s="352"/>
      <c r="S54" s="360"/>
      <c r="T54" s="352"/>
      <c r="U54" s="352"/>
      <c r="V54" s="352"/>
      <c r="W54" s="360"/>
      <c r="X54" s="361"/>
      <c r="Y54" s="352"/>
      <c r="Z54" s="361"/>
      <c r="AA54" s="361"/>
      <c r="AB54" s="598"/>
      <c r="AC54" s="4168"/>
    </row>
    <row r="55" spans="1:30" s="319" customFormat="1" ht="15.6" x14ac:dyDescent="0.2">
      <c r="A55" s="596">
        <v>3</v>
      </c>
      <c r="B55" s="365"/>
      <c r="C55" s="366"/>
      <c r="D55" s="367"/>
      <c r="E55" s="368"/>
      <c r="F55" s="367"/>
      <c r="G55" s="599" t="s">
        <v>492</v>
      </c>
      <c r="H55" s="367"/>
      <c r="I55" s="367"/>
      <c r="J55" s="600" t="s">
        <v>1753</v>
      </c>
      <c r="K55" s="4171" t="s">
        <v>2286</v>
      </c>
      <c r="L55" s="4171"/>
      <c r="M55" s="4171" t="s">
        <v>2287</v>
      </c>
      <c r="N55" s="4171"/>
      <c r="O55" s="4171" t="s">
        <v>2281</v>
      </c>
      <c r="P55" s="4171"/>
      <c r="Q55" s="4171" t="s">
        <v>496</v>
      </c>
      <c r="R55" s="4171"/>
      <c r="S55" s="601" t="s">
        <v>2288</v>
      </c>
      <c r="T55" s="602" t="s">
        <v>497</v>
      </c>
      <c r="U55" s="603" t="s">
        <v>498</v>
      </c>
      <c r="V55" s="603" t="s">
        <v>499</v>
      </c>
      <c r="W55" s="601" t="s">
        <v>500</v>
      </c>
      <c r="X55" s="600" t="s">
        <v>501</v>
      </c>
      <c r="Y55" s="600" t="s">
        <v>502</v>
      </c>
      <c r="Z55" s="600" t="s">
        <v>503</v>
      </c>
      <c r="AA55" s="604" t="s">
        <v>504</v>
      </c>
      <c r="AB55" s="348" t="s">
        <v>476</v>
      </c>
      <c r="AC55" s="4169"/>
      <c r="AD55" s="318"/>
    </row>
    <row r="56" spans="1:30" ht="25.5" customHeight="1" x14ac:dyDescent="0.35">
      <c r="A56" s="569">
        <v>4</v>
      </c>
      <c r="B56" s="4173" t="str">
        <f>CONCATENATE(I54," ",D54,E54," ",F54)</f>
        <v xml:space="preserve">  </v>
      </c>
      <c r="C56" s="4173"/>
      <c r="D56" s="4173"/>
      <c r="E56" s="4174" t="s">
        <v>541</v>
      </c>
      <c r="F56" s="4043"/>
      <c r="G56" s="377"/>
      <c r="H56" s="605"/>
      <c r="I56" s="605"/>
      <c r="J56" s="377"/>
      <c r="K56" s="4151"/>
      <c r="L56" s="4151"/>
      <c r="M56" s="4151"/>
      <c r="N56" s="4151"/>
      <c r="O56" s="4175"/>
      <c r="P56" s="4175"/>
      <c r="Q56" s="4175"/>
      <c r="R56" s="4175"/>
      <c r="S56" s="377"/>
      <c r="T56" s="606"/>
      <c r="U56" s="606"/>
      <c r="V56" s="606"/>
      <c r="W56" s="607"/>
      <c r="X56" s="607"/>
      <c r="Y56" s="607"/>
      <c r="Z56" s="607"/>
      <c r="AA56" s="608"/>
      <c r="AB56" s="598"/>
      <c r="AC56" s="4169"/>
    </row>
    <row r="57" spans="1:30" s="610" customFormat="1" ht="15.75" customHeight="1" x14ac:dyDescent="0.3">
      <c r="A57" s="569">
        <v>5</v>
      </c>
      <c r="B57" s="609"/>
      <c r="E57" s="611" t="s">
        <v>510</v>
      </c>
      <c r="F57" s="611"/>
      <c r="G57" s="612" t="s">
        <v>42</v>
      </c>
      <c r="H57" s="613"/>
      <c r="I57" s="614"/>
      <c r="J57" s="612" t="s">
        <v>42</v>
      </c>
      <c r="K57" s="4172" t="s">
        <v>2289</v>
      </c>
      <c r="L57" s="4172"/>
      <c r="M57" s="4152" t="s">
        <v>2290</v>
      </c>
      <c r="N57" s="4152"/>
      <c r="O57" s="4153"/>
      <c r="P57" s="4153"/>
      <c r="Q57" s="4153"/>
      <c r="R57" s="4153"/>
      <c r="S57" s="615"/>
      <c r="T57" s="4154" t="s">
        <v>2291</v>
      </c>
      <c r="U57" s="4155"/>
      <c r="V57" s="4155"/>
      <c r="W57" s="4155" t="s">
        <v>2292</v>
      </c>
      <c r="X57" s="4155"/>
      <c r="Y57" s="4155"/>
      <c r="Z57" s="4154"/>
      <c r="AA57" s="4154"/>
      <c r="AB57" s="348" t="s">
        <v>476</v>
      </c>
      <c r="AC57" s="4169"/>
      <c r="AD57" s="616"/>
    </row>
    <row r="58" spans="1:30" x14ac:dyDescent="0.3">
      <c r="A58" s="569">
        <v>6</v>
      </c>
      <c r="B58" s="4156" t="s">
        <v>518</v>
      </c>
      <c r="C58" s="4157"/>
      <c r="D58" s="4157"/>
      <c r="E58" s="4158"/>
      <c r="F58" s="4040"/>
      <c r="G58" s="4040"/>
      <c r="H58" s="4040"/>
      <c r="I58" s="4040"/>
      <c r="J58" s="4040"/>
      <c r="K58" s="4040"/>
      <c r="L58" s="4041"/>
      <c r="M58" s="4159" t="s">
        <v>520</v>
      </c>
      <c r="N58" s="617" t="s">
        <v>2280</v>
      </c>
      <c r="O58" s="4039"/>
      <c r="P58" s="4040"/>
      <c r="Q58" s="4040"/>
      <c r="R58" s="4040"/>
      <c r="S58" s="4040"/>
      <c r="T58" s="617" t="s">
        <v>2293</v>
      </c>
      <c r="U58" s="4040"/>
      <c r="V58" s="4040"/>
      <c r="W58" s="4040"/>
      <c r="X58" s="4040"/>
      <c r="Y58" s="4041"/>
      <c r="Z58" s="618"/>
      <c r="AA58" s="619"/>
      <c r="AB58" s="598"/>
      <c r="AC58" s="4169"/>
      <c r="AD58" s="263" t="e">
        <v>#N/A</v>
      </c>
    </row>
    <row r="59" spans="1:30" ht="15" customHeight="1" x14ac:dyDescent="0.3">
      <c r="A59" s="569">
        <v>7</v>
      </c>
      <c r="B59" s="4053"/>
      <c r="C59" s="4054"/>
      <c r="D59" s="4054"/>
      <c r="E59" s="4018"/>
      <c r="F59" s="4018"/>
      <c r="G59" s="4018"/>
      <c r="H59" s="4018"/>
      <c r="I59" s="4018"/>
      <c r="J59" s="4018"/>
      <c r="K59" s="4018"/>
      <c r="L59" s="4162"/>
      <c r="M59" s="4160"/>
      <c r="N59" s="620" t="s">
        <v>526</v>
      </c>
      <c r="O59" s="4163"/>
      <c r="P59" s="4018"/>
      <c r="Q59" s="4018"/>
      <c r="R59" s="4018"/>
      <c r="S59" s="4018"/>
      <c r="T59" s="620" t="s">
        <v>2295</v>
      </c>
      <c r="U59" s="4164"/>
      <c r="V59" s="4164"/>
      <c r="W59" s="4164"/>
      <c r="X59" s="4164"/>
      <c r="Y59" s="4165"/>
      <c r="Z59" s="621"/>
      <c r="AA59" s="622" t="s">
        <v>2296</v>
      </c>
      <c r="AB59" s="623"/>
      <c r="AC59" s="4169"/>
      <c r="AD59" s="263" t="e">
        <v>#N/A</v>
      </c>
    </row>
    <row r="60" spans="1:30" ht="15" customHeight="1" x14ac:dyDescent="0.3">
      <c r="A60" s="569">
        <v>8</v>
      </c>
      <c r="B60" s="4053"/>
      <c r="C60" s="4054"/>
      <c r="D60" s="4054"/>
      <c r="E60" s="4018"/>
      <c r="F60" s="4018"/>
      <c r="G60" s="4018"/>
      <c r="H60" s="4018"/>
      <c r="I60" s="4018"/>
      <c r="J60" s="4018"/>
      <c r="K60" s="4018"/>
      <c r="L60" s="4162"/>
      <c r="M60" s="4160"/>
      <c r="N60" s="620" t="s">
        <v>133</v>
      </c>
      <c r="O60" s="4163"/>
      <c r="P60" s="4018"/>
      <c r="Q60" s="4018"/>
      <c r="R60" s="4018"/>
      <c r="S60" s="4018"/>
      <c r="T60" s="624" t="e">
        <v>#N/A</v>
      </c>
      <c r="U60" s="4166"/>
      <c r="V60" s="4166"/>
      <c r="W60" s="4166"/>
      <c r="X60" s="4166"/>
      <c r="Y60" s="4167"/>
      <c r="Z60" s="621"/>
      <c r="AA60" s="625"/>
      <c r="AB60" s="623"/>
      <c r="AC60" s="4169"/>
      <c r="AD60" s="263" t="e">
        <v>#N/A</v>
      </c>
    </row>
    <row r="61" spans="1:30" ht="15.75" customHeight="1" thickBot="1" x14ac:dyDescent="0.35">
      <c r="A61" s="569">
        <v>9</v>
      </c>
      <c r="B61" s="4055"/>
      <c r="C61" s="4056"/>
      <c r="D61" s="4056"/>
      <c r="E61" s="4014"/>
      <c r="F61" s="4014"/>
      <c r="G61" s="4014"/>
      <c r="H61" s="4014"/>
      <c r="I61" s="4014"/>
      <c r="J61" s="4014"/>
      <c r="K61" s="4014"/>
      <c r="L61" s="4015"/>
      <c r="M61" s="4161"/>
      <c r="N61" s="626" t="s">
        <v>2299</v>
      </c>
      <c r="O61" s="4013"/>
      <c r="P61" s="4014"/>
      <c r="Q61" s="4014"/>
      <c r="R61" s="4014"/>
      <c r="S61" s="4014"/>
      <c r="T61" s="627" t="e">
        <v>#N/A</v>
      </c>
      <c r="U61" s="4014"/>
      <c r="V61" s="4014"/>
      <c r="W61" s="4014"/>
      <c r="X61" s="4014"/>
      <c r="Y61" s="4015"/>
      <c r="Z61" s="628"/>
      <c r="AA61" s="629" t="e">
        <v>#N/A</v>
      </c>
      <c r="AB61" s="630"/>
      <c r="AC61" s="4170"/>
      <c r="AD61" s="263" t="e">
        <v>#N/A</v>
      </c>
    </row>
    <row r="62" spans="1:30" ht="38.25" customHeight="1" x14ac:dyDescent="0.3">
      <c r="A62" s="596">
        <v>1</v>
      </c>
      <c r="B62" s="345" t="s">
        <v>455</v>
      </c>
      <c r="C62" s="345" t="s">
        <v>16</v>
      </c>
      <c r="D62" s="345" t="s">
        <v>531</v>
      </c>
      <c r="E62" s="345" t="s">
        <v>532</v>
      </c>
      <c r="F62" s="345" t="s">
        <v>499</v>
      </c>
      <c r="G62" s="345" t="s">
        <v>533</v>
      </c>
      <c r="H62" s="345" t="s">
        <v>2278</v>
      </c>
      <c r="I62" s="345" t="s">
        <v>494</v>
      </c>
      <c r="J62" s="345" t="s">
        <v>2279</v>
      </c>
      <c r="K62" s="4021" t="s">
        <v>463</v>
      </c>
      <c r="L62" s="4021"/>
      <c r="M62" s="4021" t="s">
        <v>464</v>
      </c>
      <c r="N62" s="4021"/>
      <c r="O62" s="345" t="s">
        <v>2280</v>
      </c>
      <c r="P62" s="345" t="s">
        <v>2281</v>
      </c>
      <c r="Q62" s="345" t="s">
        <v>2282</v>
      </c>
      <c r="R62" s="345" t="s">
        <v>469</v>
      </c>
      <c r="S62" s="345" t="s">
        <v>1757</v>
      </c>
      <c r="T62" s="345" t="s">
        <v>470</v>
      </c>
      <c r="U62" s="345" t="s">
        <v>2283</v>
      </c>
      <c r="V62" s="345" t="s">
        <v>1759</v>
      </c>
      <c r="W62" s="345" t="s">
        <v>472</v>
      </c>
      <c r="X62" s="345" t="s">
        <v>2284</v>
      </c>
      <c r="Y62" s="345" t="s">
        <v>474</v>
      </c>
      <c r="Z62" s="345" t="s">
        <v>133</v>
      </c>
      <c r="AA62" s="345" t="s">
        <v>475</v>
      </c>
      <c r="AB62" s="348" t="s">
        <v>476</v>
      </c>
      <c r="AC62" s="347" t="s">
        <v>477</v>
      </c>
    </row>
    <row r="63" spans="1:30" ht="25.5" customHeight="1" x14ac:dyDescent="0.3">
      <c r="A63" s="596">
        <v>2</v>
      </c>
      <c r="B63" s="350"/>
      <c r="C63" s="350"/>
      <c r="D63" s="352"/>
      <c r="E63" s="352"/>
      <c r="F63" s="352"/>
      <c r="G63" s="353"/>
      <c r="H63" s="352"/>
      <c r="I63" s="352"/>
      <c r="J63" s="597"/>
      <c r="K63" s="4151"/>
      <c r="L63" s="4151"/>
      <c r="M63" s="4151"/>
      <c r="N63" s="4151"/>
      <c r="O63" s="352"/>
      <c r="P63" s="352"/>
      <c r="Q63" s="352"/>
      <c r="R63" s="352"/>
      <c r="S63" s="360"/>
      <c r="T63" s="352"/>
      <c r="U63" s="352"/>
      <c r="V63" s="352"/>
      <c r="W63" s="360"/>
      <c r="X63" s="361"/>
      <c r="Y63" s="352"/>
      <c r="Z63" s="361"/>
      <c r="AA63" s="361"/>
      <c r="AB63" s="598"/>
      <c r="AC63" s="4168"/>
    </row>
    <row r="64" spans="1:30" s="319" customFormat="1" ht="15.6" x14ac:dyDescent="0.2">
      <c r="A64" s="596">
        <v>3</v>
      </c>
      <c r="B64" s="365"/>
      <c r="C64" s="366"/>
      <c r="D64" s="367"/>
      <c r="E64" s="368"/>
      <c r="F64" s="367"/>
      <c r="G64" s="599" t="s">
        <v>492</v>
      </c>
      <c r="H64" s="367"/>
      <c r="I64" s="367"/>
      <c r="J64" s="600" t="s">
        <v>1753</v>
      </c>
      <c r="K64" s="4171" t="s">
        <v>2286</v>
      </c>
      <c r="L64" s="4171"/>
      <c r="M64" s="4171" t="s">
        <v>2287</v>
      </c>
      <c r="N64" s="4171"/>
      <c r="O64" s="4171" t="s">
        <v>2281</v>
      </c>
      <c r="P64" s="4171"/>
      <c r="Q64" s="4171" t="s">
        <v>496</v>
      </c>
      <c r="R64" s="4171"/>
      <c r="S64" s="601" t="s">
        <v>2288</v>
      </c>
      <c r="T64" s="602" t="s">
        <v>497</v>
      </c>
      <c r="U64" s="603" t="s">
        <v>498</v>
      </c>
      <c r="V64" s="603" t="s">
        <v>499</v>
      </c>
      <c r="W64" s="601" t="s">
        <v>500</v>
      </c>
      <c r="X64" s="600" t="s">
        <v>501</v>
      </c>
      <c r="Y64" s="600" t="s">
        <v>502</v>
      </c>
      <c r="Z64" s="600" t="s">
        <v>503</v>
      </c>
      <c r="AA64" s="604" t="s">
        <v>504</v>
      </c>
      <c r="AB64" s="348" t="s">
        <v>476</v>
      </c>
      <c r="AC64" s="4169"/>
      <c r="AD64" s="318"/>
    </row>
    <row r="65" spans="1:30" ht="25.5" customHeight="1" x14ac:dyDescent="0.35">
      <c r="A65" s="569">
        <v>4</v>
      </c>
      <c r="B65" s="4173" t="str">
        <f>CONCATENATE(I63," ",D63,E63," ",F63)</f>
        <v xml:space="preserve">  </v>
      </c>
      <c r="C65" s="4173"/>
      <c r="D65" s="4173"/>
      <c r="E65" s="4174" t="s">
        <v>541</v>
      </c>
      <c r="F65" s="4043"/>
      <c r="G65" s="377"/>
      <c r="H65" s="605"/>
      <c r="I65" s="605"/>
      <c r="J65" s="377"/>
      <c r="K65" s="4151"/>
      <c r="L65" s="4151"/>
      <c r="M65" s="4151"/>
      <c r="N65" s="4151"/>
      <c r="O65" s="4175"/>
      <c r="P65" s="4175"/>
      <c r="Q65" s="4175"/>
      <c r="R65" s="4175"/>
      <c r="S65" s="377"/>
      <c r="T65" s="606"/>
      <c r="U65" s="606"/>
      <c r="V65" s="606"/>
      <c r="W65" s="607"/>
      <c r="X65" s="607"/>
      <c r="Y65" s="607"/>
      <c r="Z65" s="607"/>
      <c r="AA65" s="608"/>
      <c r="AB65" s="598"/>
      <c r="AC65" s="4169"/>
    </row>
    <row r="66" spans="1:30" s="610" customFormat="1" ht="15.75" customHeight="1" x14ac:dyDescent="0.3">
      <c r="A66" s="569">
        <v>5</v>
      </c>
      <c r="B66" s="609"/>
      <c r="E66" s="611" t="s">
        <v>510</v>
      </c>
      <c r="F66" s="611"/>
      <c r="G66" s="612" t="s">
        <v>42</v>
      </c>
      <c r="H66" s="613"/>
      <c r="I66" s="614"/>
      <c r="J66" s="612" t="s">
        <v>42</v>
      </c>
      <c r="K66" s="4172" t="s">
        <v>2289</v>
      </c>
      <c r="L66" s="4172"/>
      <c r="M66" s="4152" t="s">
        <v>2290</v>
      </c>
      <c r="N66" s="4152"/>
      <c r="O66" s="4153"/>
      <c r="P66" s="4153"/>
      <c r="Q66" s="4153"/>
      <c r="R66" s="4153"/>
      <c r="S66" s="615"/>
      <c r="T66" s="4154" t="s">
        <v>2291</v>
      </c>
      <c r="U66" s="4155"/>
      <c r="V66" s="4155"/>
      <c r="W66" s="4155" t="s">
        <v>2292</v>
      </c>
      <c r="X66" s="4155"/>
      <c r="Y66" s="4155"/>
      <c r="Z66" s="4154"/>
      <c r="AA66" s="4154"/>
      <c r="AB66" s="348" t="s">
        <v>476</v>
      </c>
      <c r="AC66" s="4169"/>
      <c r="AD66" s="616"/>
    </row>
    <row r="67" spans="1:30" x14ac:dyDescent="0.3">
      <c r="A67" s="569">
        <v>6</v>
      </c>
      <c r="B67" s="4156" t="s">
        <v>518</v>
      </c>
      <c r="C67" s="4157"/>
      <c r="D67" s="4157"/>
      <c r="E67" s="4158"/>
      <c r="F67" s="4040"/>
      <c r="G67" s="4040"/>
      <c r="H67" s="4040"/>
      <c r="I67" s="4040"/>
      <c r="J67" s="4040"/>
      <c r="K67" s="4040"/>
      <c r="L67" s="4041"/>
      <c r="M67" s="4159" t="s">
        <v>520</v>
      </c>
      <c r="N67" s="617" t="s">
        <v>2280</v>
      </c>
      <c r="O67" s="4039"/>
      <c r="P67" s="4040"/>
      <c r="Q67" s="4040"/>
      <c r="R67" s="4040"/>
      <c r="S67" s="4040"/>
      <c r="T67" s="617" t="s">
        <v>2293</v>
      </c>
      <c r="U67" s="4040"/>
      <c r="V67" s="4040"/>
      <c r="W67" s="4040"/>
      <c r="X67" s="4040"/>
      <c r="Y67" s="4041"/>
      <c r="Z67" s="618"/>
      <c r="AA67" s="619"/>
      <c r="AB67" s="598"/>
      <c r="AC67" s="4169"/>
      <c r="AD67" s="263" t="e">
        <v>#N/A</v>
      </c>
    </row>
    <row r="68" spans="1:30" ht="15" customHeight="1" x14ac:dyDescent="0.3">
      <c r="A68" s="569">
        <v>7</v>
      </c>
      <c r="B68" s="4053"/>
      <c r="C68" s="4054"/>
      <c r="D68" s="4054"/>
      <c r="E68" s="4018"/>
      <c r="F68" s="4018"/>
      <c r="G68" s="4018"/>
      <c r="H68" s="4018"/>
      <c r="I68" s="4018"/>
      <c r="J68" s="4018"/>
      <c r="K68" s="4018"/>
      <c r="L68" s="4162"/>
      <c r="M68" s="4160"/>
      <c r="N68" s="620" t="s">
        <v>526</v>
      </c>
      <c r="O68" s="4163"/>
      <c r="P68" s="4018"/>
      <c r="Q68" s="4018"/>
      <c r="R68" s="4018"/>
      <c r="S68" s="4018"/>
      <c r="T68" s="620" t="s">
        <v>2295</v>
      </c>
      <c r="U68" s="4164"/>
      <c r="V68" s="4164"/>
      <c r="W68" s="4164"/>
      <c r="X68" s="4164"/>
      <c r="Y68" s="4165"/>
      <c r="Z68" s="621"/>
      <c r="AA68" s="622" t="s">
        <v>2296</v>
      </c>
      <c r="AB68" s="623"/>
      <c r="AC68" s="4169"/>
      <c r="AD68" s="263" t="e">
        <v>#N/A</v>
      </c>
    </row>
    <row r="69" spans="1:30" ht="15" customHeight="1" x14ac:dyDescent="0.3">
      <c r="A69" s="569">
        <v>8</v>
      </c>
      <c r="B69" s="4053"/>
      <c r="C69" s="4054"/>
      <c r="D69" s="4054"/>
      <c r="E69" s="4018"/>
      <c r="F69" s="4018"/>
      <c r="G69" s="4018"/>
      <c r="H69" s="4018"/>
      <c r="I69" s="4018"/>
      <c r="J69" s="4018"/>
      <c r="K69" s="4018"/>
      <c r="L69" s="4162"/>
      <c r="M69" s="4160"/>
      <c r="N69" s="620" t="s">
        <v>133</v>
      </c>
      <c r="O69" s="4163"/>
      <c r="P69" s="4018"/>
      <c r="Q69" s="4018"/>
      <c r="R69" s="4018"/>
      <c r="S69" s="4018"/>
      <c r="T69" s="624" t="e">
        <v>#N/A</v>
      </c>
      <c r="U69" s="4166"/>
      <c r="V69" s="4166"/>
      <c r="W69" s="4166"/>
      <c r="X69" s="4166"/>
      <c r="Y69" s="4167"/>
      <c r="Z69" s="621"/>
      <c r="AA69" s="625"/>
      <c r="AB69" s="623"/>
      <c r="AC69" s="4169"/>
      <c r="AD69" s="263" t="e">
        <v>#N/A</v>
      </c>
    </row>
    <row r="70" spans="1:30" ht="15.75" customHeight="1" thickBot="1" x14ac:dyDescent="0.35">
      <c r="A70" s="569">
        <v>9</v>
      </c>
      <c r="B70" s="4055"/>
      <c r="C70" s="4056"/>
      <c r="D70" s="4056"/>
      <c r="E70" s="4014"/>
      <c r="F70" s="4014"/>
      <c r="G70" s="4014"/>
      <c r="H70" s="4014"/>
      <c r="I70" s="4014"/>
      <c r="J70" s="4014"/>
      <c r="K70" s="4014"/>
      <c r="L70" s="4015"/>
      <c r="M70" s="4161"/>
      <c r="N70" s="626" t="s">
        <v>2299</v>
      </c>
      <c r="O70" s="4013"/>
      <c r="P70" s="4014"/>
      <c r="Q70" s="4014"/>
      <c r="R70" s="4014"/>
      <c r="S70" s="4014"/>
      <c r="T70" s="627" t="e">
        <v>#N/A</v>
      </c>
      <c r="U70" s="4014"/>
      <c r="V70" s="4014"/>
      <c r="W70" s="4014"/>
      <c r="X70" s="4014"/>
      <c r="Y70" s="4015"/>
      <c r="Z70" s="628"/>
      <c r="AA70" s="629" t="e">
        <v>#N/A</v>
      </c>
      <c r="AB70" s="630"/>
      <c r="AC70" s="4170"/>
      <c r="AD70" s="263" t="e">
        <v>#N/A</v>
      </c>
    </row>
    <row r="71" spans="1:30" ht="38.25" customHeight="1" x14ac:dyDescent="0.3">
      <c r="A71" s="596">
        <v>1</v>
      </c>
      <c r="B71" s="345" t="s">
        <v>455</v>
      </c>
      <c r="C71" s="345" t="s">
        <v>16</v>
      </c>
      <c r="D71" s="345" t="s">
        <v>531</v>
      </c>
      <c r="E71" s="345" t="s">
        <v>532</v>
      </c>
      <c r="F71" s="345" t="s">
        <v>499</v>
      </c>
      <c r="G71" s="345" t="s">
        <v>533</v>
      </c>
      <c r="H71" s="345" t="s">
        <v>2278</v>
      </c>
      <c r="I71" s="345" t="s">
        <v>494</v>
      </c>
      <c r="J71" s="345" t="s">
        <v>2279</v>
      </c>
      <c r="K71" s="4021" t="s">
        <v>463</v>
      </c>
      <c r="L71" s="4021"/>
      <c r="M71" s="4021" t="s">
        <v>464</v>
      </c>
      <c r="N71" s="4021"/>
      <c r="O71" s="345" t="s">
        <v>2280</v>
      </c>
      <c r="P71" s="345" t="s">
        <v>2281</v>
      </c>
      <c r="Q71" s="345" t="s">
        <v>2282</v>
      </c>
      <c r="R71" s="345" t="s">
        <v>469</v>
      </c>
      <c r="S71" s="345" t="s">
        <v>1757</v>
      </c>
      <c r="T71" s="345" t="s">
        <v>470</v>
      </c>
      <c r="U71" s="345" t="s">
        <v>2283</v>
      </c>
      <c r="V71" s="345" t="s">
        <v>1759</v>
      </c>
      <c r="W71" s="345" t="s">
        <v>472</v>
      </c>
      <c r="X71" s="345" t="s">
        <v>2284</v>
      </c>
      <c r="Y71" s="345" t="s">
        <v>474</v>
      </c>
      <c r="Z71" s="345" t="s">
        <v>133</v>
      </c>
      <c r="AA71" s="345" t="s">
        <v>475</v>
      </c>
      <c r="AB71" s="348" t="s">
        <v>476</v>
      </c>
      <c r="AC71" s="347" t="s">
        <v>477</v>
      </c>
    </row>
    <row r="72" spans="1:30" ht="25.5" customHeight="1" x14ac:dyDescent="0.3">
      <c r="A72" s="596">
        <v>2</v>
      </c>
      <c r="B72" s="350"/>
      <c r="C72" s="350"/>
      <c r="D72" s="352"/>
      <c r="E72" s="352"/>
      <c r="F72" s="352"/>
      <c r="G72" s="353"/>
      <c r="H72" s="352"/>
      <c r="I72" s="352"/>
      <c r="J72" s="597"/>
      <c r="K72" s="4151"/>
      <c r="L72" s="4151"/>
      <c r="M72" s="4151"/>
      <c r="N72" s="4151"/>
      <c r="O72" s="352"/>
      <c r="P72" s="352"/>
      <c r="Q72" s="352"/>
      <c r="R72" s="352"/>
      <c r="S72" s="360"/>
      <c r="T72" s="352"/>
      <c r="U72" s="352"/>
      <c r="V72" s="352"/>
      <c r="W72" s="360"/>
      <c r="X72" s="361"/>
      <c r="Y72" s="352"/>
      <c r="Z72" s="361"/>
      <c r="AA72" s="361"/>
      <c r="AB72" s="598"/>
      <c r="AC72" s="4168"/>
    </row>
    <row r="73" spans="1:30" s="319" customFormat="1" ht="15.6" x14ac:dyDescent="0.2">
      <c r="A73" s="596">
        <v>3</v>
      </c>
      <c r="B73" s="365"/>
      <c r="C73" s="366"/>
      <c r="D73" s="367"/>
      <c r="E73" s="368"/>
      <c r="F73" s="367"/>
      <c r="G73" s="599" t="s">
        <v>492</v>
      </c>
      <c r="H73" s="367"/>
      <c r="I73" s="367"/>
      <c r="J73" s="600" t="s">
        <v>1753</v>
      </c>
      <c r="K73" s="4171" t="s">
        <v>2286</v>
      </c>
      <c r="L73" s="4171"/>
      <c r="M73" s="4171" t="s">
        <v>2287</v>
      </c>
      <c r="N73" s="4171"/>
      <c r="O73" s="4171" t="s">
        <v>2281</v>
      </c>
      <c r="P73" s="4171"/>
      <c r="Q73" s="4171" t="s">
        <v>496</v>
      </c>
      <c r="R73" s="4171"/>
      <c r="S73" s="601" t="s">
        <v>2288</v>
      </c>
      <c r="T73" s="602" t="s">
        <v>497</v>
      </c>
      <c r="U73" s="603" t="s">
        <v>498</v>
      </c>
      <c r="V73" s="603" t="s">
        <v>499</v>
      </c>
      <c r="W73" s="601" t="s">
        <v>500</v>
      </c>
      <c r="X73" s="600" t="s">
        <v>501</v>
      </c>
      <c r="Y73" s="600" t="s">
        <v>502</v>
      </c>
      <c r="Z73" s="600" t="s">
        <v>503</v>
      </c>
      <c r="AA73" s="604" t="s">
        <v>504</v>
      </c>
      <c r="AB73" s="348" t="s">
        <v>476</v>
      </c>
      <c r="AC73" s="4169"/>
      <c r="AD73" s="318"/>
    </row>
    <row r="74" spans="1:30" ht="25.5" customHeight="1" x14ac:dyDescent="0.35">
      <c r="A74" s="569">
        <v>4</v>
      </c>
      <c r="B74" s="4173" t="str">
        <f>CONCATENATE(I72," ",D72,E72," ",F72)</f>
        <v xml:space="preserve">  </v>
      </c>
      <c r="C74" s="4173"/>
      <c r="D74" s="4173"/>
      <c r="E74" s="4174" t="s">
        <v>541</v>
      </c>
      <c r="F74" s="4043"/>
      <c r="G74" s="377"/>
      <c r="H74" s="605"/>
      <c r="I74" s="605"/>
      <c r="J74" s="377"/>
      <c r="K74" s="4151"/>
      <c r="L74" s="4151"/>
      <c r="M74" s="4151"/>
      <c r="N74" s="4151"/>
      <c r="O74" s="4175"/>
      <c r="P74" s="4175"/>
      <c r="Q74" s="4175"/>
      <c r="R74" s="4175"/>
      <c r="S74" s="377"/>
      <c r="T74" s="606"/>
      <c r="U74" s="606"/>
      <c r="V74" s="606"/>
      <c r="W74" s="607"/>
      <c r="X74" s="607"/>
      <c r="Y74" s="607"/>
      <c r="Z74" s="607"/>
      <c r="AA74" s="608"/>
      <c r="AB74" s="598"/>
      <c r="AC74" s="4169"/>
    </row>
    <row r="75" spans="1:30" s="610" customFormat="1" ht="15.75" customHeight="1" x14ac:dyDescent="0.3">
      <c r="A75" s="569">
        <v>5</v>
      </c>
      <c r="B75" s="609"/>
      <c r="E75" s="611" t="s">
        <v>510</v>
      </c>
      <c r="F75" s="611"/>
      <c r="G75" s="612" t="s">
        <v>42</v>
      </c>
      <c r="H75" s="613"/>
      <c r="I75" s="614"/>
      <c r="J75" s="612" t="s">
        <v>42</v>
      </c>
      <c r="K75" s="4172" t="s">
        <v>2289</v>
      </c>
      <c r="L75" s="4172"/>
      <c r="M75" s="4152" t="s">
        <v>2290</v>
      </c>
      <c r="N75" s="4152"/>
      <c r="O75" s="4153"/>
      <c r="P75" s="4153"/>
      <c r="Q75" s="4153"/>
      <c r="R75" s="4153"/>
      <c r="S75" s="615"/>
      <c r="T75" s="4154" t="s">
        <v>2291</v>
      </c>
      <c r="U75" s="4155"/>
      <c r="V75" s="4155"/>
      <c r="W75" s="4155" t="s">
        <v>2292</v>
      </c>
      <c r="X75" s="4155"/>
      <c r="Y75" s="4155"/>
      <c r="Z75" s="4154"/>
      <c r="AA75" s="4154"/>
      <c r="AB75" s="348" t="s">
        <v>476</v>
      </c>
      <c r="AC75" s="4169"/>
      <c r="AD75" s="616"/>
    </row>
    <row r="76" spans="1:30" x14ac:dyDescent="0.3">
      <c r="A76" s="569">
        <v>6</v>
      </c>
      <c r="B76" s="4156" t="s">
        <v>518</v>
      </c>
      <c r="C76" s="4157"/>
      <c r="D76" s="4157"/>
      <c r="E76" s="4158"/>
      <c r="F76" s="4040"/>
      <c r="G76" s="4040"/>
      <c r="H76" s="4040"/>
      <c r="I76" s="4040"/>
      <c r="J76" s="4040"/>
      <c r="K76" s="4040"/>
      <c r="L76" s="4041"/>
      <c r="M76" s="4159" t="s">
        <v>520</v>
      </c>
      <c r="N76" s="617" t="s">
        <v>2280</v>
      </c>
      <c r="O76" s="4039"/>
      <c r="P76" s="4040"/>
      <c r="Q76" s="4040"/>
      <c r="R76" s="4040"/>
      <c r="S76" s="4040"/>
      <c r="T76" s="617" t="s">
        <v>2293</v>
      </c>
      <c r="U76" s="4040"/>
      <c r="V76" s="4040"/>
      <c r="W76" s="4040"/>
      <c r="X76" s="4040"/>
      <c r="Y76" s="4041"/>
      <c r="Z76" s="618"/>
      <c r="AA76" s="619"/>
      <c r="AB76" s="598"/>
      <c r="AC76" s="4169"/>
      <c r="AD76" s="263" t="e">
        <v>#N/A</v>
      </c>
    </row>
    <row r="77" spans="1:30" ht="15" customHeight="1" x14ac:dyDescent="0.3">
      <c r="A77" s="569">
        <v>7</v>
      </c>
      <c r="B77" s="4053"/>
      <c r="C77" s="4054"/>
      <c r="D77" s="4054"/>
      <c r="E77" s="4018"/>
      <c r="F77" s="4018"/>
      <c r="G77" s="4018"/>
      <c r="H77" s="4018"/>
      <c r="I77" s="4018"/>
      <c r="J77" s="4018"/>
      <c r="K77" s="4018"/>
      <c r="L77" s="4162"/>
      <c r="M77" s="4160"/>
      <c r="N77" s="620" t="s">
        <v>526</v>
      </c>
      <c r="O77" s="4163"/>
      <c r="P77" s="4018"/>
      <c r="Q77" s="4018"/>
      <c r="R77" s="4018"/>
      <c r="S77" s="4018"/>
      <c r="T77" s="620" t="s">
        <v>2295</v>
      </c>
      <c r="U77" s="4164"/>
      <c r="V77" s="4164"/>
      <c r="W77" s="4164"/>
      <c r="X77" s="4164"/>
      <c r="Y77" s="4165"/>
      <c r="Z77" s="621"/>
      <c r="AA77" s="622" t="s">
        <v>2296</v>
      </c>
      <c r="AB77" s="623"/>
      <c r="AC77" s="4169"/>
      <c r="AD77" s="263" t="e">
        <v>#N/A</v>
      </c>
    </row>
    <row r="78" spans="1:30" ht="15" customHeight="1" x14ac:dyDescent="0.3">
      <c r="A78" s="569">
        <v>8</v>
      </c>
      <c r="B78" s="4053"/>
      <c r="C78" s="4054"/>
      <c r="D78" s="4054"/>
      <c r="E78" s="4018"/>
      <c r="F78" s="4018"/>
      <c r="G78" s="4018"/>
      <c r="H78" s="4018"/>
      <c r="I78" s="4018"/>
      <c r="J78" s="4018"/>
      <c r="K78" s="4018"/>
      <c r="L78" s="4162"/>
      <c r="M78" s="4160"/>
      <c r="N78" s="620" t="s">
        <v>133</v>
      </c>
      <c r="O78" s="4163"/>
      <c r="P78" s="4018"/>
      <c r="Q78" s="4018"/>
      <c r="R78" s="4018"/>
      <c r="S78" s="4018"/>
      <c r="T78" s="624" t="e">
        <v>#N/A</v>
      </c>
      <c r="U78" s="4166"/>
      <c r="V78" s="4166"/>
      <c r="W78" s="4166"/>
      <c r="X78" s="4166"/>
      <c r="Y78" s="4167"/>
      <c r="Z78" s="621"/>
      <c r="AA78" s="625"/>
      <c r="AB78" s="623"/>
      <c r="AC78" s="4169"/>
      <c r="AD78" s="263" t="e">
        <v>#N/A</v>
      </c>
    </row>
    <row r="79" spans="1:30" ht="15.75" customHeight="1" thickBot="1" x14ac:dyDescent="0.35">
      <c r="A79" s="569">
        <v>9</v>
      </c>
      <c r="B79" s="4055"/>
      <c r="C79" s="4056"/>
      <c r="D79" s="4056"/>
      <c r="E79" s="4014"/>
      <c r="F79" s="4014"/>
      <c r="G79" s="4014"/>
      <c r="H79" s="4014"/>
      <c r="I79" s="4014"/>
      <c r="J79" s="4014"/>
      <c r="K79" s="4014"/>
      <c r="L79" s="4015"/>
      <c r="M79" s="4161"/>
      <c r="N79" s="626" t="s">
        <v>2299</v>
      </c>
      <c r="O79" s="4013"/>
      <c r="P79" s="4014"/>
      <c r="Q79" s="4014"/>
      <c r="R79" s="4014"/>
      <c r="S79" s="4014"/>
      <c r="T79" s="627" t="e">
        <v>#N/A</v>
      </c>
      <c r="U79" s="4014"/>
      <c r="V79" s="4014"/>
      <c r="W79" s="4014"/>
      <c r="X79" s="4014"/>
      <c r="Y79" s="4015"/>
      <c r="Z79" s="628"/>
      <c r="AA79" s="629" t="e">
        <v>#N/A</v>
      </c>
      <c r="AB79" s="630"/>
      <c r="AC79" s="4170"/>
      <c r="AD79" s="263" t="e">
        <v>#N/A</v>
      </c>
    </row>
    <row r="80" spans="1:30" ht="38.25" customHeight="1" x14ac:dyDescent="0.3">
      <c r="A80" s="596">
        <v>1</v>
      </c>
      <c r="B80" s="345" t="s">
        <v>455</v>
      </c>
      <c r="C80" s="345" t="s">
        <v>16</v>
      </c>
      <c r="D80" s="345" t="s">
        <v>531</v>
      </c>
      <c r="E80" s="345" t="s">
        <v>532</v>
      </c>
      <c r="F80" s="345" t="s">
        <v>499</v>
      </c>
      <c r="G80" s="345" t="s">
        <v>533</v>
      </c>
      <c r="H80" s="345" t="s">
        <v>2278</v>
      </c>
      <c r="I80" s="345" t="s">
        <v>494</v>
      </c>
      <c r="J80" s="345" t="s">
        <v>2279</v>
      </c>
      <c r="K80" s="4021" t="s">
        <v>463</v>
      </c>
      <c r="L80" s="4021"/>
      <c r="M80" s="4021" t="s">
        <v>464</v>
      </c>
      <c r="N80" s="4021"/>
      <c r="O80" s="345" t="s">
        <v>2280</v>
      </c>
      <c r="P80" s="345" t="s">
        <v>2281</v>
      </c>
      <c r="Q80" s="345" t="s">
        <v>2282</v>
      </c>
      <c r="R80" s="345" t="s">
        <v>469</v>
      </c>
      <c r="S80" s="345" t="s">
        <v>1757</v>
      </c>
      <c r="T80" s="345" t="s">
        <v>470</v>
      </c>
      <c r="U80" s="345" t="s">
        <v>2283</v>
      </c>
      <c r="V80" s="345" t="s">
        <v>1759</v>
      </c>
      <c r="W80" s="345" t="s">
        <v>472</v>
      </c>
      <c r="X80" s="345" t="s">
        <v>2284</v>
      </c>
      <c r="Y80" s="345" t="s">
        <v>474</v>
      </c>
      <c r="Z80" s="345" t="s">
        <v>133</v>
      </c>
      <c r="AA80" s="345" t="s">
        <v>475</v>
      </c>
      <c r="AB80" s="348" t="s">
        <v>476</v>
      </c>
      <c r="AC80" s="347" t="s">
        <v>477</v>
      </c>
    </row>
    <row r="81" spans="1:30" ht="25.5" customHeight="1" x14ac:dyDescent="0.3">
      <c r="A81" s="596">
        <v>2</v>
      </c>
      <c r="B81" s="350"/>
      <c r="C81" s="350"/>
      <c r="D81" s="352"/>
      <c r="E81" s="352"/>
      <c r="F81" s="352"/>
      <c r="G81" s="353"/>
      <c r="H81" s="352"/>
      <c r="I81" s="352"/>
      <c r="J81" s="597"/>
      <c r="K81" s="4151"/>
      <c r="L81" s="4151"/>
      <c r="M81" s="4151"/>
      <c r="N81" s="4151"/>
      <c r="O81" s="352"/>
      <c r="P81" s="352"/>
      <c r="Q81" s="352"/>
      <c r="R81" s="352"/>
      <c r="S81" s="360"/>
      <c r="T81" s="352"/>
      <c r="U81" s="352"/>
      <c r="V81" s="352"/>
      <c r="W81" s="360"/>
      <c r="X81" s="361"/>
      <c r="Y81" s="352"/>
      <c r="Z81" s="361"/>
      <c r="AA81" s="361"/>
      <c r="AB81" s="598"/>
      <c r="AC81" s="4168"/>
    </row>
    <row r="82" spans="1:30" s="319" customFormat="1" ht="15.6" x14ac:dyDescent="0.2">
      <c r="A82" s="596">
        <v>3</v>
      </c>
      <c r="B82" s="365"/>
      <c r="C82" s="366"/>
      <c r="D82" s="367"/>
      <c r="E82" s="368"/>
      <c r="F82" s="367"/>
      <c r="G82" s="599" t="s">
        <v>492</v>
      </c>
      <c r="H82" s="367"/>
      <c r="I82" s="367"/>
      <c r="J82" s="600" t="s">
        <v>1753</v>
      </c>
      <c r="K82" s="4171" t="s">
        <v>2286</v>
      </c>
      <c r="L82" s="4171"/>
      <c r="M82" s="4171" t="s">
        <v>2287</v>
      </c>
      <c r="N82" s="4171"/>
      <c r="O82" s="4171" t="s">
        <v>2281</v>
      </c>
      <c r="P82" s="4171"/>
      <c r="Q82" s="4171" t="s">
        <v>496</v>
      </c>
      <c r="R82" s="4171"/>
      <c r="S82" s="601" t="s">
        <v>2288</v>
      </c>
      <c r="T82" s="602" t="s">
        <v>497</v>
      </c>
      <c r="U82" s="603" t="s">
        <v>498</v>
      </c>
      <c r="V82" s="603" t="s">
        <v>499</v>
      </c>
      <c r="W82" s="601" t="s">
        <v>500</v>
      </c>
      <c r="X82" s="600" t="s">
        <v>501</v>
      </c>
      <c r="Y82" s="600" t="s">
        <v>502</v>
      </c>
      <c r="Z82" s="600" t="s">
        <v>503</v>
      </c>
      <c r="AA82" s="604" t="s">
        <v>504</v>
      </c>
      <c r="AB82" s="348" t="s">
        <v>476</v>
      </c>
      <c r="AC82" s="4169"/>
      <c r="AD82" s="318"/>
    </row>
    <row r="83" spans="1:30" ht="25.5" customHeight="1" x14ac:dyDescent="0.35">
      <c r="A83" s="569">
        <v>4</v>
      </c>
      <c r="B83" s="4173" t="str">
        <f>CONCATENATE(I81," ",D81,E81," ",F81)</f>
        <v xml:space="preserve">  </v>
      </c>
      <c r="C83" s="4173"/>
      <c r="D83" s="4173"/>
      <c r="E83" s="4174" t="s">
        <v>541</v>
      </c>
      <c r="F83" s="4043"/>
      <c r="G83" s="377"/>
      <c r="H83" s="605"/>
      <c r="I83" s="605"/>
      <c r="J83" s="377"/>
      <c r="K83" s="4151"/>
      <c r="L83" s="4151"/>
      <c r="M83" s="4151"/>
      <c r="N83" s="4151"/>
      <c r="O83" s="4175"/>
      <c r="P83" s="4175"/>
      <c r="Q83" s="4175"/>
      <c r="R83" s="4175"/>
      <c r="S83" s="377"/>
      <c r="T83" s="606"/>
      <c r="U83" s="606"/>
      <c r="V83" s="606"/>
      <c r="W83" s="607"/>
      <c r="X83" s="607"/>
      <c r="Y83" s="607"/>
      <c r="Z83" s="607"/>
      <c r="AA83" s="608"/>
      <c r="AB83" s="598"/>
      <c r="AC83" s="4169"/>
    </row>
    <row r="84" spans="1:30" s="610" customFormat="1" ht="15.75" customHeight="1" x14ac:dyDescent="0.3">
      <c r="A84" s="569">
        <v>5</v>
      </c>
      <c r="B84" s="609"/>
      <c r="E84" s="611" t="s">
        <v>510</v>
      </c>
      <c r="F84" s="611"/>
      <c r="G84" s="612" t="s">
        <v>42</v>
      </c>
      <c r="H84" s="613"/>
      <c r="I84" s="614"/>
      <c r="J84" s="612" t="s">
        <v>42</v>
      </c>
      <c r="K84" s="4172" t="s">
        <v>2289</v>
      </c>
      <c r="L84" s="4172"/>
      <c r="M84" s="4152" t="s">
        <v>2290</v>
      </c>
      <c r="N84" s="4152"/>
      <c r="O84" s="4153"/>
      <c r="P84" s="4153"/>
      <c r="Q84" s="4153"/>
      <c r="R84" s="4153"/>
      <c r="S84" s="615"/>
      <c r="T84" s="4154" t="s">
        <v>2291</v>
      </c>
      <c r="U84" s="4155"/>
      <c r="V84" s="4155"/>
      <c r="W84" s="4155" t="s">
        <v>2292</v>
      </c>
      <c r="X84" s="4155"/>
      <c r="Y84" s="4155"/>
      <c r="Z84" s="4154"/>
      <c r="AA84" s="4154"/>
      <c r="AB84" s="348" t="s">
        <v>476</v>
      </c>
      <c r="AC84" s="4169"/>
      <c r="AD84" s="616"/>
    </row>
    <row r="85" spans="1:30" x14ac:dyDescent="0.3">
      <c r="A85" s="569">
        <v>6</v>
      </c>
      <c r="B85" s="4156" t="s">
        <v>518</v>
      </c>
      <c r="C85" s="4157"/>
      <c r="D85" s="4157"/>
      <c r="E85" s="4158"/>
      <c r="F85" s="4040"/>
      <c r="G85" s="4040"/>
      <c r="H85" s="4040"/>
      <c r="I85" s="4040"/>
      <c r="J85" s="4040"/>
      <c r="K85" s="4040"/>
      <c r="L85" s="4041"/>
      <c r="M85" s="4159" t="s">
        <v>520</v>
      </c>
      <c r="N85" s="617" t="s">
        <v>2280</v>
      </c>
      <c r="O85" s="4039"/>
      <c r="P85" s="4040"/>
      <c r="Q85" s="4040"/>
      <c r="R85" s="4040"/>
      <c r="S85" s="4040"/>
      <c r="T85" s="617" t="s">
        <v>2293</v>
      </c>
      <c r="U85" s="4040"/>
      <c r="V85" s="4040"/>
      <c r="W85" s="4040"/>
      <c r="X85" s="4040"/>
      <c r="Y85" s="4041"/>
      <c r="Z85" s="618"/>
      <c r="AA85" s="619"/>
      <c r="AB85" s="598"/>
      <c r="AC85" s="4169"/>
      <c r="AD85" s="263" t="e">
        <v>#N/A</v>
      </c>
    </row>
    <row r="86" spans="1:30" ht="15" customHeight="1" x14ac:dyDescent="0.3">
      <c r="A86" s="569">
        <v>7</v>
      </c>
      <c r="B86" s="4053"/>
      <c r="C86" s="4054"/>
      <c r="D86" s="4054"/>
      <c r="E86" s="4018"/>
      <c r="F86" s="4018"/>
      <c r="G86" s="4018"/>
      <c r="H86" s="4018"/>
      <c r="I86" s="4018"/>
      <c r="J86" s="4018"/>
      <c r="K86" s="4018"/>
      <c r="L86" s="4162"/>
      <c r="M86" s="4160"/>
      <c r="N86" s="620" t="s">
        <v>526</v>
      </c>
      <c r="O86" s="4163"/>
      <c r="P86" s="4018"/>
      <c r="Q86" s="4018"/>
      <c r="R86" s="4018"/>
      <c r="S86" s="4018"/>
      <c r="T86" s="620" t="s">
        <v>2295</v>
      </c>
      <c r="U86" s="4164"/>
      <c r="V86" s="4164"/>
      <c r="W86" s="4164"/>
      <c r="X86" s="4164"/>
      <c r="Y86" s="4165"/>
      <c r="Z86" s="621"/>
      <c r="AA86" s="622" t="s">
        <v>2296</v>
      </c>
      <c r="AB86" s="623"/>
      <c r="AC86" s="4169"/>
      <c r="AD86" s="263" t="e">
        <v>#N/A</v>
      </c>
    </row>
    <row r="87" spans="1:30" ht="15" customHeight="1" x14ac:dyDescent="0.3">
      <c r="A87" s="569">
        <v>8</v>
      </c>
      <c r="B87" s="4053"/>
      <c r="C87" s="4054"/>
      <c r="D87" s="4054"/>
      <c r="E87" s="4018"/>
      <c r="F87" s="4018"/>
      <c r="G87" s="4018"/>
      <c r="H87" s="4018"/>
      <c r="I87" s="4018"/>
      <c r="J87" s="4018"/>
      <c r="K87" s="4018"/>
      <c r="L87" s="4162"/>
      <c r="M87" s="4160"/>
      <c r="N87" s="620" t="s">
        <v>133</v>
      </c>
      <c r="O87" s="4163"/>
      <c r="P87" s="4018"/>
      <c r="Q87" s="4018"/>
      <c r="R87" s="4018"/>
      <c r="S87" s="4018"/>
      <c r="T87" s="624" t="e">
        <v>#N/A</v>
      </c>
      <c r="U87" s="4166"/>
      <c r="V87" s="4166"/>
      <c r="W87" s="4166"/>
      <c r="X87" s="4166"/>
      <c r="Y87" s="4167"/>
      <c r="Z87" s="621"/>
      <c r="AA87" s="625"/>
      <c r="AB87" s="623"/>
      <c r="AC87" s="4169"/>
      <c r="AD87" s="263" t="e">
        <v>#N/A</v>
      </c>
    </row>
    <row r="88" spans="1:30" ht="15.75" customHeight="1" thickBot="1" x14ac:dyDescent="0.35">
      <c r="A88" s="569">
        <v>9</v>
      </c>
      <c r="B88" s="4055"/>
      <c r="C88" s="4056"/>
      <c r="D88" s="4056"/>
      <c r="E88" s="4014"/>
      <c r="F88" s="4014"/>
      <c r="G88" s="4014"/>
      <c r="H88" s="4014"/>
      <c r="I88" s="4014"/>
      <c r="J88" s="4014"/>
      <c r="K88" s="4014"/>
      <c r="L88" s="4015"/>
      <c r="M88" s="4161"/>
      <c r="N88" s="626" t="s">
        <v>2299</v>
      </c>
      <c r="O88" s="4013"/>
      <c r="P88" s="4014"/>
      <c r="Q88" s="4014"/>
      <c r="R88" s="4014"/>
      <c r="S88" s="4014"/>
      <c r="T88" s="627" t="e">
        <v>#N/A</v>
      </c>
      <c r="U88" s="4014"/>
      <c r="V88" s="4014"/>
      <c r="W88" s="4014"/>
      <c r="X88" s="4014"/>
      <c r="Y88" s="4015"/>
      <c r="Z88" s="628"/>
      <c r="AA88" s="629" t="e">
        <v>#N/A</v>
      </c>
      <c r="AB88" s="630"/>
      <c r="AC88" s="4170"/>
      <c r="AD88" s="263" t="e">
        <v>#N/A</v>
      </c>
    </row>
    <row r="89" spans="1:30" ht="38.25" customHeight="1" x14ac:dyDescent="0.3">
      <c r="A89" s="596">
        <v>1</v>
      </c>
      <c r="B89" s="345" t="s">
        <v>455</v>
      </c>
      <c r="C89" s="345" t="s">
        <v>16</v>
      </c>
      <c r="D89" s="345" t="s">
        <v>531</v>
      </c>
      <c r="E89" s="345" t="s">
        <v>532</v>
      </c>
      <c r="F89" s="345" t="s">
        <v>499</v>
      </c>
      <c r="G89" s="345" t="s">
        <v>533</v>
      </c>
      <c r="H89" s="345" t="s">
        <v>2278</v>
      </c>
      <c r="I89" s="345" t="s">
        <v>494</v>
      </c>
      <c r="J89" s="345" t="s">
        <v>2279</v>
      </c>
      <c r="K89" s="4021" t="s">
        <v>463</v>
      </c>
      <c r="L89" s="4021"/>
      <c r="M89" s="4021" t="s">
        <v>464</v>
      </c>
      <c r="N89" s="4021"/>
      <c r="O89" s="345" t="s">
        <v>2280</v>
      </c>
      <c r="P89" s="345" t="s">
        <v>2281</v>
      </c>
      <c r="Q89" s="345" t="s">
        <v>2282</v>
      </c>
      <c r="R89" s="345" t="s">
        <v>469</v>
      </c>
      <c r="S89" s="345" t="s">
        <v>1757</v>
      </c>
      <c r="T89" s="345" t="s">
        <v>470</v>
      </c>
      <c r="U89" s="345" t="s">
        <v>2283</v>
      </c>
      <c r="V89" s="345" t="s">
        <v>1759</v>
      </c>
      <c r="W89" s="345" t="s">
        <v>472</v>
      </c>
      <c r="X89" s="345" t="s">
        <v>2284</v>
      </c>
      <c r="Y89" s="345" t="s">
        <v>474</v>
      </c>
      <c r="Z89" s="345" t="s">
        <v>133</v>
      </c>
      <c r="AA89" s="345" t="s">
        <v>475</v>
      </c>
      <c r="AB89" s="348" t="s">
        <v>476</v>
      </c>
      <c r="AC89" s="347" t="s">
        <v>477</v>
      </c>
    </row>
    <row r="90" spans="1:30" ht="25.5" customHeight="1" x14ac:dyDescent="0.3">
      <c r="A90" s="596">
        <v>2</v>
      </c>
      <c r="B90" s="350"/>
      <c r="C90" s="350"/>
      <c r="D90" s="352"/>
      <c r="E90" s="352"/>
      <c r="F90" s="352"/>
      <c r="G90" s="353"/>
      <c r="H90" s="352"/>
      <c r="I90" s="352"/>
      <c r="J90" s="597"/>
      <c r="K90" s="4151"/>
      <c r="L90" s="4151"/>
      <c r="M90" s="4151"/>
      <c r="N90" s="4151"/>
      <c r="O90" s="352"/>
      <c r="P90" s="352"/>
      <c r="Q90" s="352"/>
      <c r="R90" s="352"/>
      <c r="S90" s="360"/>
      <c r="T90" s="352"/>
      <c r="U90" s="352"/>
      <c r="V90" s="352"/>
      <c r="W90" s="360"/>
      <c r="X90" s="361"/>
      <c r="Y90" s="352"/>
      <c r="Z90" s="361"/>
      <c r="AA90" s="361"/>
      <c r="AB90" s="598"/>
      <c r="AC90" s="4168"/>
    </row>
    <row r="91" spans="1:30" s="319" customFormat="1" ht="15.6" x14ac:dyDescent="0.2">
      <c r="A91" s="596">
        <v>3</v>
      </c>
      <c r="B91" s="365"/>
      <c r="C91" s="366"/>
      <c r="D91" s="367"/>
      <c r="E91" s="368"/>
      <c r="F91" s="367"/>
      <c r="G91" s="599" t="s">
        <v>492</v>
      </c>
      <c r="H91" s="367"/>
      <c r="I91" s="367"/>
      <c r="J91" s="600" t="s">
        <v>1753</v>
      </c>
      <c r="K91" s="4171" t="s">
        <v>2286</v>
      </c>
      <c r="L91" s="4171"/>
      <c r="M91" s="4171" t="s">
        <v>2287</v>
      </c>
      <c r="N91" s="4171"/>
      <c r="O91" s="4171" t="s">
        <v>2281</v>
      </c>
      <c r="P91" s="4171"/>
      <c r="Q91" s="4171" t="s">
        <v>496</v>
      </c>
      <c r="R91" s="4171"/>
      <c r="S91" s="601" t="s">
        <v>2288</v>
      </c>
      <c r="T91" s="602" t="s">
        <v>497</v>
      </c>
      <c r="U91" s="603" t="s">
        <v>498</v>
      </c>
      <c r="V91" s="603" t="s">
        <v>499</v>
      </c>
      <c r="W91" s="601" t="s">
        <v>500</v>
      </c>
      <c r="X91" s="600" t="s">
        <v>501</v>
      </c>
      <c r="Y91" s="600" t="s">
        <v>502</v>
      </c>
      <c r="Z91" s="600" t="s">
        <v>503</v>
      </c>
      <c r="AA91" s="604" t="s">
        <v>504</v>
      </c>
      <c r="AB91" s="348" t="s">
        <v>476</v>
      </c>
      <c r="AC91" s="4169"/>
      <c r="AD91" s="318"/>
    </row>
    <row r="92" spans="1:30" ht="25.5" customHeight="1" x14ac:dyDescent="0.35">
      <c r="A92" s="569">
        <v>4</v>
      </c>
      <c r="B92" s="4173" t="str">
        <f>CONCATENATE(I90," ",D90,E90," ",F90)</f>
        <v xml:space="preserve">  </v>
      </c>
      <c r="C92" s="4173"/>
      <c r="D92" s="4173"/>
      <c r="E92" s="4174" t="s">
        <v>541</v>
      </c>
      <c r="F92" s="4043"/>
      <c r="G92" s="377"/>
      <c r="H92" s="605"/>
      <c r="I92" s="605"/>
      <c r="J92" s="377"/>
      <c r="K92" s="4151"/>
      <c r="L92" s="4151"/>
      <c r="M92" s="4151"/>
      <c r="N92" s="4151"/>
      <c r="O92" s="4175"/>
      <c r="P92" s="4175"/>
      <c r="Q92" s="4175"/>
      <c r="R92" s="4175"/>
      <c r="S92" s="377"/>
      <c r="T92" s="606"/>
      <c r="U92" s="606"/>
      <c r="V92" s="606"/>
      <c r="W92" s="607"/>
      <c r="X92" s="607"/>
      <c r="Y92" s="607"/>
      <c r="Z92" s="607"/>
      <c r="AA92" s="608"/>
      <c r="AB92" s="598"/>
      <c r="AC92" s="4169"/>
    </row>
    <row r="93" spans="1:30" s="610" customFormat="1" ht="15.75" customHeight="1" x14ac:dyDescent="0.3">
      <c r="A93" s="569">
        <v>5</v>
      </c>
      <c r="B93" s="609"/>
      <c r="E93" s="611" t="s">
        <v>510</v>
      </c>
      <c r="F93" s="611"/>
      <c r="G93" s="612" t="s">
        <v>42</v>
      </c>
      <c r="H93" s="613"/>
      <c r="I93" s="614"/>
      <c r="J93" s="612" t="s">
        <v>42</v>
      </c>
      <c r="K93" s="4172" t="s">
        <v>2289</v>
      </c>
      <c r="L93" s="4172"/>
      <c r="M93" s="4152" t="s">
        <v>2290</v>
      </c>
      <c r="N93" s="4152"/>
      <c r="O93" s="4153"/>
      <c r="P93" s="4153"/>
      <c r="Q93" s="4153"/>
      <c r="R93" s="4153"/>
      <c r="S93" s="615"/>
      <c r="T93" s="4154" t="s">
        <v>2291</v>
      </c>
      <c r="U93" s="4155"/>
      <c r="V93" s="4155"/>
      <c r="W93" s="4155" t="s">
        <v>2292</v>
      </c>
      <c r="X93" s="4155"/>
      <c r="Y93" s="4155"/>
      <c r="Z93" s="4154"/>
      <c r="AA93" s="4154"/>
      <c r="AB93" s="348" t="s">
        <v>476</v>
      </c>
      <c r="AC93" s="4169"/>
      <c r="AD93" s="616"/>
    </row>
    <row r="94" spans="1:30" x14ac:dyDescent="0.3">
      <c r="A94" s="569">
        <v>6</v>
      </c>
      <c r="B94" s="4156" t="s">
        <v>518</v>
      </c>
      <c r="C94" s="4157"/>
      <c r="D94" s="4157"/>
      <c r="E94" s="4158"/>
      <c r="F94" s="4040"/>
      <c r="G94" s="4040"/>
      <c r="H94" s="4040"/>
      <c r="I94" s="4040"/>
      <c r="J94" s="4040"/>
      <c r="K94" s="4040"/>
      <c r="L94" s="4041"/>
      <c r="M94" s="4159" t="s">
        <v>520</v>
      </c>
      <c r="N94" s="617" t="s">
        <v>2280</v>
      </c>
      <c r="O94" s="4039"/>
      <c r="P94" s="4040"/>
      <c r="Q94" s="4040"/>
      <c r="R94" s="4040"/>
      <c r="S94" s="4040"/>
      <c r="T94" s="617" t="s">
        <v>2293</v>
      </c>
      <c r="U94" s="4040"/>
      <c r="V94" s="4040"/>
      <c r="W94" s="4040"/>
      <c r="X94" s="4040"/>
      <c r="Y94" s="4041"/>
      <c r="Z94" s="618"/>
      <c r="AA94" s="619"/>
      <c r="AB94" s="598"/>
      <c r="AC94" s="4169"/>
      <c r="AD94" s="263" t="e">
        <v>#N/A</v>
      </c>
    </row>
    <row r="95" spans="1:30" ht="15" customHeight="1" x14ac:dyDescent="0.3">
      <c r="A95" s="569">
        <v>7</v>
      </c>
      <c r="B95" s="4053"/>
      <c r="C95" s="4054"/>
      <c r="D95" s="4054"/>
      <c r="E95" s="4018"/>
      <c r="F95" s="4018"/>
      <c r="G95" s="4018"/>
      <c r="H95" s="4018"/>
      <c r="I95" s="4018"/>
      <c r="J95" s="4018"/>
      <c r="K95" s="4018"/>
      <c r="L95" s="4162"/>
      <c r="M95" s="4160"/>
      <c r="N95" s="620" t="s">
        <v>526</v>
      </c>
      <c r="O95" s="4163"/>
      <c r="P95" s="4018"/>
      <c r="Q95" s="4018"/>
      <c r="R95" s="4018"/>
      <c r="S95" s="4018"/>
      <c r="T95" s="620" t="s">
        <v>2295</v>
      </c>
      <c r="U95" s="4164"/>
      <c r="V95" s="4164"/>
      <c r="W95" s="4164"/>
      <c r="X95" s="4164"/>
      <c r="Y95" s="4165"/>
      <c r="Z95" s="621"/>
      <c r="AA95" s="622" t="s">
        <v>2296</v>
      </c>
      <c r="AB95" s="623"/>
      <c r="AC95" s="4169"/>
      <c r="AD95" s="263" t="e">
        <v>#N/A</v>
      </c>
    </row>
    <row r="96" spans="1:30" ht="15" customHeight="1" x14ac:dyDescent="0.3">
      <c r="A96" s="569">
        <v>8</v>
      </c>
      <c r="B96" s="4053"/>
      <c r="C96" s="4054"/>
      <c r="D96" s="4054"/>
      <c r="E96" s="4018"/>
      <c r="F96" s="4018"/>
      <c r="G96" s="4018"/>
      <c r="H96" s="4018"/>
      <c r="I96" s="4018"/>
      <c r="J96" s="4018"/>
      <c r="K96" s="4018"/>
      <c r="L96" s="4162"/>
      <c r="M96" s="4160"/>
      <c r="N96" s="620" t="s">
        <v>133</v>
      </c>
      <c r="O96" s="4163"/>
      <c r="P96" s="4018"/>
      <c r="Q96" s="4018"/>
      <c r="R96" s="4018"/>
      <c r="S96" s="4018"/>
      <c r="T96" s="624" t="e">
        <v>#N/A</v>
      </c>
      <c r="U96" s="4166"/>
      <c r="V96" s="4166"/>
      <c r="W96" s="4166"/>
      <c r="X96" s="4166"/>
      <c r="Y96" s="4167"/>
      <c r="Z96" s="621"/>
      <c r="AA96" s="625"/>
      <c r="AB96" s="623"/>
      <c r="AC96" s="4169"/>
      <c r="AD96" s="263" t="e">
        <v>#N/A</v>
      </c>
    </row>
    <row r="97" spans="1:30" ht="15.75" customHeight="1" thickBot="1" x14ac:dyDescent="0.35">
      <c r="A97" s="569">
        <v>9</v>
      </c>
      <c r="B97" s="4055"/>
      <c r="C97" s="4056"/>
      <c r="D97" s="4056"/>
      <c r="E97" s="4014"/>
      <c r="F97" s="4014"/>
      <c r="G97" s="4014"/>
      <c r="H97" s="4014"/>
      <c r="I97" s="4014"/>
      <c r="J97" s="4014"/>
      <c r="K97" s="4014"/>
      <c r="L97" s="4015"/>
      <c r="M97" s="4161"/>
      <c r="N97" s="626" t="s">
        <v>2299</v>
      </c>
      <c r="O97" s="4013"/>
      <c r="P97" s="4014"/>
      <c r="Q97" s="4014"/>
      <c r="R97" s="4014"/>
      <c r="S97" s="4014"/>
      <c r="T97" s="627" t="e">
        <v>#N/A</v>
      </c>
      <c r="U97" s="4014"/>
      <c r="V97" s="4014"/>
      <c r="W97" s="4014"/>
      <c r="X97" s="4014"/>
      <c r="Y97" s="4015"/>
      <c r="Z97" s="628"/>
      <c r="AA97" s="629" t="e">
        <v>#N/A</v>
      </c>
      <c r="AB97" s="630"/>
      <c r="AC97" s="4170"/>
      <c r="AD97" s="263" t="e">
        <v>#N/A</v>
      </c>
    </row>
    <row r="98" spans="1:30" ht="38.25" customHeight="1" x14ac:dyDescent="0.3">
      <c r="A98" s="596">
        <v>1</v>
      </c>
      <c r="B98" s="345" t="s">
        <v>455</v>
      </c>
      <c r="C98" s="345" t="s">
        <v>16</v>
      </c>
      <c r="D98" s="345" t="s">
        <v>531</v>
      </c>
      <c r="E98" s="345" t="s">
        <v>532</v>
      </c>
      <c r="F98" s="345" t="s">
        <v>499</v>
      </c>
      <c r="G98" s="345" t="s">
        <v>533</v>
      </c>
      <c r="H98" s="345" t="s">
        <v>2278</v>
      </c>
      <c r="I98" s="345" t="s">
        <v>494</v>
      </c>
      <c r="J98" s="345" t="s">
        <v>2279</v>
      </c>
      <c r="K98" s="4021" t="s">
        <v>463</v>
      </c>
      <c r="L98" s="4021"/>
      <c r="M98" s="4021" t="s">
        <v>464</v>
      </c>
      <c r="N98" s="4021"/>
      <c r="O98" s="345" t="s">
        <v>2280</v>
      </c>
      <c r="P98" s="345" t="s">
        <v>2281</v>
      </c>
      <c r="Q98" s="345" t="s">
        <v>2282</v>
      </c>
      <c r="R98" s="345" t="s">
        <v>469</v>
      </c>
      <c r="S98" s="345" t="s">
        <v>1757</v>
      </c>
      <c r="T98" s="345" t="s">
        <v>470</v>
      </c>
      <c r="U98" s="345" t="s">
        <v>2283</v>
      </c>
      <c r="V98" s="345" t="s">
        <v>1759</v>
      </c>
      <c r="W98" s="345" t="s">
        <v>472</v>
      </c>
      <c r="X98" s="345" t="s">
        <v>2284</v>
      </c>
      <c r="Y98" s="345" t="s">
        <v>474</v>
      </c>
      <c r="Z98" s="345" t="s">
        <v>133</v>
      </c>
      <c r="AA98" s="345" t="s">
        <v>475</v>
      </c>
      <c r="AB98" s="348" t="s">
        <v>476</v>
      </c>
      <c r="AC98" s="347" t="s">
        <v>477</v>
      </c>
    </row>
    <row r="99" spans="1:30" ht="25.5" customHeight="1" x14ac:dyDescent="0.3">
      <c r="A99" s="596">
        <v>2</v>
      </c>
      <c r="B99" s="350"/>
      <c r="C99" s="350"/>
      <c r="D99" s="352"/>
      <c r="E99" s="352"/>
      <c r="F99" s="352"/>
      <c r="G99" s="353"/>
      <c r="H99" s="352"/>
      <c r="I99" s="352"/>
      <c r="J99" s="597"/>
      <c r="K99" s="4151"/>
      <c r="L99" s="4151"/>
      <c r="M99" s="4151"/>
      <c r="N99" s="4151"/>
      <c r="O99" s="352"/>
      <c r="P99" s="352"/>
      <c r="Q99" s="352"/>
      <c r="R99" s="352"/>
      <c r="S99" s="360"/>
      <c r="T99" s="352"/>
      <c r="U99" s="352"/>
      <c r="V99" s="352"/>
      <c r="W99" s="360"/>
      <c r="X99" s="361"/>
      <c r="Y99" s="352"/>
      <c r="Z99" s="361"/>
      <c r="AA99" s="361"/>
      <c r="AB99" s="598"/>
      <c r="AC99" s="4168"/>
    </row>
    <row r="100" spans="1:30" s="319" customFormat="1" ht="15.6" x14ac:dyDescent="0.2">
      <c r="A100" s="596">
        <v>3</v>
      </c>
      <c r="B100" s="365"/>
      <c r="C100" s="366"/>
      <c r="D100" s="367"/>
      <c r="E100" s="368"/>
      <c r="F100" s="367"/>
      <c r="G100" s="599" t="s">
        <v>492</v>
      </c>
      <c r="H100" s="367"/>
      <c r="I100" s="367"/>
      <c r="J100" s="600" t="s">
        <v>1753</v>
      </c>
      <c r="K100" s="4171" t="s">
        <v>2286</v>
      </c>
      <c r="L100" s="4171"/>
      <c r="M100" s="4171" t="s">
        <v>2287</v>
      </c>
      <c r="N100" s="4171"/>
      <c r="O100" s="4171" t="s">
        <v>2281</v>
      </c>
      <c r="P100" s="4171"/>
      <c r="Q100" s="4171" t="s">
        <v>496</v>
      </c>
      <c r="R100" s="4171"/>
      <c r="S100" s="601" t="s">
        <v>2288</v>
      </c>
      <c r="T100" s="602" t="s">
        <v>497</v>
      </c>
      <c r="U100" s="603" t="s">
        <v>498</v>
      </c>
      <c r="V100" s="603" t="s">
        <v>499</v>
      </c>
      <c r="W100" s="601" t="s">
        <v>500</v>
      </c>
      <c r="X100" s="600" t="s">
        <v>501</v>
      </c>
      <c r="Y100" s="600" t="s">
        <v>502</v>
      </c>
      <c r="Z100" s="600" t="s">
        <v>503</v>
      </c>
      <c r="AA100" s="604" t="s">
        <v>504</v>
      </c>
      <c r="AB100" s="348" t="s">
        <v>476</v>
      </c>
      <c r="AC100" s="4169"/>
      <c r="AD100" s="318"/>
    </row>
    <row r="101" spans="1:30" ht="25.5" customHeight="1" x14ac:dyDescent="0.35">
      <c r="A101" s="569">
        <v>4</v>
      </c>
      <c r="B101" s="4173" t="str">
        <f>CONCATENATE(I99," ",D99,E99," ",F99)</f>
        <v xml:space="preserve">  </v>
      </c>
      <c r="C101" s="4173"/>
      <c r="D101" s="4173"/>
      <c r="E101" s="4174" t="s">
        <v>541</v>
      </c>
      <c r="F101" s="4043"/>
      <c r="G101" s="377"/>
      <c r="H101" s="605"/>
      <c r="I101" s="605"/>
      <c r="J101" s="377"/>
      <c r="K101" s="4151"/>
      <c r="L101" s="4151"/>
      <c r="M101" s="4151"/>
      <c r="N101" s="4151"/>
      <c r="O101" s="4175"/>
      <c r="P101" s="4175"/>
      <c r="Q101" s="4175"/>
      <c r="R101" s="4175"/>
      <c r="S101" s="377"/>
      <c r="T101" s="606"/>
      <c r="U101" s="606"/>
      <c r="V101" s="606"/>
      <c r="W101" s="607"/>
      <c r="X101" s="607"/>
      <c r="Y101" s="607"/>
      <c r="Z101" s="607"/>
      <c r="AA101" s="608"/>
      <c r="AB101" s="598"/>
      <c r="AC101" s="4169"/>
    </row>
    <row r="102" spans="1:30" s="610" customFormat="1" ht="15.75" customHeight="1" x14ac:dyDescent="0.3">
      <c r="A102" s="569">
        <v>5</v>
      </c>
      <c r="B102" s="609"/>
      <c r="E102" s="611" t="s">
        <v>510</v>
      </c>
      <c r="F102" s="611"/>
      <c r="G102" s="612" t="s">
        <v>42</v>
      </c>
      <c r="H102" s="613"/>
      <c r="I102" s="614"/>
      <c r="J102" s="612" t="s">
        <v>42</v>
      </c>
      <c r="K102" s="4172" t="s">
        <v>2289</v>
      </c>
      <c r="L102" s="4172"/>
      <c r="M102" s="4152" t="s">
        <v>2290</v>
      </c>
      <c r="N102" s="4152"/>
      <c r="O102" s="4153"/>
      <c r="P102" s="4153"/>
      <c r="Q102" s="4153"/>
      <c r="R102" s="4153"/>
      <c r="S102" s="615"/>
      <c r="T102" s="4154" t="s">
        <v>2291</v>
      </c>
      <c r="U102" s="4155"/>
      <c r="V102" s="4155"/>
      <c r="W102" s="4155" t="s">
        <v>2292</v>
      </c>
      <c r="X102" s="4155"/>
      <c r="Y102" s="4155"/>
      <c r="Z102" s="4154"/>
      <c r="AA102" s="4154"/>
      <c r="AB102" s="348" t="s">
        <v>476</v>
      </c>
      <c r="AC102" s="4169"/>
      <c r="AD102" s="616"/>
    </row>
    <row r="103" spans="1:30" x14ac:dyDescent="0.3">
      <c r="A103" s="569">
        <v>6</v>
      </c>
      <c r="B103" s="4156" t="s">
        <v>518</v>
      </c>
      <c r="C103" s="4157"/>
      <c r="D103" s="4157"/>
      <c r="E103" s="4158"/>
      <c r="F103" s="4040"/>
      <c r="G103" s="4040"/>
      <c r="H103" s="4040"/>
      <c r="I103" s="4040"/>
      <c r="J103" s="4040"/>
      <c r="K103" s="4040"/>
      <c r="L103" s="4041"/>
      <c r="M103" s="4159" t="s">
        <v>520</v>
      </c>
      <c r="N103" s="617" t="s">
        <v>2280</v>
      </c>
      <c r="O103" s="4039"/>
      <c r="P103" s="4040"/>
      <c r="Q103" s="4040"/>
      <c r="R103" s="4040"/>
      <c r="S103" s="4040"/>
      <c r="T103" s="617" t="s">
        <v>2293</v>
      </c>
      <c r="U103" s="4040"/>
      <c r="V103" s="4040"/>
      <c r="W103" s="4040"/>
      <c r="X103" s="4040"/>
      <c r="Y103" s="4041"/>
      <c r="Z103" s="618"/>
      <c r="AA103" s="619"/>
      <c r="AB103" s="598"/>
      <c r="AC103" s="4169"/>
      <c r="AD103" s="263" t="e">
        <v>#N/A</v>
      </c>
    </row>
    <row r="104" spans="1:30" ht="15" customHeight="1" x14ac:dyDescent="0.3">
      <c r="A104" s="569">
        <v>7</v>
      </c>
      <c r="B104" s="4053"/>
      <c r="C104" s="4054"/>
      <c r="D104" s="4054"/>
      <c r="E104" s="4018"/>
      <c r="F104" s="4018"/>
      <c r="G104" s="4018"/>
      <c r="H104" s="4018"/>
      <c r="I104" s="4018"/>
      <c r="J104" s="4018"/>
      <c r="K104" s="4018"/>
      <c r="L104" s="4162"/>
      <c r="M104" s="4160"/>
      <c r="N104" s="620" t="s">
        <v>526</v>
      </c>
      <c r="O104" s="4163"/>
      <c r="P104" s="4018"/>
      <c r="Q104" s="4018"/>
      <c r="R104" s="4018"/>
      <c r="S104" s="4018"/>
      <c r="T104" s="620" t="s">
        <v>2295</v>
      </c>
      <c r="U104" s="4164"/>
      <c r="V104" s="4164"/>
      <c r="W104" s="4164"/>
      <c r="X104" s="4164"/>
      <c r="Y104" s="4165"/>
      <c r="Z104" s="621"/>
      <c r="AA104" s="622" t="s">
        <v>2296</v>
      </c>
      <c r="AB104" s="623"/>
      <c r="AC104" s="4169"/>
      <c r="AD104" s="263" t="e">
        <v>#N/A</v>
      </c>
    </row>
    <row r="105" spans="1:30" ht="15" customHeight="1" x14ac:dyDescent="0.3">
      <c r="A105" s="569">
        <v>8</v>
      </c>
      <c r="B105" s="4053"/>
      <c r="C105" s="4054"/>
      <c r="D105" s="4054"/>
      <c r="E105" s="4018"/>
      <c r="F105" s="4018"/>
      <c r="G105" s="4018"/>
      <c r="H105" s="4018"/>
      <c r="I105" s="4018"/>
      <c r="J105" s="4018"/>
      <c r="K105" s="4018"/>
      <c r="L105" s="4162"/>
      <c r="M105" s="4160"/>
      <c r="N105" s="620" t="s">
        <v>133</v>
      </c>
      <c r="O105" s="4163"/>
      <c r="P105" s="4018"/>
      <c r="Q105" s="4018"/>
      <c r="R105" s="4018"/>
      <c r="S105" s="4018"/>
      <c r="T105" s="624" t="e">
        <v>#N/A</v>
      </c>
      <c r="U105" s="4166"/>
      <c r="V105" s="4166"/>
      <c r="W105" s="4166"/>
      <c r="X105" s="4166"/>
      <c r="Y105" s="4167"/>
      <c r="Z105" s="621"/>
      <c r="AA105" s="625"/>
      <c r="AB105" s="623"/>
      <c r="AC105" s="4169"/>
      <c r="AD105" s="263" t="e">
        <v>#N/A</v>
      </c>
    </row>
    <row r="106" spans="1:30" ht="15.75" customHeight="1" thickBot="1" x14ac:dyDescent="0.35">
      <c r="A106" s="569">
        <v>9</v>
      </c>
      <c r="B106" s="4055"/>
      <c r="C106" s="4056"/>
      <c r="D106" s="4056"/>
      <c r="E106" s="4014"/>
      <c r="F106" s="4014"/>
      <c r="G106" s="4014"/>
      <c r="H106" s="4014"/>
      <c r="I106" s="4014"/>
      <c r="J106" s="4014"/>
      <c r="K106" s="4014"/>
      <c r="L106" s="4015"/>
      <c r="M106" s="4161"/>
      <c r="N106" s="626" t="s">
        <v>2299</v>
      </c>
      <c r="O106" s="4013"/>
      <c r="P106" s="4014"/>
      <c r="Q106" s="4014"/>
      <c r="R106" s="4014"/>
      <c r="S106" s="4014"/>
      <c r="T106" s="627" t="e">
        <v>#N/A</v>
      </c>
      <c r="U106" s="4014"/>
      <c r="V106" s="4014"/>
      <c r="W106" s="4014"/>
      <c r="X106" s="4014"/>
      <c r="Y106" s="4015"/>
      <c r="Z106" s="628"/>
      <c r="AA106" s="629" t="e">
        <v>#N/A</v>
      </c>
      <c r="AB106" s="630"/>
      <c r="AC106" s="4170"/>
      <c r="AD106" s="263" t="e">
        <v>#N/A</v>
      </c>
    </row>
    <row r="107" spans="1:30" ht="38.25" customHeight="1" x14ac:dyDescent="0.3">
      <c r="A107" s="596">
        <v>1</v>
      </c>
      <c r="B107" s="345" t="s">
        <v>455</v>
      </c>
      <c r="C107" s="345" t="s">
        <v>16</v>
      </c>
      <c r="D107" s="345" t="s">
        <v>531</v>
      </c>
      <c r="E107" s="345" t="s">
        <v>532</v>
      </c>
      <c r="F107" s="345" t="s">
        <v>499</v>
      </c>
      <c r="G107" s="345" t="s">
        <v>533</v>
      </c>
      <c r="H107" s="345" t="s">
        <v>2278</v>
      </c>
      <c r="I107" s="345" t="s">
        <v>494</v>
      </c>
      <c r="J107" s="345" t="s">
        <v>2279</v>
      </c>
      <c r="K107" s="4021" t="s">
        <v>463</v>
      </c>
      <c r="L107" s="4021"/>
      <c r="M107" s="4021" t="s">
        <v>464</v>
      </c>
      <c r="N107" s="4021"/>
      <c r="O107" s="345" t="s">
        <v>2280</v>
      </c>
      <c r="P107" s="345" t="s">
        <v>2281</v>
      </c>
      <c r="Q107" s="345" t="s">
        <v>2282</v>
      </c>
      <c r="R107" s="345" t="s">
        <v>469</v>
      </c>
      <c r="S107" s="345" t="s">
        <v>1757</v>
      </c>
      <c r="T107" s="345" t="s">
        <v>470</v>
      </c>
      <c r="U107" s="345" t="s">
        <v>2283</v>
      </c>
      <c r="V107" s="345" t="s">
        <v>1759</v>
      </c>
      <c r="W107" s="345" t="s">
        <v>472</v>
      </c>
      <c r="X107" s="345" t="s">
        <v>2284</v>
      </c>
      <c r="Y107" s="345" t="s">
        <v>474</v>
      </c>
      <c r="Z107" s="345" t="s">
        <v>133</v>
      </c>
      <c r="AA107" s="345" t="s">
        <v>475</v>
      </c>
      <c r="AB107" s="348" t="s">
        <v>476</v>
      </c>
      <c r="AC107" s="347" t="s">
        <v>477</v>
      </c>
    </row>
    <row r="108" spans="1:30" ht="25.5" customHeight="1" x14ac:dyDescent="0.3">
      <c r="A108" s="596">
        <v>2</v>
      </c>
      <c r="B108" s="350"/>
      <c r="C108" s="350"/>
      <c r="D108" s="352"/>
      <c r="E108" s="352"/>
      <c r="F108" s="352"/>
      <c r="G108" s="353"/>
      <c r="H108" s="352"/>
      <c r="I108" s="352"/>
      <c r="J108" s="597"/>
      <c r="K108" s="4151"/>
      <c r="L108" s="4151"/>
      <c r="M108" s="4151"/>
      <c r="N108" s="4151"/>
      <c r="O108" s="352"/>
      <c r="P108" s="352"/>
      <c r="Q108" s="352"/>
      <c r="R108" s="352"/>
      <c r="S108" s="360"/>
      <c r="T108" s="352"/>
      <c r="U108" s="352"/>
      <c r="V108" s="352"/>
      <c r="W108" s="360"/>
      <c r="X108" s="361"/>
      <c r="Y108" s="352"/>
      <c r="Z108" s="361"/>
      <c r="AA108" s="361"/>
      <c r="AB108" s="598"/>
      <c r="AC108" s="4168"/>
    </row>
    <row r="109" spans="1:30" s="319" customFormat="1" ht="15.6" x14ac:dyDescent="0.2">
      <c r="A109" s="596">
        <v>3</v>
      </c>
      <c r="B109" s="365"/>
      <c r="C109" s="366"/>
      <c r="D109" s="367"/>
      <c r="E109" s="368"/>
      <c r="F109" s="367"/>
      <c r="G109" s="599" t="s">
        <v>492</v>
      </c>
      <c r="H109" s="367"/>
      <c r="I109" s="367"/>
      <c r="J109" s="600" t="s">
        <v>1753</v>
      </c>
      <c r="K109" s="4171" t="s">
        <v>2286</v>
      </c>
      <c r="L109" s="4171"/>
      <c r="M109" s="4171" t="s">
        <v>2287</v>
      </c>
      <c r="N109" s="4171"/>
      <c r="O109" s="4171" t="s">
        <v>2281</v>
      </c>
      <c r="P109" s="4171"/>
      <c r="Q109" s="4171" t="s">
        <v>496</v>
      </c>
      <c r="R109" s="4171"/>
      <c r="S109" s="601" t="s">
        <v>2288</v>
      </c>
      <c r="T109" s="602" t="s">
        <v>497</v>
      </c>
      <c r="U109" s="603" t="s">
        <v>498</v>
      </c>
      <c r="V109" s="603" t="s">
        <v>499</v>
      </c>
      <c r="W109" s="601" t="s">
        <v>500</v>
      </c>
      <c r="X109" s="600" t="s">
        <v>501</v>
      </c>
      <c r="Y109" s="600" t="s">
        <v>502</v>
      </c>
      <c r="Z109" s="600" t="s">
        <v>503</v>
      </c>
      <c r="AA109" s="604" t="s">
        <v>504</v>
      </c>
      <c r="AB109" s="348" t="s">
        <v>476</v>
      </c>
      <c r="AC109" s="4169"/>
      <c r="AD109" s="318"/>
    </row>
    <row r="110" spans="1:30" ht="25.5" customHeight="1" x14ac:dyDescent="0.35">
      <c r="A110" s="569">
        <v>4</v>
      </c>
      <c r="B110" s="4173" t="str">
        <f>CONCATENATE(I108," ",D108,E108," ",F108)</f>
        <v xml:space="preserve">  </v>
      </c>
      <c r="C110" s="4173"/>
      <c r="D110" s="4173"/>
      <c r="E110" s="4174" t="s">
        <v>541</v>
      </c>
      <c r="F110" s="4043"/>
      <c r="G110" s="377"/>
      <c r="H110" s="605"/>
      <c r="I110" s="605"/>
      <c r="J110" s="377"/>
      <c r="K110" s="4151"/>
      <c r="L110" s="4151"/>
      <c r="M110" s="4151"/>
      <c r="N110" s="4151"/>
      <c r="O110" s="4175"/>
      <c r="P110" s="4175"/>
      <c r="Q110" s="4175"/>
      <c r="R110" s="4175"/>
      <c r="S110" s="377"/>
      <c r="T110" s="606"/>
      <c r="U110" s="606"/>
      <c r="V110" s="606"/>
      <c r="W110" s="607"/>
      <c r="X110" s="607"/>
      <c r="Y110" s="607"/>
      <c r="Z110" s="607"/>
      <c r="AA110" s="608"/>
      <c r="AB110" s="598"/>
      <c r="AC110" s="4169"/>
    </row>
    <row r="111" spans="1:30" s="610" customFormat="1" ht="15.75" customHeight="1" x14ac:dyDescent="0.3">
      <c r="A111" s="569">
        <v>5</v>
      </c>
      <c r="B111" s="609"/>
      <c r="E111" s="611" t="s">
        <v>510</v>
      </c>
      <c r="F111" s="611"/>
      <c r="G111" s="612" t="s">
        <v>42</v>
      </c>
      <c r="H111" s="613"/>
      <c r="I111" s="614"/>
      <c r="J111" s="612" t="s">
        <v>42</v>
      </c>
      <c r="K111" s="4172" t="s">
        <v>2289</v>
      </c>
      <c r="L111" s="4172"/>
      <c r="M111" s="4152" t="s">
        <v>2290</v>
      </c>
      <c r="N111" s="4152"/>
      <c r="O111" s="4153"/>
      <c r="P111" s="4153"/>
      <c r="Q111" s="4153"/>
      <c r="R111" s="4153"/>
      <c r="S111" s="615"/>
      <c r="T111" s="4154" t="s">
        <v>2291</v>
      </c>
      <c r="U111" s="4155"/>
      <c r="V111" s="4155"/>
      <c r="W111" s="4155" t="s">
        <v>2292</v>
      </c>
      <c r="X111" s="4155"/>
      <c r="Y111" s="4155"/>
      <c r="Z111" s="4154"/>
      <c r="AA111" s="4154"/>
      <c r="AB111" s="348" t="s">
        <v>476</v>
      </c>
      <c r="AC111" s="4169"/>
      <c r="AD111" s="616"/>
    </row>
    <row r="112" spans="1:30" x14ac:dyDescent="0.3">
      <c r="A112" s="569">
        <v>6</v>
      </c>
      <c r="B112" s="4156" t="s">
        <v>518</v>
      </c>
      <c r="C112" s="4157"/>
      <c r="D112" s="4157"/>
      <c r="E112" s="4158"/>
      <c r="F112" s="4040"/>
      <c r="G112" s="4040"/>
      <c r="H112" s="4040"/>
      <c r="I112" s="4040"/>
      <c r="J112" s="4040"/>
      <c r="K112" s="4040"/>
      <c r="L112" s="4041"/>
      <c r="M112" s="4159" t="s">
        <v>520</v>
      </c>
      <c r="N112" s="617" t="s">
        <v>2280</v>
      </c>
      <c r="O112" s="4039"/>
      <c r="P112" s="4040"/>
      <c r="Q112" s="4040"/>
      <c r="R112" s="4040"/>
      <c r="S112" s="4040"/>
      <c r="T112" s="617" t="s">
        <v>2293</v>
      </c>
      <c r="U112" s="4040"/>
      <c r="V112" s="4040"/>
      <c r="W112" s="4040"/>
      <c r="X112" s="4040"/>
      <c r="Y112" s="4041"/>
      <c r="Z112" s="618"/>
      <c r="AA112" s="619"/>
      <c r="AB112" s="598"/>
      <c r="AC112" s="4169"/>
      <c r="AD112" s="263" t="e">
        <v>#N/A</v>
      </c>
    </row>
    <row r="113" spans="1:30" ht="15" customHeight="1" x14ac:dyDescent="0.3">
      <c r="A113" s="569">
        <v>7</v>
      </c>
      <c r="B113" s="4053"/>
      <c r="C113" s="4054"/>
      <c r="D113" s="4054"/>
      <c r="E113" s="4018"/>
      <c r="F113" s="4018"/>
      <c r="G113" s="4018"/>
      <c r="H113" s="4018"/>
      <c r="I113" s="4018"/>
      <c r="J113" s="4018"/>
      <c r="K113" s="4018"/>
      <c r="L113" s="4162"/>
      <c r="M113" s="4160"/>
      <c r="N113" s="620" t="s">
        <v>526</v>
      </c>
      <c r="O113" s="4163"/>
      <c r="P113" s="4018"/>
      <c r="Q113" s="4018"/>
      <c r="R113" s="4018"/>
      <c r="S113" s="4018"/>
      <c r="T113" s="620" t="s">
        <v>2295</v>
      </c>
      <c r="U113" s="4164"/>
      <c r="V113" s="4164"/>
      <c r="W113" s="4164"/>
      <c r="X113" s="4164"/>
      <c r="Y113" s="4165"/>
      <c r="Z113" s="621"/>
      <c r="AA113" s="622" t="s">
        <v>2296</v>
      </c>
      <c r="AB113" s="623"/>
      <c r="AC113" s="4169"/>
      <c r="AD113" s="263" t="e">
        <v>#N/A</v>
      </c>
    </row>
    <row r="114" spans="1:30" ht="15" customHeight="1" x14ac:dyDescent="0.3">
      <c r="A114" s="569">
        <v>8</v>
      </c>
      <c r="B114" s="4053"/>
      <c r="C114" s="4054"/>
      <c r="D114" s="4054"/>
      <c r="E114" s="4018"/>
      <c r="F114" s="4018"/>
      <c r="G114" s="4018"/>
      <c r="H114" s="4018"/>
      <c r="I114" s="4018"/>
      <c r="J114" s="4018"/>
      <c r="K114" s="4018"/>
      <c r="L114" s="4162"/>
      <c r="M114" s="4160"/>
      <c r="N114" s="620" t="s">
        <v>133</v>
      </c>
      <c r="O114" s="4163"/>
      <c r="P114" s="4018"/>
      <c r="Q114" s="4018"/>
      <c r="R114" s="4018"/>
      <c r="S114" s="4018"/>
      <c r="T114" s="624" t="e">
        <v>#N/A</v>
      </c>
      <c r="U114" s="4166"/>
      <c r="V114" s="4166"/>
      <c r="W114" s="4166"/>
      <c r="X114" s="4166"/>
      <c r="Y114" s="4167"/>
      <c r="Z114" s="621"/>
      <c r="AA114" s="625"/>
      <c r="AB114" s="623"/>
      <c r="AC114" s="4169"/>
      <c r="AD114" s="263" t="e">
        <v>#N/A</v>
      </c>
    </row>
    <row r="115" spans="1:30" ht="15.75" customHeight="1" thickBot="1" x14ac:dyDescent="0.35">
      <c r="A115" s="569">
        <v>9</v>
      </c>
      <c r="B115" s="4055"/>
      <c r="C115" s="4056"/>
      <c r="D115" s="4056"/>
      <c r="E115" s="4014"/>
      <c r="F115" s="4014"/>
      <c r="G115" s="4014"/>
      <c r="H115" s="4014"/>
      <c r="I115" s="4014"/>
      <c r="J115" s="4014"/>
      <c r="K115" s="4014"/>
      <c r="L115" s="4015"/>
      <c r="M115" s="4161"/>
      <c r="N115" s="626" t="s">
        <v>2299</v>
      </c>
      <c r="O115" s="4013"/>
      <c r="P115" s="4014"/>
      <c r="Q115" s="4014"/>
      <c r="R115" s="4014"/>
      <c r="S115" s="4014"/>
      <c r="T115" s="627" t="e">
        <v>#N/A</v>
      </c>
      <c r="U115" s="4014"/>
      <c r="V115" s="4014"/>
      <c r="W115" s="4014"/>
      <c r="X115" s="4014"/>
      <c r="Y115" s="4015"/>
      <c r="Z115" s="628"/>
      <c r="AA115" s="629" t="e">
        <v>#N/A</v>
      </c>
      <c r="AB115" s="630"/>
      <c r="AC115" s="4170"/>
      <c r="AD115" s="263" t="e">
        <v>#N/A</v>
      </c>
    </row>
    <row r="116" spans="1:30" ht="38.25" customHeight="1" x14ac:dyDescent="0.3">
      <c r="A116" s="596">
        <v>1</v>
      </c>
      <c r="B116" s="345" t="s">
        <v>455</v>
      </c>
      <c r="C116" s="345" t="s">
        <v>16</v>
      </c>
      <c r="D116" s="345" t="s">
        <v>531</v>
      </c>
      <c r="E116" s="345" t="s">
        <v>532</v>
      </c>
      <c r="F116" s="345" t="s">
        <v>499</v>
      </c>
      <c r="G116" s="345" t="s">
        <v>533</v>
      </c>
      <c r="H116" s="345" t="s">
        <v>2278</v>
      </c>
      <c r="I116" s="345" t="s">
        <v>494</v>
      </c>
      <c r="J116" s="345" t="s">
        <v>2279</v>
      </c>
      <c r="K116" s="4021" t="s">
        <v>463</v>
      </c>
      <c r="L116" s="4021"/>
      <c r="M116" s="4021" t="s">
        <v>464</v>
      </c>
      <c r="N116" s="4021"/>
      <c r="O116" s="345" t="s">
        <v>2280</v>
      </c>
      <c r="P116" s="345" t="s">
        <v>2281</v>
      </c>
      <c r="Q116" s="345" t="s">
        <v>2282</v>
      </c>
      <c r="R116" s="345" t="s">
        <v>469</v>
      </c>
      <c r="S116" s="345" t="s">
        <v>1757</v>
      </c>
      <c r="T116" s="345" t="s">
        <v>470</v>
      </c>
      <c r="U116" s="345" t="s">
        <v>2283</v>
      </c>
      <c r="V116" s="345" t="s">
        <v>1759</v>
      </c>
      <c r="W116" s="345" t="s">
        <v>472</v>
      </c>
      <c r="X116" s="345" t="s">
        <v>2284</v>
      </c>
      <c r="Y116" s="345" t="s">
        <v>474</v>
      </c>
      <c r="Z116" s="345" t="s">
        <v>133</v>
      </c>
      <c r="AA116" s="345" t="s">
        <v>475</v>
      </c>
      <c r="AB116" s="348" t="s">
        <v>476</v>
      </c>
      <c r="AC116" s="347" t="s">
        <v>477</v>
      </c>
    </row>
    <row r="117" spans="1:30" ht="25.5" customHeight="1" x14ac:dyDescent="0.3">
      <c r="A117" s="596">
        <v>2</v>
      </c>
      <c r="B117" s="350"/>
      <c r="C117" s="350"/>
      <c r="D117" s="352"/>
      <c r="E117" s="352"/>
      <c r="F117" s="352"/>
      <c r="G117" s="353"/>
      <c r="H117" s="352"/>
      <c r="I117" s="352"/>
      <c r="J117" s="597"/>
      <c r="K117" s="4151"/>
      <c r="L117" s="4151"/>
      <c r="M117" s="4151"/>
      <c r="N117" s="4151"/>
      <c r="O117" s="352"/>
      <c r="P117" s="352"/>
      <c r="Q117" s="352"/>
      <c r="R117" s="352"/>
      <c r="S117" s="360"/>
      <c r="T117" s="352"/>
      <c r="U117" s="352"/>
      <c r="V117" s="352"/>
      <c r="W117" s="360"/>
      <c r="X117" s="361"/>
      <c r="Y117" s="352"/>
      <c r="Z117" s="361"/>
      <c r="AA117" s="361"/>
      <c r="AB117" s="598"/>
      <c r="AC117" s="4168"/>
    </row>
    <row r="118" spans="1:30" s="319" customFormat="1" ht="15.6" x14ac:dyDescent="0.2">
      <c r="A118" s="596">
        <v>3</v>
      </c>
      <c r="B118" s="365"/>
      <c r="C118" s="366"/>
      <c r="D118" s="367"/>
      <c r="E118" s="368"/>
      <c r="F118" s="367"/>
      <c r="G118" s="599" t="s">
        <v>492</v>
      </c>
      <c r="H118" s="367"/>
      <c r="I118" s="367"/>
      <c r="J118" s="600" t="s">
        <v>1753</v>
      </c>
      <c r="K118" s="4171" t="s">
        <v>2286</v>
      </c>
      <c r="L118" s="4171"/>
      <c r="M118" s="4171" t="s">
        <v>2287</v>
      </c>
      <c r="N118" s="4171"/>
      <c r="O118" s="4171" t="s">
        <v>2281</v>
      </c>
      <c r="P118" s="4171"/>
      <c r="Q118" s="4171" t="s">
        <v>496</v>
      </c>
      <c r="R118" s="4171"/>
      <c r="S118" s="601" t="s">
        <v>2288</v>
      </c>
      <c r="T118" s="602" t="s">
        <v>497</v>
      </c>
      <c r="U118" s="603" t="s">
        <v>498</v>
      </c>
      <c r="V118" s="603" t="s">
        <v>499</v>
      </c>
      <c r="W118" s="601" t="s">
        <v>500</v>
      </c>
      <c r="X118" s="600" t="s">
        <v>501</v>
      </c>
      <c r="Y118" s="600" t="s">
        <v>502</v>
      </c>
      <c r="Z118" s="600" t="s">
        <v>503</v>
      </c>
      <c r="AA118" s="604" t="s">
        <v>504</v>
      </c>
      <c r="AB118" s="348" t="s">
        <v>476</v>
      </c>
      <c r="AC118" s="4169"/>
      <c r="AD118" s="318"/>
    </row>
    <row r="119" spans="1:30" ht="25.5" customHeight="1" x14ac:dyDescent="0.35">
      <c r="A119" s="569">
        <v>4</v>
      </c>
      <c r="B119" s="4173" t="str">
        <f>CONCATENATE(I117," ",D117,E117," ",F117)</f>
        <v xml:space="preserve">  </v>
      </c>
      <c r="C119" s="4173"/>
      <c r="D119" s="4173"/>
      <c r="E119" s="4174" t="s">
        <v>541</v>
      </c>
      <c r="F119" s="4043"/>
      <c r="G119" s="377"/>
      <c r="H119" s="605"/>
      <c r="I119" s="605"/>
      <c r="J119" s="377"/>
      <c r="K119" s="4151"/>
      <c r="L119" s="4151"/>
      <c r="M119" s="4151"/>
      <c r="N119" s="4151"/>
      <c r="O119" s="4175"/>
      <c r="P119" s="4175"/>
      <c r="Q119" s="4175"/>
      <c r="R119" s="4175"/>
      <c r="S119" s="377"/>
      <c r="T119" s="606"/>
      <c r="U119" s="606"/>
      <c r="V119" s="606"/>
      <c r="W119" s="607"/>
      <c r="X119" s="607"/>
      <c r="Y119" s="607"/>
      <c r="Z119" s="607"/>
      <c r="AA119" s="608"/>
      <c r="AB119" s="598"/>
      <c r="AC119" s="4169"/>
    </row>
    <row r="120" spans="1:30" s="610" customFormat="1" ht="15.75" customHeight="1" x14ac:dyDescent="0.3">
      <c r="A120" s="569">
        <v>5</v>
      </c>
      <c r="B120" s="609"/>
      <c r="E120" s="611" t="s">
        <v>510</v>
      </c>
      <c r="F120" s="611"/>
      <c r="G120" s="612" t="s">
        <v>42</v>
      </c>
      <c r="H120" s="613"/>
      <c r="I120" s="614"/>
      <c r="J120" s="612" t="s">
        <v>42</v>
      </c>
      <c r="K120" s="4172" t="s">
        <v>2289</v>
      </c>
      <c r="L120" s="4172"/>
      <c r="M120" s="4152" t="s">
        <v>2290</v>
      </c>
      <c r="N120" s="4152"/>
      <c r="O120" s="4153"/>
      <c r="P120" s="4153"/>
      <c r="Q120" s="4153"/>
      <c r="R120" s="4153"/>
      <c r="S120" s="615"/>
      <c r="T120" s="4154" t="s">
        <v>2291</v>
      </c>
      <c r="U120" s="4155"/>
      <c r="V120" s="4155"/>
      <c r="W120" s="4155" t="s">
        <v>2292</v>
      </c>
      <c r="X120" s="4155"/>
      <c r="Y120" s="4155"/>
      <c r="Z120" s="4154"/>
      <c r="AA120" s="4154"/>
      <c r="AB120" s="348" t="s">
        <v>476</v>
      </c>
      <c r="AC120" s="4169"/>
      <c r="AD120" s="616"/>
    </row>
    <row r="121" spans="1:30" x14ac:dyDescent="0.3">
      <c r="A121" s="569">
        <v>6</v>
      </c>
      <c r="B121" s="4156" t="s">
        <v>518</v>
      </c>
      <c r="C121" s="4157"/>
      <c r="D121" s="4157"/>
      <c r="E121" s="4158"/>
      <c r="F121" s="4040"/>
      <c r="G121" s="4040"/>
      <c r="H121" s="4040"/>
      <c r="I121" s="4040"/>
      <c r="J121" s="4040"/>
      <c r="K121" s="4040"/>
      <c r="L121" s="4041"/>
      <c r="M121" s="4159" t="s">
        <v>520</v>
      </c>
      <c r="N121" s="617" t="s">
        <v>2280</v>
      </c>
      <c r="O121" s="4039"/>
      <c r="P121" s="4040"/>
      <c r="Q121" s="4040"/>
      <c r="R121" s="4040"/>
      <c r="S121" s="4040"/>
      <c r="T121" s="617" t="s">
        <v>2293</v>
      </c>
      <c r="U121" s="4040"/>
      <c r="V121" s="4040"/>
      <c r="W121" s="4040"/>
      <c r="X121" s="4040"/>
      <c r="Y121" s="4041"/>
      <c r="Z121" s="618"/>
      <c r="AA121" s="619"/>
      <c r="AB121" s="598"/>
      <c r="AC121" s="4169"/>
      <c r="AD121" s="263" t="e">
        <v>#N/A</v>
      </c>
    </row>
    <row r="122" spans="1:30" ht="15" customHeight="1" x14ac:dyDescent="0.3">
      <c r="A122" s="569">
        <v>7</v>
      </c>
      <c r="B122" s="4053"/>
      <c r="C122" s="4054"/>
      <c r="D122" s="4054"/>
      <c r="E122" s="4018"/>
      <c r="F122" s="4018"/>
      <c r="G122" s="4018"/>
      <c r="H122" s="4018"/>
      <c r="I122" s="4018"/>
      <c r="J122" s="4018"/>
      <c r="K122" s="4018"/>
      <c r="L122" s="4162"/>
      <c r="M122" s="4160"/>
      <c r="N122" s="620" t="s">
        <v>526</v>
      </c>
      <c r="O122" s="4163"/>
      <c r="P122" s="4018"/>
      <c r="Q122" s="4018"/>
      <c r="R122" s="4018"/>
      <c r="S122" s="4018"/>
      <c r="T122" s="620" t="s">
        <v>2295</v>
      </c>
      <c r="U122" s="4164"/>
      <c r="V122" s="4164"/>
      <c r="W122" s="4164"/>
      <c r="X122" s="4164"/>
      <c r="Y122" s="4165"/>
      <c r="Z122" s="621"/>
      <c r="AA122" s="622" t="s">
        <v>2296</v>
      </c>
      <c r="AB122" s="623"/>
      <c r="AC122" s="4169"/>
      <c r="AD122" s="263" t="e">
        <v>#N/A</v>
      </c>
    </row>
    <row r="123" spans="1:30" ht="15" customHeight="1" x14ac:dyDescent="0.3">
      <c r="A123" s="569">
        <v>8</v>
      </c>
      <c r="B123" s="4053"/>
      <c r="C123" s="4054"/>
      <c r="D123" s="4054"/>
      <c r="E123" s="4018"/>
      <c r="F123" s="4018"/>
      <c r="G123" s="4018"/>
      <c r="H123" s="4018"/>
      <c r="I123" s="4018"/>
      <c r="J123" s="4018"/>
      <c r="K123" s="4018"/>
      <c r="L123" s="4162"/>
      <c r="M123" s="4160"/>
      <c r="N123" s="620" t="s">
        <v>133</v>
      </c>
      <c r="O123" s="4163"/>
      <c r="P123" s="4018"/>
      <c r="Q123" s="4018"/>
      <c r="R123" s="4018"/>
      <c r="S123" s="4018"/>
      <c r="T123" s="624" t="e">
        <v>#N/A</v>
      </c>
      <c r="U123" s="4166"/>
      <c r="V123" s="4166"/>
      <c r="W123" s="4166"/>
      <c r="X123" s="4166"/>
      <c r="Y123" s="4167"/>
      <c r="Z123" s="621"/>
      <c r="AA123" s="625"/>
      <c r="AB123" s="623"/>
      <c r="AC123" s="4169"/>
      <c r="AD123" s="263" t="e">
        <v>#N/A</v>
      </c>
    </row>
    <row r="124" spans="1:30" ht="15.75" customHeight="1" thickBot="1" x14ac:dyDescent="0.35">
      <c r="A124" s="569">
        <v>9</v>
      </c>
      <c r="B124" s="4055"/>
      <c r="C124" s="4056"/>
      <c r="D124" s="4056"/>
      <c r="E124" s="4014"/>
      <c r="F124" s="4014"/>
      <c r="G124" s="4014"/>
      <c r="H124" s="4014"/>
      <c r="I124" s="4014"/>
      <c r="J124" s="4014"/>
      <c r="K124" s="4014"/>
      <c r="L124" s="4015"/>
      <c r="M124" s="4161"/>
      <c r="N124" s="626" t="s">
        <v>2299</v>
      </c>
      <c r="O124" s="4013"/>
      <c r="P124" s="4014"/>
      <c r="Q124" s="4014"/>
      <c r="R124" s="4014"/>
      <c r="S124" s="4014"/>
      <c r="T124" s="627" t="e">
        <v>#N/A</v>
      </c>
      <c r="U124" s="4014"/>
      <c r="V124" s="4014"/>
      <c r="W124" s="4014"/>
      <c r="X124" s="4014"/>
      <c r="Y124" s="4015"/>
      <c r="Z124" s="628"/>
      <c r="AA124" s="629" t="e">
        <v>#N/A</v>
      </c>
      <c r="AB124" s="630"/>
      <c r="AC124" s="4170"/>
      <c r="AD124" s="263" t="e">
        <v>#N/A</v>
      </c>
    </row>
    <row r="125" spans="1:30" ht="38.25" customHeight="1" x14ac:dyDescent="0.3">
      <c r="A125" s="596">
        <v>1</v>
      </c>
      <c r="B125" s="345" t="s">
        <v>455</v>
      </c>
      <c r="C125" s="345" t="s">
        <v>16</v>
      </c>
      <c r="D125" s="345" t="s">
        <v>531</v>
      </c>
      <c r="E125" s="345" t="s">
        <v>532</v>
      </c>
      <c r="F125" s="345" t="s">
        <v>499</v>
      </c>
      <c r="G125" s="345" t="s">
        <v>533</v>
      </c>
      <c r="H125" s="345" t="s">
        <v>2278</v>
      </c>
      <c r="I125" s="345" t="s">
        <v>494</v>
      </c>
      <c r="J125" s="345" t="s">
        <v>2279</v>
      </c>
      <c r="K125" s="4021" t="s">
        <v>463</v>
      </c>
      <c r="L125" s="4021"/>
      <c r="M125" s="4021" t="s">
        <v>464</v>
      </c>
      <c r="N125" s="4021"/>
      <c r="O125" s="345" t="s">
        <v>2280</v>
      </c>
      <c r="P125" s="345" t="s">
        <v>2281</v>
      </c>
      <c r="Q125" s="345" t="s">
        <v>2282</v>
      </c>
      <c r="R125" s="345" t="s">
        <v>469</v>
      </c>
      <c r="S125" s="345" t="s">
        <v>1757</v>
      </c>
      <c r="T125" s="345" t="s">
        <v>470</v>
      </c>
      <c r="U125" s="345" t="s">
        <v>2283</v>
      </c>
      <c r="V125" s="345" t="s">
        <v>1759</v>
      </c>
      <c r="W125" s="345" t="s">
        <v>472</v>
      </c>
      <c r="X125" s="345" t="s">
        <v>2284</v>
      </c>
      <c r="Y125" s="345" t="s">
        <v>474</v>
      </c>
      <c r="Z125" s="345" t="s">
        <v>133</v>
      </c>
      <c r="AA125" s="345" t="s">
        <v>475</v>
      </c>
      <c r="AB125" s="348" t="s">
        <v>476</v>
      </c>
      <c r="AC125" s="347" t="s">
        <v>477</v>
      </c>
    </row>
    <row r="126" spans="1:30" ht="25.5" customHeight="1" x14ac:dyDescent="0.3">
      <c r="A126" s="596">
        <v>2</v>
      </c>
      <c r="B126" s="350"/>
      <c r="C126" s="350"/>
      <c r="D126" s="352"/>
      <c r="E126" s="352"/>
      <c r="F126" s="352"/>
      <c r="G126" s="353"/>
      <c r="H126" s="352"/>
      <c r="I126" s="352"/>
      <c r="J126" s="597"/>
      <c r="K126" s="4151"/>
      <c r="L126" s="4151"/>
      <c r="M126" s="4151"/>
      <c r="N126" s="4151"/>
      <c r="O126" s="352"/>
      <c r="P126" s="352"/>
      <c r="Q126" s="352"/>
      <c r="R126" s="352"/>
      <c r="S126" s="360"/>
      <c r="T126" s="352"/>
      <c r="U126" s="352"/>
      <c r="V126" s="352"/>
      <c r="W126" s="360"/>
      <c r="X126" s="361"/>
      <c r="Y126" s="352"/>
      <c r="Z126" s="361"/>
      <c r="AA126" s="361"/>
      <c r="AB126" s="598"/>
      <c r="AC126" s="4168"/>
    </row>
    <row r="127" spans="1:30" s="319" customFormat="1" ht="15.6" x14ac:dyDescent="0.2">
      <c r="A127" s="596">
        <v>3</v>
      </c>
      <c r="B127" s="365"/>
      <c r="C127" s="366"/>
      <c r="D127" s="367"/>
      <c r="E127" s="368"/>
      <c r="F127" s="367"/>
      <c r="G127" s="599" t="s">
        <v>492</v>
      </c>
      <c r="H127" s="367"/>
      <c r="I127" s="367"/>
      <c r="J127" s="600" t="s">
        <v>1753</v>
      </c>
      <c r="K127" s="4171" t="s">
        <v>2286</v>
      </c>
      <c r="L127" s="4171"/>
      <c r="M127" s="4171" t="s">
        <v>2287</v>
      </c>
      <c r="N127" s="4171"/>
      <c r="O127" s="4171" t="s">
        <v>2281</v>
      </c>
      <c r="P127" s="4171"/>
      <c r="Q127" s="4171" t="s">
        <v>496</v>
      </c>
      <c r="R127" s="4171"/>
      <c r="S127" s="601" t="s">
        <v>2288</v>
      </c>
      <c r="T127" s="602" t="s">
        <v>497</v>
      </c>
      <c r="U127" s="603" t="s">
        <v>498</v>
      </c>
      <c r="V127" s="603" t="s">
        <v>499</v>
      </c>
      <c r="W127" s="601" t="s">
        <v>500</v>
      </c>
      <c r="X127" s="600" t="s">
        <v>501</v>
      </c>
      <c r="Y127" s="600" t="s">
        <v>502</v>
      </c>
      <c r="Z127" s="600" t="s">
        <v>503</v>
      </c>
      <c r="AA127" s="604" t="s">
        <v>504</v>
      </c>
      <c r="AB127" s="348" t="s">
        <v>476</v>
      </c>
      <c r="AC127" s="4169"/>
      <c r="AD127" s="318"/>
    </row>
    <row r="128" spans="1:30" ht="25.5" customHeight="1" x14ac:dyDescent="0.35">
      <c r="A128" s="569">
        <v>4</v>
      </c>
      <c r="B128" s="4173" t="str">
        <f>CONCATENATE(I126," ",D126,E126," ",F126)</f>
        <v xml:space="preserve">  </v>
      </c>
      <c r="C128" s="4173"/>
      <c r="D128" s="4173"/>
      <c r="E128" s="4174" t="s">
        <v>541</v>
      </c>
      <c r="F128" s="4043"/>
      <c r="G128" s="377"/>
      <c r="H128" s="605"/>
      <c r="I128" s="605"/>
      <c r="J128" s="377"/>
      <c r="K128" s="4151"/>
      <c r="L128" s="4151"/>
      <c r="M128" s="4151"/>
      <c r="N128" s="4151"/>
      <c r="O128" s="4175"/>
      <c r="P128" s="4175"/>
      <c r="Q128" s="4175"/>
      <c r="R128" s="4175"/>
      <c r="S128" s="377"/>
      <c r="T128" s="606"/>
      <c r="U128" s="606"/>
      <c r="V128" s="606"/>
      <c r="W128" s="607"/>
      <c r="X128" s="607"/>
      <c r="Y128" s="607"/>
      <c r="Z128" s="607"/>
      <c r="AA128" s="608"/>
      <c r="AB128" s="598"/>
      <c r="AC128" s="4169"/>
    </row>
    <row r="129" spans="1:30" s="610" customFormat="1" ht="15.75" customHeight="1" x14ac:dyDescent="0.3">
      <c r="A129" s="569">
        <v>5</v>
      </c>
      <c r="B129" s="609"/>
      <c r="E129" s="611" t="s">
        <v>510</v>
      </c>
      <c r="F129" s="611"/>
      <c r="G129" s="612" t="s">
        <v>42</v>
      </c>
      <c r="H129" s="613"/>
      <c r="I129" s="614"/>
      <c r="J129" s="612" t="s">
        <v>42</v>
      </c>
      <c r="K129" s="4172" t="s">
        <v>2289</v>
      </c>
      <c r="L129" s="4172"/>
      <c r="M129" s="4152" t="s">
        <v>2290</v>
      </c>
      <c r="N129" s="4152"/>
      <c r="O129" s="4153"/>
      <c r="P129" s="4153"/>
      <c r="Q129" s="4153"/>
      <c r="R129" s="4153"/>
      <c r="S129" s="615"/>
      <c r="T129" s="4154" t="s">
        <v>2291</v>
      </c>
      <c r="U129" s="4155"/>
      <c r="V129" s="4155"/>
      <c r="W129" s="4155" t="s">
        <v>2292</v>
      </c>
      <c r="X129" s="4155"/>
      <c r="Y129" s="4155"/>
      <c r="Z129" s="4154"/>
      <c r="AA129" s="4154"/>
      <c r="AB129" s="348" t="s">
        <v>476</v>
      </c>
      <c r="AC129" s="4169"/>
      <c r="AD129" s="616"/>
    </row>
    <row r="130" spans="1:30" x14ac:dyDescent="0.3">
      <c r="A130" s="569">
        <v>6</v>
      </c>
      <c r="B130" s="4156" t="s">
        <v>518</v>
      </c>
      <c r="C130" s="4157"/>
      <c r="D130" s="4157"/>
      <c r="E130" s="4158"/>
      <c r="F130" s="4040"/>
      <c r="G130" s="4040"/>
      <c r="H130" s="4040"/>
      <c r="I130" s="4040"/>
      <c r="J130" s="4040"/>
      <c r="K130" s="4040"/>
      <c r="L130" s="4041"/>
      <c r="M130" s="4159" t="s">
        <v>520</v>
      </c>
      <c r="N130" s="617" t="s">
        <v>2280</v>
      </c>
      <c r="O130" s="4039"/>
      <c r="P130" s="4040"/>
      <c r="Q130" s="4040"/>
      <c r="R130" s="4040"/>
      <c r="S130" s="4040"/>
      <c r="T130" s="617" t="s">
        <v>2293</v>
      </c>
      <c r="U130" s="4040"/>
      <c r="V130" s="4040"/>
      <c r="W130" s="4040"/>
      <c r="X130" s="4040"/>
      <c r="Y130" s="4041"/>
      <c r="Z130" s="618"/>
      <c r="AA130" s="619"/>
      <c r="AB130" s="598"/>
      <c r="AC130" s="4169"/>
      <c r="AD130" s="263" t="e">
        <v>#N/A</v>
      </c>
    </row>
    <row r="131" spans="1:30" ht="15" customHeight="1" x14ac:dyDescent="0.3">
      <c r="A131" s="569">
        <v>7</v>
      </c>
      <c r="B131" s="4053"/>
      <c r="C131" s="4054"/>
      <c r="D131" s="4054"/>
      <c r="E131" s="4018"/>
      <c r="F131" s="4018"/>
      <c r="G131" s="4018"/>
      <c r="H131" s="4018"/>
      <c r="I131" s="4018"/>
      <c r="J131" s="4018"/>
      <c r="K131" s="4018"/>
      <c r="L131" s="4162"/>
      <c r="M131" s="4160"/>
      <c r="N131" s="620" t="s">
        <v>526</v>
      </c>
      <c r="O131" s="4163"/>
      <c r="P131" s="4018"/>
      <c r="Q131" s="4018"/>
      <c r="R131" s="4018"/>
      <c r="S131" s="4018"/>
      <c r="T131" s="620" t="s">
        <v>2295</v>
      </c>
      <c r="U131" s="4164"/>
      <c r="V131" s="4164"/>
      <c r="W131" s="4164"/>
      <c r="X131" s="4164"/>
      <c r="Y131" s="4165"/>
      <c r="Z131" s="621"/>
      <c r="AA131" s="622" t="s">
        <v>2296</v>
      </c>
      <c r="AB131" s="623"/>
      <c r="AC131" s="4169"/>
      <c r="AD131" s="263" t="e">
        <v>#N/A</v>
      </c>
    </row>
    <row r="132" spans="1:30" ht="15" customHeight="1" x14ac:dyDescent="0.3">
      <c r="A132" s="569">
        <v>8</v>
      </c>
      <c r="B132" s="4053"/>
      <c r="C132" s="4054"/>
      <c r="D132" s="4054"/>
      <c r="E132" s="4018"/>
      <c r="F132" s="4018"/>
      <c r="G132" s="4018"/>
      <c r="H132" s="4018"/>
      <c r="I132" s="4018"/>
      <c r="J132" s="4018"/>
      <c r="K132" s="4018"/>
      <c r="L132" s="4162"/>
      <c r="M132" s="4160"/>
      <c r="N132" s="620" t="s">
        <v>133</v>
      </c>
      <c r="O132" s="4163"/>
      <c r="P132" s="4018"/>
      <c r="Q132" s="4018"/>
      <c r="R132" s="4018"/>
      <c r="S132" s="4018"/>
      <c r="T132" s="624" t="e">
        <v>#N/A</v>
      </c>
      <c r="U132" s="4166"/>
      <c r="V132" s="4166"/>
      <c r="W132" s="4166"/>
      <c r="X132" s="4166"/>
      <c r="Y132" s="4167"/>
      <c r="Z132" s="621"/>
      <c r="AA132" s="625"/>
      <c r="AB132" s="623"/>
      <c r="AC132" s="4169"/>
      <c r="AD132" s="263" t="e">
        <v>#N/A</v>
      </c>
    </row>
    <row r="133" spans="1:30" ht="15.75" customHeight="1" thickBot="1" x14ac:dyDescent="0.35">
      <c r="A133" s="569">
        <v>9</v>
      </c>
      <c r="B133" s="4055"/>
      <c r="C133" s="4056"/>
      <c r="D133" s="4056"/>
      <c r="E133" s="4014"/>
      <c r="F133" s="4014"/>
      <c r="G133" s="4014"/>
      <c r="H133" s="4014"/>
      <c r="I133" s="4014"/>
      <c r="J133" s="4014"/>
      <c r="K133" s="4014"/>
      <c r="L133" s="4015"/>
      <c r="M133" s="4161"/>
      <c r="N133" s="626" t="s">
        <v>2299</v>
      </c>
      <c r="O133" s="4013"/>
      <c r="P133" s="4014"/>
      <c r="Q133" s="4014"/>
      <c r="R133" s="4014"/>
      <c r="S133" s="4014"/>
      <c r="T133" s="627" t="e">
        <v>#N/A</v>
      </c>
      <c r="U133" s="4014"/>
      <c r="V133" s="4014"/>
      <c r="W133" s="4014"/>
      <c r="X133" s="4014"/>
      <c r="Y133" s="4015"/>
      <c r="Z133" s="628"/>
      <c r="AA133" s="629" t="e">
        <v>#N/A</v>
      </c>
      <c r="AB133" s="630"/>
      <c r="AC133" s="4170"/>
      <c r="AD133" s="263" t="e">
        <v>#N/A</v>
      </c>
    </row>
    <row r="134" spans="1:30" ht="38.25" customHeight="1" x14ac:dyDescent="0.3">
      <c r="A134" s="596">
        <v>1</v>
      </c>
      <c r="B134" s="345" t="s">
        <v>455</v>
      </c>
      <c r="C134" s="345" t="s">
        <v>16</v>
      </c>
      <c r="D134" s="345" t="s">
        <v>531</v>
      </c>
      <c r="E134" s="345" t="s">
        <v>532</v>
      </c>
      <c r="F134" s="345" t="s">
        <v>499</v>
      </c>
      <c r="G134" s="345" t="s">
        <v>533</v>
      </c>
      <c r="H134" s="345" t="s">
        <v>2278</v>
      </c>
      <c r="I134" s="345" t="s">
        <v>494</v>
      </c>
      <c r="J134" s="345" t="s">
        <v>2279</v>
      </c>
      <c r="K134" s="4021" t="s">
        <v>463</v>
      </c>
      <c r="L134" s="4021"/>
      <c r="M134" s="4021" t="s">
        <v>464</v>
      </c>
      <c r="N134" s="4021"/>
      <c r="O134" s="345" t="s">
        <v>2280</v>
      </c>
      <c r="P134" s="345" t="s">
        <v>2281</v>
      </c>
      <c r="Q134" s="345" t="s">
        <v>2282</v>
      </c>
      <c r="R134" s="345" t="s">
        <v>469</v>
      </c>
      <c r="S134" s="345" t="s">
        <v>1757</v>
      </c>
      <c r="T134" s="345" t="s">
        <v>470</v>
      </c>
      <c r="U134" s="345" t="s">
        <v>2283</v>
      </c>
      <c r="V134" s="345" t="s">
        <v>1759</v>
      </c>
      <c r="W134" s="345" t="s">
        <v>472</v>
      </c>
      <c r="X134" s="345" t="s">
        <v>2284</v>
      </c>
      <c r="Y134" s="345" t="s">
        <v>474</v>
      </c>
      <c r="Z134" s="345" t="s">
        <v>133</v>
      </c>
      <c r="AA134" s="345" t="s">
        <v>475</v>
      </c>
      <c r="AB134" s="348" t="s">
        <v>476</v>
      </c>
      <c r="AC134" s="347" t="s">
        <v>477</v>
      </c>
    </row>
    <row r="135" spans="1:30" ht="25.5" customHeight="1" x14ac:dyDescent="0.3">
      <c r="A135" s="596">
        <v>2</v>
      </c>
      <c r="B135" s="350"/>
      <c r="C135" s="350"/>
      <c r="D135" s="352"/>
      <c r="E135" s="352"/>
      <c r="F135" s="352"/>
      <c r="G135" s="353"/>
      <c r="H135" s="352"/>
      <c r="I135" s="352"/>
      <c r="J135" s="597"/>
      <c r="K135" s="4151"/>
      <c r="L135" s="4151"/>
      <c r="M135" s="4151"/>
      <c r="N135" s="4151"/>
      <c r="O135" s="352"/>
      <c r="P135" s="352"/>
      <c r="Q135" s="352"/>
      <c r="R135" s="352"/>
      <c r="S135" s="360"/>
      <c r="T135" s="352"/>
      <c r="U135" s="352"/>
      <c r="V135" s="352"/>
      <c r="W135" s="360"/>
      <c r="X135" s="361"/>
      <c r="Y135" s="352"/>
      <c r="Z135" s="361"/>
      <c r="AA135" s="361"/>
      <c r="AB135" s="598"/>
      <c r="AC135" s="4168"/>
    </row>
    <row r="136" spans="1:30" s="319" customFormat="1" ht="15.6" x14ac:dyDescent="0.2">
      <c r="A136" s="596">
        <v>3</v>
      </c>
      <c r="B136" s="365"/>
      <c r="C136" s="366"/>
      <c r="D136" s="367"/>
      <c r="E136" s="368"/>
      <c r="F136" s="367"/>
      <c r="G136" s="599" t="s">
        <v>492</v>
      </c>
      <c r="H136" s="367"/>
      <c r="I136" s="367"/>
      <c r="J136" s="600" t="s">
        <v>1753</v>
      </c>
      <c r="K136" s="4171" t="s">
        <v>2286</v>
      </c>
      <c r="L136" s="4171"/>
      <c r="M136" s="4171" t="s">
        <v>2287</v>
      </c>
      <c r="N136" s="4171"/>
      <c r="O136" s="4171" t="s">
        <v>2281</v>
      </c>
      <c r="P136" s="4171"/>
      <c r="Q136" s="4171" t="s">
        <v>496</v>
      </c>
      <c r="R136" s="4171"/>
      <c r="S136" s="601" t="s">
        <v>2288</v>
      </c>
      <c r="T136" s="602" t="s">
        <v>497</v>
      </c>
      <c r="U136" s="603" t="s">
        <v>498</v>
      </c>
      <c r="V136" s="603" t="s">
        <v>499</v>
      </c>
      <c r="W136" s="601" t="s">
        <v>500</v>
      </c>
      <c r="X136" s="600" t="s">
        <v>501</v>
      </c>
      <c r="Y136" s="600" t="s">
        <v>502</v>
      </c>
      <c r="Z136" s="600" t="s">
        <v>503</v>
      </c>
      <c r="AA136" s="604" t="s">
        <v>504</v>
      </c>
      <c r="AB136" s="348" t="s">
        <v>476</v>
      </c>
      <c r="AC136" s="4169"/>
      <c r="AD136" s="318"/>
    </row>
    <row r="137" spans="1:30" ht="25.5" customHeight="1" x14ac:dyDescent="0.35">
      <c r="A137" s="569">
        <v>4</v>
      </c>
      <c r="B137" s="4173" t="str">
        <f>CONCATENATE(I135," ",D135,E135," ",F135)</f>
        <v xml:space="preserve">  </v>
      </c>
      <c r="C137" s="4173"/>
      <c r="D137" s="4173"/>
      <c r="E137" s="4174" t="s">
        <v>541</v>
      </c>
      <c r="F137" s="4043"/>
      <c r="G137" s="377"/>
      <c r="H137" s="605"/>
      <c r="I137" s="605"/>
      <c r="J137" s="377"/>
      <c r="K137" s="4151"/>
      <c r="L137" s="4151"/>
      <c r="M137" s="4151"/>
      <c r="N137" s="4151"/>
      <c r="O137" s="4175"/>
      <c r="P137" s="4175"/>
      <c r="Q137" s="4175"/>
      <c r="R137" s="4175"/>
      <c r="S137" s="377"/>
      <c r="T137" s="606"/>
      <c r="U137" s="606"/>
      <c r="V137" s="606"/>
      <c r="W137" s="607"/>
      <c r="X137" s="607"/>
      <c r="Y137" s="607"/>
      <c r="Z137" s="607"/>
      <c r="AA137" s="608"/>
      <c r="AB137" s="598"/>
      <c r="AC137" s="4169"/>
    </row>
    <row r="138" spans="1:30" s="610" customFormat="1" ht="15.75" customHeight="1" x14ac:dyDescent="0.3">
      <c r="A138" s="569">
        <v>5</v>
      </c>
      <c r="B138" s="609"/>
      <c r="E138" s="611" t="s">
        <v>510</v>
      </c>
      <c r="F138" s="611"/>
      <c r="G138" s="612" t="s">
        <v>42</v>
      </c>
      <c r="H138" s="613"/>
      <c r="I138" s="614"/>
      <c r="J138" s="612" t="s">
        <v>42</v>
      </c>
      <c r="K138" s="4172" t="s">
        <v>2289</v>
      </c>
      <c r="L138" s="4172"/>
      <c r="M138" s="4152" t="s">
        <v>2290</v>
      </c>
      <c r="N138" s="4152"/>
      <c r="O138" s="4153"/>
      <c r="P138" s="4153"/>
      <c r="Q138" s="4153"/>
      <c r="R138" s="4153"/>
      <c r="S138" s="615"/>
      <c r="T138" s="4154" t="s">
        <v>2291</v>
      </c>
      <c r="U138" s="4155"/>
      <c r="V138" s="4155"/>
      <c r="W138" s="4155" t="s">
        <v>2292</v>
      </c>
      <c r="X138" s="4155"/>
      <c r="Y138" s="4155"/>
      <c r="Z138" s="4154"/>
      <c r="AA138" s="4154"/>
      <c r="AB138" s="348" t="s">
        <v>476</v>
      </c>
      <c r="AC138" s="4169"/>
      <c r="AD138" s="616"/>
    </row>
    <row r="139" spans="1:30" x14ac:dyDescent="0.3">
      <c r="A139" s="569">
        <v>6</v>
      </c>
      <c r="B139" s="4156" t="s">
        <v>518</v>
      </c>
      <c r="C139" s="4157"/>
      <c r="D139" s="4157"/>
      <c r="E139" s="4158"/>
      <c r="F139" s="4040"/>
      <c r="G139" s="4040"/>
      <c r="H139" s="4040"/>
      <c r="I139" s="4040"/>
      <c r="J139" s="4040"/>
      <c r="K139" s="4040"/>
      <c r="L139" s="4041"/>
      <c r="M139" s="4159" t="s">
        <v>520</v>
      </c>
      <c r="N139" s="617" t="s">
        <v>2280</v>
      </c>
      <c r="O139" s="4039"/>
      <c r="P139" s="4040"/>
      <c r="Q139" s="4040"/>
      <c r="R139" s="4040"/>
      <c r="S139" s="4040"/>
      <c r="T139" s="617" t="s">
        <v>2293</v>
      </c>
      <c r="U139" s="4040"/>
      <c r="V139" s="4040"/>
      <c r="W139" s="4040"/>
      <c r="X139" s="4040"/>
      <c r="Y139" s="4041"/>
      <c r="Z139" s="618"/>
      <c r="AA139" s="619"/>
      <c r="AB139" s="598"/>
      <c r="AC139" s="4169"/>
      <c r="AD139" s="263" t="e">
        <v>#N/A</v>
      </c>
    </row>
    <row r="140" spans="1:30" ht="15" customHeight="1" x14ac:dyDescent="0.3">
      <c r="A140" s="569">
        <v>7</v>
      </c>
      <c r="B140" s="4053"/>
      <c r="C140" s="4054"/>
      <c r="D140" s="4054"/>
      <c r="E140" s="4018"/>
      <c r="F140" s="4018"/>
      <c r="G140" s="4018"/>
      <c r="H140" s="4018"/>
      <c r="I140" s="4018"/>
      <c r="J140" s="4018"/>
      <c r="K140" s="4018"/>
      <c r="L140" s="4162"/>
      <c r="M140" s="4160"/>
      <c r="N140" s="620" t="s">
        <v>526</v>
      </c>
      <c r="O140" s="4163"/>
      <c r="P140" s="4018"/>
      <c r="Q140" s="4018"/>
      <c r="R140" s="4018"/>
      <c r="S140" s="4018"/>
      <c r="T140" s="620" t="s">
        <v>2295</v>
      </c>
      <c r="U140" s="4164"/>
      <c r="V140" s="4164"/>
      <c r="W140" s="4164"/>
      <c r="X140" s="4164"/>
      <c r="Y140" s="4165"/>
      <c r="Z140" s="621"/>
      <c r="AA140" s="622" t="s">
        <v>2296</v>
      </c>
      <c r="AB140" s="623"/>
      <c r="AC140" s="4169"/>
      <c r="AD140" s="263" t="e">
        <v>#N/A</v>
      </c>
    </row>
    <row r="141" spans="1:30" ht="15" customHeight="1" x14ac:dyDescent="0.3">
      <c r="A141" s="569">
        <v>8</v>
      </c>
      <c r="B141" s="4053"/>
      <c r="C141" s="4054"/>
      <c r="D141" s="4054"/>
      <c r="E141" s="4018"/>
      <c r="F141" s="4018"/>
      <c r="G141" s="4018"/>
      <c r="H141" s="4018"/>
      <c r="I141" s="4018"/>
      <c r="J141" s="4018"/>
      <c r="K141" s="4018"/>
      <c r="L141" s="4162"/>
      <c r="M141" s="4160"/>
      <c r="N141" s="620" t="s">
        <v>133</v>
      </c>
      <c r="O141" s="4163"/>
      <c r="P141" s="4018"/>
      <c r="Q141" s="4018"/>
      <c r="R141" s="4018"/>
      <c r="S141" s="4018"/>
      <c r="T141" s="624" t="e">
        <v>#N/A</v>
      </c>
      <c r="U141" s="4166"/>
      <c r="V141" s="4166"/>
      <c r="W141" s="4166"/>
      <c r="X141" s="4166"/>
      <c r="Y141" s="4167"/>
      <c r="Z141" s="621"/>
      <c r="AA141" s="625"/>
      <c r="AB141" s="623"/>
      <c r="AC141" s="4169"/>
      <c r="AD141" s="263" t="e">
        <v>#N/A</v>
      </c>
    </row>
    <row r="142" spans="1:30" ht="15.75" customHeight="1" thickBot="1" x14ac:dyDescent="0.35">
      <c r="A142" s="569">
        <v>9</v>
      </c>
      <c r="B142" s="4055"/>
      <c r="C142" s="4056"/>
      <c r="D142" s="4056"/>
      <c r="E142" s="4014"/>
      <c r="F142" s="4014"/>
      <c r="G142" s="4014"/>
      <c r="H142" s="4014"/>
      <c r="I142" s="4014"/>
      <c r="J142" s="4014"/>
      <c r="K142" s="4014"/>
      <c r="L142" s="4015"/>
      <c r="M142" s="4161"/>
      <c r="N142" s="626" t="s">
        <v>2299</v>
      </c>
      <c r="O142" s="4013"/>
      <c r="P142" s="4014"/>
      <c r="Q142" s="4014"/>
      <c r="R142" s="4014"/>
      <c r="S142" s="4014"/>
      <c r="T142" s="627" t="e">
        <v>#N/A</v>
      </c>
      <c r="U142" s="4014"/>
      <c r="V142" s="4014"/>
      <c r="W142" s="4014"/>
      <c r="X142" s="4014"/>
      <c r="Y142" s="4015"/>
      <c r="Z142" s="628"/>
      <c r="AA142" s="629" t="e">
        <v>#N/A</v>
      </c>
      <c r="AB142" s="630"/>
      <c r="AC142" s="4170"/>
      <c r="AD142" s="263" t="e">
        <v>#N/A</v>
      </c>
    </row>
    <row r="143" spans="1:30" ht="38.25" customHeight="1" x14ac:dyDescent="0.3">
      <c r="A143" s="596">
        <v>1</v>
      </c>
      <c r="B143" s="345" t="s">
        <v>455</v>
      </c>
      <c r="C143" s="345" t="s">
        <v>16</v>
      </c>
      <c r="D143" s="345" t="s">
        <v>531</v>
      </c>
      <c r="E143" s="345" t="s">
        <v>532</v>
      </c>
      <c r="F143" s="345" t="s">
        <v>499</v>
      </c>
      <c r="G143" s="345" t="s">
        <v>533</v>
      </c>
      <c r="H143" s="345" t="s">
        <v>2278</v>
      </c>
      <c r="I143" s="345" t="s">
        <v>494</v>
      </c>
      <c r="J143" s="345" t="s">
        <v>2279</v>
      </c>
      <c r="K143" s="4021" t="s">
        <v>463</v>
      </c>
      <c r="L143" s="4021"/>
      <c r="M143" s="4021" t="s">
        <v>464</v>
      </c>
      <c r="N143" s="4021"/>
      <c r="O143" s="345" t="s">
        <v>2280</v>
      </c>
      <c r="P143" s="345" t="s">
        <v>2281</v>
      </c>
      <c r="Q143" s="345" t="s">
        <v>2282</v>
      </c>
      <c r="R143" s="345" t="s">
        <v>469</v>
      </c>
      <c r="S143" s="345" t="s">
        <v>1757</v>
      </c>
      <c r="T143" s="345" t="s">
        <v>470</v>
      </c>
      <c r="U143" s="345" t="s">
        <v>2283</v>
      </c>
      <c r="V143" s="345" t="s">
        <v>1759</v>
      </c>
      <c r="W143" s="345" t="s">
        <v>472</v>
      </c>
      <c r="X143" s="345" t="s">
        <v>2284</v>
      </c>
      <c r="Y143" s="345" t="s">
        <v>474</v>
      </c>
      <c r="Z143" s="345" t="s">
        <v>133</v>
      </c>
      <c r="AA143" s="345" t="s">
        <v>475</v>
      </c>
      <c r="AB143" s="348" t="s">
        <v>476</v>
      </c>
      <c r="AC143" s="347" t="s">
        <v>477</v>
      </c>
    </row>
    <row r="144" spans="1:30" ht="25.5" customHeight="1" x14ac:dyDescent="0.3">
      <c r="A144" s="596">
        <v>2</v>
      </c>
      <c r="B144" s="350"/>
      <c r="C144" s="350"/>
      <c r="D144" s="352"/>
      <c r="E144" s="352"/>
      <c r="F144" s="352"/>
      <c r="G144" s="353"/>
      <c r="H144" s="352"/>
      <c r="I144" s="352"/>
      <c r="J144" s="597"/>
      <c r="K144" s="4151"/>
      <c r="L144" s="4151"/>
      <c r="M144" s="4151"/>
      <c r="N144" s="4151"/>
      <c r="O144" s="352"/>
      <c r="P144" s="352"/>
      <c r="Q144" s="352"/>
      <c r="R144" s="352"/>
      <c r="S144" s="360"/>
      <c r="T144" s="352"/>
      <c r="U144" s="352"/>
      <c r="V144" s="352"/>
      <c r="W144" s="360"/>
      <c r="X144" s="361"/>
      <c r="Y144" s="352"/>
      <c r="Z144" s="361"/>
      <c r="AA144" s="361"/>
      <c r="AB144" s="598"/>
      <c r="AC144" s="4168"/>
    </row>
    <row r="145" spans="1:30" s="319" customFormat="1" ht="15.6" x14ac:dyDescent="0.2">
      <c r="A145" s="596">
        <v>3</v>
      </c>
      <c r="B145" s="365"/>
      <c r="C145" s="366"/>
      <c r="D145" s="367"/>
      <c r="E145" s="368"/>
      <c r="F145" s="367"/>
      <c r="G145" s="599" t="s">
        <v>492</v>
      </c>
      <c r="H145" s="367"/>
      <c r="I145" s="367"/>
      <c r="J145" s="600" t="s">
        <v>1753</v>
      </c>
      <c r="K145" s="4171" t="s">
        <v>2286</v>
      </c>
      <c r="L145" s="4171"/>
      <c r="M145" s="4171" t="s">
        <v>2287</v>
      </c>
      <c r="N145" s="4171"/>
      <c r="O145" s="4171" t="s">
        <v>2281</v>
      </c>
      <c r="P145" s="4171"/>
      <c r="Q145" s="4171" t="s">
        <v>496</v>
      </c>
      <c r="R145" s="4171"/>
      <c r="S145" s="601" t="s">
        <v>2288</v>
      </c>
      <c r="T145" s="602" t="s">
        <v>497</v>
      </c>
      <c r="U145" s="603" t="s">
        <v>498</v>
      </c>
      <c r="V145" s="603" t="s">
        <v>499</v>
      </c>
      <c r="W145" s="601" t="s">
        <v>500</v>
      </c>
      <c r="X145" s="600" t="s">
        <v>501</v>
      </c>
      <c r="Y145" s="600" t="s">
        <v>502</v>
      </c>
      <c r="Z145" s="600" t="s">
        <v>503</v>
      </c>
      <c r="AA145" s="604" t="s">
        <v>504</v>
      </c>
      <c r="AB145" s="348" t="s">
        <v>476</v>
      </c>
      <c r="AC145" s="4169"/>
      <c r="AD145" s="318"/>
    </row>
    <row r="146" spans="1:30" ht="25.5" customHeight="1" x14ac:dyDescent="0.35">
      <c r="A146" s="569">
        <v>4</v>
      </c>
      <c r="B146" s="4173" t="str">
        <f>CONCATENATE(I144," ",D144,E144," ",F144)</f>
        <v xml:space="preserve">  </v>
      </c>
      <c r="C146" s="4173"/>
      <c r="D146" s="4173"/>
      <c r="E146" s="4174" t="s">
        <v>541</v>
      </c>
      <c r="F146" s="4043"/>
      <c r="G146" s="377"/>
      <c r="H146" s="605"/>
      <c r="I146" s="605"/>
      <c r="J146" s="377"/>
      <c r="K146" s="4151"/>
      <c r="L146" s="4151"/>
      <c r="M146" s="4151"/>
      <c r="N146" s="4151"/>
      <c r="O146" s="4175"/>
      <c r="P146" s="4175"/>
      <c r="Q146" s="4175"/>
      <c r="R146" s="4175"/>
      <c r="S146" s="377"/>
      <c r="T146" s="606"/>
      <c r="U146" s="606"/>
      <c r="V146" s="606"/>
      <c r="W146" s="607"/>
      <c r="X146" s="607"/>
      <c r="Y146" s="607"/>
      <c r="Z146" s="607"/>
      <c r="AA146" s="608"/>
      <c r="AB146" s="598"/>
      <c r="AC146" s="4169"/>
    </row>
    <row r="147" spans="1:30" s="610" customFormat="1" ht="15.75" customHeight="1" x14ac:dyDescent="0.3">
      <c r="A147" s="569">
        <v>5</v>
      </c>
      <c r="B147" s="609"/>
      <c r="E147" s="611" t="s">
        <v>510</v>
      </c>
      <c r="F147" s="611"/>
      <c r="G147" s="612" t="s">
        <v>42</v>
      </c>
      <c r="H147" s="613"/>
      <c r="I147" s="614"/>
      <c r="J147" s="612" t="s">
        <v>42</v>
      </c>
      <c r="K147" s="4172" t="s">
        <v>2289</v>
      </c>
      <c r="L147" s="4172"/>
      <c r="M147" s="4152" t="s">
        <v>2290</v>
      </c>
      <c r="N147" s="4152"/>
      <c r="O147" s="4153"/>
      <c r="P147" s="4153"/>
      <c r="Q147" s="4153"/>
      <c r="R147" s="4153"/>
      <c r="S147" s="615"/>
      <c r="T147" s="4154" t="s">
        <v>2291</v>
      </c>
      <c r="U147" s="4155"/>
      <c r="V147" s="4155"/>
      <c r="W147" s="4155" t="s">
        <v>2292</v>
      </c>
      <c r="X147" s="4155"/>
      <c r="Y147" s="4155"/>
      <c r="Z147" s="4154"/>
      <c r="AA147" s="4154"/>
      <c r="AB147" s="348" t="s">
        <v>476</v>
      </c>
      <c r="AC147" s="4169"/>
      <c r="AD147" s="616"/>
    </row>
    <row r="148" spans="1:30" x14ac:dyDescent="0.3">
      <c r="A148" s="569">
        <v>6</v>
      </c>
      <c r="B148" s="4156" t="s">
        <v>518</v>
      </c>
      <c r="C148" s="4157"/>
      <c r="D148" s="4157"/>
      <c r="E148" s="4158"/>
      <c r="F148" s="4040"/>
      <c r="G148" s="4040"/>
      <c r="H148" s="4040"/>
      <c r="I148" s="4040"/>
      <c r="J148" s="4040"/>
      <c r="K148" s="4040"/>
      <c r="L148" s="4041"/>
      <c r="M148" s="4159" t="s">
        <v>520</v>
      </c>
      <c r="N148" s="617" t="s">
        <v>2280</v>
      </c>
      <c r="O148" s="4039"/>
      <c r="P148" s="4040"/>
      <c r="Q148" s="4040"/>
      <c r="R148" s="4040"/>
      <c r="S148" s="4040"/>
      <c r="T148" s="617" t="s">
        <v>2293</v>
      </c>
      <c r="U148" s="4040"/>
      <c r="V148" s="4040"/>
      <c r="W148" s="4040"/>
      <c r="X148" s="4040"/>
      <c r="Y148" s="4041"/>
      <c r="Z148" s="618"/>
      <c r="AA148" s="619"/>
      <c r="AB148" s="598"/>
      <c r="AC148" s="4169"/>
      <c r="AD148" s="263" t="e">
        <v>#N/A</v>
      </c>
    </row>
    <row r="149" spans="1:30" ht="15" customHeight="1" x14ac:dyDescent="0.3">
      <c r="A149" s="569">
        <v>7</v>
      </c>
      <c r="B149" s="4053"/>
      <c r="C149" s="4054"/>
      <c r="D149" s="4054"/>
      <c r="E149" s="4018"/>
      <c r="F149" s="4018"/>
      <c r="G149" s="4018"/>
      <c r="H149" s="4018"/>
      <c r="I149" s="4018"/>
      <c r="J149" s="4018"/>
      <c r="K149" s="4018"/>
      <c r="L149" s="4162"/>
      <c r="M149" s="4160"/>
      <c r="N149" s="620" t="s">
        <v>526</v>
      </c>
      <c r="O149" s="4163"/>
      <c r="P149" s="4018"/>
      <c r="Q149" s="4018"/>
      <c r="R149" s="4018"/>
      <c r="S149" s="4018"/>
      <c r="T149" s="620" t="s">
        <v>2295</v>
      </c>
      <c r="U149" s="4164"/>
      <c r="V149" s="4164"/>
      <c r="W149" s="4164"/>
      <c r="X149" s="4164"/>
      <c r="Y149" s="4165"/>
      <c r="Z149" s="621"/>
      <c r="AA149" s="622" t="s">
        <v>2296</v>
      </c>
      <c r="AB149" s="623"/>
      <c r="AC149" s="4169"/>
      <c r="AD149" s="263" t="e">
        <v>#N/A</v>
      </c>
    </row>
    <row r="150" spans="1:30" ht="15" customHeight="1" x14ac:dyDescent="0.3">
      <c r="A150" s="569">
        <v>8</v>
      </c>
      <c r="B150" s="4053"/>
      <c r="C150" s="4054"/>
      <c r="D150" s="4054"/>
      <c r="E150" s="4018"/>
      <c r="F150" s="4018"/>
      <c r="G150" s="4018"/>
      <c r="H150" s="4018"/>
      <c r="I150" s="4018"/>
      <c r="J150" s="4018"/>
      <c r="K150" s="4018"/>
      <c r="L150" s="4162"/>
      <c r="M150" s="4160"/>
      <c r="N150" s="620" t="s">
        <v>133</v>
      </c>
      <c r="O150" s="4163"/>
      <c r="P150" s="4018"/>
      <c r="Q150" s="4018"/>
      <c r="R150" s="4018"/>
      <c r="S150" s="4018"/>
      <c r="T150" s="624" t="e">
        <v>#N/A</v>
      </c>
      <c r="U150" s="4166"/>
      <c r="V150" s="4166"/>
      <c r="W150" s="4166"/>
      <c r="X150" s="4166"/>
      <c r="Y150" s="4167"/>
      <c r="Z150" s="621"/>
      <c r="AA150" s="625"/>
      <c r="AB150" s="623"/>
      <c r="AC150" s="4169"/>
      <c r="AD150" s="263" t="e">
        <v>#N/A</v>
      </c>
    </row>
    <row r="151" spans="1:30" ht="15.75" customHeight="1" thickBot="1" x14ac:dyDescent="0.35">
      <c r="A151" s="569">
        <v>9</v>
      </c>
      <c r="B151" s="4055"/>
      <c r="C151" s="4056"/>
      <c r="D151" s="4056"/>
      <c r="E151" s="4014"/>
      <c r="F151" s="4014"/>
      <c r="G151" s="4014"/>
      <c r="H151" s="4014"/>
      <c r="I151" s="4014"/>
      <c r="J151" s="4014"/>
      <c r="K151" s="4014"/>
      <c r="L151" s="4015"/>
      <c r="M151" s="4161"/>
      <c r="N151" s="626" t="s">
        <v>2299</v>
      </c>
      <c r="O151" s="4013"/>
      <c r="P151" s="4014"/>
      <c r="Q151" s="4014"/>
      <c r="R151" s="4014"/>
      <c r="S151" s="4014"/>
      <c r="T151" s="627" t="e">
        <v>#N/A</v>
      </c>
      <c r="U151" s="4014"/>
      <c r="V151" s="4014"/>
      <c r="W151" s="4014"/>
      <c r="X151" s="4014"/>
      <c r="Y151" s="4015"/>
      <c r="Z151" s="628"/>
      <c r="AA151" s="629" t="e">
        <v>#N/A</v>
      </c>
      <c r="AB151" s="630"/>
      <c r="AC151" s="4170"/>
      <c r="AD151" s="263" t="e">
        <v>#N/A</v>
      </c>
    </row>
    <row r="152" spans="1:30" ht="38.25" customHeight="1" x14ac:dyDescent="0.3">
      <c r="A152" s="596">
        <v>1</v>
      </c>
      <c r="B152" s="345" t="s">
        <v>455</v>
      </c>
      <c r="C152" s="345" t="s">
        <v>16</v>
      </c>
      <c r="D152" s="345" t="s">
        <v>531</v>
      </c>
      <c r="E152" s="345" t="s">
        <v>532</v>
      </c>
      <c r="F152" s="345" t="s">
        <v>499</v>
      </c>
      <c r="G152" s="345" t="s">
        <v>533</v>
      </c>
      <c r="H152" s="345" t="s">
        <v>2278</v>
      </c>
      <c r="I152" s="345" t="s">
        <v>494</v>
      </c>
      <c r="J152" s="345" t="s">
        <v>2279</v>
      </c>
      <c r="K152" s="4021" t="s">
        <v>463</v>
      </c>
      <c r="L152" s="4021"/>
      <c r="M152" s="4021" t="s">
        <v>464</v>
      </c>
      <c r="N152" s="4021"/>
      <c r="O152" s="345" t="s">
        <v>2280</v>
      </c>
      <c r="P152" s="345" t="s">
        <v>2281</v>
      </c>
      <c r="Q152" s="345" t="s">
        <v>2282</v>
      </c>
      <c r="R152" s="345" t="s">
        <v>469</v>
      </c>
      <c r="S152" s="345" t="s">
        <v>1757</v>
      </c>
      <c r="T152" s="345" t="s">
        <v>470</v>
      </c>
      <c r="U152" s="345" t="s">
        <v>2283</v>
      </c>
      <c r="V152" s="345" t="s">
        <v>1759</v>
      </c>
      <c r="W152" s="345" t="s">
        <v>472</v>
      </c>
      <c r="X152" s="345" t="s">
        <v>2284</v>
      </c>
      <c r="Y152" s="345" t="s">
        <v>474</v>
      </c>
      <c r="Z152" s="345" t="s">
        <v>133</v>
      </c>
      <c r="AA152" s="345" t="s">
        <v>475</v>
      </c>
      <c r="AB152" s="348" t="s">
        <v>476</v>
      </c>
      <c r="AC152" s="347" t="s">
        <v>477</v>
      </c>
    </row>
    <row r="153" spans="1:30" ht="25.5" customHeight="1" x14ac:dyDescent="0.3">
      <c r="A153" s="596">
        <v>2</v>
      </c>
      <c r="B153" s="350"/>
      <c r="C153" s="350"/>
      <c r="D153" s="352"/>
      <c r="E153" s="352"/>
      <c r="F153" s="352"/>
      <c r="G153" s="353"/>
      <c r="H153" s="352"/>
      <c r="I153" s="352"/>
      <c r="J153" s="597"/>
      <c r="K153" s="4151"/>
      <c r="L153" s="4151"/>
      <c r="M153" s="4151"/>
      <c r="N153" s="4151"/>
      <c r="O153" s="352"/>
      <c r="P153" s="352"/>
      <c r="Q153" s="352"/>
      <c r="R153" s="352"/>
      <c r="S153" s="360"/>
      <c r="T153" s="352"/>
      <c r="U153" s="352"/>
      <c r="V153" s="352"/>
      <c r="W153" s="360"/>
      <c r="X153" s="361"/>
      <c r="Y153" s="352"/>
      <c r="Z153" s="361"/>
      <c r="AA153" s="361"/>
      <c r="AB153" s="598"/>
      <c r="AC153" s="4168"/>
    </row>
    <row r="154" spans="1:30" s="319" customFormat="1" ht="15.6" x14ac:dyDescent="0.2">
      <c r="A154" s="596">
        <v>3</v>
      </c>
      <c r="B154" s="365"/>
      <c r="C154" s="366"/>
      <c r="D154" s="367"/>
      <c r="E154" s="368"/>
      <c r="F154" s="367"/>
      <c r="G154" s="599" t="s">
        <v>492</v>
      </c>
      <c r="H154" s="367"/>
      <c r="I154" s="367"/>
      <c r="J154" s="600" t="s">
        <v>1753</v>
      </c>
      <c r="K154" s="4171" t="s">
        <v>2286</v>
      </c>
      <c r="L154" s="4171"/>
      <c r="M154" s="4171" t="s">
        <v>2287</v>
      </c>
      <c r="N154" s="4171"/>
      <c r="O154" s="4171" t="s">
        <v>2281</v>
      </c>
      <c r="P154" s="4171"/>
      <c r="Q154" s="4171" t="s">
        <v>496</v>
      </c>
      <c r="R154" s="4171"/>
      <c r="S154" s="601" t="s">
        <v>2288</v>
      </c>
      <c r="T154" s="602" t="s">
        <v>497</v>
      </c>
      <c r="U154" s="603" t="s">
        <v>498</v>
      </c>
      <c r="V154" s="603" t="s">
        <v>499</v>
      </c>
      <c r="W154" s="601" t="s">
        <v>500</v>
      </c>
      <c r="X154" s="600" t="s">
        <v>501</v>
      </c>
      <c r="Y154" s="600" t="s">
        <v>502</v>
      </c>
      <c r="Z154" s="600" t="s">
        <v>503</v>
      </c>
      <c r="AA154" s="604" t="s">
        <v>504</v>
      </c>
      <c r="AB154" s="348" t="s">
        <v>476</v>
      </c>
      <c r="AC154" s="4169"/>
      <c r="AD154" s="318"/>
    </row>
    <row r="155" spans="1:30" ht="25.5" customHeight="1" x14ac:dyDescent="0.35">
      <c r="A155" s="569">
        <v>4</v>
      </c>
      <c r="B155" s="4173" t="str">
        <f>CONCATENATE(I153," ",D153,E153," ",F153)</f>
        <v xml:space="preserve">  </v>
      </c>
      <c r="C155" s="4173"/>
      <c r="D155" s="4173"/>
      <c r="E155" s="4174" t="s">
        <v>541</v>
      </c>
      <c r="F155" s="4043"/>
      <c r="G155" s="377"/>
      <c r="H155" s="605"/>
      <c r="I155" s="605"/>
      <c r="J155" s="377"/>
      <c r="K155" s="4151"/>
      <c r="L155" s="4151"/>
      <c r="M155" s="4151"/>
      <c r="N155" s="4151"/>
      <c r="O155" s="4175"/>
      <c r="P155" s="4175"/>
      <c r="Q155" s="4175"/>
      <c r="R155" s="4175"/>
      <c r="S155" s="377"/>
      <c r="T155" s="606"/>
      <c r="U155" s="606"/>
      <c r="V155" s="606"/>
      <c r="W155" s="607"/>
      <c r="X155" s="607"/>
      <c r="Y155" s="607"/>
      <c r="Z155" s="607"/>
      <c r="AA155" s="608"/>
      <c r="AB155" s="598"/>
      <c r="AC155" s="4169"/>
    </row>
    <row r="156" spans="1:30" s="610" customFormat="1" ht="15.75" customHeight="1" x14ac:dyDescent="0.3">
      <c r="A156" s="569">
        <v>5</v>
      </c>
      <c r="B156" s="609"/>
      <c r="E156" s="611" t="s">
        <v>510</v>
      </c>
      <c r="F156" s="611"/>
      <c r="G156" s="612" t="s">
        <v>42</v>
      </c>
      <c r="H156" s="613"/>
      <c r="I156" s="614"/>
      <c r="J156" s="612" t="s">
        <v>42</v>
      </c>
      <c r="K156" s="4172" t="s">
        <v>2289</v>
      </c>
      <c r="L156" s="4172"/>
      <c r="M156" s="4152" t="s">
        <v>2290</v>
      </c>
      <c r="N156" s="4152"/>
      <c r="O156" s="4153"/>
      <c r="P156" s="4153"/>
      <c r="Q156" s="4153"/>
      <c r="R156" s="4153"/>
      <c r="S156" s="615"/>
      <c r="T156" s="4154" t="s">
        <v>2291</v>
      </c>
      <c r="U156" s="4155"/>
      <c r="V156" s="4155"/>
      <c r="W156" s="4155" t="s">
        <v>2292</v>
      </c>
      <c r="X156" s="4155"/>
      <c r="Y156" s="4155"/>
      <c r="Z156" s="4154"/>
      <c r="AA156" s="4154"/>
      <c r="AB156" s="348" t="s">
        <v>476</v>
      </c>
      <c r="AC156" s="4169"/>
      <c r="AD156" s="616"/>
    </row>
    <row r="157" spans="1:30" x14ac:dyDescent="0.3">
      <c r="A157" s="569">
        <v>6</v>
      </c>
      <c r="B157" s="4156" t="s">
        <v>518</v>
      </c>
      <c r="C157" s="4157"/>
      <c r="D157" s="4157"/>
      <c r="E157" s="4158"/>
      <c r="F157" s="4040"/>
      <c r="G157" s="4040"/>
      <c r="H157" s="4040"/>
      <c r="I157" s="4040"/>
      <c r="J157" s="4040"/>
      <c r="K157" s="4040"/>
      <c r="L157" s="4041"/>
      <c r="M157" s="4159" t="s">
        <v>520</v>
      </c>
      <c r="N157" s="617" t="s">
        <v>2280</v>
      </c>
      <c r="O157" s="4039"/>
      <c r="P157" s="4040"/>
      <c r="Q157" s="4040"/>
      <c r="R157" s="4040"/>
      <c r="S157" s="4040"/>
      <c r="T157" s="617" t="s">
        <v>2293</v>
      </c>
      <c r="U157" s="4040"/>
      <c r="V157" s="4040"/>
      <c r="W157" s="4040"/>
      <c r="X157" s="4040"/>
      <c r="Y157" s="4041"/>
      <c r="Z157" s="618"/>
      <c r="AA157" s="619"/>
      <c r="AB157" s="598"/>
      <c r="AC157" s="4169"/>
      <c r="AD157" s="263" t="e">
        <v>#N/A</v>
      </c>
    </row>
    <row r="158" spans="1:30" ht="15" customHeight="1" x14ac:dyDescent="0.3">
      <c r="A158" s="569">
        <v>7</v>
      </c>
      <c r="B158" s="4053"/>
      <c r="C158" s="4054"/>
      <c r="D158" s="4054"/>
      <c r="E158" s="4018"/>
      <c r="F158" s="4018"/>
      <c r="G158" s="4018"/>
      <c r="H158" s="4018"/>
      <c r="I158" s="4018"/>
      <c r="J158" s="4018"/>
      <c r="K158" s="4018"/>
      <c r="L158" s="4162"/>
      <c r="M158" s="4160"/>
      <c r="N158" s="620" t="s">
        <v>526</v>
      </c>
      <c r="O158" s="4163"/>
      <c r="P158" s="4018"/>
      <c r="Q158" s="4018"/>
      <c r="R158" s="4018"/>
      <c r="S158" s="4018"/>
      <c r="T158" s="620" t="s">
        <v>2295</v>
      </c>
      <c r="U158" s="4164"/>
      <c r="V158" s="4164"/>
      <c r="W158" s="4164"/>
      <c r="X158" s="4164"/>
      <c r="Y158" s="4165"/>
      <c r="Z158" s="621"/>
      <c r="AA158" s="622" t="s">
        <v>2296</v>
      </c>
      <c r="AB158" s="623"/>
      <c r="AC158" s="4169"/>
      <c r="AD158" s="263" t="e">
        <v>#N/A</v>
      </c>
    </row>
    <row r="159" spans="1:30" ht="15" customHeight="1" x14ac:dyDescent="0.3">
      <c r="A159" s="569">
        <v>8</v>
      </c>
      <c r="B159" s="4053"/>
      <c r="C159" s="4054"/>
      <c r="D159" s="4054"/>
      <c r="E159" s="4018"/>
      <c r="F159" s="4018"/>
      <c r="G159" s="4018"/>
      <c r="H159" s="4018"/>
      <c r="I159" s="4018"/>
      <c r="J159" s="4018"/>
      <c r="K159" s="4018"/>
      <c r="L159" s="4162"/>
      <c r="M159" s="4160"/>
      <c r="N159" s="620" t="s">
        <v>133</v>
      </c>
      <c r="O159" s="4163"/>
      <c r="P159" s="4018"/>
      <c r="Q159" s="4018"/>
      <c r="R159" s="4018"/>
      <c r="S159" s="4018"/>
      <c r="T159" s="624" t="e">
        <v>#N/A</v>
      </c>
      <c r="U159" s="4166"/>
      <c r="V159" s="4166"/>
      <c r="W159" s="4166"/>
      <c r="X159" s="4166"/>
      <c r="Y159" s="4167"/>
      <c r="Z159" s="621"/>
      <c r="AA159" s="625"/>
      <c r="AB159" s="623"/>
      <c r="AC159" s="4169"/>
      <c r="AD159" s="263" t="e">
        <v>#N/A</v>
      </c>
    </row>
    <row r="160" spans="1:30" ht="15.75" customHeight="1" thickBot="1" x14ac:dyDescent="0.35">
      <c r="A160" s="569">
        <v>9</v>
      </c>
      <c r="B160" s="4055"/>
      <c r="C160" s="4056"/>
      <c r="D160" s="4056"/>
      <c r="E160" s="4014"/>
      <c r="F160" s="4014"/>
      <c r="G160" s="4014"/>
      <c r="H160" s="4014"/>
      <c r="I160" s="4014"/>
      <c r="J160" s="4014"/>
      <c r="K160" s="4014"/>
      <c r="L160" s="4015"/>
      <c r="M160" s="4161"/>
      <c r="N160" s="626" t="s">
        <v>2299</v>
      </c>
      <c r="O160" s="4013"/>
      <c r="P160" s="4014"/>
      <c r="Q160" s="4014"/>
      <c r="R160" s="4014"/>
      <c r="S160" s="4014"/>
      <c r="T160" s="627" t="e">
        <v>#N/A</v>
      </c>
      <c r="U160" s="4014"/>
      <c r="V160" s="4014"/>
      <c r="W160" s="4014"/>
      <c r="X160" s="4014"/>
      <c r="Y160" s="4015"/>
      <c r="Z160" s="628"/>
      <c r="AA160" s="629" t="e">
        <v>#N/A</v>
      </c>
      <c r="AB160" s="630"/>
      <c r="AC160" s="4170"/>
      <c r="AD160" s="263" t="e">
        <v>#N/A</v>
      </c>
    </row>
  </sheetData>
  <mergeCells count="594">
    <mergeCell ref="B2:L3"/>
    <mergeCell ref="P2:AC3"/>
    <mergeCell ref="E5:M5"/>
    <mergeCell ref="O5:X5"/>
    <mergeCell ref="E6:M6"/>
    <mergeCell ref="O6:X6"/>
    <mergeCell ref="E7:M7"/>
    <mergeCell ref="O7:X7"/>
    <mergeCell ref="E8:M8"/>
    <mergeCell ref="O8:X8"/>
    <mergeCell ref="C9:G9"/>
    <mergeCell ref="H9:O10"/>
    <mergeCell ref="P9:Q9"/>
    <mergeCell ref="R9:U10"/>
    <mergeCell ref="W9:X9"/>
    <mergeCell ref="C10:G10"/>
    <mergeCell ref="B20:D20"/>
    <mergeCell ref="E20:F20"/>
    <mergeCell ref="K20:L20"/>
    <mergeCell ref="M20:N20"/>
    <mergeCell ref="O20:P20"/>
    <mergeCell ref="C12:C15"/>
    <mergeCell ref="D12:X15"/>
    <mergeCell ref="K17:L17"/>
    <mergeCell ref="M17:N17"/>
    <mergeCell ref="K18:L18"/>
    <mergeCell ref="M18:N18"/>
    <mergeCell ref="Q20:R20"/>
    <mergeCell ref="K21:L21"/>
    <mergeCell ref="M21:N21"/>
    <mergeCell ref="O21:P21"/>
    <mergeCell ref="Q21:R21"/>
    <mergeCell ref="T21:V21"/>
    <mergeCell ref="AC18:AC25"/>
    <mergeCell ref="K19:L19"/>
    <mergeCell ref="M19:N19"/>
    <mergeCell ref="O19:P19"/>
    <mergeCell ref="Q19:R19"/>
    <mergeCell ref="W21:AA21"/>
    <mergeCell ref="B22:D22"/>
    <mergeCell ref="E22:L22"/>
    <mergeCell ref="M22:M25"/>
    <mergeCell ref="O22:S22"/>
    <mergeCell ref="U22:Y22"/>
    <mergeCell ref="B23:D25"/>
    <mergeCell ref="E23:L23"/>
    <mergeCell ref="O23:S23"/>
    <mergeCell ref="U23:Y23"/>
    <mergeCell ref="AC27:AC34"/>
    <mergeCell ref="K28:L28"/>
    <mergeCell ref="M28:N28"/>
    <mergeCell ref="O28:P28"/>
    <mergeCell ref="Q28:R28"/>
    <mergeCell ref="K30:L30"/>
    <mergeCell ref="E24:L24"/>
    <mergeCell ref="O24:S24"/>
    <mergeCell ref="U24:Y24"/>
    <mergeCell ref="E25:L25"/>
    <mergeCell ref="O25:S25"/>
    <mergeCell ref="U25:Y25"/>
    <mergeCell ref="M30:N30"/>
    <mergeCell ref="O30:P30"/>
    <mergeCell ref="Q30:R30"/>
    <mergeCell ref="T30:V30"/>
    <mergeCell ref="W30:AA30"/>
    <mergeCell ref="B29:D29"/>
    <mergeCell ref="E29:F29"/>
    <mergeCell ref="K29:L29"/>
    <mergeCell ref="M29:N29"/>
    <mergeCell ref="O29:P29"/>
    <mergeCell ref="Q29:R29"/>
    <mergeCell ref="K26:L26"/>
    <mergeCell ref="M26:N26"/>
    <mergeCell ref="K27:L27"/>
    <mergeCell ref="M27:N27"/>
    <mergeCell ref="B31:D31"/>
    <mergeCell ref="E31:L31"/>
    <mergeCell ref="M31:M34"/>
    <mergeCell ref="O31:S31"/>
    <mergeCell ref="U31:Y31"/>
    <mergeCell ref="B32:D34"/>
    <mergeCell ref="E32:L32"/>
    <mergeCell ref="O32:S32"/>
    <mergeCell ref="U32:Y32"/>
    <mergeCell ref="E33:L33"/>
    <mergeCell ref="O33:S33"/>
    <mergeCell ref="U33:Y33"/>
    <mergeCell ref="E34:L34"/>
    <mergeCell ref="O34:S34"/>
    <mergeCell ref="U34:Y34"/>
    <mergeCell ref="B38:D38"/>
    <mergeCell ref="E38:F38"/>
    <mergeCell ref="K38:L38"/>
    <mergeCell ref="M38:N38"/>
    <mergeCell ref="O38:P38"/>
    <mergeCell ref="Q38:R38"/>
    <mergeCell ref="K35:L35"/>
    <mergeCell ref="M35:N35"/>
    <mergeCell ref="K36:L36"/>
    <mergeCell ref="M36:N36"/>
    <mergeCell ref="K37:L37"/>
    <mergeCell ref="M37:N37"/>
    <mergeCell ref="O37:P37"/>
    <mergeCell ref="Q37:R37"/>
    <mergeCell ref="M39:N39"/>
    <mergeCell ref="O39:P39"/>
    <mergeCell ref="Q39:R39"/>
    <mergeCell ref="T39:V39"/>
    <mergeCell ref="W39:AA39"/>
    <mergeCell ref="B40:D40"/>
    <mergeCell ref="E40:L40"/>
    <mergeCell ref="M40:M43"/>
    <mergeCell ref="O40:S40"/>
    <mergeCell ref="U40:Y40"/>
    <mergeCell ref="K39:L39"/>
    <mergeCell ref="AC45:AC52"/>
    <mergeCell ref="K46:L46"/>
    <mergeCell ref="M46:N46"/>
    <mergeCell ref="O46:P46"/>
    <mergeCell ref="Q46:R46"/>
    <mergeCell ref="K48:L48"/>
    <mergeCell ref="B41:D43"/>
    <mergeCell ref="E41:L41"/>
    <mergeCell ref="O41:S41"/>
    <mergeCell ref="U41:Y41"/>
    <mergeCell ref="E42:L42"/>
    <mergeCell ref="O42:S42"/>
    <mergeCell ref="U42:Y42"/>
    <mergeCell ref="E43:L43"/>
    <mergeCell ref="O43:S43"/>
    <mergeCell ref="U43:Y43"/>
    <mergeCell ref="AC36:AC43"/>
    <mergeCell ref="B47:D47"/>
    <mergeCell ref="E47:F47"/>
    <mergeCell ref="K47:L47"/>
    <mergeCell ref="M47:N47"/>
    <mergeCell ref="O47:P47"/>
    <mergeCell ref="Q47:R47"/>
    <mergeCell ref="K44:L44"/>
    <mergeCell ref="M44:N44"/>
    <mergeCell ref="K45:L45"/>
    <mergeCell ref="M45:N45"/>
    <mergeCell ref="M48:N48"/>
    <mergeCell ref="O48:P48"/>
    <mergeCell ref="Q48:R48"/>
    <mergeCell ref="T48:V48"/>
    <mergeCell ref="W48:AA48"/>
    <mergeCell ref="B49:D49"/>
    <mergeCell ref="E49:L49"/>
    <mergeCell ref="M49:M52"/>
    <mergeCell ref="O49:S49"/>
    <mergeCell ref="U49:Y49"/>
    <mergeCell ref="B50:D52"/>
    <mergeCell ref="E50:L50"/>
    <mergeCell ref="O50:S50"/>
    <mergeCell ref="U50:Y50"/>
    <mergeCell ref="E51:L51"/>
    <mergeCell ref="O51:S51"/>
    <mergeCell ref="U51:Y51"/>
    <mergeCell ref="E52:L52"/>
    <mergeCell ref="O52:S52"/>
    <mergeCell ref="U52:Y52"/>
    <mergeCell ref="B56:D56"/>
    <mergeCell ref="E56:F56"/>
    <mergeCell ref="K56:L56"/>
    <mergeCell ref="M56:N56"/>
    <mergeCell ref="O56:P56"/>
    <mergeCell ref="Q56:R56"/>
    <mergeCell ref="K53:L53"/>
    <mergeCell ref="M53:N53"/>
    <mergeCell ref="K54:L54"/>
    <mergeCell ref="M54:N54"/>
    <mergeCell ref="K55:L55"/>
    <mergeCell ref="M55:N55"/>
    <mergeCell ref="O55:P55"/>
    <mergeCell ref="Q55:R55"/>
    <mergeCell ref="M57:N57"/>
    <mergeCell ref="O57:P57"/>
    <mergeCell ref="Q57:R57"/>
    <mergeCell ref="T57:V57"/>
    <mergeCell ref="W57:AA57"/>
    <mergeCell ref="B58:D58"/>
    <mergeCell ref="E58:L58"/>
    <mergeCell ref="M58:M61"/>
    <mergeCell ref="O58:S58"/>
    <mergeCell ref="U58:Y58"/>
    <mergeCell ref="K57:L57"/>
    <mergeCell ref="AC63:AC70"/>
    <mergeCell ref="K64:L64"/>
    <mergeCell ref="M64:N64"/>
    <mergeCell ref="O64:P64"/>
    <mergeCell ref="Q64:R64"/>
    <mergeCell ref="K66:L66"/>
    <mergeCell ref="B59:D61"/>
    <mergeCell ref="E59:L59"/>
    <mergeCell ref="O59:S59"/>
    <mergeCell ref="U59:Y59"/>
    <mergeCell ref="E60:L60"/>
    <mergeCell ref="O60:S60"/>
    <mergeCell ref="U60:Y60"/>
    <mergeCell ref="E61:L61"/>
    <mergeCell ref="O61:S61"/>
    <mergeCell ref="U61:Y61"/>
    <mergeCell ref="AC54:AC61"/>
    <mergeCell ref="B65:D65"/>
    <mergeCell ref="E65:F65"/>
    <mergeCell ref="K65:L65"/>
    <mergeCell ref="M65:N65"/>
    <mergeCell ref="O65:P65"/>
    <mergeCell ref="Q65:R65"/>
    <mergeCell ref="K62:L62"/>
    <mergeCell ref="M62:N62"/>
    <mergeCell ref="K63:L63"/>
    <mergeCell ref="M63:N63"/>
    <mergeCell ref="M66:N66"/>
    <mergeCell ref="O66:P66"/>
    <mergeCell ref="Q66:R66"/>
    <mergeCell ref="T66:V66"/>
    <mergeCell ref="W66:AA66"/>
    <mergeCell ref="B67:D67"/>
    <mergeCell ref="E67:L67"/>
    <mergeCell ref="M67:M70"/>
    <mergeCell ref="O67:S67"/>
    <mergeCell ref="U67:Y67"/>
    <mergeCell ref="B68:D70"/>
    <mergeCell ref="E68:L68"/>
    <mergeCell ref="O68:S68"/>
    <mergeCell ref="U68:Y68"/>
    <mergeCell ref="E69:L69"/>
    <mergeCell ref="O69:S69"/>
    <mergeCell ref="U69:Y69"/>
    <mergeCell ref="E70:L70"/>
    <mergeCell ref="O70:S70"/>
    <mergeCell ref="U70:Y70"/>
    <mergeCell ref="B74:D74"/>
    <mergeCell ref="E74:F74"/>
    <mergeCell ref="K74:L74"/>
    <mergeCell ref="M74:N74"/>
    <mergeCell ref="O74:P74"/>
    <mergeCell ref="Q74:R74"/>
    <mergeCell ref="K71:L71"/>
    <mergeCell ref="M71:N71"/>
    <mergeCell ref="K72:L72"/>
    <mergeCell ref="M72:N72"/>
    <mergeCell ref="K73:L73"/>
    <mergeCell ref="M73:N73"/>
    <mergeCell ref="O73:P73"/>
    <mergeCell ref="Q73:R73"/>
    <mergeCell ref="M75:N75"/>
    <mergeCell ref="O75:P75"/>
    <mergeCell ref="Q75:R75"/>
    <mergeCell ref="T75:V75"/>
    <mergeCell ref="W75:AA75"/>
    <mergeCell ref="B76:D76"/>
    <mergeCell ref="E76:L76"/>
    <mergeCell ref="M76:M79"/>
    <mergeCell ref="O76:S76"/>
    <mergeCell ref="U76:Y76"/>
    <mergeCell ref="K75:L75"/>
    <mergeCell ref="AC81:AC88"/>
    <mergeCell ref="K82:L82"/>
    <mergeCell ref="M82:N82"/>
    <mergeCell ref="O82:P82"/>
    <mergeCell ref="Q82:R82"/>
    <mergeCell ref="K84:L84"/>
    <mergeCell ref="B77:D79"/>
    <mergeCell ref="E77:L77"/>
    <mergeCell ref="O77:S77"/>
    <mergeCell ref="U77:Y77"/>
    <mergeCell ref="E78:L78"/>
    <mergeCell ref="O78:S78"/>
    <mergeCell ref="U78:Y78"/>
    <mergeCell ref="E79:L79"/>
    <mergeCell ref="O79:S79"/>
    <mergeCell ref="U79:Y79"/>
    <mergeCell ref="AC72:AC79"/>
    <mergeCell ref="B83:D83"/>
    <mergeCell ref="E83:F83"/>
    <mergeCell ref="K83:L83"/>
    <mergeCell ref="M83:N83"/>
    <mergeCell ref="O83:P83"/>
    <mergeCell ref="Q83:R83"/>
    <mergeCell ref="K80:L80"/>
    <mergeCell ref="M80:N80"/>
    <mergeCell ref="K81:L81"/>
    <mergeCell ref="M81:N81"/>
    <mergeCell ref="M84:N84"/>
    <mergeCell ref="O84:P84"/>
    <mergeCell ref="Q84:R84"/>
    <mergeCell ref="T84:V84"/>
    <mergeCell ref="W84:AA84"/>
    <mergeCell ref="B85:D85"/>
    <mergeCell ref="E85:L85"/>
    <mergeCell ref="M85:M88"/>
    <mergeCell ref="O85:S85"/>
    <mergeCell ref="U85:Y85"/>
    <mergeCell ref="B86:D88"/>
    <mergeCell ref="E86:L86"/>
    <mergeCell ref="O86:S86"/>
    <mergeCell ref="U86:Y86"/>
    <mergeCell ref="E87:L87"/>
    <mergeCell ref="O87:S87"/>
    <mergeCell ref="U87:Y87"/>
    <mergeCell ref="E88:L88"/>
    <mergeCell ref="O88:S88"/>
    <mergeCell ref="U88:Y88"/>
    <mergeCell ref="B92:D92"/>
    <mergeCell ref="E92:F92"/>
    <mergeCell ref="K92:L92"/>
    <mergeCell ref="M92:N92"/>
    <mergeCell ref="O92:P92"/>
    <mergeCell ref="Q92:R92"/>
    <mergeCell ref="K89:L89"/>
    <mergeCell ref="M89:N89"/>
    <mergeCell ref="K90:L90"/>
    <mergeCell ref="M90:N90"/>
    <mergeCell ref="K91:L91"/>
    <mergeCell ref="M91:N91"/>
    <mergeCell ref="O91:P91"/>
    <mergeCell ref="Q91:R91"/>
    <mergeCell ref="M93:N93"/>
    <mergeCell ref="O93:P93"/>
    <mergeCell ref="Q93:R93"/>
    <mergeCell ref="T93:V93"/>
    <mergeCell ref="W93:AA93"/>
    <mergeCell ref="B94:D94"/>
    <mergeCell ref="E94:L94"/>
    <mergeCell ref="M94:M97"/>
    <mergeCell ref="O94:S94"/>
    <mergeCell ref="U94:Y94"/>
    <mergeCell ref="K93:L93"/>
    <mergeCell ref="AC99:AC106"/>
    <mergeCell ref="K100:L100"/>
    <mergeCell ref="M100:N100"/>
    <mergeCell ref="O100:P100"/>
    <mergeCell ref="Q100:R100"/>
    <mergeCell ref="K102:L102"/>
    <mergeCell ref="B95:D97"/>
    <mergeCell ref="E95:L95"/>
    <mergeCell ref="O95:S95"/>
    <mergeCell ref="U95:Y95"/>
    <mergeCell ref="E96:L96"/>
    <mergeCell ref="O96:S96"/>
    <mergeCell ref="U96:Y96"/>
    <mergeCell ref="E97:L97"/>
    <mergeCell ref="O97:S97"/>
    <mergeCell ref="U97:Y97"/>
    <mergeCell ref="AC90:AC97"/>
    <mergeCell ref="B101:D101"/>
    <mergeCell ref="E101:F101"/>
    <mergeCell ref="K101:L101"/>
    <mergeCell ref="M101:N101"/>
    <mergeCell ref="O101:P101"/>
    <mergeCell ref="Q101:R101"/>
    <mergeCell ref="K98:L98"/>
    <mergeCell ref="M98:N98"/>
    <mergeCell ref="K99:L99"/>
    <mergeCell ref="M99:N99"/>
    <mergeCell ref="M102:N102"/>
    <mergeCell ref="O102:P102"/>
    <mergeCell ref="Q102:R102"/>
    <mergeCell ref="T102:V102"/>
    <mergeCell ref="W102:AA102"/>
    <mergeCell ref="B103:D103"/>
    <mergeCell ref="E103:L103"/>
    <mergeCell ref="M103:M106"/>
    <mergeCell ref="O103:S103"/>
    <mergeCell ref="U103:Y103"/>
    <mergeCell ref="B104:D106"/>
    <mergeCell ref="E104:L104"/>
    <mergeCell ref="O104:S104"/>
    <mergeCell ref="U104:Y104"/>
    <mergeCell ref="E105:L105"/>
    <mergeCell ref="O105:S105"/>
    <mergeCell ref="U105:Y105"/>
    <mergeCell ref="E106:L106"/>
    <mergeCell ref="O106:S106"/>
    <mergeCell ref="U106:Y106"/>
    <mergeCell ref="B110:D110"/>
    <mergeCell ref="E110:F110"/>
    <mergeCell ref="K110:L110"/>
    <mergeCell ref="M110:N110"/>
    <mergeCell ref="O110:P110"/>
    <mergeCell ref="Q110:R110"/>
    <mergeCell ref="K107:L107"/>
    <mergeCell ref="M107:N107"/>
    <mergeCell ref="K108:L108"/>
    <mergeCell ref="M108:N108"/>
    <mergeCell ref="K109:L109"/>
    <mergeCell ref="M109:N109"/>
    <mergeCell ref="O109:P109"/>
    <mergeCell ref="Q109:R109"/>
    <mergeCell ref="M111:N111"/>
    <mergeCell ref="O111:P111"/>
    <mergeCell ref="Q111:R111"/>
    <mergeCell ref="T111:V111"/>
    <mergeCell ref="W111:AA111"/>
    <mergeCell ref="B112:D112"/>
    <mergeCell ref="E112:L112"/>
    <mergeCell ref="M112:M115"/>
    <mergeCell ref="O112:S112"/>
    <mergeCell ref="U112:Y112"/>
    <mergeCell ref="K111:L111"/>
    <mergeCell ref="AC117:AC124"/>
    <mergeCell ref="K118:L118"/>
    <mergeCell ref="M118:N118"/>
    <mergeCell ref="O118:P118"/>
    <mergeCell ref="Q118:R118"/>
    <mergeCell ref="K120:L120"/>
    <mergeCell ref="B113:D115"/>
    <mergeCell ref="E113:L113"/>
    <mergeCell ref="O113:S113"/>
    <mergeCell ref="U113:Y113"/>
    <mergeCell ref="E114:L114"/>
    <mergeCell ref="O114:S114"/>
    <mergeCell ref="U114:Y114"/>
    <mergeCell ref="E115:L115"/>
    <mergeCell ref="O115:S115"/>
    <mergeCell ref="U115:Y115"/>
    <mergeCell ref="AC108:AC115"/>
    <mergeCell ref="B119:D119"/>
    <mergeCell ref="E119:F119"/>
    <mergeCell ref="K119:L119"/>
    <mergeCell ref="M119:N119"/>
    <mergeCell ref="O119:P119"/>
    <mergeCell ref="Q119:R119"/>
    <mergeCell ref="K116:L116"/>
    <mergeCell ref="M116:N116"/>
    <mergeCell ref="K117:L117"/>
    <mergeCell ref="M117:N117"/>
    <mergeCell ref="M120:N120"/>
    <mergeCell ref="O120:P120"/>
    <mergeCell ref="Q120:R120"/>
    <mergeCell ref="T120:V120"/>
    <mergeCell ref="W120:AA120"/>
    <mergeCell ref="B121:D121"/>
    <mergeCell ref="E121:L121"/>
    <mergeCell ref="M121:M124"/>
    <mergeCell ref="O121:S121"/>
    <mergeCell ref="U121:Y121"/>
    <mergeCell ref="B122:D124"/>
    <mergeCell ref="E122:L122"/>
    <mergeCell ref="O122:S122"/>
    <mergeCell ref="U122:Y122"/>
    <mergeCell ref="E123:L123"/>
    <mergeCell ref="O123:S123"/>
    <mergeCell ref="U123:Y123"/>
    <mergeCell ref="E124:L124"/>
    <mergeCell ref="O124:S124"/>
    <mergeCell ref="U124:Y124"/>
    <mergeCell ref="B128:D128"/>
    <mergeCell ref="E128:F128"/>
    <mergeCell ref="K128:L128"/>
    <mergeCell ref="M128:N128"/>
    <mergeCell ref="O128:P128"/>
    <mergeCell ref="Q128:R128"/>
    <mergeCell ref="K125:L125"/>
    <mergeCell ref="M125:N125"/>
    <mergeCell ref="K126:L126"/>
    <mergeCell ref="M126:N126"/>
    <mergeCell ref="K127:L127"/>
    <mergeCell ref="M127:N127"/>
    <mergeCell ref="O127:P127"/>
    <mergeCell ref="Q127:R127"/>
    <mergeCell ref="M129:N129"/>
    <mergeCell ref="O129:P129"/>
    <mergeCell ref="Q129:R129"/>
    <mergeCell ref="T129:V129"/>
    <mergeCell ref="W129:AA129"/>
    <mergeCell ref="B130:D130"/>
    <mergeCell ref="E130:L130"/>
    <mergeCell ref="M130:M133"/>
    <mergeCell ref="O130:S130"/>
    <mergeCell ref="U130:Y130"/>
    <mergeCell ref="K129:L129"/>
    <mergeCell ref="AC135:AC142"/>
    <mergeCell ref="K136:L136"/>
    <mergeCell ref="M136:N136"/>
    <mergeCell ref="O136:P136"/>
    <mergeCell ref="Q136:R136"/>
    <mergeCell ref="K138:L138"/>
    <mergeCell ref="B131:D133"/>
    <mergeCell ref="E131:L131"/>
    <mergeCell ref="O131:S131"/>
    <mergeCell ref="U131:Y131"/>
    <mergeCell ref="E132:L132"/>
    <mergeCell ref="O132:S132"/>
    <mergeCell ref="U132:Y132"/>
    <mergeCell ref="E133:L133"/>
    <mergeCell ref="O133:S133"/>
    <mergeCell ref="U133:Y133"/>
    <mergeCell ref="AC126:AC133"/>
    <mergeCell ref="B137:D137"/>
    <mergeCell ref="E137:F137"/>
    <mergeCell ref="K137:L137"/>
    <mergeCell ref="M137:N137"/>
    <mergeCell ref="O137:P137"/>
    <mergeCell ref="Q137:R137"/>
    <mergeCell ref="K134:L134"/>
    <mergeCell ref="M134:N134"/>
    <mergeCell ref="K135:L135"/>
    <mergeCell ref="M135:N135"/>
    <mergeCell ref="M138:N138"/>
    <mergeCell ref="O138:P138"/>
    <mergeCell ref="Q138:R138"/>
    <mergeCell ref="T138:V138"/>
    <mergeCell ref="W138:AA138"/>
    <mergeCell ref="B139:D139"/>
    <mergeCell ref="E139:L139"/>
    <mergeCell ref="M139:M142"/>
    <mergeCell ref="O139:S139"/>
    <mergeCell ref="U139:Y139"/>
    <mergeCell ref="B140:D142"/>
    <mergeCell ref="E140:L140"/>
    <mergeCell ref="O140:S140"/>
    <mergeCell ref="U140:Y140"/>
    <mergeCell ref="E141:L141"/>
    <mergeCell ref="O141:S141"/>
    <mergeCell ref="U141:Y141"/>
    <mergeCell ref="E142:L142"/>
    <mergeCell ref="O142:S142"/>
    <mergeCell ref="U142:Y142"/>
    <mergeCell ref="B146:D146"/>
    <mergeCell ref="E146:F146"/>
    <mergeCell ref="K146:L146"/>
    <mergeCell ref="M146:N146"/>
    <mergeCell ref="O146:P146"/>
    <mergeCell ref="Q146:R146"/>
    <mergeCell ref="K143:L143"/>
    <mergeCell ref="M143:N143"/>
    <mergeCell ref="K144:L144"/>
    <mergeCell ref="M144:N144"/>
    <mergeCell ref="K145:L145"/>
    <mergeCell ref="M145:N145"/>
    <mergeCell ref="O145:P145"/>
    <mergeCell ref="Q145:R145"/>
    <mergeCell ref="M147:N147"/>
    <mergeCell ref="O147:P147"/>
    <mergeCell ref="Q147:R147"/>
    <mergeCell ref="T147:V147"/>
    <mergeCell ref="W147:AA147"/>
    <mergeCell ref="B148:D148"/>
    <mergeCell ref="E148:L148"/>
    <mergeCell ref="M148:M151"/>
    <mergeCell ref="O148:S148"/>
    <mergeCell ref="U148:Y148"/>
    <mergeCell ref="K147:L147"/>
    <mergeCell ref="AC153:AC160"/>
    <mergeCell ref="K154:L154"/>
    <mergeCell ref="M154:N154"/>
    <mergeCell ref="O154:P154"/>
    <mergeCell ref="Q154:R154"/>
    <mergeCell ref="K156:L156"/>
    <mergeCell ref="B149:D151"/>
    <mergeCell ref="E149:L149"/>
    <mergeCell ref="O149:S149"/>
    <mergeCell ref="U149:Y149"/>
    <mergeCell ref="E150:L150"/>
    <mergeCell ref="O150:S150"/>
    <mergeCell ref="U150:Y150"/>
    <mergeCell ref="E151:L151"/>
    <mergeCell ref="O151:S151"/>
    <mergeCell ref="U151:Y151"/>
    <mergeCell ref="AC144:AC151"/>
    <mergeCell ref="B155:D155"/>
    <mergeCell ref="E155:F155"/>
    <mergeCell ref="K155:L155"/>
    <mergeCell ref="M155:N155"/>
    <mergeCell ref="O155:P155"/>
    <mergeCell ref="Q155:R155"/>
    <mergeCell ref="K152:L152"/>
    <mergeCell ref="M152:N152"/>
    <mergeCell ref="K153:L153"/>
    <mergeCell ref="M153:N153"/>
    <mergeCell ref="M156:N156"/>
    <mergeCell ref="O156:P156"/>
    <mergeCell ref="Q156:R156"/>
    <mergeCell ref="T156:V156"/>
    <mergeCell ref="W156:AA156"/>
    <mergeCell ref="B157:D157"/>
    <mergeCell ref="E157:L157"/>
    <mergeCell ref="M157:M160"/>
    <mergeCell ref="O157:S157"/>
    <mergeCell ref="U157:Y157"/>
    <mergeCell ref="B158:D160"/>
    <mergeCell ref="E158:L158"/>
    <mergeCell ref="O158:S158"/>
    <mergeCell ref="U158:Y158"/>
    <mergeCell ref="E159:L159"/>
    <mergeCell ref="O159:S159"/>
    <mergeCell ref="U159:Y159"/>
    <mergeCell ref="E160:L160"/>
    <mergeCell ref="O160:S160"/>
    <mergeCell ref="U160:Y160"/>
  </mergeCells>
  <conditionalFormatting sqref="G19">
    <cfRule type="expression" dxfId="1393" priority="1037">
      <formula>G18="SPL"</formula>
    </cfRule>
  </conditionalFormatting>
  <conditionalFormatting sqref="G20">
    <cfRule type="expression" dxfId="1392" priority="1081">
      <formula>G18&lt;&gt;"SPL"</formula>
    </cfRule>
    <cfRule type="expression" dxfId="1391" priority="1083">
      <formula>AND(G18="SPL",G20="")</formula>
    </cfRule>
  </conditionalFormatting>
  <conditionalFormatting sqref="G21">
    <cfRule type="expression" dxfId="1390" priority="1076">
      <formula>G18="SPL"</formula>
    </cfRule>
  </conditionalFormatting>
  <conditionalFormatting sqref="G28">
    <cfRule type="expression" dxfId="1389" priority="971">
      <formula>G27="SPL"</formula>
    </cfRule>
  </conditionalFormatting>
  <conditionalFormatting sqref="G29">
    <cfRule type="expression" dxfId="1388" priority="1019">
      <formula>AND(G27="SPL",G29="")</formula>
    </cfRule>
    <cfRule type="expression" dxfId="1387" priority="1017">
      <formula>G27&lt;&gt;"SPL"</formula>
    </cfRule>
  </conditionalFormatting>
  <conditionalFormatting sqref="G30">
    <cfRule type="expression" dxfId="1386" priority="1012">
      <formula>G27="SPL"</formula>
    </cfRule>
  </conditionalFormatting>
  <conditionalFormatting sqref="G37">
    <cfRule type="expression" dxfId="1385" priority="907">
      <formula>G36="SPL"</formula>
    </cfRule>
  </conditionalFormatting>
  <conditionalFormatting sqref="G38">
    <cfRule type="expression" dxfId="1384" priority="950">
      <formula>G36&lt;&gt;"SPL"</formula>
    </cfRule>
    <cfRule type="expression" dxfId="1383" priority="952">
      <formula>AND(G36="SPL",G38="")</formula>
    </cfRule>
  </conditionalFormatting>
  <conditionalFormatting sqref="G39">
    <cfRule type="expression" dxfId="1382" priority="945">
      <formula>G36="SPL"</formula>
    </cfRule>
  </conditionalFormatting>
  <conditionalFormatting sqref="G46">
    <cfRule type="expression" dxfId="1381" priority="841">
      <formula>G45="SPL"</formula>
    </cfRule>
  </conditionalFormatting>
  <conditionalFormatting sqref="G47">
    <cfRule type="expression" dxfId="1380" priority="889">
      <formula>AND(G45="SPL",G47="")</formula>
    </cfRule>
    <cfRule type="expression" dxfId="1379" priority="887">
      <formula>G45&lt;&gt;"SPL"</formula>
    </cfRule>
  </conditionalFormatting>
  <conditionalFormatting sqref="G48">
    <cfRule type="expression" dxfId="1378" priority="882">
      <formula>G45="SPL"</formula>
    </cfRule>
  </conditionalFormatting>
  <conditionalFormatting sqref="G55">
    <cfRule type="expression" dxfId="1377" priority="774">
      <formula>G54="SPL"</formula>
    </cfRule>
  </conditionalFormatting>
  <conditionalFormatting sqref="G56">
    <cfRule type="expression" dxfId="1376" priority="822">
      <formula>AND(G54="SPL",G56="")</formula>
    </cfRule>
    <cfRule type="expression" dxfId="1375" priority="820">
      <formula>G54&lt;&gt;"SPL"</formula>
    </cfRule>
  </conditionalFormatting>
  <conditionalFormatting sqref="G57">
    <cfRule type="expression" dxfId="1374" priority="815">
      <formula>G54="SPL"</formula>
    </cfRule>
  </conditionalFormatting>
  <conditionalFormatting sqref="G64">
    <cfRule type="expression" dxfId="1373" priority="707">
      <formula>G63="SPL"</formula>
    </cfRule>
  </conditionalFormatting>
  <conditionalFormatting sqref="G65">
    <cfRule type="expression" dxfId="1372" priority="753">
      <formula>G63&lt;&gt;"SPL"</formula>
    </cfRule>
    <cfRule type="expression" dxfId="1371" priority="755">
      <formula>AND(G63="SPL",G65="")</formula>
    </cfRule>
  </conditionalFormatting>
  <conditionalFormatting sqref="G66">
    <cfRule type="expression" dxfId="1370" priority="748">
      <formula>G63="SPL"</formula>
    </cfRule>
  </conditionalFormatting>
  <conditionalFormatting sqref="G73">
    <cfRule type="expression" dxfId="1369" priority="640">
      <formula>G72="SPL"</formula>
    </cfRule>
  </conditionalFormatting>
  <conditionalFormatting sqref="G74">
    <cfRule type="expression" dxfId="1368" priority="686">
      <formula>G72&lt;&gt;"SPL"</formula>
    </cfRule>
    <cfRule type="expression" dxfId="1367" priority="688">
      <formula>AND(G72="SPL",G74="")</formula>
    </cfRule>
  </conditionalFormatting>
  <conditionalFormatting sqref="G75">
    <cfRule type="expression" dxfId="1366" priority="681">
      <formula>G72="SPL"</formula>
    </cfRule>
  </conditionalFormatting>
  <conditionalFormatting sqref="G82">
    <cfRule type="expression" dxfId="1365" priority="573">
      <formula>G81="SPL"</formula>
    </cfRule>
  </conditionalFormatting>
  <conditionalFormatting sqref="G83">
    <cfRule type="expression" dxfId="1364" priority="619">
      <formula>G81&lt;&gt;"SPL"</formula>
    </cfRule>
    <cfRule type="expression" dxfId="1363" priority="621">
      <formula>AND(G81="SPL",G83="")</formula>
    </cfRule>
  </conditionalFormatting>
  <conditionalFormatting sqref="G84">
    <cfRule type="expression" dxfId="1362" priority="614">
      <formula>G81="SPL"</formula>
    </cfRule>
  </conditionalFormatting>
  <conditionalFormatting sqref="G91">
    <cfRule type="expression" dxfId="1361" priority="506">
      <formula>G90="SPL"</formula>
    </cfRule>
  </conditionalFormatting>
  <conditionalFormatting sqref="G92">
    <cfRule type="expression" dxfId="1360" priority="552">
      <formula>G90&lt;&gt;"SPL"</formula>
    </cfRule>
    <cfRule type="expression" dxfId="1359" priority="554">
      <formula>AND(G90="SPL",G92="")</formula>
    </cfRule>
  </conditionalFormatting>
  <conditionalFormatting sqref="G93">
    <cfRule type="expression" dxfId="1358" priority="547">
      <formula>G90="SPL"</formula>
    </cfRule>
  </conditionalFormatting>
  <conditionalFormatting sqref="G100">
    <cfRule type="expression" dxfId="1357" priority="439">
      <formula>G99="SPL"</formula>
    </cfRule>
  </conditionalFormatting>
  <conditionalFormatting sqref="G101">
    <cfRule type="expression" dxfId="1356" priority="485">
      <formula>G99&lt;&gt;"SPL"</formula>
    </cfRule>
    <cfRule type="expression" dxfId="1355" priority="487">
      <formula>AND(G99="SPL",G101="")</formula>
    </cfRule>
  </conditionalFormatting>
  <conditionalFormatting sqref="G102">
    <cfRule type="expression" dxfId="1354" priority="480">
      <formula>G99="SPL"</formula>
    </cfRule>
  </conditionalFormatting>
  <conditionalFormatting sqref="G109">
    <cfRule type="expression" dxfId="1353" priority="372">
      <formula>G108="SPL"</formula>
    </cfRule>
  </conditionalFormatting>
  <conditionalFormatting sqref="G110">
    <cfRule type="expression" dxfId="1352" priority="420">
      <formula>AND(G108="SPL",G110="")</formula>
    </cfRule>
    <cfRule type="expression" dxfId="1351" priority="418">
      <formula>G108&lt;&gt;"SPL"</formula>
    </cfRule>
  </conditionalFormatting>
  <conditionalFormatting sqref="G111">
    <cfRule type="expression" dxfId="1350" priority="413">
      <formula>G108="SPL"</formula>
    </cfRule>
  </conditionalFormatting>
  <conditionalFormatting sqref="G118">
    <cfRule type="expression" dxfId="1349" priority="305">
      <formula>G117="SPL"</formula>
    </cfRule>
  </conditionalFormatting>
  <conditionalFormatting sqref="G119">
    <cfRule type="expression" dxfId="1348" priority="351">
      <formula>G117&lt;&gt;"SPL"</formula>
    </cfRule>
    <cfRule type="expression" dxfId="1347" priority="353">
      <formula>AND(G117="SPL",G119="")</formula>
    </cfRule>
  </conditionalFormatting>
  <conditionalFormatting sqref="G120">
    <cfRule type="expression" dxfId="1346" priority="346">
      <formula>G117="SPL"</formula>
    </cfRule>
  </conditionalFormatting>
  <conditionalFormatting sqref="G127">
    <cfRule type="expression" dxfId="1345" priority="238">
      <formula>G126="SPL"</formula>
    </cfRule>
  </conditionalFormatting>
  <conditionalFormatting sqref="G128">
    <cfRule type="expression" dxfId="1344" priority="286">
      <formula>AND(G126="SPL",G128="")</formula>
    </cfRule>
    <cfRule type="expression" dxfId="1343" priority="284">
      <formula>G126&lt;&gt;"SPL"</formula>
    </cfRule>
  </conditionalFormatting>
  <conditionalFormatting sqref="G129">
    <cfRule type="expression" dxfId="1342" priority="279">
      <formula>G126="SPL"</formula>
    </cfRule>
  </conditionalFormatting>
  <conditionalFormatting sqref="G136">
    <cfRule type="expression" dxfId="1341" priority="171">
      <formula>G135="SPL"</formula>
    </cfRule>
  </conditionalFormatting>
  <conditionalFormatting sqref="G137">
    <cfRule type="expression" dxfId="1340" priority="217">
      <formula>G135&lt;&gt;"SPL"</formula>
    </cfRule>
    <cfRule type="expression" dxfId="1339" priority="219">
      <formula>AND(G135="SPL",G137="")</formula>
    </cfRule>
  </conditionalFormatting>
  <conditionalFormatting sqref="G138">
    <cfRule type="expression" dxfId="1338" priority="212">
      <formula>G135="SPL"</formula>
    </cfRule>
  </conditionalFormatting>
  <conditionalFormatting sqref="G145">
    <cfRule type="expression" dxfId="1337" priority="104">
      <formula>G144="SPL"</formula>
    </cfRule>
  </conditionalFormatting>
  <conditionalFormatting sqref="G146">
    <cfRule type="expression" dxfId="1336" priority="150">
      <formula>G144&lt;&gt;"SPL"</formula>
    </cfRule>
    <cfRule type="expression" dxfId="1335" priority="152">
      <formula>AND(G144="SPL",G146="")</formula>
    </cfRule>
  </conditionalFormatting>
  <conditionalFormatting sqref="G147">
    <cfRule type="expression" dxfId="1334" priority="145">
      <formula>G144="SPL"</formula>
    </cfRule>
  </conditionalFormatting>
  <conditionalFormatting sqref="G154">
    <cfRule type="expression" dxfId="1333" priority="37">
      <formula>G153="SPL"</formula>
    </cfRule>
  </conditionalFormatting>
  <conditionalFormatting sqref="G155">
    <cfRule type="expression" dxfId="1332" priority="83">
      <formula>G153&lt;&gt;"SPL"</formula>
    </cfRule>
    <cfRule type="expression" dxfId="1331" priority="85">
      <formula>AND(G153="SPL",G155="")</formula>
    </cfRule>
  </conditionalFormatting>
  <conditionalFormatting sqref="G156">
    <cfRule type="expression" dxfId="1330" priority="78">
      <formula>G153="SPL"</formula>
    </cfRule>
  </conditionalFormatting>
  <conditionalFormatting sqref="J19">
    <cfRule type="expression" dxfId="1329" priority="1036">
      <formula>J18="SPJD"</formula>
    </cfRule>
  </conditionalFormatting>
  <conditionalFormatting sqref="J20">
    <cfRule type="expression" dxfId="1328" priority="1079">
      <formula>J18&lt;&gt;"spjd"</formula>
    </cfRule>
    <cfRule type="expression" dxfId="1327" priority="1082">
      <formula>AND(J18="SPJD",J20="")</formula>
    </cfRule>
  </conditionalFormatting>
  <conditionalFormatting sqref="J21">
    <cfRule type="expression" dxfId="1326" priority="1075">
      <formula>J18="SPJD"</formula>
    </cfRule>
  </conditionalFormatting>
  <conditionalFormatting sqref="J28">
    <cfRule type="expression" dxfId="1325" priority="970">
      <formula>J27="SPJD"</formula>
    </cfRule>
  </conditionalFormatting>
  <conditionalFormatting sqref="J29">
    <cfRule type="expression" dxfId="1324" priority="1018">
      <formula>AND(J27="SPJD",J29="")</formula>
    </cfRule>
    <cfRule type="expression" dxfId="1323" priority="1015">
      <formula>J27&lt;&gt;"spjd"</formula>
    </cfRule>
  </conditionalFormatting>
  <conditionalFormatting sqref="J30">
    <cfRule type="expression" dxfId="1322" priority="1011">
      <formula>J27="SPJD"</formula>
    </cfRule>
  </conditionalFormatting>
  <conditionalFormatting sqref="J37">
    <cfRule type="expression" dxfId="1321" priority="906">
      <formula>J36="SPJD"</formula>
    </cfRule>
  </conditionalFormatting>
  <conditionalFormatting sqref="J38">
    <cfRule type="expression" dxfId="1320" priority="951">
      <formula>AND(J36="SPJD",J38="")</formula>
    </cfRule>
    <cfRule type="expression" dxfId="1319" priority="948">
      <formula>J36&lt;&gt;"spjd"</formula>
    </cfRule>
  </conditionalFormatting>
  <conditionalFormatting sqref="J39">
    <cfRule type="expression" dxfId="1318" priority="944">
      <formula>J36="SPJD"</formula>
    </cfRule>
  </conditionalFormatting>
  <conditionalFormatting sqref="J46">
    <cfRule type="expression" dxfId="1317" priority="840">
      <formula>J45="SPJD"</formula>
    </cfRule>
  </conditionalFormatting>
  <conditionalFormatting sqref="J47">
    <cfRule type="expression" dxfId="1316" priority="885">
      <formula>J45&lt;&gt;"spjd"</formula>
    </cfRule>
    <cfRule type="expression" dxfId="1315" priority="888">
      <formula>AND(J45="SPJD",J47="")</formula>
    </cfRule>
  </conditionalFormatting>
  <conditionalFormatting sqref="J48">
    <cfRule type="expression" dxfId="1314" priority="881">
      <formula>J45="SPJD"</formula>
    </cfRule>
  </conditionalFormatting>
  <conditionalFormatting sqref="J55">
    <cfRule type="expression" dxfId="1313" priority="773">
      <formula>J54="SPJD"</formula>
    </cfRule>
  </conditionalFormatting>
  <conditionalFormatting sqref="J56">
    <cfRule type="expression" dxfId="1312" priority="821">
      <formula>AND(J54="SPJD",J56="")</formula>
    </cfRule>
    <cfRule type="expression" dxfId="1311" priority="818">
      <formula>J54&lt;&gt;"spjd"</formula>
    </cfRule>
  </conditionalFormatting>
  <conditionalFormatting sqref="J57">
    <cfRule type="expression" dxfId="1310" priority="814">
      <formula>J54="SPJD"</formula>
    </cfRule>
  </conditionalFormatting>
  <conditionalFormatting sqref="J64">
    <cfRule type="expression" dxfId="1309" priority="706">
      <formula>J63="SPJD"</formula>
    </cfRule>
  </conditionalFormatting>
  <conditionalFormatting sqref="J65">
    <cfRule type="expression" dxfId="1308" priority="754">
      <formula>AND(J63="SPJD",J65="")</formula>
    </cfRule>
    <cfRule type="expression" dxfId="1307" priority="751">
      <formula>J63&lt;&gt;"spjd"</formula>
    </cfRule>
  </conditionalFormatting>
  <conditionalFormatting sqref="J66">
    <cfRule type="expression" dxfId="1306" priority="747">
      <formula>J63="SPJD"</formula>
    </cfRule>
  </conditionalFormatting>
  <conditionalFormatting sqref="J73">
    <cfRule type="expression" dxfId="1305" priority="639">
      <formula>J72="SPJD"</formula>
    </cfRule>
  </conditionalFormatting>
  <conditionalFormatting sqref="J74">
    <cfRule type="expression" dxfId="1304" priority="687">
      <formula>AND(J72="SPJD",J74="")</formula>
    </cfRule>
    <cfRule type="expression" dxfId="1303" priority="684">
      <formula>J72&lt;&gt;"spjd"</formula>
    </cfRule>
  </conditionalFormatting>
  <conditionalFormatting sqref="J75">
    <cfRule type="expression" dxfId="1302" priority="680">
      <formula>J72="SPJD"</formula>
    </cfRule>
  </conditionalFormatting>
  <conditionalFormatting sqref="J82">
    <cfRule type="expression" dxfId="1301" priority="572">
      <formula>J81="SPJD"</formula>
    </cfRule>
  </conditionalFormatting>
  <conditionalFormatting sqref="J83">
    <cfRule type="expression" dxfId="1300" priority="620">
      <formula>AND(J81="SPJD",J83="")</formula>
    </cfRule>
    <cfRule type="expression" dxfId="1299" priority="617">
      <formula>J81&lt;&gt;"spjd"</formula>
    </cfRule>
  </conditionalFormatting>
  <conditionalFormatting sqref="J84">
    <cfRule type="expression" dxfId="1298" priority="613">
      <formula>J81="SPJD"</formula>
    </cfRule>
  </conditionalFormatting>
  <conditionalFormatting sqref="J91">
    <cfRule type="expression" dxfId="1297" priority="505">
      <formula>J90="SPJD"</formula>
    </cfRule>
  </conditionalFormatting>
  <conditionalFormatting sqref="J92">
    <cfRule type="expression" dxfId="1296" priority="550">
      <formula>J90&lt;&gt;"spjd"</formula>
    </cfRule>
    <cfRule type="expression" dxfId="1295" priority="553">
      <formula>AND(J90="SPJD",J92="")</formula>
    </cfRule>
  </conditionalFormatting>
  <conditionalFormatting sqref="J93">
    <cfRule type="expression" dxfId="1294" priority="546">
      <formula>J90="SPJD"</formula>
    </cfRule>
  </conditionalFormatting>
  <conditionalFormatting sqref="J100">
    <cfRule type="expression" dxfId="1293" priority="438">
      <formula>J99="SPJD"</formula>
    </cfRule>
  </conditionalFormatting>
  <conditionalFormatting sqref="J101">
    <cfRule type="expression" dxfId="1292" priority="486">
      <formula>AND(J99="SPJD",J101="")</formula>
    </cfRule>
    <cfRule type="expression" dxfId="1291" priority="483">
      <formula>J99&lt;&gt;"spjd"</formula>
    </cfRule>
  </conditionalFormatting>
  <conditionalFormatting sqref="J102">
    <cfRule type="expression" dxfId="1290" priority="479">
      <formula>J99="SPJD"</formula>
    </cfRule>
  </conditionalFormatting>
  <conditionalFormatting sqref="J109">
    <cfRule type="expression" dxfId="1289" priority="371">
      <formula>J108="SPJD"</formula>
    </cfRule>
  </conditionalFormatting>
  <conditionalFormatting sqref="J110">
    <cfRule type="expression" dxfId="1288" priority="416">
      <formula>J108&lt;&gt;"spjd"</formula>
    </cfRule>
    <cfRule type="expression" dxfId="1287" priority="419">
      <formula>AND(J108="SPJD",J110="")</formula>
    </cfRule>
  </conditionalFormatting>
  <conditionalFormatting sqref="J111">
    <cfRule type="expression" dxfId="1286" priority="412">
      <formula>J108="SPJD"</formula>
    </cfRule>
  </conditionalFormatting>
  <conditionalFormatting sqref="J118">
    <cfRule type="expression" dxfId="1285" priority="304">
      <formula>J117="SPJD"</formula>
    </cfRule>
  </conditionalFormatting>
  <conditionalFormatting sqref="J119">
    <cfRule type="expression" dxfId="1284" priority="349">
      <formula>J117&lt;&gt;"spjd"</formula>
    </cfRule>
    <cfRule type="expression" dxfId="1283" priority="352">
      <formula>AND(J117="SPJD",J119="")</formula>
    </cfRule>
  </conditionalFormatting>
  <conditionalFormatting sqref="J120">
    <cfRule type="expression" dxfId="1282" priority="345">
      <formula>J117="SPJD"</formula>
    </cfRule>
  </conditionalFormatting>
  <conditionalFormatting sqref="J127">
    <cfRule type="expression" dxfId="1281" priority="237">
      <formula>J126="SPJD"</formula>
    </cfRule>
  </conditionalFormatting>
  <conditionalFormatting sqref="J128">
    <cfRule type="expression" dxfId="1280" priority="285">
      <formula>AND(J126="SPJD",J128="")</formula>
    </cfRule>
    <cfRule type="expression" dxfId="1279" priority="282">
      <formula>J126&lt;&gt;"spjd"</formula>
    </cfRule>
  </conditionalFormatting>
  <conditionalFormatting sqref="J129">
    <cfRule type="expression" dxfId="1278" priority="278">
      <formula>J126="SPJD"</formula>
    </cfRule>
  </conditionalFormatting>
  <conditionalFormatting sqref="J136">
    <cfRule type="expression" dxfId="1277" priority="170">
      <formula>J135="SPJD"</formula>
    </cfRule>
  </conditionalFormatting>
  <conditionalFormatting sqref="J137">
    <cfRule type="expression" dxfId="1276" priority="218">
      <formula>AND(J135="SPJD",J137="")</formula>
    </cfRule>
    <cfRule type="expression" dxfId="1275" priority="215">
      <formula>J135&lt;&gt;"spjd"</formula>
    </cfRule>
  </conditionalFormatting>
  <conditionalFormatting sqref="J138">
    <cfRule type="expression" dxfId="1274" priority="211">
      <formula>J135="SPJD"</formula>
    </cfRule>
  </conditionalFormatting>
  <conditionalFormatting sqref="J145">
    <cfRule type="expression" dxfId="1273" priority="103">
      <formula>J144="SPJD"</formula>
    </cfRule>
  </conditionalFormatting>
  <conditionalFormatting sqref="J146">
    <cfRule type="expression" dxfId="1272" priority="151">
      <formula>AND(J144="SPJD",J146="")</formula>
    </cfRule>
    <cfRule type="expression" dxfId="1271" priority="148">
      <formula>J144&lt;&gt;"spjd"</formula>
    </cfRule>
  </conditionalFormatting>
  <conditionalFormatting sqref="J147">
    <cfRule type="expression" dxfId="1270" priority="144">
      <formula>J144="SPJD"</formula>
    </cfRule>
  </conditionalFormatting>
  <conditionalFormatting sqref="J154">
    <cfRule type="expression" dxfId="1269" priority="36">
      <formula>J153="SPJD"</formula>
    </cfRule>
  </conditionalFormatting>
  <conditionalFormatting sqref="J155">
    <cfRule type="expression" dxfId="1268" priority="81">
      <formula>J153&lt;&gt;"spjd"</formula>
    </cfRule>
    <cfRule type="expression" dxfId="1267" priority="84">
      <formula>AND(J153="SPJD",J155="")</formula>
    </cfRule>
  </conditionalFormatting>
  <conditionalFormatting sqref="J156">
    <cfRule type="expression" dxfId="1266" priority="77">
      <formula>J153="SPJD"</formula>
    </cfRule>
  </conditionalFormatting>
  <conditionalFormatting sqref="K20">
    <cfRule type="expression" dxfId="1265" priority="1078">
      <formula>K18&lt;&gt;"SW"</formula>
    </cfRule>
    <cfRule type="expression" dxfId="1264" priority="1080">
      <formula>AND(K18="SW",K20="")</formula>
    </cfRule>
  </conditionalFormatting>
  <conditionalFormatting sqref="K21">
    <cfRule type="expression" dxfId="1263" priority="1086">
      <formula>OR(K18="SW",O18="SH")</formula>
    </cfRule>
  </conditionalFormatting>
  <conditionalFormatting sqref="K29">
    <cfRule type="expression" dxfId="1262" priority="1014">
      <formula>K27&lt;&gt;"SW"</formula>
    </cfRule>
    <cfRule type="expression" dxfId="1261" priority="1016">
      <formula>AND(K27="SW",K29="")</formula>
    </cfRule>
  </conditionalFormatting>
  <conditionalFormatting sqref="K30">
    <cfRule type="expression" dxfId="1260" priority="1022">
      <formula>OR(K27="SW",O27="SH")</formula>
    </cfRule>
  </conditionalFormatting>
  <conditionalFormatting sqref="K38">
    <cfRule type="expression" dxfId="1259" priority="949">
      <formula>AND(K36="SW",K38="")</formula>
    </cfRule>
    <cfRule type="expression" dxfId="1258" priority="947">
      <formula>K36&lt;&gt;"SW"</formula>
    </cfRule>
  </conditionalFormatting>
  <conditionalFormatting sqref="K39">
    <cfRule type="expression" dxfId="1257" priority="955">
      <formula>OR(K36="SW",O36="SH")</formula>
    </cfRule>
  </conditionalFormatting>
  <conditionalFormatting sqref="K47">
    <cfRule type="expression" dxfId="1256" priority="886">
      <formula>AND(K45="SW",K47="")</formula>
    </cfRule>
    <cfRule type="expression" dxfId="1255" priority="884">
      <formula>K45&lt;&gt;"SW"</formula>
    </cfRule>
  </conditionalFormatting>
  <conditionalFormatting sqref="K48">
    <cfRule type="expression" dxfId="1254" priority="892">
      <formula>OR(K45="SW",O45="SH")</formula>
    </cfRule>
  </conditionalFormatting>
  <conditionalFormatting sqref="K56">
    <cfRule type="expression" dxfId="1253" priority="819">
      <formula>AND(K54="SW",K56="")</formula>
    </cfRule>
    <cfRule type="expression" dxfId="1252" priority="817">
      <formula>K54&lt;&gt;"SW"</formula>
    </cfRule>
  </conditionalFormatting>
  <conditionalFormatting sqref="K57">
    <cfRule type="expression" dxfId="1251" priority="825">
      <formula>OR(K54="SW",O54="SH")</formula>
    </cfRule>
  </conditionalFormatting>
  <conditionalFormatting sqref="K65">
    <cfRule type="expression" dxfId="1250" priority="750">
      <formula>K63&lt;&gt;"SW"</formula>
    </cfRule>
    <cfRule type="expression" dxfId="1249" priority="752">
      <formula>AND(K63="SW",K65="")</formula>
    </cfRule>
  </conditionalFormatting>
  <conditionalFormatting sqref="K66">
    <cfRule type="expression" dxfId="1248" priority="758">
      <formula>OR(K63="SW",O63="SH")</formula>
    </cfRule>
  </conditionalFormatting>
  <conditionalFormatting sqref="K74">
    <cfRule type="expression" dxfId="1247" priority="685">
      <formula>AND(K72="SW",K74="")</formula>
    </cfRule>
    <cfRule type="expression" dxfId="1246" priority="683">
      <formula>K72&lt;&gt;"SW"</formula>
    </cfRule>
  </conditionalFormatting>
  <conditionalFormatting sqref="K75">
    <cfRule type="expression" dxfId="1245" priority="691">
      <formula>OR(K72="SW",O72="SH")</formula>
    </cfRule>
  </conditionalFormatting>
  <conditionalFormatting sqref="K83">
    <cfRule type="expression" dxfId="1244" priority="616">
      <formula>K81&lt;&gt;"SW"</formula>
    </cfRule>
    <cfRule type="expression" dxfId="1243" priority="618">
      <formula>AND(K81="SW",K83="")</formula>
    </cfRule>
  </conditionalFormatting>
  <conditionalFormatting sqref="K84">
    <cfRule type="expression" dxfId="1242" priority="624">
      <formula>OR(K81="SW",O81="SH")</formula>
    </cfRule>
  </conditionalFormatting>
  <conditionalFormatting sqref="K92">
    <cfRule type="expression" dxfId="1241" priority="549">
      <formula>K90&lt;&gt;"SW"</formula>
    </cfRule>
    <cfRule type="expression" dxfId="1240" priority="551">
      <formula>AND(K90="SW",K92="")</formula>
    </cfRule>
  </conditionalFormatting>
  <conditionalFormatting sqref="K93">
    <cfRule type="expression" dxfId="1239" priority="557">
      <formula>OR(K90="SW",O90="SH")</formula>
    </cfRule>
  </conditionalFormatting>
  <conditionalFormatting sqref="K101">
    <cfRule type="expression" dxfId="1238" priority="484">
      <formula>AND(K99="SW",K101="")</formula>
    </cfRule>
    <cfRule type="expression" dxfId="1237" priority="482">
      <formula>K99&lt;&gt;"SW"</formula>
    </cfRule>
  </conditionalFormatting>
  <conditionalFormatting sqref="K102">
    <cfRule type="expression" dxfId="1236" priority="490">
      <formula>OR(K99="SW",O99="SH")</formula>
    </cfRule>
  </conditionalFormatting>
  <conditionalFormatting sqref="K110">
    <cfRule type="expression" dxfId="1235" priority="417">
      <formula>AND(K108="SW",K110="")</formula>
    </cfRule>
    <cfRule type="expression" dxfId="1234" priority="415">
      <formula>K108&lt;&gt;"SW"</formula>
    </cfRule>
  </conditionalFormatting>
  <conditionalFormatting sqref="K111">
    <cfRule type="expression" dxfId="1233" priority="423">
      <formula>OR(K108="SW",O108="SH")</formula>
    </cfRule>
  </conditionalFormatting>
  <conditionalFormatting sqref="K119">
    <cfRule type="expression" dxfId="1232" priority="348">
      <formula>K117&lt;&gt;"SW"</formula>
    </cfRule>
    <cfRule type="expression" dxfId="1231" priority="350">
      <formula>AND(K117="SW",K119="")</formula>
    </cfRule>
  </conditionalFormatting>
  <conditionalFormatting sqref="K120">
    <cfRule type="expression" dxfId="1230" priority="356">
      <formula>OR(K117="SW",O117="SH")</formula>
    </cfRule>
  </conditionalFormatting>
  <conditionalFormatting sqref="K128">
    <cfRule type="expression" dxfId="1229" priority="281">
      <formula>K126&lt;&gt;"SW"</formula>
    </cfRule>
    <cfRule type="expression" dxfId="1228" priority="283">
      <formula>AND(K126="SW",K128="")</formula>
    </cfRule>
  </conditionalFormatting>
  <conditionalFormatting sqref="K129">
    <cfRule type="expression" dxfId="1227" priority="289">
      <formula>OR(K126="SW",O126="SH")</formula>
    </cfRule>
  </conditionalFormatting>
  <conditionalFormatting sqref="K137">
    <cfRule type="expression" dxfId="1226" priority="214">
      <formula>K135&lt;&gt;"SW"</formula>
    </cfRule>
    <cfRule type="expression" dxfId="1225" priority="216">
      <formula>AND(K135="SW",K137="")</formula>
    </cfRule>
  </conditionalFormatting>
  <conditionalFormatting sqref="K138">
    <cfRule type="expression" dxfId="1224" priority="222">
      <formula>OR(K135="SW",O135="SH")</formula>
    </cfRule>
  </conditionalFormatting>
  <conditionalFormatting sqref="K146">
    <cfRule type="expression" dxfId="1223" priority="149">
      <formula>AND(K144="SW",K146="")</formula>
    </cfRule>
    <cfRule type="expression" dxfId="1222" priority="147">
      <formula>K144&lt;&gt;"SW"</formula>
    </cfRule>
  </conditionalFormatting>
  <conditionalFormatting sqref="K147">
    <cfRule type="expression" dxfId="1221" priority="155">
      <formula>OR(K144="SW",O144="SH")</formula>
    </cfRule>
  </conditionalFormatting>
  <conditionalFormatting sqref="K155">
    <cfRule type="expression" dxfId="1220" priority="80">
      <formula>K153&lt;&gt;"SW"</formula>
    </cfRule>
    <cfRule type="expression" dxfId="1219" priority="82">
      <formula>AND(K153="SW",K155="")</formula>
    </cfRule>
  </conditionalFormatting>
  <conditionalFormatting sqref="K156">
    <cfRule type="expression" dxfId="1218" priority="88">
      <formula>OR(K153="SW",O153="SH")</formula>
    </cfRule>
  </conditionalFormatting>
  <conditionalFormatting sqref="K19:L19">
    <cfRule type="expression" dxfId="1217" priority="1035">
      <formula>K18="SW"</formula>
    </cfRule>
  </conditionalFormatting>
  <conditionalFormatting sqref="K28:L28">
    <cfRule type="expression" dxfId="1216" priority="969">
      <formula>K27="SW"</formula>
    </cfRule>
  </conditionalFormatting>
  <conditionalFormatting sqref="K37:L37">
    <cfRule type="expression" dxfId="1215" priority="905">
      <formula>K36="SW"</formula>
    </cfRule>
  </conditionalFormatting>
  <conditionalFormatting sqref="K46:L46">
    <cfRule type="expression" dxfId="1214" priority="839">
      <formula>K45="SW"</formula>
    </cfRule>
  </conditionalFormatting>
  <conditionalFormatting sqref="K55:L55">
    <cfRule type="expression" dxfId="1213" priority="772">
      <formula>K54="SW"</formula>
    </cfRule>
  </conditionalFormatting>
  <conditionalFormatting sqref="K64:L64">
    <cfRule type="expression" dxfId="1212" priority="705">
      <formula>K63="SW"</formula>
    </cfRule>
  </conditionalFormatting>
  <conditionalFormatting sqref="K73:L73">
    <cfRule type="expression" dxfId="1211" priority="638">
      <formula>K72="SW"</formula>
    </cfRule>
  </conditionalFormatting>
  <conditionalFormatting sqref="K82:L82">
    <cfRule type="expression" dxfId="1210" priority="571">
      <formula>K81="SW"</formula>
    </cfRule>
  </conditionalFormatting>
  <conditionalFormatting sqref="K91:L91">
    <cfRule type="expression" dxfId="1209" priority="504">
      <formula>K90="SW"</formula>
    </cfRule>
  </conditionalFormatting>
  <conditionalFormatting sqref="K100:L100">
    <cfRule type="expression" dxfId="1208" priority="437">
      <formula>K99="SW"</formula>
    </cfRule>
  </conditionalFormatting>
  <conditionalFormatting sqref="K109:L109">
    <cfRule type="expression" dxfId="1207" priority="370">
      <formula>K108="SW"</formula>
    </cfRule>
  </conditionalFormatting>
  <conditionalFormatting sqref="K118:L118">
    <cfRule type="expression" dxfId="1206" priority="303">
      <formula>K117="SW"</formula>
    </cfRule>
  </conditionalFormatting>
  <conditionalFormatting sqref="K127:L127">
    <cfRule type="expression" dxfId="1205" priority="236">
      <formula>K126="SW"</formula>
    </cfRule>
  </conditionalFormatting>
  <conditionalFormatting sqref="K136:L136">
    <cfRule type="expression" dxfId="1204" priority="169">
      <formula>K135="SW"</formula>
    </cfRule>
  </conditionalFormatting>
  <conditionalFormatting sqref="K145:L145">
    <cfRule type="expression" dxfId="1203" priority="102">
      <formula>K144="SW"</formula>
    </cfRule>
  </conditionalFormatting>
  <conditionalFormatting sqref="K154:L154">
    <cfRule type="expression" dxfId="1202" priority="35">
      <formula>K153="SW"</formula>
    </cfRule>
  </conditionalFormatting>
  <conditionalFormatting sqref="L20">
    <cfRule type="expression" dxfId="1201" priority="1084">
      <formula>M18&lt;&gt;"SW"</formula>
    </cfRule>
    <cfRule type="expression" dxfId="1200" priority="1085">
      <formula>AND(M18="SW",L20="")</formula>
    </cfRule>
  </conditionalFormatting>
  <conditionalFormatting sqref="L29">
    <cfRule type="expression" dxfId="1199" priority="1021">
      <formula>AND(M27="SW",L29="")</formula>
    </cfRule>
    <cfRule type="expression" dxfId="1198" priority="1020">
      <formula>M27&lt;&gt;"SW"</formula>
    </cfRule>
  </conditionalFormatting>
  <conditionalFormatting sqref="L38">
    <cfRule type="expression" dxfId="1197" priority="953">
      <formula>M36&lt;&gt;"SW"</formula>
    </cfRule>
    <cfRule type="expression" dxfId="1196" priority="954">
      <formula>AND(M36="SW",L38="")</formula>
    </cfRule>
  </conditionalFormatting>
  <conditionalFormatting sqref="L47">
    <cfRule type="expression" dxfId="1195" priority="890">
      <formula>M45&lt;&gt;"SW"</formula>
    </cfRule>
    <cfRule type="expression" dxfId="1194" priority="891">
      <formula>AND(M45="SW",L47="")</formula>
    </cfRule>
  </conditionalFormatting>
  <conditionalFormatting sqref="L56">
    <cfRule type="expression" dxfId="1193" priority="824">
      <formula>AND(M54="SW",L56="")</formula>
    </cfRule>
    <cfRule type="expression" dxfId="1192" priority="823">
      <formula>M54&lt;&gt;"SW"</formula>
    </cfRule>
  </conditionalFormatting>
  <conditionalFormatting sqref="L65">
    <cfRule type="expression" dxfId="1191" priority="756">
      <formula>M63&lt;&gt;"SW"</formula>
    </cfRule>
    <cfRule type="expression" dxfId="1190" priority="757">
      <formula>AND(M63="SW",L65="")</formula>
    </cfRule>
  </conditionalFormatting>
  <conditionalFormatting sqref="L74">
    <cfRule type="expression" dxfId="1189" priority="690">
      <formula>AND(M72="SW",L74="")</formula>
    </cfRule>
    <cfRule type="expression" dxfId="1188" priority="689">
      <formula>M72&lt;&gt;"SW"</formula>
    </cfRule>
  </conditionalFormatting>
  <conditionalFormatting sqref="L83">
    <cfRule type="expression" dxfId="1187" priority="623">
      <formula>AND(M81="SW",L83="")</formula>
    </cfRule>
    <cfRule type="expression" dxfId="1186" priority="622">
      <formula>M81&lt;&gt;"SW"</formula>
    </cfRule>
  </conditionalFormatting>
  <conditionalFormatting sqref="L92">
    <cfRule type="expression" dxfId="1185" priority="555">
      <formula>M90&lt;&gt;"SW"</formula>
    </cfRule>
    <cfRule type="expression" dxfId="1184" priority="556">
      <formula>AND(M90="SW",L92="")</formula>
    </cfRule>
  </conditionalFormatting>
  <conditionalFormatting sqref="L101">
    <cfRule type="expression" dxfId="1183" priority="489">
      <formula>AND(M99="SW",L101="")</formula>
    </cfRule>
    <cfRule type="expression" dxfId="1182" priority="488">
      <formula>M99&lt;&gt;"SW"</formula>
    </cfRule>
  </conditionalFormatting>
  <conditionalFormatting sqref="L110">
    <cfRule type="expression" dxfId="1181" priority="421">
      <formula>M108&lt;&gt;"SW"</formula>
    </cfRule>
    <cfRule type="expression" dxfId="1180" priority="422">
      <formula>AND(M108="SW",L110="")</formula>
    </cfRule>
  </conditionalFormatting>
  <conditionalFormatting sqref="L119">
    <cfRule type="expression" dxfId="1179" priority="355">
      <formula>AND(M117="SW",L119="")</formula>
    </cfRule>
    <cfRule type="expression" dxfId="1178" priority="354">
      <formula>M117&lt;&gt;"SW"</formula>
    </cfRule>
  </conditionalFormatting>
  <conditionalFormatting sqref="L128">
    <cfRule type="expression" dxfId="1177" priority="287">
      <formula>M126&lt;&gt;"SW"</formula>
    </cfRule>
    <cfRule type="expression" dxfId="1176" priority="288">
      <formula>AND(M126="SW",L128="")</formula>
    </cfRule>
  </conditionalFormatting>
  <conditionalFormatting sqref="L137">
    <cfRule type="expression" dxfId="1175" priority="220">
      <formula>M135&lt;&gt;"SW"</formula>
    </cfRule>
    <cfRule type="expression" dxfId="1174" priority="221">
      <formula>AND(M135="SW",L137="")</formula>
    </cfRule>
  </conditionalFormatting>
  <conditionalFormatting sqref="L146">
    <cfRule type="expression" dxfId="1173" priority="154">
      <formula>AND(M144="SW",L146="")</formula>
    </cfRule>
    <cfRule type="expression" dxfId="1172" priority="153">
      <formula>M144&lt;&gt;"SW"</formula>
    </cfRule>
  </conditionalFormatting>
  <conditionalFormatting sqref="L155">
    <cfRule type="expression" dxfId="1171" priority="86">
      <formula>M153&lt;&gt;"SW"</formula>
    </cfRule>
    <cfRule type="expression" dxfId="1170" priority="87">
      <formula>AND(M153="SW",L155="")</formula>
    </cfRule>
  </conditionalFormatting>
  <conditionalFormatting sqref="M21">
    <cfRule type="expression" dxfId="1169" priority="1077">
      <formula>(M18="SH")</formula>
    </cfRule>
  </conditionalFormatting>
  <conditionalFormatting sqref="M30">
    <cfRule type="expression" dxfId="1168" priority="1013">
      <formula>(M27="SH")</formula>
    </cfRule>
  </conditionalFormatting>
  <conditionalFormatting sqref="M39">
    <cfRule type="expression" dxfId="1167" priority="946">
      <formula>(M36="SH")</formula>
    </cfRule>
  </conditionalFormatting>
  <conditionalFormatting sqref="M48">
    <cfRule type="expression" dxfId="1166" priority="883">
      <formula>(M45="SH")</formula>
    </cfRule>
  </conditionalFormatting>
  <conditionalFormatting sqref="M57">
    <cfRule type="expression" dxfId="1165" priority="816">
      <formula>(M54="SH")</formula>
    </cfRule>
  </conditionalFormatting>
  <conditionalFormatting sqref="M66">
    <cfRule type="expression" dxfId="1164" priority="749">
      <formula>(M63="SH")</formula>
    </cfRule>
  </conditionalFormatting>
  <conditionalFormatting sqref="M75">
    <cfRule type="expression" dxfId="1163" priority="682">
      <formula>(M72="SH")</formula>
    </cfRule>
  </conditionalFormatting>
  <conditionalFormatting sqref="M84">
    <cfRule type="expression" dxfId="1162" priority="615">
      <formula>(M81="SH")</formula>
    </cfRule>
  </conditionalFormatting>
  <conditionalFormatting sqref="M93">
    <cfRule type="expression" dxfId="1161" priority="548">
      <formula>(M90="SH")</formula>
    </cfRule>
  </conditionalFormatting>
  <conditionalFormatting sqref="M102">
    <cfRule type="expression" dxfId="1160" priority="481">
      <formula>(M99="SH")</formula>
    </cfRule>
  </conditionalFormatting>
  <conditionalFormatting sqref="M111">
    <cfRule type="expression" dxfId="1159" priority="414">
      <formula>(M108="SH")</formula>
    </cfRule>
  </conditionalFormatting>
  <conditionalFormatting sqref="M120">
    <cfRule type="expression" dxfId="1158" priority="347">
      <formula>(M117="SH")</formula>
    </cfRule>
  </conditionalFormatting>
  <conditionalFormatting sqref="M129">
    <cfRule type="expression" dxfId="1157" priority="280">
      <formula>(M126="SH")</formula>
    </cfRule>
  </conditionalFormatting>
  <conditionalFormatting sqref="M138">
    <cfRule type="expression" dxfId="1156" priority="213">
      <formula>(M135="SH")</formula>
    </cfRule>
  </conditionalFormatting>
  <conditionalFormatting sqref="M147">
    <cfRule type="expression" dxfId="1155" priority="146">
      <formula>(M144="SH")</formula>
    </cfRule>
  </conditionalFormatting>
  <conditionalFormatting sqref="M156">
    <cfRule type="expression" dxfId="1154" priority="79">
      <formula>(M153="SH")</formula>
    </cfRule>
  </conditionalFormatting>
  <conditionalFormatting sqref="M19:N19">
    <cfRule type="expression" dxfId="1153" priority="1034">
      <formula>M18="SH"</formula>
    </cfRule>
  </conditionalFormatting>
  <conditionalFormatting sqref="M20:N20">
    <cfRule type="expression" dxfId="1152" priority="1087">
      <formula>M18&lt;&gt;"SH"</formula>
    </cfRule>
    <cfRule type="expression" dxfId="1151" priority="1088">
      <formula>AND(M18="SH",M20="")</formula>
    </cfRule>
  </conditionalFormatting>
  <conditionalFormatting sqref="M28:N28">
    <cfRule type="expression" dxfId="1150" priority="968">
      <formula>M27="SH"</formula>
    </cfRule>
  </conditionalFormatting>
  <conditionalFormatting sqref="M29:N29">
    <cfRule type="expression" dxfId="1149" priority="1024">
      <formula>AND(M27="SH",M29="")</formula>
    </cfRule>
    <cfRule type="expression" dxfId="1148" priority="1023">
      <formula>M27&lt;&gt;"SH"</formula>
    </cfRule>
  </conditionalFormatting>
  <conditionalFormatting sqref="M37:N37">
    <cfRule type="expression" dxfId="1147" priority="904">
      <formula>M36="SH"</formula>
    </cfRule>
  </conditionalFormatting>
  <conditionalFormatting sqref="M38:N38">
    <cfRule type="expression" dxfId="1146" priority="956">
      <formula>M36&lt;&gt;"SH"</formula>
    </cfRule>
    <cfRule type="expression" dxfId="1145" priority="957">
      <formula>AND(M36="SH",M38="")</formula>
    </cfRule>
  </conditionalFormatting>
  <conditionalFormatting sqref="M46:N46">
    <cfRule type="expression" dxfId="1144" priority="838">
      <formula>M45="SH"</formula>
    </cfRule>
  </conditionalFormatting>
  <conditionalFormatting sqref="M47:N47">
    <cfRule type="expression" dxfId="1143" priority="893">
      <formula>M45&lt;&gt;"SH"</formula>
    </cfRule>
    <cfRule type="expression" dxfId="1142" priority="894">
      <formula>AND(M45="SH",M47="")</formula>
    </cfRule>
  </conditionalFormatting>
  <conditionalFormatting sqref="M55:N55">
    <cfRule type="expression" dxfId="1141" priority="771">
      <formula>M54="SH"</formula>
    </cfRule>
  </conditionalFormatting>
  <conditionalFormatting sqref="M56:N56">
    <cfRule type="expression" dxfId="1140" priority="826">
      <formula>M54&lt;&gt;"SH"</formula>
    </cfRule>
    <cfRule type="expression" dxfId="1139" priority="827">
      <formula>AND(M54="SH",M56="")</formula>
    </cfRule>
  </conditionalFormatting>
  <conditionalFormatting sqref="M64:N64">
    <cfRule type="expression" dxfId="1138" priority="704">
      <formula>M63="SH"</formula>
    </cfRule>
  </conditionalFormatting>
  <conditionalFormatting sqref="M65:N65">
    <cfRule type="expression" dxfId="1137" priority="760">
      <formula>AND(M63="SH",M65="")</formula>
    </cfRule>
    <cfRule type="expression" dxfId="1136" priority="759">
      <formula>M63&lt;&gt;"SH"</formula>
    </cfRule>
  </conditionalFormatting>
  <conditionalFormatting sqref="M73:N73">
    <cfRule type="expression" dxfId="1135" priority="637">
      <formula>M72="SH"</formula>
    </cfRule>
  </conditionalFormatting>
  <conditionalFormatting sqref="M74:N74">
    <cfRule type="expression" dxfId="1134" priority="693">
      <formula>AND(M72="SH",M74="")</formula>
    </cfRule>
    <cfRule type="expression" dxfId="1133" priority="692">
      <formula>M72&lt;&gt;"SH"</formula>
    </cfRule>
  </conditionalFormatting>
  <conditionalFormatting sqref="M82:N82">
    <cfRule type="expression" dxfId="1132" priority="570">
      <formula>M81="SH"</formula>
    </cfRule>
  </conditionalFormatting>
  <conditionalFormatting sqref="M83:N83">
    <cfRule type="expression" dxfId="1131" priority="626">
      <formula>AND(M81="SH",M83="")</formula>
    </cfRule>
    <cfRule type="expression" dxfId="1130" priority="625">
      <formula>M81&lt;&gt;"SH"</formula>
    </cfRule>
  </conditionalFormatting>
  <conditionalFormatting sqref="M91:N91">
    <cfRule type="expression" dxfId="1129" priority="503">
      <formula>M90="SH"</formula>
    </cfRule>
  </conditionalFormatting>
  <conditionalFormatting sqref="M92:N92">
    <cfRule type="expression" dxfId="1128" priority="558">
      <formula>M90&lt;&gt;"SH"</formula>
    </cfRule>
    <cfRule type="expression" dxfId="1127" priority="559">
      <formula>AND(M90="SH",M92="")</formula>
    </cfRule>
  </conditionalFormatting>
  <conditionalFormatting sqref="M100:N100">
    <cfRule type="expression" dxfId="1126" priority="436">
      <formula>M99="SH"</formula>
    </cfRule>
  </conditionalFormatting>
  <conditionalFormatting sqref="M101:N101">
    <cfRule type="expression" dxfId="1125" priority="492">
      <formula>AND(M99="SH",M101="")</formula>
    </cfRule>
    <cfRule type="expression" dxfId="1124" priority="491">
      <formula>M99&lt;&gt;"SH"</formula>
    </cfRule>
  </conditionalFormatting>
  <conditionalFormatting sqref="M109:N109">
    <cfRule type="expression" dxfId="1123" priority="369">
      <formula>M108="SH"</formula>
    </cfRule>
  </conditionalFormatting>
  <conditionalFormatting sqref="M110:N110">
    <cfRule type="expression" dxfId="1122" priority="425">
      <formula>AND(M108="SH",M110="")</formula>
    </cfRule>
    <cfRule type="expression" dxfId="1121" priority="424">
      <formula>M108&lt;&gt;"SH"</formula>
    </cfRule>
  </conditionalFormatting>
  <conditionalFormatting sqref="M118:N118">
    <cfRule type="expression" dxfId="1120" priority="302">
      <formula>M117="SH"</formula>
    </cfRule>
  </conditionalFormatting>
  <conditionalFormatting sqref="M119:N119">
    <cfRule type="expression" dxfId="1119" priority="358">
      <formula>AND(M117="SH",M119="")</formula>
    </cfRule>
    <cfRule type="expression" dxfId="1118" priority="357">
      <formula>M117&lt;&gt;"SH"</formula>
    </cfRule>
  </conditionalFormatting>
  <conditionalFormatting sqref="M127:N127">
    <cfRule type="expression" dxfId="1117" priority="235">
      <formula>M126="SH"</formula>
    </cfRule>
  </conditionalFormatting>
  <conditionalFormatting sqref="M128:N128">
    <cfRule type="expression" dxfId="1116" priority="291">
      <formula>AND(M126="SH",M128="")</formula>
    </cfRule>
    <cfRule type="expression" dxfId="1115" priority="290">
      <formula>M126&lt;&gt;"SH"</formula>
    </cfRule>
  </conditionalFormatting>
  <conditionalFormatting sqref="M136:N136">
    <cfRule type="expression" dxfId="1114" priority="168">
      <formula>M135="SH"</formula>
    </cfRule>
  </conditionalFormatting>
  <conditionalFormatting sqref="M137:N137">
    <cfRule type="expression" dxfId="1113" priority="224">
      <formula>AND(M135="SH",M137="")</formula>
    </cfRule>
    <cfRule type="expression" dxfId="1112" priority="223">
      <formula>M135&lt;&gt;"SH"</formula>
    </cfRule>
  </conditionalFormatting>
  <conditionalFormatting sqref="M145:N145">
    <cfRule type="expression" dxfId="1111" priority="101">
      <formula>M144="SH"</formula>
    </cfRule>
  </conditionalFormatting>
  <conditionalFormatting sqref="M146:N146">
    <cfRule type="expression" dxfId="1110" priority="157">
      <formula>AND(M144="SH",M146="")</formula>
    </cfRule>
    <cfRule type="expression" dxfId="1109" priority="156">
      <formula>M144&lt;&gt;"SH"</formula>
    </cfRule>
  </conditionalFormatting>
  <conditionalFormatting sqref="M154:N154">
    <cfRule type="expression" dxfId="1108" priority="34">
      <formula>M153="SH"</formula>
    </cfRule>
  </conditionalFormatting>
  <conditionalFormatting sqref="M155:N155">
    <cfRule type="expression" dxfId="1107" priority="90">
      <formula>AND(M153="SH",M155="")</formula>
    </cfRule>
    <cfRule type="expression" dxfId="1106" priority="89">
      <formula>M153&lt;&gt;"SH"</formula>
    </cfRule>
  </conditionalFormatting>
  <conditionalFormatting sqref="N22">
    <cfRule type="expression" dxfId="1105" priority="1045">
      <formula>AD22 = "*"</formula>
    </cfRule>
  </conditionalFormatting>
  <conditionalFormatting sqref="N23:N25">
    <cfRule type="expression" dxfId="1104" priority="1044">
      <formula>AD23="*"</formula>
    </cfRule>
  </conditionalFormatting>
  <conditionalFormatting sqref="N31">
    <cfRule type="expression" dxfId="1103" priority="979">
      <formula>AD31 = "*"</formula>
    </cfRule>
  </conditionalFormatting>
  <conditionalFormatting sqref="N32:N34">
    <cfRule type="expression" dxfId="1102" priority="978">
      <formula>AD32="*"</formula>
    </cfRule>
  </conditionalFormatting>
  <conditionalFormatting sqref="N40">
    <cfRule type="expression" dxfId="1101" priority="915">
      <formula>AD40 = "*"</formula>
    </cfRule>
  </conditionalFormatting>
  <conditionalFormatting sqref="N41:N43">
    <cfRule type="expression" dxfId="1100" priority="914">
      <formula>AD41="*"</formula>
    </cfRule>
  </conditionalFormatting>
  <conditionalFormatting sqref="N49">
    <cfRule type="expression" dxfId="1099" priority="849">
      <formula>AD49 = "*"</formula>
    </cfRule>
  </conditionalFormatting>
  <conditionalFormatting sqref="N50:N52">
    <cfRule type="expression" dxfId="1098" priority="848">
      <formula>AD50="*"</formula>
    </cfRule>
  </conditionalFormatting>
  <conditionalFormatting sqref="N58">
    <cfRule type="expression" dxfId="1097" priority="782">
      <formula>AD58 = "*"</formula>
    </cfRule>
  </conditionalFormatting>
  <conditionalFormatting sqref="N59:N61">
    <cfRule type="expression" dxfId="1096" priority="781">
      <formula>AD59="*"</formula>
    </cfRule>
  </conditionalFormatting>
  <conditionalFormatting sqref="N67">
    <cfRule type="expression" dxfId="1095" priority="715">
      <formula>AD67 = "*"</formula>
    </cfRule>
  </conditionalFormatting>
  <conditionalFormatting sqref="N68:N70">
    <cfRule type="expression" dxfId="1094" priority="714">
      <formula>AD68="*"</formula>
    </cfRule>
  </conditionalFormatting>
  <conditionalFormatting sqref="N76">
    <cfRule type="expression" dxfId="1093" priority="648">
      <formula>AD76 = "*"</formula>
    </cfRule>
  </conditionalFormatting>
  <conditionalFormatting sqref="N77:N79">
    <cfRule type="expression" dxfId="1092" priority="647">
      <formula>AD77="*"</formula>
    </cfRule>
  </conditionalFormatting>
  <conditionalFormatting sqref="N85">
    <cfRule type="expression" dxfId="1091" priority="581">
      <formula>AD85 = "*"</formula>
    </cfRule>
  </conditionalFormatting>
  <conditionalFormatting sqref="N86:N88">
    <cfRule type="expression" dxfId="1090" priority="580">
      <formula>AD86="*"</formula>
    </cfRule>
  </conditionalFormatting>
  <conditionalFormatting sqref="N94">
    <cfRule type="expression" dxfId="1089" priority="514">
      <formula>AD94 = "*"</formula>
    </cfRule>
  </conditionalFormatting>
  <conditionalFormatting sqref="N95:N97">
    <cfRule type="expression" dxfId="1088" priority="513">
      <formula>AD95="*"</formula>
    </cfRule>
  </conditionalFormatting>
  <conditionalFormatting sqref="N103">
    <cfRule type="expression" dxfId="1087" priority="447">
      <formula>AD103 = "*"</formula>
    </cfRule>
  </conditionalFormatting>
  <conditionalFormatting sqref="N104:N106">
    <cfRule type="expression" dxfId="1086" priority="446">
      <formula>AD104="*"</formula>
    </cfRule>
  </conditionalFormatting>
  <conditionalFormatting sqref="N112">
    <cfRule type="expression" dxfId="1085" priority="380">
      <formula>AD112 = "*"</formula>
    </cfRule>
  </conditionalFormatting>
  <conditionalFormatting sqref="N113:N115">
    <cfRule type="expression" dxfId="1084" priority="379">
      <formula>AD113="*"</formula>
    </cfRule>
  </conditionalFormatting>
  <conditionalFormatting sqref="N121">
    <cfRule type="expression" dxfId="1083" priority="313">
      <formula>AD121 = "*"</formula>
    </cfRule>
  </conditionalFormatting>
  <conditionalFormatting sqref="N122:N124">
    <cfRule type="expression" dxfId="1082" priority="312">
      <formula>AD122="*"</formula>
    </cfRule>
  </conditionalFormatting>
  <conditionalFormatting sqref="N130">
    <cfRule type="expression" dxfId="1081" priority="246">
      <formula>AD130 = "*"</formula>
    </cfRule>
  </conditionalFormatting>
  <conditionalFormatting sqref="N131:N133">
    <cfRule type="expression" dxfId="1080" priority="245">
      <formula>AD131="*"</formula>
    </cfRule>
  </conditionalFormatting>
  <conditionalFormatting sqref="N139">
    <cfRule type="expression" dxfId="1079" priority="179">
      <formula>AD139 = "*"</formula>
    </cfRule>
  </conditionalFormatting>
  <conditionalFormatting sqref="N140:N142">
    <cfRule type="expression" dxfId="1078" priority="178">
      <formula>AD140="*"</formula>
    </cfRule>
  </conditionalFormatting>
  <conditionalFormatting sqref="N148">
    <cfRule type="expression" dxfId="1077" priority="112">
      <formula>AD148 = "*"</formula>
    </cfRule>
  </conditionalFormatting>
  <conditionalFormatting sqref="N149:N151">
    <cfRule type="expression" dxfId="1076" priority="111">
      <formula>AD149="*"</formula>
    </cfRule>
  </conditionalFormatting>
  <conditionalFormatting sqref="N157">
    <cfRule type="expression" dxfId="1075" priority="45">
      <formula>AD157 = "*"</formula>
    </cfRule>
  </conditionalFormatting>
  <conditionalFormatting sqref="N158:N160">
    <cfRule type="expression" dxfId="1074" priority="44">
      <formula>AD158="*"</formula>
    </cfRule>
  </conditionalFormatting>
  <conditionalFormatting sqref="O22:O25">
    <cfRule type="expression" dxfId="1073" priority="1052">
      <formula>AND(AD22="*",O22="")</formula>
    </cfRule>
  </conditionalFormatting>
  <conditionalFormatting sqref="O31:O34">
    <cfRule type="expression" dxfId="1072" priority="988">
      <formula>AND(AD31="*",O31="")</formula>
    </cfRule>
  </conditionalFormatting>
  <conditionalFormatting sqref="O40:O43">
    <cfRule type="expression" dxfId="1071" priority="921">
      <formula>AND(AD40="*",O40="")</formula>
    </cfRule>
  </conditionalFormatting>
  <conditionalFormatting sqref="O49:O52">
    <cfRule type="expression" dxfId="1070" priority="858">
      <formula>AND(AD49="*",O49="")</formula>
    </cfRule>
  </conditionalFormatting>
  <conditionalFormatting sqref="O58:O61">
    <cfRule type="expression" dxfId="1069" priority="791">
      <formula>AND(AD58="*",O58="")</formula>
    </cfRule>
  </conditionalFormatting>
  <conditionalFormatting sqref="O67:O70">
    <cfRule type="expression" dxfId="1068" priority="724">
      <formula>AND(AD67="*",O67="")</formula>
    </cfRule>
  </conditionalFormatting>
  <conditionalFormatting sqref="O76:O79">
    <cfRule type="expression" dxfId="1067" priority="657">
      <formula>AND(AD76="*",O76="")</formula>
    </cfRule>
  </conditionalFormatting>
  <conditionalFormatting sqref="O85:O88">
    <cfRule type="expression" dxfId="1066" priority="590">
      <formula>AND(AD85="*",O85="")</formula>
    </cfRule>
  </conditionalFormatting>
  <conditionalFormatting sqref="O94:O97">
    <cfRule type="expression" dxfId="1065" priority="523">
      <formula>AND(AD94="*",O94="")</formula>
    </cfRule>
  </conditionalFormatting>
  <conditionalFormatting sqref="O103:O106">
    <cfRule type="expression" dxfId="1064" priority="456">
      <formula>AND(AD103="*",O103="")</formula>
    </cfRule>
  </conditionalFormatting>
  <conditionalFormatting sqref="O112:O115">
    <cfRule type="expression" dxfId="1063" priority="389">
      <formula>AND(AD112="*",O112="")</formula>
    </cfRule>
  </conditionalFormatting>
  <conditionalFormatting sqref="O121:O124">
    <cfRule type="expression" dxfId="1062" priority="322">
      <formula>AND(AD121="*",O121="")</formula>
    </cfRule>
  </conditionalFormatting>
  <conditionalFormatting sqref="O130:O133">
    <cfRule type="expression" dxfId="1061" priority="255">
      <formula>AND(AD130="*",O130="")</formula>
    </cfRule>
  </conditionalFormatting>
  <conditionalFormatting sqref="O139:O142">
    <cfRule type="expression" dxfId="1060" priority="188">
      <formula>AND(AD139="*",O139="")</formula>
    </cfRule>
  </conditionalFormatting>
  <conditionalFormatting sqref="O148:O151">
    <cfRule type="expression" dxfId="1059" priority="121">
      <formula>AND(AD148="*",O148="")</formula>
    </cfRule>
  </conditionalFormatting>
  <conditionalFormatting sqref="O157:O160">
    <cfRule type="expression" dxfId="1058" priority="54">
      <formula>AND(AD157="*",O157="")</formula>
    </cfRule>
  </conditionalFormatting>
  <conditionalFormatting sqref="O19:P19">
    <cfRule type="expression" dxfId="1057" priority="1033">
      <formula>P18="SPL"</formula>
    </cfRule>
  </conditionalFormatting>
  <conditionalFormatting sqref="O20:P20">
    <cfRule type="expression" dxfId="1056" priority="1071">
      <formula>P18&lt;&gt;"SPL"</formula>
    </cfRule>
    <cfRule type="expression" dxfId="1055" priority="1072">
      <formula>AND(P18="SPL",O20="")</formula>
    </cfRule>
  </conditionalFormatting>
  <conditionalFormatting sqref="O21:P21">
    <cfRule type="expression" dxfId="1054" priority="1074">
      <formula>AND(P18="SPL",O21="")</formula>
    </cfRule>
    <cfRule type="expression" dxfId="1053" priority="1073">
      <formula>P18&lt;&gt;"SPL"</formula>
    </cfRule>
  </conditionalFormatting>
  <conditionalFormatting sqref="O28:P28">
    <cfRule type="expression" dxfId="1052" priority="967">
      <formula>P27="SPL"</formula>
    </cfRule>
  </conditionalFormatting>
  <conditionalFormatting sqref="O29:P29">
    <cfRule type="expression" dxfId="1051" priority="1008">
      <formula>AND(P27="SPL",O29="")</formula>
    </cfRule>
    <cfRule type="expression" dxfId="1050" priority="1007">
      <formula>P27&lt;&gt;"SPL"</formula>
    </cfRule>
  </conditionalFormatting>
  <conditionalFormatting sqref="O30:P30">
    <cfRule type="expression" dxfId="1049" priority="1009">
      <formula>P27&lt;&gt;"SPL"</formula>
    </cfRule>
    <cfRule type="expression" dxfId="1048" priority="1010">
      <formula>AND(P27="SPL",O30="")</formula>
    </cfRule>
  </conditionalFormatting>
  <conditionalFormatting sqref="O37:P37">
    <cfRule type="expression" dxfId="1047" priority="903">
      <formula>P36="SPL"</formula>
    </cfRule>
  </conditionalFormatting>
  <conditionalFormatting sqref="O38:P38">
    <cfRule type="expression" dxfId="1046" priority="941">
      <formula>AND(P36="SPL",O38="")</formula>
    </cfRule>
    <cfRule type="expression" dxfId="1045" priority="940">
      <formula>P36&lt;&gt;"SPL"</formula>
    </cfRule>
  </conditionalFormatting>
  <conditionalFormatting sqref="O39:P39">
    <cfRule type="expression" dxfId="1044" priority="943">
      <formula>AND(P36="SPL",O39="")</formula>
    </cfRule>
    <cfRule type="expression" dxfId="1043" priority="942">
      <formula>P36&lt;&gt;"SPL"</formula>
    </cfRule>
  </conditionalFormatting>
  <conditionalFormatting sqref="O46:P46">
    <cfRule type="expression" dxfId="1042" priority="837">
      <formula>P45="SPL"</formula>
    </cfRule>
  </conditionalFormatting>
  <conditionalFormatting sqref="O47:P47">
    <cfRule type="expression" dxfId="1041" priority="877">
      <formula>P45&lt;&gt;"SPL"</formula>
    </cfRule>
    <cfRule type="expression" dxfId="1040" priority="878">
      <formula>AND(P45="SPL",O47="")</formula>
    </cfRule>
  </conditionalFormatting>
  <conditionalFormatting sqref="O48:P48">
    <cfRule type="expression" dxfId="1039" priority="879">
      <formula>P45&lt;&gt;"SPL"</formula>
    </cfRule>
    <cfRule type="expression" dxfId="1038" priority="880">
      <formula>AND(P45="SPL",O48="")</formula>
    </cfRule>
  </conditionalFormatting>
  <conditionalFormatting sqref="O55:P55">
    <cfRule type="expression" dxfId="1037" priority="770">
      <formula>P54="SPL"</formula>
    </cfRule>
  </conditionalFormatting>
  <conditionalFormatting sqref="O56:P56">
    <cfRule type="expression" dxfId="1036" priority="810">
      <formula>P54&lt;&gt;"SPL"</formula>
    </cfRule>
    <cfRule type="expression" dxfId="1035" priority="811">
      <formula>AND(P54="SPL",O56="")</formula>
    </cfRule>
  </conditionalFormatting>
  <conditionalFormatting sqref="O57:P57">
    <cfRule type="expression" dxfId="1034" priority="812">
      <formula>P54&lt;&gt;"SPL"</formula>
    </cfRule>
    <cfRule type="expression" dxfId="1033" priority="813">
      <formula>AND(P54="SPL",O57="")</formula>
    </cfRule>
  </conditionalFormatting>
  <conditionalFormatting sqref="O64:P64">
    <cfRule type="expression" dxfId="1032" priority="703">
      <formula>P63="SPL"</formula>
    </cfRule>
  </conditionalFormatting>
  <conditionalFormatting sqref="O65:P65">
    <cfRule type="expression" dxfId="1031" priority="743">
      <formula>P63&lt;&gt;"SPL"</formula>
    </cfRule>
    <cfRule type="expression" dxfId="1030" priority="744">
      <formula>AND(P63="SPL",O65="")</formula>
    </cfRule>
  </conditionalFormatting>
  <conditionalFormatting sqref="O66:P66">
    <cfRule type="expression" dxfId="1029" priority="746">
      <formula>AND(P63="SPL",O66="")</formula>
    </cfRule>
    <cfRule type="expression" dxfId="1028" priority="745">
      <formula>P63&lt;&gt;"SPL"</formula>
    </cfRule>
  </conditionalFormatting>
  <conditionalFormatting sqref="O73:P73">
    <cfRule type="expression" dxfId="1027" priority="636">
      <formula>P72="SPL"</formula>
    </cfRule>
  </conditionalFormatting>
  <conditionalFormatting sqref="O74:P74">
    <cfRule type="expression" dxfId="1026" priority="677">
      <formula>AND(P72="SPL",O74="")</formula>
    </cfRule>
    <cfRule type="expression" dxfId="1025" priority="676">
      <formula>P72&lt;&gt;"SPL"</formula>
    </cfRule>
  </conditionalFormatting>
  <conditionalFormatting sqref="O75:P75">
    <cfRule type="expression" dxfId="1024" priority="679">
      <formula>AND(P72="SPL",O75="")</formula>
    </cfRule>
    <cfRule type="expression" dxfId="1023" priority="678">
      <formula>P72&lt;&gt;"SPL"</formula>
    </cfRule>
  </conditionalFormatting>
  <conditionalFormatting sqref="O82:P82">
    <cfRule type="expression" dxfId="1022" priority="569">
      <formula>P81="SPL"</formula>
    </cfRule>
  </conditionalFormatting>
  <conditionalFormatting sqref="O83:P83">
    <cfRule type="expression" dxfId="1021" priority="610">
      <formula>AND(P81="SPL",O83="")</formula>
    </cfRule>
    <cfRule type="expression" dxfId="1020" priority="609">
      <formula>P81&lt;&gt;"SPL"</formula>
    </cfRule>
  </conditionalFormatting>
  <conditionalFormatting sqref="O84:P84">
    <cfRule type="expression" dxfId="1019" priority="611">
      <formula>P81&lt;&gt;"SPL"</formula>
    </cfRule>
    <cfRule type="expression" dxfId="1018" priority="612">
      <formula>AND(P81="SPL",O84="")</formula>
    </cfRule>
  </conditionalFormatting>
  <conditionalFormatting sqref="O91:P91">
    <cfRule type="expression" dxfId="1017" priority="502">
      <formula>P90="SPL"</formula>
    </cfRule>
  </conditionalFormatting>
  <conditionalFormatting sqref="O92:P92">
    <cfRule type="expression" dxfId="1016" priority="543">
      <formula>AND(P90="SPL",O92="")</formula>
    </cfRule>
    <cfRule type="expression" dxfId="1015" priority="542">
      <formula>P90&lt;&gt;"SPL"</formula>
    </cfRule>
  </conditionalFormatting>
  <conditionalFormatting sqref="O93:P93">
    <cfRule type="expression" dxfId="1014" priority="544">
      <formula>P90&lt;&gt;"SPL"</formula>
    </cfRule>
    <cfRule type="expression" dxfId="1013" priority="545">
      <formula>AND(P90="SPL",O93="")</formula>
    </cfRule>
  </conditionalFormatting>
  <conditionalFormatting sqref="O100:P100">
    <cfRule type="expression" dxfId="1012" priority="435">
      <formula>P99="SPL"</formula>
    </cfRule>
  </conditionalFormatting>
  <conditionalFormatting sqref="O101:P101">
    <cfRule type="expression" dxfId="1011" priority="476">
      <formula>AND(P99="SPL",O101="")</formula>
    </cfRule>
    <cfRule type="expression" dxfId="1010" priority="475">
      <formula>P99&lt;&gt;"SPL"</formula>
    </cfRule>
  </conditionalFormatting>
  <conditionalFormatting sqref="O102:P102">
    <cfRule type="expression" dxfId="1009" priority="478">
      <formula>AND(P99="SPL",O102="")</formula>
    </cfRule>
    <cfRule type="expression" dxfId="1008" priority="477">
      <formula>P99&lt;&gt;"SPL"</formula>
    </cfRule>
  </conditionalFormatting>
  <conditionalFormatting sqref="O109:P109">
    <cfRule type="expression" dxfId="1007" priority="368">
      <formula>P108="SPL"</formula>
    </cfRule>
  </conditionalFormatting>
  <conditionalFormatting sqref="O110:P110">
    <cfRule type="expression" dxfId="1006" priority="409">
      <formula>AND(P108="SPL",O110="")</formula>
    </cfRule>
    <cfRule type="expression" dxfId="1005" priority="408">
      <formula>P108&lt;&gt;"SPL"</formula>
    </cfRule>
  </conditionalFormatting>
  <conditionalFormatting sqref="O111:P111">
    <cfRule type="expression" dxfId="1004" priority="410">
      <formula>P108&lt;&gt;"SPL"</formula>
    </cfRule>
    <cfRule type="expression" dxfId="1003" priority="411">
      <formula>AND(P108="SPL",O111="")</formula>
    </cfRule>
  </conditionalFormatting>
  <conditionalFormatting sqref="O118:P118">
    <cfRule type="expression" dxfId="1002" priority="301">
      <formula>P117="SPL"</formula>
    </cfRule>
  </conditionalFormatting>
  <conditionalFormatting sqref="O119:P119">
    <cfRule type="expression" dxfId="1001" priority="342">
      <formula>AND(P117="SPL",O119="")</formula>
    </cfRule>
    <cfRule type="expression" dxfId="1000" priority="341">
      <formula>P117&lt;&gt;"SPL"</formula>
    </cfRule>
  </conditionalFormatting>
  <conditionalFormatting sqref="O120:P120">
    <cfRule type="expression" dxfId="999" priority="344">
      <formula>AND(P117="SPL",O120="")</formula>
    </cfRule>
    <cfRule type="expression" dxfId="998" priority="343">
      <formula>P117&lt;&gt;"SPL"</formula>
    </cfRule>
  </conditionalFormatting>
  <conditionalFormatting sqref="O127:P127">
    <cfRule type="expression" dxfId="997" priority="234">
      <formula>P126="SPL"</formula>
    </cfRule>
  </conditionalFormatting>
  <conditionalFormatting sqref="O128:P128">
    <cfRule type="expression" dxfId="996" priority="274">
      <formula>P126&lt;&gt;"SPL"</formula>
    </cfRule>
    <cfRule type="expression" dxfId="995" priority="275">
      <formula>AND(P126="SPL",O128="")</formula>
    </cfRule>
  </conditionalFormatting>
  <conditionalFormatting sqref="O129:P129">
    <cfRule type="expression" dxfId="994" priority="276">
      <formula>P126&lt;&gt;"SPL"</formula>
    </cfRule>
    <cfRule type="expression" dxfId="993" priority="277">
      <formula>AND(P126="SPL",O129="")</formula>
    </cfRule>
  </conditionalFormatting>
  <conditionalFormatting sqref="O136:P136">
    <cfRule type="expression" dxfId="992" priority="167">
      <formula>P135="SPL"</formula>
    </cfRule>
  </conditionalFormatting>
  <conditionalFormatting sqref="O137:P137">
    <cfRule type="expression" dxfId="991" priority="208">
      <formula>AND(P135="SPL",O137="")</formula>
    </cfRule>
    <cfRule type="expression" dxfId="990" priority="207">
      <formula>P135&lt;&gt;"SPL"</formula>
    </cfRule>
  </conditionalFormatting>
  <conditionalFormatting sqref="O138:P138">
    <cfRule type="expression" dxfId="989" priority="210">
      <formula>AND(P135="SPL",O138="")</formula>
    </cfRule>
    <cfRule type="expression" dxfId="988" priority="209">
      <formula>P135&lt;&gt;"SPL"</formula>
    </cfRule>
  </conditionalFormatting>
  <conditionalFormatting sqref="O145:P145">
    <cfRule type="expression" dxfId="987" priority="100">
      <formula>P144="SPL"</formula>
    </cfRule>
  </conditionalFormatting>
  <conditionalFormatting sqref="O146:P146">
    <cfRule type="expression" dxfId="986" priority="140">
      <formula>P144&lt;&gt;"SPL"</formula>
    </cfRule>
    <cfRule type="expression" dxfId="985" priority="141">
      <formula>AND(P144="SPL",O146="")</formula>
    </cfRule>
  </conditionalFormatting>
  <conditionalFormatting sqref="O147:P147">
    <cfRule type="expression" dxfId="984" priority="143">
      <formula>AND(P144="SPL",O147="")</formula>
    </cfRule>
    <cfRule type="expression" dxfId="983" priority="142">
      <formula>P144&lt;&gt;"SPL"</formula>
    </cfRule>
  </conditionalFormatting>
  <conditionalFormatting sqref="O154:P154">
    <cfRule type="expression" dxfId="982" priority="33">
      <formula>P153="SPL"</formula>
    </cfRule>
  </conditionalFormatting>
  <conditionalFormatting sqref="O155:P155">
    <cfRule type="expression" dxfId="981" priority="74">
      <formula>AND(P153="SPL",O155="")</formula>
    </cfRule>
    <cfRule type="expression" dxfId="980" priority="73">
      <formula>P153&lt;&gt;"SPL"</formula>
    </cfRule>
  </conditionalFormatting>
  <conditionalFormatting sqref="O156:P156">
    <cfRule type="expression" dxfId="979" priority="75">
      <formula>P153&lt;&gt;"SPL"</formula>
    </cfRule>
    <cfRule type="expression" dxfId="978" priority="76">
      <formula>AND(P153="SPL",O156="")</formula>
    </cfRule>
  </conditionalFormatting>
  <conditionalFormatting sqref="P22:S25">
    <cfRule type="expression" dxfId="977" priority="1053">
      <formula>AND(AE32="*",P22="")</formula>
    </cfRule>
  </conditionalFormatting>
  <conditionalFormatting sqref="P31:S34">
    <cfRule type="expression" dxfId="976" priority="989">
      <formula>AND(AE41="*",P31="")</formula>
    </cfRule>
  </conditionalFormatting>
  <conditionalFormatting sqref="P40:S43">
    <cfRule type="expression" dxfId="975" priority="922">
      <formula>AND(AE50="*",P40="")</formula>
    </cfRule>
  </conditionalFormatting>
  <conditionalFormatting sqref="P49:S52">
    <cfRule type="expression" dxfId="974" priority="859">
      <formula>AND(AE59="*",P49="")</formula>
    </cfRule>
  </conditionalFormatting>
  <conditionalFormatting sqref="P58:S61">
    <cfRule type="expression" dxfId="973" priority="792">
      <formula>AND(AE68="*",P58="")</formula>
    </cfRule>
  </conditionalFormatting>
  <conditionalFormatting sqref="P67:S70">
    <cfRule type="expression" dxfId="972" priority="725">
      <formula>AND(AE77="*",P67="")</formula>
    </cfRule>
  </conditionalFormatting>
  <conditionalFormatting sqref="P76:S79">
    <cfRule type="expression" dxfId="971" priority="658">
      <formula>AND(AE86="*",P76="")</formula>
    </cfRule>
  </conditionalFormatting>
  <conditionalFormatting sqref="P85:S88">
    <cfRule type="expression" dxfId="970" priority="591">
      <formula>AND(AE95="*",P85="")</formula>
    </cfRule>
  </conditionalFormatting>
  <conditionalFormatting sqref="P94:S97">
    <cfRule type="expression" dxfId="969" priority="524">
      <formula>AND(AE104="*",P94="")</formula>
    </cfRule>
  </conditionalFormatting>
  <conditionalFormatting sqref="P103:S106">
    <cfRule type="expression" dxfId="968" priority="457">
      <formula>AND(AE113="*",P103="")</formula>
    </cfRule>
  </conditionalFormatting>
  <conditionalFormatting sqref="P112:S115">
    <cfRule type="expression" dxfId="967" priority="390">
      <formula>AND(AE122="*",P112="")</formula>
    </cfRule>
  </conditionalFormatting>
  <conditionalFormatting sqref="P121:S124">
    <cfRule type="expression" dxfId="966" priority="323">
      <formula>AND(AE131="*",P121="")</formula>
    </cfRule>
  </conditionalFormatting>
  <conditionalFormatting sqref="P130:S133">
    <cfRule type="expression" dxfId="965" priority="256">
      <formula>AND(AE140="*",P130="")</formula>
    </cfRule>
  </conditionalFormatting>
  <conditionalFormatting sqref="P139:S142">
    <cfRule type="expression" dxfId="964" priority="189">
      <formula>AND(AE149="*",P139="")</formula>
    </cfRule>
  </conditionalFormatting>
  <conditionalFormatting sqref="P148:S151">
    <cfRule type="expression" dxfId="963" priority="122">
      <formula>AND(AE158="*",P148="")</formula>
    </cfRule>
  </conditionalFormatting>
  <conditionalFormatting sqref="P157:S160">
    <cfRule type="expression" dxfId="962" priority="55">
      <formula>AND(AE167="*",P157="")</formula>
    </cfRule>
  </conditionalFormatting>
  <conditionalFormatting sqref="Q19:R19">
    <cfRule type="expression" dxfId="961" priority="1032">
      <formula>AND(Q18&lt;&gt;"NONE",Q18&lt;&gt;"")</formula>
    </cfRule>
  </conditionalFormatting>
  <conditionalFormatting sqref="Q20:R20">
    <cfRule type="expression" dxfId="960" priority="1067">
      <formula>OR(Q18="NONE",Q18="")</formula>
    </cfRule>
    <cfRule type="expression" dxfId="959" priority="1068">
      <formula>AND(OR(Q18&lt;&gt;"NONE",Q18&lt;&gt;""),Q20="")</formula>
    </cfRule>
  </conditionalFormatting>
  <conditionalFormatting sqref="Q21:R21">
    <cfRule type="expression" dxfId="958" priority="1069">
      <formula>OR(Q18="NONE",Q18="")</formula>
    </cfRule>
    <cfRule type="expression" dxfId="957" priority="1070">
      <formula>AND(Q18&lt;&gt;"NONE",Q21="")</formula>
    </cfRule>
  </conditionalFormatting>
  <conditionalFormatting sqref="Q28:R28">
    <cfRule type="expression" dxfId="956" priority="966">
      <formula>AND(Q27&lt;&gt;"NONE",Q27&lt;&gt;"")</formula>
    </cfRule>
  </conditionalFormatting>
  <conditionalFormatting sqref="Q29:R29">
    <cfRule type="expression" dxfId="955" priority="1004">
      <formula>AND(OR(Q27&lt;&gt;"NONE",Q27&lt;&gt;""),Q29="")</formula>
    </cfRule>
    <cfRule type="expression" dxfId="954" priority="1003">
      <formula>OR(Q27="NONE",Q27="")</formula>
    </cfRule>
  </conditionalFormatting>
  <conditionalFormatting sqref="Q30:R30">
    <cfRule type="expression" dxfId="953" priority="1006">
      <formula>AND(Q27&lt;&gt;"NONE",Q30="")</formula>
    </cfRule>
    <cfRule type="expression" dxfId="952" priority="1005">
      <formula>OR(Q27="NONE",Q27="")</formula>
    </cfRule>
  </conditionalFormatting>
  <conditionalFormatting sqref="Q37:R37">
    <cfRule type="expression" dxfId="951" priority="902">
      <formula>AND(Q36&lt;&gt;"NONE",Q36&lt;&gt;"")</formula>
    </cfRule>
  </conditionalFormatting>
  <conditionalFormatting sqref="Q38:R38">
    <cfRule type="expression" dxfId="950" priority="937">
      <formula>AND(OR(Q36&lt;&gt;"NONE",Q36&lt;&gt;""),Q38="")</formula>
    </cfRule>
    <cfRule type="expression" dxfId="949" priority="936">
      <formula>OR(Q36="NONE",Q36="")</formula>
    </cfRule>
  </conditionalFormatting>
  <conditionalFormatting sqref="Q39:R39">
    <cfRule type="expression" dxfId="948" priority="939">
      <formula>AND(Q36&lt;&gt;"NONE",Q39="")</formula>
    </cfRule>
    <cfRule type="expression" dxfId="947" priority="938">
      <formula>OR(Q36="NONE",Q36="")</formula>
    </cfRule>
  </conditionalFormatting>
  <conditionalFormatting sqref="Q46:R46">
    <cfRule type="expression" dxfId="946" priority="836">
      <formula>AND(Q45&lt;&gt;"NONE",Q45&lt;&gt;"")</formula>
    </cfRule>
  </conditionalFormatting>
  <conditionalFormatting sqref="Q47:R47">
    <cfRule type="expression" dxfId="945" priority="873">
      <formula>OR(Q45="NONE",Q45="")</formula>
    </cfRule>
    <cfRule type="expression" dxfId="944" priority="874">
      <formula>AND(OR(Q45&lt;&gt;"NONE",Q45&lt;&gt;""),Q47="")</formula>
    </cfRule>
  </conditionalFormatting>
  <conditionalFormatting sqref="Q48:R48">
    <cfRule type="expression" dxfId="943" priority="876">
      <formula>AND(Q45&lt;&gt;"NONE",Q48="")</formula>
    </cfRule>
    <cfRule type="expression" dxfId="942" priority="875">
      <formula>OR(Q45="NONE",Q45="")</formula>
    </cfRule>
  </conditionalFormatting>
  <conditionalFormatting sqref="Q55:R55">
    <cfRule type="expression" dxfId="941" priority="769">
      <formula>AND(Q54&lt;&gt;"NONE",Q54&lt;&gt;"")</formula>
    </cfRule>
  </conditionalFormatting>
  <conditionalFormatting sqref="Q56:R56">
    <cfRule type="expression" dxfId="940" priority="807">
      <formula>AND(OR(Q54&lt;&gt;"NONE",Q54&lt;&gt;""),Q56="")</formula>
    </cfRule>
    <cfRule type="expression" dxfId="939" priority="806">
      <formula>OR(Q54="NONE",Q54="")</formula>
    </cfRule>
  </conditionalFormatting>
  <conditionalFormatting sqref="Q57:R57">
    <cfRule type="expression" dxfId="938" priority="808">
      <formula>OR(Q54="NONE",Q54="")</formula>
    </cfRule>
    <cfRule type="expression" dxfId="937" priority="809">
      <formula>AND(Q54&lt;&gt;"NONE",Q57="")</formula>
    </cfRule>
  </conditionalFormatting>
  <conditionalFormatting sqref="Q64:R64">
    <cfRule type="expression" dxfId="936" priority="702">
      <formula>AND(Q63&lt;&gt;"NONE",Q63&lt;&gt;"")</formula>
    </cfRule>
  </conditionalFormatting>
  <conditionalFormatting sqref="Q65:R65">
    <cfRule type="expression" dxfId="935" priority="739">
      <formula>OR(Q63="NONE",Q63="")</formula>
    </cfRule>
    <cfRule type="expression" dxfId="934" priority="740">
      <formula>AND(OR(Q63&lt;&gt;"NONE",Q63&lt;&gt;""),Q65="")</formula>
    </cfRule>
  </conditionalFormatting>
  <conditionalFormatting sqref="Q66:R66">
    <cfRule type="expression" dxfId="933" priority="741">
      <formula>OR(Q63="NONE",Q63="")</formula>
    </cfRule>
    <cfRule type="expression" dxfId="932" priority="742">
      <formula>AND(Q63&lt;&gt;"NONE",Q66="")</formula>
    </cfRule>
  </conditionalFormatting>
  <conditionalFormatting sqref="Q73:R73">
    <cfRule type="expression" dxfId="931" priority="635">
      <formula>AND(Q72&lt;&gt;"NONE",Q72&lt;&gt;"")</formula>
    </cfRule>
  </conditionalFormatting>
  <conditionalFormatting sqref="Q74:R74">
    <cfRule type="expression" dxfId="930" priority="672">
      <formula>OR(Q72="NONE",Q72="")</formula>
    </cfRule>
    <cfRule type="expression" dxfId="929" priority="673">
      <formula>AND(OR(Q72&lt;&gt;"NONE",Q72&lt;&gt;""),Q74="")</formula>
    </cfRule>
  </conditionalFormatting>
  <conditionalFormatting sqref="Q75:R75">
    <cfRule type="expression" dxfId="928" priority="675">
      <formula>AND(Q72&lt;&gt;"NONE",Q75="")</formula>
    </cfRule>
    <cfRule type="expression" dxfId="927" priority="674">
      <formula>OR(Q72="NONE",Q72="")</formula>
    </cfRule>
  </conditionalFormatting>
  <conditionalFormatting sqref="Q82:R82">
    <cfRule type="expression" dxfId="926" priority="568">
      <formula>AND(Q81&lt;&gt;"NONE",Q81&lt;&gt;"")</formula>
    </cfRule>
  </conditionalFormatting>
  <conditionalFormatting sqref="Q83:R83">
    <cfRule type="expression" dxfId="925" priority="606">
      <formula>AND(OR(Q81&lt;&gt;"NONE",Q81&lt;&gt;""),Q83="")</formula>
    </cfRule>
    <cfRule type="expression" dxfId="924" priority="605">
      <formula>OR(Q81="NONE",Q81="")</formula>
    </cfRule>
  </conditionalFormatting>
  <conditionalFormatting sqref="Q84:R84">
    <cfRule type="expression" dxfId="923" priority="607">
      <formula>OR(Q81="NONE",Q81="")</formula>
    </cfRule>
    <cfRule type="expression" dxfId="922" priority="608">
      <formula>AND(Q81&lt;&gt;"NONE",Q84="")</formula>
    </cfRule>
  </conditionalFormatting>
  <conditionalFormatting sqref="Q91:R91">
    <cfRule type="expression" dxfId="921" priority="501">
      <formula>AND(Q90&lt;&gt;"NONE",Q90&lt;&gt;"")</formula>
    </cfRule>
  </conditionalFormatting>
  <conditionalFormatting sqref="Q92:R92">
    <cfRule type="expression" dxfId="920" priority="539">
      <formula>AND(OR(Q90&lt;&gt;"NONE",Q90&lt;&gt;""),Q92="")</formula>
    </cfRule>
    <cfRule type="expression" dxfId="919" priority="538">
      <formula>OR(Q90="NONE",Q90="")</formula>
    </cfRule>
  </conditionalFormatting>
  <conditionalFormatting sqref="Q93:R93">
    <cfRule type="expression" dxfId="918" priority="541">
      <formula>AND(Q90&lt;&gt;"NONE",Q93="")</formula>
    </cfRule>
    <cfRule type="expression" dxfId="917" priority="540">
      <formula>OR(Q90="NONE",Q90="")</formula>
    </cfRule>
  </conditionalFormatting>
  <conditionalFormatting sqref="Q100:R100">
    <cfRule type="expression" dxfId="916" priority="434">
      <formula>AND(Q99&lt;&gt;"NONE",Q99&lt;&gt;"")</formula>
    </cfRule>
  </conditionalFormatting>
  <conditionalFormatting sqref="Q101:R101">
    <cfRule type="expression" dxfId="915" priority="472">
      <formula>AND(OR(Q99&lt;&gt;"NONE",Q99&lt;&gt;""),Q101="")</formula>
    </cfRule>
    <cfRule type="expression" dxfId="914" priority="471">
      <formula>OR(Q99="NONE",Q99="")</formula>
    </cfRule>
  </conditionalFormatting>
  <conditionalFormatting sqref="Q102:R102">
    <cfRule type="expression" dxfId="913" priority="473">
      <formula>OR(Q99="NONE",Q99="")</formula>
    </cfRule>
    <cfRule type="expression" dxfId="912" priority="474">
      <formula>AND(Q99&lt;&gt;"NONE",Q102="")</formula>
    </cfRule>
  </conditionalFormatting>
  <conditionalFormatting sqref="Q109:R109">
    <cfRule type="expression" dxfId="911" priority="367">
      <formula>AND(Q108&lt;&gt;"NONE",Q108&lt;&gt;"")</formula>
    </cfRule>
  </conditionalFormatting>
  <conditionalFormatting sqref="Q110:R110">
    <cfRule type="expression" dxfId="910" priority="405">
      <formula>AND(OR(Q108&lt;&gt;"NONE",Q108&lt;&gt;""),Q110="")</formula>
    </cfRule>
    <cfRule type="expression" dxfId="909" priority="404">
      <formula>OR(Q108="NONE",Q108="")</formula>
    </cfRule>
  </conditionalFormatting>
  <conditionalFormatting sqref="Q111:R111">
    <cfRule type="expression" dxfId="908" priority="406">
      <formula>OR(Q108="NONE",Q108="")</formula>
    </cfRule>
    <cfRule type="expression" dxfId="907" priority="407">
      <formula>AND(Q108&lt;&gt;"NONE",Q111="")</formula>
    </cfRule>
  </conditionalFormatting>
  <conditionalFormatting sqref="Q118:R118">
    <cfRule type="expression" dxfId="906" priority="300">
      <formula>AND(Q117&lt;&gt;"NONE",Q117&lt;&gt;"")</formula>
    </cfRule>
  </conditionalFormatting>
  <conditionalFormatting sqref="Q119:R119">
    <cfRule type="expression" dxfId="905" priority="338">
      <formula>AND(OR(Q117&lt;&gt;"NONE",Q117&lt;&gt;""),Q119="")</formula>
    </cfRule>
    <cfRule type="expression" dxfId="904" priority="337">
      <formula>OR(Q117="NONE",Q117="")</formula>
    </cfRule>
  </conditionalFormatting>
  <conditionalFormatting sqref="Q120:R120">
    <cfRule type="expression" dxfId="903" priority="339">
      <formula>OR(Q117="NONE",Q117="")</formula>
    </cfRule>
    <cfRule type="expression" dxfId="902" priority="340">
      <formula>AND(Q117&lt;&gt;"NONE",Q120="")</formula>
    </cfRule>
  </conditionalFormatting>
  <conditionalFormatting sqref="Q127:R127">
    <cfRule type="expression" dxfId="901" priority="233">
      <formula>AND(Q126&lt;&gt;"NONE",Q126&lt;&gt;"")</formula>
    </cfRule>
  </conditionalFormatting>
  <conditionalFormatting sqref="Q128:R128">
    <cfRule type="expression" dxfId="900" priority="271">
      <formula>AND(OR(Q126&lt;&gt;"NONE",Q126&lt;&gt;""),Q128="")</formula>
    </cfRule>
    <cfRule type="expression" dxfId="899" priority="270">
      <formula>OR(Q126="NONE",Q126="")</formula>
    </cfRule>
  </conditionalFormatting>
  <conditionalFormatting sqref="Q129:R129">
    <cfRule type="expression" dxfId="898" priority="273">
      <formula>AND(Q126&lt;&gt;"NONE",Q129="")</formula>
    </cfRule>
    <cfRule type="expression" dxfId="897" priority="272">
      <formula>OR(Q126="NONE",Q126="")</formula>
    </cfRule>
  </conditionalFormatting>
  <conditionalFormatting sqref="Q136:R136">
    <cfRule type="expression" dxfId="896" priority="166">
      <formula>AND(Q135&lt;&gt;"NONE",Q135&lt;&gt;"")</formula>
    </cfRule>
  </conditionalFormatting>
  <conditionalFormatting sqref="Q137:R137">
    <cfRule type="expression" dxfId="895" priority="203">
      <formula>OR(Q135="NONE",Q135="")</formula>
    </cfRule>
    <cfRule type="expression" dxfId="894" priority="204">
      <formula>AND(OR(Q135&lt;&gt;"NONE",Q135&lt;&gt;""),Q137="")</formula>
    </cfRule>
  </conditionalFormatting>
  <conditionalFormatting sqref="Q138:R138">
    <cfRule type="expression" dxfId="893" priority="205">
      <formula>OR(Q135="NONE",Q135="")</formula>
    </cfRule>
    <cfRule type="expression" dxfId="892" priority="206">
      <formula>AND(Q135&lt;&gt;"NONE",Q138="")</formula>
    </cfRule>
  </conditionalFormatting>
  <conditionalFormatting sqref="Q145:R145">
    <cfRule type="expression" dxfId="891" priority="99">
      <formula>AND(Q144&lt;&gt;"NONE",Q144&lt;&gt;"")</formula>
    </cfRule>
  </conditionalFormatting>
  <conditionalFormatting sqref="Q146:R146">
    <cfRule type="expression" dxfId="890" priority="137">
      <formula>AND(OR(Q144&lt;&gt;"NONE",Q144&lt;&gt;""),Q146="")</formula>
    </cfRule>
    <cfRule type="expression" dxfId="889" priority="136">
      <formula>OR(Q144="NONE",Q144="")</formula>
    </cfRule>
  </conditionalFormatting>
  <conditionalFormatting sqref="Q147:R147">
    <cfRule type="expression" dxfId="888" priority="139">
      <formula>AND(Q144&lt;&gt;"NONE",Q147="")</formula>
    </cfRule>
    <cfRule type="expression" dxfId="887" priority="138">
      <formula>OR(Q144="NONE",Q144="")</formula>
    </cfRule>
  </conditionalFormatting>
  <conditionalFormatting sqref="Q154:R154">
    <cfRule type="expression" dxfId="886" priority="32">
      <formula>AND(Q153&lt;&gt;"NONE",Q153&lt;&gt;"")</formula>
    </cfRule>
  </conditionalFormatting>
  <conditionalFormatting sqref="Q155:R155">
    <cfRule type="expression" dxfId="885" priority="70">
      <formula>AND(OR(Q153&lt;&gt;"NONE",Q153&lt;&gt;""),Q155="")</formula>
    </cfRule>
    <cfRule type="expression" dxfId="884" priority="69">
      <formula>OR(Q153="NONE",Q153="")</formula>
    </cfRule>
  </conditionalFormatting>
  <conditionalFormatting sqref="Q156:R156">
    <cfRule type="expression" dxfId="883" priority="72">
      <formula>AND(Q153&lt;&gt;"NONE",Q156="")</formula>
    </cfRule>
    <cfRule type="expression" dxfId="882" priority="71">
      <formula>OR(Q153="NONE",Q153="")</formula>
    </cfRule>
  </conditionalFormatting>
  <conditionalFormatting sqref="R18">
    <cfRule type="expression" dxfId="881" priority="3">
      <formula>AND(OR($I18="3P",$I18="PH"),RIGHT($R18,1)&lt;&gt;"A")</formula>
    </cfRule>
  </conditionalFormatting>
  <conditionalFormatting sqref="R27">
    <cfRule type="expression" dxfId="880" priority="981">
      <formula>AND(OR($I27="3P",$I27="PH"),RIGHT($R27,1)&lt;&gt;"A")</formula>
    </cfRule>
  </conditionalFormatting>
  <conditionalFormatting sqref="R36">
    <cfRule type="expression" dxfId="879" priority="7">
      <formula>AND(OR($I36="3P",$I36="PH"),RIGHT($R36,1)&lt;&gt;"A")</formula>
    </cfRule>
  </conditionalFormatting>
  <conditionalFormatting sqref="R45">
    <cfRule type="expression" dxfId="878" priority="851">
      <formula>AND(OR($I45="3P",$I45="PH"),RIGHT($R45,1)&lt;&gt;"A")</formula>
    </cfRule>
  </conditionalFormatting>
  <conditionalFormatting sqref="R54">
    <cfRule type="expression" dxfId="877" priority="784">
      <formula>AND(OR($I54="3P",$I54="PH"),RIGHT($R54,1)&lt;&gt;"A")</formula>
    </cfRule>
  </conditionalFormatting>
  <conditionalFormatting sqref="R63">
    <cfRule type="expression" dxfId="876" priority="717">
      <formula>AND(OR($I63="3P",$I63="PH"),RIGHT($R63,1)&lt;&gt;"A")</formula>
    </cfRule>
  </conditionalFormatting>
  <conditionalFormatting sqref="R72">
    <cfRule type="expression" dxfId="875" priority="650">
      <formula>AND(OR($I72="3P",$I72="PH"),RIGHT($R72,1)&lt;&gt;"A")</formula>
    </cfRule>
  </conditionalFormatting>
  <conditionalFormatting sqref="R81">
    <cfRule type="expression" dxfId="874" priority="583">
      <formula>AND(OR($I81="3P",$I81="PH"),RIGHT($R81,1)&lt;&gt;"A")</formula>
    </cfRule>
  </conditionalFormatting>
  <conditionalFormatting sqref="R90">
    <cfRule type="expression" dxfId="873" priority="516">
      <formula>AND(OR($I90="3P",$I90="PH"),RIGHT($R90,1)&lt;&gt;"A")</formula>
    </cfRule>
  </conditionalFormatting>
  <conditionalFormatting sqref="R99">
    <cfRule type="expression" dxfId="872" priority="449">
      <formula>AND(OR($I99="3P",$I99="PH"),RIGHT($R99,1)&lt;&gt;"A")</formula>
    </cfRule>
  </conditionalFormatting>
  <conditionalFormatting sqref="R108">
    <cfRule type="expression" dxfId="871" priority="382">
      <formula>AND(OR($I108="3P",$I108="PH"),RIGHT($R108,1)&lt;&gt;"A")</formula>
    </cfRule>
  </conditionalFormatting>
  <conditionalFormatting sqref="R117">
    <cfRule type="expression" dxfId="870" priority="315">
      <formula>AND(OR($I117="3P",$I117="PH"),RIGHT($R117,1)&lt;&gt;"A")</formula>
    </cfRule>
  </conditionalFormatting>
  <conditionalFormatting sqref="R126">
    <cfRule type="expression" dxfId="869" priority="248">
      <formula>AND(OR($I126="3P",$I126="PH"),RIGHT($R126,1)&lt;&gt;"A")</formula>
    </cfRule>
  </conditionalFormatting>
  <conditionalFormatting sqref="R135">
    <cfRule type="expression" dxfId="868" priority="181">
      <formula>AND(OR($I135="3P",$I135="PH"),RIGHT($R135,1)&lt;&gt;"A")</formula>
    </cfRule>
  </conditionalFormatting>
  <conditionalFormatting sqref="R144">
    <cfRule type="expression" dxfId="867" priority="114">
      <formula>AND(OR($I144="3P",$I144="PH"),RIGHT($R144,1)&lt;&gt;"A")</formula>
    </cfRule>
  </conditionalFormatting>
  <conditionalFormatting sqref="R153">
    <cfRule type="expression" dxfId="866" priority="47">
      <formula>AND(OR($I153="3P",$I153="PH"),RIGHT($R153,1)&lt;&gt;"A")</formula>
    </cfRule>
  </conditionalFormatting>
  <conditionalFormatting sqref="S19">
    <cfRule type="expression" dxfId="865" priority="1031">
      <formula>S18="SPL"</formula>
    </cfRule>
  </conditionalFormatting>
  <conditionalFormatting sqref="S20">
    <cfRule type="expression" dxfId="864" priority="1062">
      <formula>S18&lt;&gt;"SPL"</formula>
    </cfRule>
    <cfRule type="expression" dxfId="863" priority="1063">
      <formula>AND(S18="SPL",S20="")</formula>
    </cfRule>
  </conditionalFormatting>
  <conditionalFormatting sqref="S28">
    <cfRule type="expression" dxfId="862" priority="965">
      <formula>S27="SPL"</formula>
    </cfRule>
  </conditionalFormatting>
  <conditionalFormatting sqref="S29">
    <cfRule type="expression" dxfId="861" priority="999">
      <formula>AND(S27="SPL",S29="")</formula>
    </cfRule>
    <cfRule type="expression" dxfId="860" priority="998">
      <formula>S27&lt;&gt;"SPL"</formula>
    </cfRule>
  </conditionalFormatting>
  <conditionalFormatting sqref="S37">
    <cfRule type="expression" dxfId="859" priority="901">
      <formula>S36="SPL"</formula>
    </cfRule>
  </conditionalFormatting>
  <conditionalFormatting sqref="S38">
    <cfRule type="expression" dxfId="858" priority="931">
      <formula>S36&lt;&gt;"SPL"</formula>
    </cfRule>
    <cfRule type="expression" dxfId="857" priority="932">
      <formula>AND(S36="SPL",S38="")</formula>
    </cfRule>
  </conditionalFormatting>
  <conditionalFormatting sqref="S46">
    <cfRule type="expression" dxfId="856" priority="835">
      <formula>S45="SPL"</formula>
    </cfRule>
  </conditionalFormatting>
  <conditionalFormatting sqref="S47">
    <cfRule type="expression" dxfId="855" priority="869">
      <formula>AND(S45="SPL",S47="")</formula>
    </cfRule>
    <cfRule type="expression" dxfId="854" priority="868">
      <formula>S45&lt;&gt;"SPL"</formula>
    </cfRule>
  </conditionalFormatting>
  <conditionalFormatting sqref="S55">
    <cfRule type="expression" dxfId="853" priority="768">
      <formula>S54="SPL"</formula>
    </cfRule>
  </conditionalFormatting>
  <conditionalFormatting sqref="S56">
    <cfRule type="expression" dxfId="852" priority="802">
      <formula>AND(S54="SPL",S56="")</formula>
    </cfRule>
    <cfRule type="expression" dxfId="851" priority="801">
      <formula>S54&lt;&gt;"SPL"</formula>
    </cfRule>
  </conditionalFormatting>
  <conditionalFormatting sqref="S64">
    <cfRule type="expression" dxfId="850" priority="701">
      <formula>S63="SPL"</formula>
    </cfRule>
  </conditionalFormatting>
  <conditionalFormatting sqref="S65">
    <cfRule type="expression" dxfId="849" priority="734">
      <formula>S63&lt;&gt;"SPL"</formula>
    </cfRule>
    <cfRule type="expression" dxfId="848" priority="735">
      <formula>AND(S63="SPL",S65="")</formula>
    </cfRule>
  </conditionalFormatting>
  <conditionalFormatting sqref="S73">
    <cfRule type="expression" dxfId="847" priority="634">
      <formula>S72="SPL"</formula>
    </cfRule>
  </conditionalFormatting>
  <conditionalFormatting sqref="S74">
    <cfRule type="expression" dxfId="846" priority="667">
      <formula>S72&lt;&gt;"SPL"</formula>
    </cfRule>
    <cfRule type="expression" dxfId="845" priority="668">
      <formula>AND(S72="SPL",S74="")</formula>
    </cfRule>
  </conditionalFormatting>
  <conditionalFormatting sqref="S82">
    <cfRule type="expression" dxfId="844" priority="567">
      <formula>S81="SPL"</formula>
    </cfRule>
  </conditionalFormatting>
  <conditionalFormatting sqref="S83">
    <cfRule type="expression" dxfId="843" priority="601">
      <formula>AND(S81="SPL",S83="")</formula>
    </cfRule>
    <cfRule type="expression" dxfId="842" priority="600">
      <formula>S81&lt;&gt;"SPL"</formula>
    </cfRule>
  </conditionalFormatting>
  <conditionalFormatting sqref="S91">
    <cfRule type="expression" dxfId="841" priority="500">
      <formula>S90="SPL"</formula>
    </cfRule>
  </conditionalFormatting>
  <conditionalFormatting sqref="S92">
    <cfRule type="expression" dxfId="840" priority="533">
      <formula>S90&lt;&gt;"SPL"</formula>
    </cfRule>
    <cfRule type="expression" dxfId="839" priority="534">
      <formula>AND(S90="SPL",S92="")</formula>
    </cfRule>
  </conditionalFormatting>
  <conditionalFormatting sqref="S100">
    <cfRule type="expression" dxfId="838" priority="433">
      <formula>S99="SPL"</formula>
    </cfRule>
  </conditionalFormatting>
  <conditionalFormatting sqref="S101">
    <cfRule type="expression" dxfId="837" priority="467">
      <formula>AND(S99="SPL",S101="")</formula>
    </cfRule>
    <cfRule type="expression" dxfId="836" priority="466">
      <formula>S99&lt;&gt;"SPL"</formula>
    </cfRule>
  </conditionalFormatting>
  <conditionalFormatting sqref="S109">
    <cfRule type="expression" dxfId="835" priority="366">
      <formula>S108="SPL"</formula>
    </cfRule>
  </conditionalFormatting>
  <conditionalFormatting sqref="S110">
    <cfRule type="expression" dxfId="834" priority="399">
      <formula>S108&lt;&gt;"SPL"</formula>
    </cfRule>
    <cfRule type="expression" dxfId="833" priority="400">
      <formula>AND(S108="SPL",S110="")</formula>
    </cfRule>
  </conditionalFormatting>
  <conditionalFormatting sqref="S118">
    <cfRule type="expression" dxfId="832" priority="299">
      <formula>S117="SPL"</formula>
    </cfRule>
  </conditionalFormatting>
  <conditionalFormatting sqref="S119">
    <cfRule type="expression" dxfId="831" priority="333">
      <formula>AND(S117="SPL",S119="")</formula>
    </cfRule>
    <cfRule type="expression" dxfId="830" priority="332">
      <formula>S117&lt;&gt;"SPL"</formula>
    </cfRule>
  </conditionalFormatting>
  <conditionalFormatting sqref="S127">
    <cfRule type="expression" dxfId="829" priority="232">
      <formula>S126="SPL"</formula>
    </cfRule>
  </conditionalFormatting>
  <conditionalFormatting sqref="S128">
    <cfRule type="expression" dxfId="828" priority="265">
      <formula>S126&lt;&gt;"SPL"</formula>
    </cfRule>
    <cfRule type="expression" dxfId="827" priority="266">
      <formula>AND(S126="SPL",S128="")</formula>
    </cfRule>
  </conditionalFormatting>
  <conditionalFormatting sqref="S136">
    <cfRule type="expression" dxfId="826" priority="165">
      <formula>S135="SPL"</formula>
    </cfRule>
  </conditionalFormatting>
  <conditionalFormatting sqref="S137">
    <cfRule type="expression" dxfId="825" priority="199">
      <formula>AND(S135="SPL",S137="")</formula>
    </cfRule>
    <cfRule type="expression" dxfId="824" priority="198">
      <formula>S135&lt;&gt;"SPL"</formula>
    </cfRule>
  </conditionalFormatting>
  <conditionalFormatting sqref="S145">
    <cfRule type="expression" dxfId="823" priority="98">
      <formula>S144="SPL"</formula>
    </cfRule>
  </conditionalFormatting>
  <conditionalFormatting sqref="S146">
    <cfRule type="expression" dxfId="822" priority="131">
      <formula>S144&lt;&gt;"SPL"</formula>
    </cfRule>
    <cfRule type="expression" dxfId="821" priority="132">
      <formula>AND(S144="SPL",S146="")</formula>
    </cfRule>
  </conditionalFormatting>
  <conditionalFormatting sqref="S154">
    <cfRule type="expression" dxfId="820" priority="31">
      <formula>S153="SPL"</formula>
    </cfRule>
  </conditionalFormatting>
  <conditionalFormatting sqref="S155">
    <cfRule type="expression" dxfId="819" priority="65">
      <formula>AND(S153="SPL",S155="")</formula>
    </cfRule>
    <cfRule type="expression" dxfId="818" priority="64">
      <formula>S153&lt;&gt;"SPL"</formula>
    </cfRule>
  </conditionalFormatting>
  <conditionalFormatting sqref="T19">
    <cfRule type="expression" dxfId="817" priority="1041">
      <formula>T18="L"</formula>
    </cfRule>
  </conditionalFormatting>
  <conditionalFormatting sqref="T20">
    <cfRule type="expression" dxfId="816" priority="1066">
      <formula>T19="L"</formula>
    </cfRule>
  </conditionalFormatting>
  <conditionalFormatting sqref="T22">
    <cfRule type="expression" dxfId="815" priority="1043">
      <formula>Q18="SPL"</formula>
    </cfRule>
  </conditionalFormatting>
  <conditionalFormatting sqref="T23">
    <cfRule type="expression" dxfId="814" priority="1042">
      <formula>AND(Z18&lt;&gt;"NOCL",Z18&lt;&gt;"")</formula>
    </cfRule>
  </conditionalFormatting>
  <conditionalFormatting sqref="T24:T25">
    <cfRule type="expression" dxfId="813" priority="1051">
      <formula>ISNA(T24)</formula>
    </cfRule>
    <cfRule type="expression" dxfId="812" priority="1050">
      <formula>T24=0</formula>
    </cfRule>
  </conditionalFormatting>
  <conditionalFormatting sqref="T28">
    <cfRule type="expression" dxfId="811" priority="975">
      <formula>T27="L"</formula>
    </cfRule>
  </conditionalFormatting>
  <conditionalFormatting sqref="T29">
    <cfRule type="expression" dxfId="810" priority="1002">
      <formula>T28="L"</formula>
    </cfRule>
  </conditionalFormatting>
  <conditionalFormatting sqref="T31">
    <cfRule type="expression" dxfId="809" priority="977">
      <formula>Q27="SPL"</formula>
    </cfRule>
  </conditionalFormatting>
  <conditionalFormatting sqref="T32">
    <cfRule type="expression" dxfId="808" priority="976">
      <formula>AND(Z27&lt;&gt;"NOCL",Z27&lt;&gt;"")</formula>
    </cfRule>
  </conditionalFormatting>
  <conditionalFormatting sqref="T33:T34">
    <cfRule type="expression" dxfId="807" priority="986">
      <formula>T33=0</formula>
    </cfRule>
    <cfRule type="expression" dxfId="806" priority="987">
      <formula>ISNA(T33)</formula>
    </cfRule>
  </conditionalFormatting>
  <conditionalFormatting sqref="T37">
    <cfRule type="expression" dxfId="805" priority="911">
      <formula>T36="L"</formula>
    </cfRule>
  </conditionalFormatting>
  <conditionalFormatting sqref="T38">
    <cfRule type="expression" dxfId="804" priority="935">
      <formula>T37="L"</formula>
    </cfRule>
  </conditionalFormatting>
  <conditionalFormatting sqref="T40">
    <cfRule type="expression" dxfId="803" priority="913">
      <formula>Q36="SPL"</formula>
    </cfRule>
  </conditionalFormatting>
  <conditionalFormatting sqref="T41">
    <cfRule type="expression" dxfId="802" priority="912">
      <formula>AND(Z36&lt;&gt;"NOCL",Z36&lt;&gt;"")</formula>
    </cfRule>
  </conditionalFormatting>
  <conditionalFormatting sqref="T42:T43">
    <cfRule type="expression" dxfId="801" priority="920">
      <formula>ISNA(T42)</formula>
    </cfRule>
    <cfRule type="expression" dxfId="800" priority="919">
      <formula>T42=0</formula>
    </cfRule>
  </conditionalFormatting>
  <conditionalFormatting sqref="T46">
    <cfRule type="expression" dxfId="799" priority="845">
      <formula>T45="L"</formula>
    </cfRule>
  </conditionalFormatting>
  <conditionalFormatting sqref="T47">
    <cfRule type="expression" dxfId="798" priority="872">
      <formula>T46="L"</formula>
    </cfRule>
  </conditionalFormatting>
  <conditionalFormatting sqref="T49">
    <cfRule type="expression" dxfId="797" priority="847">
      <formula>Q45="SPL"</formula>
    </cfRule>
  </conditionalFormatting>
  <conditionalFormatting sqref="T50">
    <cfRule type="expression" dxfId="796" priority="846">
      <formula>AND(Z45&lt;&gt;"NOCL",Z45&lt;&gt;"")</formula>
    </cfRule>
  </conditionalFormatting>
  <conditionalFormatting sqref="T51:T52">
    <cfRule type="expression" dxfId="795" priority="857">
      <formula>ISNA(T51)</formula>
    </cfRule>
    <cfRule type="expression" dxfId="794" priority="856">
      <formula>T51=0</formula>
    </cfRule>
  </conditionalFormatting>
  <conditionalFormatting sqref="T55">
    <cfRule type="expression" dxfId="793" priority="778">
      <formula>T54="L"</formula>
    </cfRule>
  </conditionalFormatting>
  <conditionalFormatting sqref="T56">
    <cfRule type="expression" dxfId="792" priority="805">
      <formula>T55="L"</formula>
    </cfRule>
  </conditionalFormatting>
  <conditionalFormatting sqref="T58">
    <cfRule type="expression" dxfId="791" priority="780">
      <formula>Q54="SPL"</formula>
    </cfRule>
  </conditionalFormatting>
  <conditionalFormatting sqref="T59">
    <cfRule type="expression" dxfId="790" priority="779">
      <formula>AND(Z54&lt;&gt;"NOCL",Z54&lt;&gt;"")</formula>
    </cfRule>
  </conditionalFormatting>
  <conditionalFormatting sqref="T60:T61">
    <cfRule type="expression" dxfId="789" priority="789">
      <formula>T60=0</formula>
    </cfRule>
    <cfRule type="expression" dxfId="788" priority="790">
      <formula>ISNA(T60)</formula>
    </cfRule>
  </conditionalFormatting>
  <conditionalFormatting sqref="T64">
    <cfRule type="expression" dxfId="787" priority="711">
      <formula>T63="L"</formula>
    </cfRule>
  </conditionalFormatting>
  <conditionalFormatting sqref="T65">
    <cfRule type="expression" dxfId="786" priority="738">
      <formula>T64="L"</formula>
    </cfRule>
  </conditionalFormatting>
  <conditionalFormatting sqref="T67">
    <cfRule type="expression" dxfId="785" priority="713">
      <formula>Q63="SPL"</formula>
    </cfRule>
  </conditionalFormatting>
  <conditionalFormatting sqref="T68">
    <cfRule type="expression" dxfId="784" priority="712">
      <formula>AND(Z63&lt;&gt;"NOCL",Z63&lt;&gt;"")</formula>
    </cfRule>
  </conditionalFormatting>
  <conditionalFormatting sqref="T69:T70">
    <cfRule type="expression" dxfId="783" priority="723">
      <formula>ISNA(T69)</formula>
    </cfRule>
    <cfRule type="expression" dxfId="782" priority="722">
      <formula>T69=0</formula>
    </cfRule>
  </conditionalFormatting>
  <conditionalFormatting sqref="T73">
    <cfRule type="expression" dxfId="781" priority="644">
      <formula>T72="L"</formula>
    </cfRule>
  </conditionalFormatting>
  <conditionalFormatting sqref="T74">
    <cfRule type="expression" dxfId="780" priority="671">
      <formula>T73="L"</formula>
    </cfRule>
  </conditionalFormatting>
  <conditionalFormatting sqref="T76">
    <cfRule type="expression" dxfId="779" priority="646">
      <formula>Q72="SPL"</formula>
    </cfRule>
  </conditionalFormatting>
  <conditionalFormatting sqref="T77">
    <cfRule type="expression" dxfId="778" priority="645">
      <formula>AND(Z72&lt;&gt;"NOCL",Z72&lt;&gt;"")</formula>
    </cfRule>
  </conditionalFormatting>
  <conditionalFormatting sqref="T78:T79">
    <cfRule type="expression" dxfId="777" priority="655">
      <formula>T78=0</formula>
    </cfRule>
    <cfRule type="expression" dxfId="776" priority="656">
      <formula>ISNA(T78)</formula>
    </cfRule>
  </conditionalFormatting>
  <conditionalFormatting sqref="T82">
    <cfRule type="expression" dxfId="775" priority="577">
      <formula>T81="L"</formula>
    </cfRule>
  </conditionalFormatting>
  <conditionalFormatting sqref="T83">
    <cfRule type="expression" dxfId="774" priority="604">
      <formula>T82="L"</formula>
    </cfRule>
  </conditionalFormatting>
  <conditionalFormatting sqref="T85">
    <cfRule type="expression" dxfId="773" priority="579">
      <formula>Q81="SPL"</formula>
    </cfRule>
  </conditionalFormatting>
  <conditionalFormatting sqref="T86">
    <cfRule type="expression" dxfId="772" priority="578">
      <formula>AND(Z81&lt;&gt;"NOCL",Z81&lt;&gt;"")</formula>
    </cfRule>
  </conditionalFormatting>
  <conditionalFormatting sqref="T87:T88">
    <cfRule type="expression" dxfId="771" priority="589">
      <formula>ISNA(T87)</formula>
    </cfRule>
    <cfRule type="expression" dxfId="770" priority="588">
      <formula>T87=0</formula>
    </cfRule>
  </conditionalFormatting>
  <conditionalFormatting sqref="T91">
    <cfRule type="expression" dxfId="769" priority="510">
      <formula>T90="L"</formula>
    </cfRule>
  </conditionalFormatting>
  <conditionalFormatting sqref="T92">
    <cfRule type="expression" dxfId="768" priority="537">
      <formula>T91="L"</formula>
    </cfRule>
  </conditionalFormatting>
  <conditionalFormatting sqref="T94">
    <cfRule type="expression" dxfId="767" priority="512">
      <formula>Q90="SPL"</formula>
    </cfRule>
  </conditionalFormatting>
  <conditionalFormatting sqref="T95">
    <cfRule type="expression" dxfId="766" priority="511">
      <formula>AND(Z90&lt;&gt;"NOCL",Z90&lt;&gt;"")</formula>
    </cfRule>
  </conditionalFormatting>
  <conditionalFormatting sqref="T96:T97">
    <cfRule type="expression" dxfId="765" priority="522">
      <formula>ISNA(T96)</formula>
    </cfRule>
    <cfRule type="expression" dxfId="764" priority="521">
      <formula>T96=0</formula>
    </cfRule>
  </conditionalFormatting>
  <conditionalFormatting sqref="T100">
    <cfRule type="expression" dxfId="763" priority="443">
      <formula>T99="L"</formula>
    </cfRule>
  </conditionalFormatting>
  <conditionalFormatting sqref="T101">
    <cfRule type="expression" dxfId="762" priority="470">
      <formula>T100="L"</formula>
    </cfRule>
  </conditionalFormatting>
  <conditionalFormatting sqref="T103">
    <cfRule type="expression" dxfId="761" priority="445">
      <formula>Q99="SPL"</formula>
    </cfRule>
  </conditionalFormatting>
  <conditionalFormatting sqref="T104">
    <cfRule type="expression" dxfId="760" priority="444">
      <formula>AND(Z99&lt;&gt;"NOCL",Z99&lt;&gt;"")</formula>
    </cfRule>
  </conditionalFormatting>
  <conditionalFormatting sqref="T105:T106">
    <cfRule type="expression" dxfId="759" priority="455">
      <formula>ISNA(T105)</formula>
    </cfRule>
    <cfRule type="expression" dxfId="758" priority="454">
      <formula>T105=0</formula>
    </cfRule>
  </conditionalFormatting>
  <conditionalFormatting sqref="T109">
    <cfRule type="expression" dxfId="757" priority="376">
      <formula>T108="L"</formula>
    </cfRule>
  </conditionalFormatting>
  <conditionalFormatting sqref="T110">
    <cfRule type="expression" dxfId="756" priority="403">
      <formula>T109="L"</formula>
    </cfRule>
  </conditionalFormatting>
  <conditionalFormatting sqref="T112">
    <cfRule type="expression" dxfId="755" priority="378">
      <formula>Q108="SPL"</formula>
    </cfRule>
  </conditionalFormatting>
  <conditionalFormatting sqref="T113">
    <cfRule type="expression" dxfId="754" priority="377">
      <formula>AND(Z108&lt;&gt;"NOCL",Z108&lt;&gt;"")</formula>
    </cfRule>
  </conditionalFormatting>
  <conditionalFormatting sqref="T114:T115">
    <cfRule type="expression" dxfId="753" priority="388">
      <formula>ISNA(T114)</formula>
    </cfRule>
    <cfRule type="expression" dxfId="752" priority="387">
      <formula>T114=0</formula>
    </cfRule>
  </conditionalFormatting>
  <conditionalFormatting sqref="T118">
    <cfRule type="expression" dxfId="751" priority="309">
      <formula>T117="L"</formula>
    </cfRule>
  </conditionalFormatting>
  <conditionalFormatting sqref="T119">
    <cfRule type="expression" dxfId="750" priority="336">
      <formula>T118="L"</formula>
    </cfRule>
  </conditionalFormatting>
  <conditionalFormatting sqref="T121">
    <cfRule type="expression" dxfId="749" priority="311">
      <formula>Q117="SPL"</formula>
    </cfRule>
  </conditionalFormatting>
  <conditionalFormatting sqref="T122">
    <cfRule type="expression" dxfId="748" priority="310">
      <formula>AND(Z117&lt;&gt;"NOCL",Z117&lt;&gt;"")</formula>
    </cfRule>
  </conditionalFormatting>
  <conditionalFormatting sqref="T123:T124">
    <cfRule type="expression" dxfId="747" priority="320">
      <formula>T123=0</formula>
    </cfRule>
    <cfRule type="expression" dxfId="746" priority="321">
      <formula>ISNA(T123)</formula>
    </cfRule>
  </conditionalFormatting>
  <conditionalFormatting sqref="T127">
    <cfRule type="expression" dxfId="745" priority="242">
      <formula>T126="L"</formula>
    </cfRule>
  </conditionalFormatting>
  <conditionalFormatting sqref="T128">
    <cfRule type="expression" dxfId="744" priority="269">
      <formula>T127="L"</formula>
    </cfRule>
  </conditionalFormatting>
  <conditionalFormatting sqref="T130">
    <cfRule type="expression" dxfId="743" priority="244">
      <formula>Q126="SPL"</formula>
    </cfRule>
  </conditionalFormatting>
  <conditionalFormatting sqref="T131">
    <cfRule type="expression" dxfId="742" priority="243">
      <formula>AND(Z126&lt;&gt;"NOCL",Z126&lt;&gt;"")</formula>
    </cfRule>
  </conditionalFormatting>
  <conditionalFormatting sqref="T132:T133">
    <cfRule type="expression" dxfId="741" priority="253">
      <formula>T132=0</formula>
    </cfRule>
    <cfRule type="expression" dxfId="740" priority="254">
      <formula>ISNA(T132)</formula>
    </cfRule>
  </conditionalFormatting>
  <conditionalFormatting sqref="T136">
    <cfRule type="expression" dxfId="739" priority="175">
      <formula>T135="L"</formula>
    </cfRule>
  </conditionalFormatting>
  <conditionalFormatting sqref="T137">
    <cfRule type="expression" dxfId="738" priority="202">
      <formula>T136="L"</formula>
    </cfRule>
  </conditionalFormatting>
  <conditionalFormatting sqref="T139">
    <cfRule type="expression" dxfId="737" priority="177">
      <formula>Q135="SPL"</formula>
    </cfRule>
  </conditionalFormatting>
  <conditionalFormatting sqref="T140">
    <cfRule type="expression" dxfId="736" priority="176">
      <formula>AND(Z135&lt;&gt;"NOCL",Z135&lt;&gt;"")</formula>
    </cfRule>
  </conditionalFormatting>
  <conditionalFormatting sqref="T141:T142">
    <cfRule type="expression" dxfId="735" priority="187">
      <formula>ISNA(T141)</formula>
    </cfRule>
    <cfRule type="expression" dxfId="734" priority="186">
      <formula>T141=0</formula>
    </cfRule>
  </conditionalFormatting>
  <conditionalFormatting sqref="T145">
    <cfRule type="expression" dxfId="733" priority="108">
      <formula>T144="L"</formula>
    </cfRule>
  </conditionalFormatting>
  <conditionalFormatting sqref="T146">
    <cfRule type="expression" dxfId="732" priority="135">
      <formula>T145="L"</formula>
    </cfRule>
  </conditionalFormatting>
  <conditionalFormatting sqref="T148">
    <cfRule type="expression" dxfId="731" priority="110">
      <formula>Q144="SPL"</formula>
    </cfRule>
  </conditionalFormatting>
  <conditionalFormatting sqref="T149">
    <cfRule type="expression" dxfId="730" priority="109">
      <formula>AND(Z144&lt;&gt;"NOCL",Z144&lt;&gt;"")</formula>
    </cfRule>
  </conditionalFormatting>
  <conditionalFormatting sqref="T150:T151">
    <cfRule type="expression" dxfId="729" priority="120">
      <formula>ISNA(T150)</formula>
    </cfRule>
    <cfRule type="expression" dxfId="728" priority="119">
      <formula>T150=0</formula>
    </cfRule>
  </conditionalFormatting>
  <conditionalFormatting sqref="T154">
    <cfRule type="expression" dxfId="727" priority="41">
      <formula>T153="L"</formula>
    </cfRule>
  </conditionalFormatting>
  <conditionalFormatting sqref="T155">
    <cfRule type="expression" dxfId="726" priority="68">
      <formula>T154="L"</formula>
    </cfRule>
  </conditionalFormatting>
  <conditionalFormatting sqref="T157">
    <cfRule type="expression" dxfId="725" priority="43">
      <formula>Q153="SPL"</formula>
    </cfRule>
  </conditionalFormatting>
  <conditionalFormatting sqref="T158">
    <cfRule type="expression" dxfId="724" priority="42">
      <formula>AND(Z153&lt;&gt;"NOCL",Z153&lt;&gt;"")</formula>
    </cfRule>
  </conditionalFormatting>
  <conditionalFormatting sqref="T159:T160">
    <cfRule type="expression" dxfId="723" priority="53">
      <formula>ISNA(T159)</formula>
    </cfRule>
    <cfRule type="expression" dxfId="722" priority="52">
      <formula>T159=0</formula>
    </cfRule>
  </conditionalFormatting>
  <conditionalFormatting sqref="T21:V21">
    <cfRule type="expression" dxfId="721" priority="1038">
      <formula>T18="L"</formula>
    </cfRule>
  </conditionalFormatting>
  <conditionalFormatting sqref="T30:V30">
    <cfRule type="expression" dxfId="720" priority="972">
      <formula>T27="L"</formula>
    </cfRule>
  </conditionalFormatting>
  <conditionalFormatting sqref="T39:V39">
    <cfRule type="expression" dxfId="719" priority="908">
      <formula>T36="L"</formula>
    </cfRule>
  </conditionalFormatting>
  <conditionalFormatting sqref="T48:V48">
    <cfRule type="expression" dxfId="718" priority="842">
      <formula>T45="L"</formula>
    </cfRule>
  </conditionalFormatting>
  <conditionalFormatting sqref="T57:V57">
    <cfRule type="expression" dxfId="717" priority="775">
      <formula>T54="L"</formula>
    </cfRule>
  </conditionalFormatting>
  <conditionalFormatting sqref="T66:V66">
    <cfRule type="expression" dxfId="716" priority="708">
      <formula>T63="L"</formula>
    </cfRule>
  </conditionalFormatting>
  <conditionalFormatting sqref="T75:V75">
    <cfRule type="expression" dxfId="715" priority="641">
      <formula>T72="L"</formula>
    </cfRule>
  </conditionalFormatting>
  <conditionalFormatting sqref="T84:V84">
    <cfRule type="expression" dxfId="714" priority="574">
      <formula>T81="L"</formula>
    </cfRule>
  </conditionalFormatting>
  <conditionalFormatting sqref="T93:V93">
    <cfRule type="expression" dxfId="713" priority="507">
      <formula>T90="L"</formula>
    </cfRule>
  </conditionalFormatting>
  <conditionalFormatting sqref="T102:V102">
    <cfRule type="expression" dxfId="712" priority="440">
      <formula>T99="L"</formula>
    </cfRule>
  </conditionalFormatting>
  <conditionalFormatting sqref="T111:V111">
    <cfRule type="expression" dxfId="711" priority="373">
      <formula>T108="L"</formula>
    </cfRule>
  </conditionalFormatting>
  <conditionalFormatting sqref="T120:V120">
    <cfRule type="expression" dxfId="710" priority="306">
      <formula>T117="L"</formula>
    </cfRule>
  </conditionalFormatting>
  <conditionalFormatting sqref="T129:V129">
    <cfRule type="expression" dxfId="709" priority="239">
      <formula>T126="L"</formula>
    </cfRule>
  </conditionalFormatting>
  <conditionalFormatting sqref="T138:V138">
    <cfRule type="expression" dxfId="708" priority="172">
      <formula>T135="L"</formula>
    </cfRule>
  </conditionalFormatting>
  <conditionalFormatting sqref="T147:V147">
    <cfRule type="expression" dxfId="707" priority="105">
      <formula>T144="L"</formula>
    </cfRule>
  </conditionalFormatting>
  <conditionalFormatting sqref="T156:V156">
    <cfRule type="expression" dxfId="706" priority="38">
      <formula>T153="L"</formula>
    </cfRule>
  </conditionalFormatting>
  <conditionalFormatting sqref="U18">
    <cfRule type="expression" dxfId="705" priority="1">
      <formula>$I18="CNN"</formula>
    </cfRule>
  </conditionalFormatting>
  <conditionalFormatting sqref="U19">
    <cfRule type="expression" dxfId="704" priority="1040">
      <formula>T18="L"</formula>
    </cfRule>
  </conditionalFormatting>
  <conditionalFormatting sqref="U20">
    <cfRule type="expression" dxfId="703" priority="1065">
      <formula>T19="L"</formula>
    </cfRule>
  </conditionalFormatting>
  <conditionalFormatting sqref="U27">
    <cfRule type="expression" dxfId="702" priority="958">
      <formula>$I27="CNN"</formula>
    </cfRule>
  </conditionalFormatting>
  <conditionalFormatting sqref="U28">
    <cfRule type="expression" dxfId="701" priority="974">
      <formula>T27="L"</formula>
    </cfRule>
  </conditionalFormatting>
  <conditionalFormatting sqref="U29">
    <cfRule type="expression" dxfId="700" priority="1001">
      <formula>T28="L"</formula>
    </cfRule>
  </conditionalFormatting>
  <conditionalFormatting sqref="U36">
    <cfRule type="expression" dxfId="699" priority="5">
      <formula>$I36="CNN"</formula>
    </cfRule>
  </conditionalFormatting>
  <conditionalFormatting sqref="U37">
    <cfRule type="expression" dxfId="698" priority="910">
      <formula>T36="L"</formula>
    </cfRule>
  </conditionalFormatting>
  <conditionalFormatting sqref="U38">
    <cfRule type="expression" dxfId="697" priority="934">
      <formula>T37="L"</formula>
    </cfRule>
  </conditionalFormatting>
  <conditionalFormatting sqref="U45">
    <cfRule type="expression" dxfId="696" priority="828">
      <formula>$I45="CNN"</formula>
    </cfRule>
  </conditionalFormatting>
  <conditionalFormatting sqref="U46">
    <cfRule type="expression" dxfId="695" priority="844">
      <formula>T45="L"</formula>
    </cfRule>
  </conditionalFormatting>
  <conditionalFormatting sqref="U47">
    <cfRule type="expression" dxfId="694" priority="871">
      <formula>T46="L"</formula>
    </cfRule>
  </conditionalFormatting>
  <conditionalFormatting sqref="U54">
    <cfRule type="expression" dxfId="693" priority="761">
      <formula>$I54="CNN"</formula>
    </cfRule>
  </conditionalFormatting>
  <conditionalFormatting sqref="U55">
    <cfRule type="expression" dxfId="692" priority="777">
      <formula>T54="L"</formula>
    </cfRule>
  </conditionalFormatting>
  <conditionalFormatting sqref="U56">
    <cfRule type="expression" dxfId="691" priority="804">
      <formula>T55="L"</formula>
    </cfRule>
  </conditionalFormatting>
  <conditionalFormatting sqref="U63">
    <cfRule type="expression" dxfId="690" priority="694">
      <formula>$I63="CNN"</formula>
    </cfRule>
  </conditionalFormatting>
  <conditionalFormatting sqref="U64">
    <cfRule type="expression" dxfId="689" priority="710">
      <formula>T63="L"</formula>
    </cfRule>
  </conditionalFormatting>
  <conditionalFormatting sqref="U65">
    <cfRule type="expression" dxfId="688" priority="737">
      <formula>T64="L"</formula>
    </cfRule>
  </conditionalFormatting>
  <conditionalFormatting sqref="U72">
    <cfRule type="expression" dxfId="687" priority="627">
      <formula>$I72="CNN"</formula>
    </cfRule>
  </conditionalFormatting>
  <conditionalFormatting sqref="U73">
    <cfRule type="expression" dxfId="686" priority="643">
      <formula>T72="L"</formula>
    </cfRule>
  </conditionalFormatting>
  <conditionalFormatting sqref="U74">
    <cfRule type="expression" dxfId="685" priority="670">
      <formula>T73="L"</formula>
    </cfRule>
  </conditionalFormatting>
  <conditionalFormatting sqref="U81">
    <cfRule type="expression" dxfId="684" priority="560">
      <formula>$I81="CNN"</formula>
    </cfRule>
  </conditionalFormatting>
  <conditionalFormatting sqref="U82">
    <cfRule type="expression" dxfId="683" priority="576">
      <formula>T81="L"</formula>
    </cfRule>
  </conditionalFormatting>
  <conditionalFormatting sqref="U83">
    <cfRule type="expression" dxfId="682" priority="603">
      <formula>T82="L"</formula>
    </cfRule>
  </conditionalFormatting>
  <conditionalFormatting sqref="U90">
    <cfRule type="expression" dxfId="681" priority="493">
      <formula>$I90="CNN"</formula>
    </cfRule>
  </conditionalFormatting>
  <conditionalFormatting sqref="U91">
    <cfRule type="expression" dxfId="680" priority="509">
      <formula>T90="L"</formula>
    </cfRule>
  </conditionalFormatting>
  <conditionalFormatting sqref="U92">
    <cfRule type="expression" dxfId="679" priority="536">
      <formula>T91="L"</formula>
    </cfRule>
  </conditionalFormatting>
  <conditionalFormatting sqref="U99">
    <cfRule type="expression" dxfId="678" priority="426">
      <formula>$I99="CNN"</formula>
    </cfRule>
  </conditionalFormatting>
  <conditionalFormatting sqref="U100">
    <cfRule type="expression" dxfId="677" priority="442">
      <formula>T99="L"</formula>
    </cfRule>
  </conditionalFormatting>
  <conditionalFormatting sqref="U101">
    <cfRule type="expression" dxfId="676" priority="469">
      <formula>T100="L"</formula>
    </cfRule>
  </conditionalFormatting>
  <conditionalFormatting sqref="U108">
    <cfRule type="expression" dxfId="675" priority="359">
      <formula>$I108="CNN"</formula>
    </cfRule>
  </conditionalFormatting>
  <conditionalFormatting sqref="U109">
    <cfRule type="expression" dxfId="674" priority="375">
      <formula>T108="L"</formula>
    </cfRule>
  </conditionalFormatting>
  <conditionalFormatting sqref="U110">
    <cfRule type="expression" dxfId="673" priority="402">
      <formula>T109="L"</formula>
    </cfRule>
  </conditionalFormatting>
  <conditionalFormatting sqref="U117">
    <cfRule type="expression" dxfId="672" priority="292">
      <formula>$I117="CNN"</formula>
    </cfRule>
  </conditionalFormatting>
  <conditionalFormatting sqref="U118">
    <cfRule type="expression" dxfId="671" priority="308">
      <formula>T117="L"</formula>
    </cfRule>
  </conditionalFormatting>
  <conditionalFormatting sqref="U119">
    <cfRule type="expression" dxfId="670" priority="335">
      <formula>T118="L"</formula>
    </cfRule>
  </conditionalFormatting>
  <conditionalFormatting sqref="U126">
    <cfRule type="expression" dxfId="669" priority="225">
      <formula>$I126="CNN"</formula>
    </cfRule>
  </conditionalFormatting>
  <conditionalFormatting sqref="U127">
    <cfRule type="expression" dxfId="668" priority="241">
      <formula>T126="L"</formula>
    </cfRule>
  </conditionalFormatting>
  <conditionalFormatting sqref="U128">
    <cfRule type="expression" dxfId="667" priority="268">
      <formula>T127="L"</formula>
    </cfRule>
  </conditionalFormatting>
  <conditionalFormatting sqref="U135">
    <cfRule type="expression" dxfId="666" priority="158">
      <formula>$I135="CNN"</formula>
    </cfRule>
  </conditionalFormatting>
  <conditionalFormatting sqref="U136">
    <cfRule type="expression" dxfId="665" priority="174">
      <formula>T135="L"</formula>
    </cfRule>
  </conditionalFormatting>
  <conditionalFormatting sqref="U137">
    <cfRule type="expression" dxfId="664" priority="201">
      <formula>T136="L"</formula>
    </cfRule>
  </conditionalFormatting>
  <conditionalFormatting sqref="U144">
    <cfRule type="expression" dxfId="663" priority="91">
      <formula>$I144="CNN"</formula>
    </cfRule>
  </conditionalFormatting>
  <conditionalFormatting sqref="U145">
    <cfRule type="expression" dxfId="662" priority="107">
      <formula>T144="L"</formula>
    </cfRule>
  </conditionalFormatting>
  <conditionalFormatting sqref="U146">
    <cfRule type="expression" dxfId="661" priority="134">
      <formula>T145="L"</formula>
    </cfRule>
  </conditionalFormatting>
  <conditionalFormatting sqref="U153">
    <cfRule type="expression" dxfId="660" priority="24">
      <formula>$I153="CNN"</formula>
    </cfRule>
  </conditionalFormatting>
  <conditionalFormatting sqref="U154">
    <cfRule type="expression" dxfId="659" priority="40">
      <formula>T153="L"</formula>
    </cfRule>
  </conditionalFormatting>
  <conditionalFormatting sqref="U155">
    <cfRule type="expression" dxfId="658" priority="67">
      <formula>T154="L"</formula>
    </cfRule>
  </conditionalFormatting>
  <conditionalFormatting sqref="U22:Y22">
    <cfRule type="expression" dxfId="657" priority="1054">
      <formula>AND(Q18="SPL",U22="")</formula>
    </cfRule>
  </conditionalFormatting>
  <conditionalFormatting sqref="U24:Y25">
    <cfRule type="expression" dxfId="656" priority="1047">
      <formula>AND(T24&lt;&gt;"",T24&lt;&gt;0,U24="")</formula>
    </cfRule>
  </conditionalFormatting>
  <conditionalFormatting sqref="U31:Y31">
    <cfRule type="expression" dxfId="655" priority="990">
      <formula>AND(Q27="SPL",U31="")</formula>
    </cfRule>
  </conditionalFormatting>
  <conditionalFormatting sqref="U33:Y34">
    <cfRule type="expression" dxfId="654" priority="983">
      <formula>AND(T33&lt;&gt;"",T33&lt;&gt;0,U33="")</formula>
    </cfRule>
  </conditionalFormatting>
  <conditionalFormatting sqref="U40:Y40">
    <cfRule type="expression" dxfId="653" priority="923">
      <formula>AND(Q36="SPL",U40="")</formula>
    </cfRule>
  </conditionalFormatting>
  <conditionalFormatting sqref="U42:Y43">
    <cfRule type="expression" dxfId="652" priority="916">
      <formula>AND(T42&lt;&gt;"",T42&lt;&gt;0,U42="")</formula>
    </cfRule>
  </conditionalFormatting>
  <conditionalFormatting sqref="U49:Y49">
    <cfRule type="expression" dxfId="651" priority="860">
      <formula>AND(Q45="SPL",U49="")</formula>
    </cfRule>
  </conditionalFormatting>
  <conditionalFormatting sqref="U51:Y52">
    <cfRule type="expression" dxfId="650" priority="853">
      <formula>AND(T51&lt;&gt;"",T51&lt;&gt;0,U51="")</formula>
    </cfRule>
  </conditionalFormatting>
  <conditionalFormatting sqref="U58:Y58">
    <cfRule type="expression" dxfId="649" priority="793">
      <formula>AND(Q54="SPL",U58="")</formula>
    </cfRule>
  </conditionalFormatting>
  <conditionalFormatting sqref="U60:Y61">
    <cfRule type="expression" dxfId="648" priority="786">
      <formula>AND(T60&lt;&gt;"",T60&lt;&gt;0,U60="")</formula>
    </cfRule>
  </conditionalFormatting>
  <conditionalFormatting sqref="U67:Y67">
    <cfRule type="expression" dxfId="647" priority="726">
      <formula>AND(Q63="SPL",U67="")</formula>
    </cfRule>
  </conditionalFormatting>
  <conditionalFormatting sqref="U69:Y70">
    <cfRule type="expression" dxfId="646" priority="719">
      <formula>AND(T69&lt;&gt;"",T69&lt;&gt;0,U69="")</formula>
    </cfRule>
  </conditionalFormatting>
  <conditionalFormatting sqref="U76:Y76">
    <cfRule type="expression" dxfId="645" priority="659">
      <formula>AND(Q72="SPL",U76="")</formula>
    </cfRule>
  </conditionalFormatting>
  <conditionalFormatting sqref="U78:Y79">
    <cfRule type="expression" dxfId="644" priority="652">
      <formula>AND(T78&lt;&gt;"",T78&lt;&gt;0,U78="")</formula>
    </cfRule>
  </conditionalFormatting>
  <conditionalFormatting sqref="U85:Y85">
    <cfRule type="expression" dxfId="643" priority="592">
      <formula>AND(Q81="SPL",U85="")</formula>
    </cfRule>
  </conditionalFormatting>
  <conditionalFormatting sqref="U87:Y88">
    <cfRule type="expression" dxfId="642" priority="585">
      <formula>AND(T87&lt;&gt;"",T87&lt;&gt;0,U87="")</formula>
    </cfRule>
  </conditionalFormatting>
  <conditionalFormatting sqref="U94:Y94">
    <cfRule type="expression" dxfId="641" priority="525">
      <formula>AND(Q90="SPL",U94="")</formula>
    </cfRule>
  </conditionalFormatting>
  <conditionalFormatting sqref="U96:Y97">
    <cfRule type="expression" dxfId="640" priority="518">
      <formula>AND(T96&lt;&gt;"",T96&lt;&gt;0,U96="")</formula>
    </cfRule>
  </conditionalFormatting>
  <conditionalFormatting sqref="U103:Y103">
    <cfRule type="expression" dxfId="639" priority="458">
      <formula>AND(Q99="SPL",U103="")</formula>
    </cfRule>
  </conditionalFormatting>
  <conditionalFormatting sqref="U105:Y106">
    <cfRule type="expression" dxfId="638" priority="451">
      <formula>AND(T105&lt;&gt;"",T105&lt;&gt;0,U105="")</formula>
    </cfRule>
  </conditionalFormatting>
  <conditionalFormatting sqref="U112:Y112">
    <cfRule type="expression" dxfId="637" priority="391">
      <formula>AND(Q108="SPL",U112="")</formula>
    </cfRule>
  </conditionalFormatting>
  <conditionalFormatting sqref="U114:Y115">
    <cfRule type="expression" dxfId="636" priority="384">
      <formula>AND(T114&lt;&gt;"",T114&lt;&gt;0,U114="")</formula>
    </cfRule>
  </conditionalFormatting>
  <conditionalFormatting sqref="U121:Y121">
    <cfRule type="expression" dxfId="635" priority="324">
      <formula>AND(Q117="SPL",U121="")</formula>
    </cfRule>
  </conditionalFormatting>
  <conditionalFormatting sqref="U123:Y124">
    <cfRule type="expression" dxfId="634" priority="317">
      <formula>AND(T123&lt;&gt;"",T123&lt;&gt;0,U123="")</formula>
    </cfRule>
  </conditionalFormatting>
  <conditionalFormatting sqref="U130:Y130">
    <cfRule type="expression" dxfId="633" priority="257">
      <formula>AND(Q126="SPL",U130="")</formula>
    </cfRule>
  </conditionalFormatting>
  <conditionalFormatting sqref="U132:Y133">
    <cfRule type="expression" dxfId="632" priority="250">
      <formula>AND(T132&lt;&gt;"",T132&lt;&gt;0,U132="")</formula>
    </cfRule>
  </conditionalFormatting>
  <conditionalFormatting sqref="U139:Y139">
    <cfRule type="expression" dxfId="631" priority="190">
      <formula>AND(Q135="SPL",U139="")</formula>
    </cfRule>
  </conditionalFormatting>
  <conditionalFormatting sqref="U141:Y142">
    <cfRule type="expression" dxfId="630" priority="183">
      <formula>AND(T141&lt;&gt;"",T141&lt;&gt;0,U141="")</formula>
    </cfRule>
  </conditionalFormatting>
  <conditionalFormatting sqref="U148:Y148">
    <cfRule type="expression" dxfId="629" priority="123">
      <formula>AND(Q144="SPL",U148="")</formula>
    </cfRule>
  </conditionalFormatting>
  <conditionalFormatting sqref="U150:Y151">
    <cfRule type="expression" dxfId="628" priority="116">
      <formula>AND(T150&lt;&gt;"",T150&lt;&gt;0,U150="")</formula>
    </cfRule>
  </conditionalFormatting>
  <conditionalFormatting sqref="U157:Y157">
    <cfRule type="expression" dxfId="627" priority="56">
      <formula>AND(Q153="SPL",U157="")</formula>
    </cfRule>
  </conditionalFormatting>
  <conditionalFormatting sqref="U159:Y160">
    <cfRule type="expression" dxfId="626" priority="49">
      <formula>AND(T159&lt;&gt;"",T159&lt;&gt;0,U159="")</formula>
    </cfRule>
  </conditionalFormatting>
  <conditionalFormatting sqref="V19">
    <cfRule type="expression" dxfId="625" priority="1039">
      <formula>T18="L"</formula>
    </cfRule>
  </conditionalFormatting>
  <conditionalFormatting sqref="V20">
    <cfRule type="expression" dxfId="624" priority="1064">
      <formula>T19="L"</formula>
    </cfRule>
  </conditionalFormatting>
  <conditionalFormatting sqref="V28">
    <cfRule type="expression" dxfId="623" priority="973">
      <formula>T27="L"</formula>
    </cfRule>
  </conditionalFormatting>
  <conditionalFormatting sqref="V29">
    <cfRule type="expression" dxfId="622" priority="1000">
      <formula>T28="L"</formula>
    </cfRule>
  </conditionalFormatting>
  <conditionalFormatting sqref="V37">
    <cfRule type="expression" dxfId="621" priority="909">
      <formula>T36="L"</formula>
    </cfRule>
  </conditionalFormatting>
  <conditionalFormatting sqref="V38">
    <cfRule type="expression" dxfId="620" priority="933">
      <formula>T37="L"</formula>
    </cfRule>
  </conditionalFormatting>
  <conditionalFormatting sqref="V46">
    <cfRule type="expression" dxfId="619" priority="843">
      <formula>T45="L"</formula>
    </cfRule>
  </conditionalFormatting>
  <conditionalFormatting sqref="V47">
    <cfRule type="expression" dxfId="618" priority="870">
      <formula>T46="L"</formula>
    </cfRule>
  </conditionalFormatting>
  <conditionalFormatting sqref="V55">
    <cfRule type="expression" dxfId="617" priority="776">
      <formula>T54="L"</formula>
    </cfRule>
  </conditionalFormatting>
  <conditionalFormatting sqref="V56">
    <cfRule type="expression" dxfId="616" priority="803">
      <formula>T55="L"</formula>
    </cfRule>
  </conditionalFormatting>
  <conditionalFormatting sqref="V64">
    <cfRule type="expression" dxfId="615" priority="709">
      <formula>T63="L"</formula>
    </cfRule>
  </conditionalFormatting>
  <conditionalFormatting sqref="V65">
    <cfRule type="expression" dxfId="614" priority="736">
      <formula>T64="L"</formula>
    </cfRule>
  </conditionalFormatting>
  <conditionalFormatting sqref="V73">
    <cfRule type="expression" dxfId="613" priority="642">
      <formula>T72="L"</formula>
    </cfRule>
  </conditionalFormatting>
  <conditionalFormatting sqref="V74">
    <cfRule type="expression" dxfId="612" priority="669">
      <formula>T73="L"</formula>
    </cfRule>
  </conditionalFormatting>
  <conditionalFormatting sqref="V82">
    <cfRule type="expression" dxfId="611" priority="575">
      <formula>T81="L"</formula>
    </cfRule>
  </conditionalFormatting>
  <conditionalFormatting sqref="V83">
    <cfRule type="expression" dxfId="610" priority="602">
      <formula>T82="L"</formula>
    </cfRule>
  </conditionalFormatting>
  <conditionalFormatting sqref="V91">
    <cfRule type="expression" dxfId="609" priority="508">
      <formula>T90="L"</formula>
    </cfRule>
  </conditionalFormatting>
  <conditionalFormatting sqref="V92">
    <cfRule type="expression" dxfId="608" priority="535">
      <formula>T91="L"</formula>
    </cfRule>
  </conditionalFormatting>
  <conditionalFormatting sqref="V100">
    <cfRule type="expression" dxfId="607" priority="441">
      <formula>T99="L"</formula>
    </cfRule>
  </conditionalFormatting>
  <conditionalFormatting sqref="V101">
    <cfRule type="expression" dxfId="606" priority="468">
      <formula>T100="L"</formula>
    </cfRule>
  </conditionalFormatting>
  <conditionalFormatting sqref="V109">
    <cfRule type="expression" dxfId="605" priority="374">
      <formula>T108="L"</formula>
    </cfRule>
  </conditionalFormatting>
  <conditionalFormatting sqref="V110">
    <cfRule type="expression" dxfId="604" priority="401">
      <formula>T109="L"</formula>
    </cfRule>
  </conditionalFormatting>
  <conditionalFormatting sqref="V118">
    <cfRule type="expression" dxfId="603" priority="307">
      <formula>T117="L"</formula>
    </cfRule>
  </conditionalFormatting>
  <conditionalFormatting sqref="V119">
    <cfRule type="expression" dxfId="602" priority="334">
      <formula>T118="L"</formula>
    </cfRule>
  </conditionalFormatting>
  <conditionalFormatting sqref="V127">
    <cfRule type="expression" dxfId="601" priority="240">
      <formula>T126="L"</formula>
    </cfRule>
  </conditionalFormatting>
  <conditionalFormatting sqref="V128">
    <cfRule type="expression" dxfId="600" priority="267">
      <formula>T127="L"</formula>
    </cfRule>
  </conditionalFormatting>
  <conditionalFormatting sqref="V136">
    <cfRule type="expression" dxfId="599" priority="173">
      <formula>T135="L"</formula>
    </cfRule>
  </conditionalFormatting>
  <conditionalFormatting sqref="V137">
    <cfRule type="expression" dxfId="598" priority="200">
      <formula>T136="L"</formula>
    </cfRule>
  </conditionalFormatting>
  <conditionalFormatting sqref="V145">
    <cfRule type="expression" dxfId="597" priority="106">
      <formula>T144="L"</formula>
    </cfRule>
  </conditionalFormatting>
  <conditionalFormatting sqref="V146">
    <cfRule type="expression" dxfId="596" priority="133">
      <formula>T145="L"</formula>
    </cfRule>
  </conditionalFormatting>
  <conditionalFormatting sqref="V154">
    <cfRule type="expression" dxfId="595" priority="39">
      <formula>T153="L"</formula>
    </cfRule>
  </conditionalFormatting>
  <conditionalFormatting sqref="V155">
    <cfRule type="expression" dxfId="594" priority="66">
      <formula>T154="L"</formula>
    </cfRule>
  </conditionalFormatting>
  <conditionalFormatting sqref="W19">
    <cfRule type="expression" dxfId="593" priority="1030">
      <formula>Y18="SPL"</formula>
    </cfRule>
  </conditionalFormatting>
  <conditionalFormatting sqref="W20">
    <cfRule type="expression" dxfId="592" priority="1060">
      <formula>Y18&lt;&gt;"SPL"</formula>
    </cfRule>
    <cfRule type="expression" dxfId="591" priority="1061">
      <formula>AND(Y18="SPL",W20="",X18&gt;0)</formula>
    </cfRule>
  </conditionalFormatting>
  <conditionalFormatting sqref="W28">
    <cfRule type="expression" dxfId="590" priority="964">
      <formula>Y27="SPL"</formula>
    </cfRule>
  </conditionalFormatting>
  <conditionalFormatting sqref="W29">
    <cfRule type="expression" dxfId="589" priority="997">
      <formula>AND(Y27="SPL",W29="",X27&gt;0)</formula>
    </cfRule>
    <cfRule type="expression" dxfId="588" priority="996">
      <formula>Y27&lt;&gt;"SPL"</formula>
    </cfRule>
  </conditionalFormatting>
  <conditionalFormatting sqref="W37">
    <cfRule type="expression" dxfId="587" priority="900">
      <formula>Y36="SPL"</formula>
    </cfRule>
  </conditionalFormatting>
  <conditionalFormatting sqref="W38">
    <cfRule type="expression" dxfId="586" priority="930">
      <formula>AND(Y36="SPL",W38="",X36&gt;0)</formula>
    </cfRule>
    <cfRule type="expression" dxfId="585" priority="929">
      <formula>Y36&lt;&gt;"SPL"</formula>
    </cfRule>
  </conditionalFormatting>
  <conditionalFormatting sqref="W46">
    <cfRule type="expression" dxfId="584" priority="834">
      <formula>Y45="SPL"</formula>
    </cfRule>
  </conditionalFormatting>
  <conditionalFormatting sqref="W47">
    <cfRule type="expression" dxfId="583" priority="866">
      <formula>Y45&lt;&gt;"SPL"</formula>
    </cfRule>
    <cfRule type="expression" dxfId="582" priority="867">
      <formula>AND(Y45="SPL",W47="",X45&gt;0)</formula>
    </cfRule>
  </conditionalFormatting>
  <conditionalFormatting sqref="W55">
    <cfRule type="expression" dxfId="581" priority="767">
      <formula>Y54="SPL"</formula>
    </cfRule>
  </conditionalFormatting>
  <conditionalFormatting sqref="W56">
    <cfRule type="expression" dxfId="580" priority="799">
      <formula>Y54&lt;&gt;"SPL"</formula>
    </cfRule>
    <cfRule type="expression" dxfId="579" priority="800">
      <formula>AND(Y54="SPL",W56="",X54&gt;0)</formula>
    </cfRule>
  </conditionalFormatting>
  <conditionalFormatting sqref="W64">
    <cfRule type="expression" dxfId="578" priority="700">
      <formula>Y63="SPL"</formula>
    </cfRule>
  </conditionalFormatting>
  <conditionalFormatting sqref="W65">
    <cfRule type="expression" dxfId="577" priority="732">
      <formula>Y63&lt;&gt;"SPL"</formula>
    </cfRule>
    <cfRule type="expression" dxfId="576" priority="733">
      <formula>AND(Y63="SPL",W65="",X63&gt;0)</formula>
    </cfRule>
  </conditionalFormatting>
  <conditionalFormatting sqref="W73">
    <cfRule type="expression" dxfId="575" priority="633">
      <formula>Y72="SPL"</formula>
    </cfRule>
  </conditionalFormatting>
  <conditionalFormatting sqref="W74">
    <cfRule type="expression" dxfId="574" priority="666">
      <formula>AND(Y72="SPL",W74="",X72&gt;0)</formula>
    </cfRule>
    <cfRule type="expression" dxfId="573" priority="665">
      <formula>Y72&lt;&gt;"SPL"</formula>
    </cfRule>
  </conditionalFormatting>
  <conditionalFormatting sqref="W82">
    <cfRule type="expression" dxfId="572" priority="566">
      <formula>Y81="SPL"</formula>
    </cfRule>
  </conditionalFormatting>
  <conditionalFormatting sqref="W83">
    <cfRule type="expression" dxfId="571" priority="599">
      <formula>AND(Y81="SPL",W83="",X81&gt;0)</formula>
    </cfRule>
    <cfRule type="expression" dxfId="570" priority="598">
      <formula>Y81&lt;&gt;"SPL"</formula>
    </cfRule>
  </conditionalFormatting>
  <conditionalFormatting sqref="W91">
    <cfRule type="expression" dxfId="569" priority="499">
      <formula>Y90="SPL"</formula>
    </cfRule>
  </conditionalFormatting>
  <conditionalFormatting sqref="W92">
    <cfRule type="expression" dxfId="568" priority="531">
      <formula>Y90&lt;&gt;"SPL"</formula>
    </cfRule>
    <cfRule type="expression" dxfId="567" priority="532">
      <formula>AND(Y90="SPL",W92="",X90&gt;0)</formula>
    </cfRule>
  </conditionalFormatting>
  <conditionalFormatting sqref="W100">
    <cfRule type="expression" dxfId="566" priority="432">
      <formula>Y99="SPL"</formula>
    </cfRule>
  </conditionalFormatting>
  <conditionalFormatting sqref="W101">
    <cfRule type="expression" dxfId="565" priority="464">
      <formula>Y99&lt;&gt;"SPL"</formula>
    </cfRule>
    <cfRule type="expression" dxfId="564" priority="465">
      <formula>AND(Y99="SPL",W101="",X99&gt;0)</formula>
    </cfRule>
  </conditionalFormatting>
  <conditionalFormatting sqref="W109">
    <cfRule type="expression" dxfId="563" priority="365">
      <formula>Y108="SPL"</formula>
    </cfRule>
  </conditionalFormatting>
  <conditionalFormatting sqref="W110">
    <cfRule type="expression" dxfId="562" priority="397">
      <formula>Y108&lt;&gt;"SPL"</formula>
    </cfRule>
    <cfRule type="expression" dxfId="561" priority="398">
      <formula>AND(Y108="SPL",W110="",X108&gt;0)</formula>
    </cfRule>
  </conditionalFormatting>
  <conditionalFormatting sqref="W118">
    <cfRule type="expression" dxfId="560" priority="298">
      <formula>Y117="SPL"</formula>
    </cfRule>
  </conditionalFormatting>
  <conditionalFormatting sqref="W119">
    <cfRule type="expression" dxfId="559" priority="331">
      <formula>AND(Y117="SPL",W119="",X117&gt;0)</formula>
    </cfRule>
    <cfRule type="expression" dxfId="558" priority="330">
      <formula>Y117&lt;&gt;"SPL"</formula>
    </cfRule>
  </conditionalFormatting>
  <conditionalFormatting sqref="W127">
    <cfRule type="expression" dxfId="557" priority="231">
      <formula>Y126="SPL"</formula>
    </cfRule>
  </conditionalFormatting>
  <conditionalFormatting sqref="W128">
    <cfRule type="expression" dxfId="556" priority="264">
      <formula>AND(Y126="SPL",W128="",X126&gt;0)</formula>
    </cfRule>
    <cfRule type="expression" dxfId="555" priority="263">
      <formula>Y126&lt;&gt;"SPL"</formula>
    </cfRule>
  </conditionalFormatting>
  <conditionalFormatting sqref="W136">
    <cfRule type="expression" dxfId="554" priority="164">
      <formula>Y135="SPL"</formula>
    </cfRule>
  </conditionalFormatting>
  <conditionalFormatting sqref="W137">
    <cfRule type="expression" dxfId="553" priority="196">
      <formula>Y135&lt;&gt;"SPL"</formula>
    </cfRule>
    <cfRule type="expression" dxfId="552" priority="197">
      <formula>AND(Y135="SPL",W137="",X135&gt;0)</formula>
    </cfRule>
  </conditionalFormatting>
  <conditionalFormatting sqref="W145">
    <cfRule type="expression" dxfId="551" priority="97">
      <formula>Y144="SPL"</formula>
    </cfRule>
  </conditionalFormatting>
  <conditionalFormatting sqref="W146">
    <cfRule type="expression" dxfId="550" priority="129">
      <formula>Y144&lt;&gt;"SPL"</formula>
    </cfRule>
    <cfRule type="expression" dxfId="549" priority="130">
      <formula>AND(Y144="SPL",W146="",X144&gt;0)</formula>
    </cfRule>
  </conditionalFormatting>
  <conditionalFormatting sqref="W154">
    <cfRule type="expression" dxfId="548" priority="30">
      <formula>Y153="SPL"</formula>
    </cfRule>
  </conditionalFormatting>
  <conditionalFormatting sqref="W155">
    <cfRule type="expression" dxfId="547" priority="62">
      <formula>Y153&lt;&gt;"SPL"</formula>
    </cfRule>
    <cfRule type="expression" dxfId="546" priority="63">
      <formula>AND(Y153="SPL",W155="",X153&gt;0)</formula>
    </cfRule>
  </conditionalFormatting>
  <conditionalFormatting sqref="W21:AA21">
    <cfRule type="expression" dxfId="545" priority="1025">
      <formula>Y18="SPL"</formula>
    </cfRule>
  </conditionalFormatting>
  <conditionalFormatting sqref="W30:AA30">
    <cfRule type="expression" dxfId="544" priority="959">
      <formula>Y27="SPL"</formula>
    </cfRule>
  </conditionalFormatting>
  <conditionalFormatting sqref="W39:AA39">
    <cfRule type="expression" dxfId="543" priority="895">
      <formula>Y36="SPL"</formula>
    </cfRule>
  </conditionalFormatting>
  <conditionalFormatting sqref="W48:AA48">
    <cfRule type="expression" dxfId="542" priority="829">
      <formula>Y45="SPL"</formula>
    </cfRule>
  </conditionalFormatting>
  <conditionalFormatting sqref="W57:AA57">
    <cfRule type="expression" dxfId="541" priority="762">
      <formula>Y54="SPL"</formula>
    </cfRule>
  </conditionalFormatting>
  <conditionalFormatting sqref="W66:AA66">
    <cfRule type="expression" dxfId="540" priority="695">
      <formula>Y63="SPL"</formula>
    </cfRule>
  </conditionalFormatting>
  <conditionalFormatting sqref="W75:AA75">
    <cfRule type="expression" dxfId="539" priority="628">
      <formula>Y72="SPL"</formula>
    </cfRule>
  </conditionalFormatting>
  <conditionalFormatting sqref="W84:AA84">
    <cfRule type="expression" dxfId="538" priority="561">
      <formula>Y81="SPL"</formula>
    </cfRule>
  </conditionalFormatting>
  <conditionalFormatting sqref="W93:AA93">
    <cfRule type="expression" dxfId="537" priority="494">
      <formula>Y90="SPL"</formula>
    </cfRule>
  </conditionalFormatting>
  <conditionalFormatting sqref="W102:AA102">
    <cfRule type="expression" dxfId="536" priority="427">
      <formula>Y99="SPL"</formula>
    </cfRule>
  </conditionalFormatting>
  <conditionalFormatting sqref="W111:AA111">
    <cfRule type="expression" dxfId="535" priority="360">
      <formula>Y108="SPL"</formula>
    </cfRule>
  </conditionalFormatting>
  <conditionalFormatting sqref="W120:AA120">
    <cfRule type="expression" dxfId="534" priority="293">
      <formula>Y117="SPL"</formula>
    </cfRule>
  </conditionalFormatting>
  <conditionalFormatting sqref="W129:AA129">
    <cfRule type="expression" dxfId="533" priority="226">
      <formula>Y126="SPL"</formula>
    </cfRule>
  </conditionalFormatting>
  <conditionalFormatting sqref="W138:AA138">
    <cfRule type="expression" dxfId="532" priority="159">
      <formula>Y135="SPL"</formula>
    </cfRule>
  </conditionalFormatting>
  <conditionalFormatting sqref="W147:AA147">
    <cfRule type="expression" dxfId="531" priority="92">
      <formula>Y144="SPL"</formula>
    </cfRule>
  </conditionalFormatting>
  <conditionalFormatting sqref="W156:AA156">
    <cfRule type="expression" dxfId="530" priority="25">
      <formula>Y153="SPL"</formula>
    </cfRule>
  </conditionalFormatting>
  <conditionalFormatting sqref="X19">
    <cfRule type="expression" dxfId="529" priority="1029">
      <formula>Y18="SPL"</formula>
    </cfRule>
  </conditionalFormatting>
  <conditionalFormatting sqref="X20">
    <cfRule type="expression" dxfId="528" priority="1059">
      <formula>AND($Y18="SPL",X20="",$X18&gt;1)</formula>
    </cfRule>
  </conditionalFormatting>
  <conditionalFormatting sqref="X28">
    <cfRule type="expression" dxfId="527" priority="963">
      <formula>Y27="SPL"</formula>
    </cfRule>
  </conditionalFormatting>
  <conditionalFormatting sqref="X29">
    <cfRule type="expression" dxfId="526" priority="995">
      <formula>AND($Y27="SPL",X29="",$X27&gt;1)</formula>
    </cfRule>
  </conditionalFormatting>
  <conditionalFormatting sqref="X37">
    <cfRule type="expression" dxfId="525" priority="899">
      <formula>Y36="SPL"</formula>
    </cfRule>
  </conditionalFormatting>
  <conditionalFormatting sqref="X38">
    <cfRule type="expression" dxfId="524" priority="928">
      <formula>AND($Y36="SPL",X38="",$X36&gt;1)</formula>
    </cfRule>
  </conditionalFormatting>
  <conditionalFormatting sqref="X46">
    <cfRule type="expression" dxfId="523" priority="833">
      <formula>Y45="SPL"</formula>
    </cfRule>
  </conditionalFormatting>
  <conditionalFormatting sqref="X47">
    <cfRule type="expression" dxfId="522" priority="865">
      <formula>AND($Y45="SPL",X47="",$X45&gt;1)</formula>
    </cfRule>
  </conditionalFormatting>
  <conditionalFormatting sqref="X55">
    <cfRule type="expression" dxfId="521" priority="766">
      <formula>Y54="SPL"</formula>
    </cfRule>
  </conditionalFormatting>
  <conditionalFormatting sqref="X56">
    <cfRule type="expression" dxfId="520" priority="798">
      <formula>AND($Y54="SPL",X56="",$X54&gt;1)</formula>
    </cfRule>
  </conditionalFormatting>
  <conditionalFormatting sqref="X64">
    <cfRule type="expression" dxfId="519" priority="699">
      <formula>Y63="SPL"</formula>
    </cfRule>
  </conditionalFormatting>
  <conditionalFormatting sqref="X65">
    <cfRule type="expression" dxfId="518" priority="731">
      <formula>AND($Y63="SPL",X65="",$X63&gt;1)</formula>
    </cfRule>
  </conditionalFormatting>
  <conditionalFormatting sqref="X73">
    <cfRule type="expression" dxfId="517" priority="632">
      <formula>Y72="SPL"</formula>
    </cfRule>
  </conditionalFormatting>
  <conditionalFormatting sqref="X74">
    <cfRule type="expression" dxfId="516" priority="664">
      <formula>AND($Y72="SPL",X74="",$X72&gt;1)</formula>
    </cfRule>
  </conditionalFormatting>
  <conditionalFormatting sqref="X82">
    <cfRule type="expression" dxfId="515" priority="565">
      <formula>Y81="SPL"</formula>
    </cfRule>
  </conditionalFormatting>
  <conditionalFormatting sqref="X83">
    <cfRule type="expression" dxfId="514" priority="597">
      <formula>AND($Y81="SPL",X83="",$X81&gt;1)</formula>
    </cfRule>
  </conditionalFormatting>
  <conditionalFormatting sqref="X91">
    <cfRule type="expression" dxfId="513" priority="498">
      <formula>Y90="SPL"</formula>
    </cfRule>
  </conditionalFormatting>
  <conditionalFormatting sqref="X92">
    <cfRule type="expression" dxfId="512" priority="530">
      <formula>AND($Y90="SPL",X92="",$X90&gt;1)</formula>
    </cfRule>
  </conditionalFormatting>
  <conditionalFormatting sqref="X100">
    <cfRule type="expression" dxfId="511" priority="431">
      <formula>Y99="SPL"</formula>
    </cfRule>
  </conditionalFormatting>
  <conditionalFormatting sqref="X101">
    <cfRule type="expression" dxfId="510" priority="463">
      <formula>AND($Y99="SPL",X101="",$X99&gt;1)</formula>
    </cfRule>
  </conditionalFormatting>
  <conditionalFormatting sqref="X109">
    <cfRule type="expression" dxfId="509" priority="364">
      <formula>Y108="SPL"</formula>
    </cfRule>
  </conditionalFormatting>
  <conditionalFormatting sqref="X110">
    <cfRule type="expression" dxfId="508" priority="396">
      <formula>AND($Y108="SPL",X110="",$X108&gt;1)</formula>
    </cfRule>
  </conditionalFormatting>
  <conditionalFormatting sqref="X118">
    <cfRule type="expression" dxfId="507" priority="297">
      <formula>Y117="SPL"</formula>
    </cfRule>
  </conditionalFormatting>
  <conditionalFormatting sqref="X119">
    <cfRule type="expression" dxfId="506" priority="329">
      <formula>AND($Y117="SPL",X119="",$X117&gt;1)</formula>
    </cfRule>
  </conditionalFormatting>
  <conditionalFormatting sqref="X127">
    <cfRule type="expression" dxfId="505" priority="230">
      <formula>Y126="SPL"</formula>
    </cfRule>
  </conditionalFormatting>
  <conditionalFormatting sqref="X128">
    <cfRule type="expression" dxfId="504" priority="262">
      <formula>AND($Y126="SPL",X128="",$X126&gt;1)</formula>
    </cfRule>
  </conditionalFormatting>
  <conditionalFormatting sqref="X136">
    <cfRule type="expression" dxfId="503" priority="163">
      <formula>Y135="SPL"</formula>
    </cfRule>
  </conditionalFormatting>
  <conditionalFormatting sqref="X137">
    <cfRule type="expression" dxfId="502" priority="195">
      <formula>AND($Y135="SPL",X137="",$X135&gt;1)</formula>
    </cfRule>
  </conditionalFormatting>
  <conditionalFormatting sqref="X145">
    <cfRule type="expression" dxfId="501" priority="96">
      <formula>Y144="SPL"</formula>
    </cfRule>
  </conditionalFormatting>
  <conditionalFormatting sqref="X146">
    <cfRule type="expression" dxfId="500" priority="128">
      <formula>AND($Y144="SPL",X146="",$X144&gt;1)</formula>
    </cfRule>
  </conditionalFormatting>
  <conditionalFormatting sqref="X154">
    <cfRule type="expression" dxfId="499" priority="29">
      <formula>Y153="SPL"</formula>
    </cfRule>
  </conditionalFormatting>
  <conditionalFormatting sqref="X155">
    <cfRule type="expression" dxfId="498" priority="61">
      <formula>AND($Y153="SPL",X155="",$X153&gt;1)</formula>
    </cfRule>
  </conditionalFormatting>
  <conditionalFormatting sqref="X20:AA20">
    <cfRule type="expression" dxfId="497" priority="1055">
      <formula>$Y18&lt;&gt;"SPL"</formula>
    </cfRule>
  </conditionalFormatting>
  <conditionalFormatting sqref="X29:AA29">
    <cfRule type="expression" dxfId="496" priority="991">
      <formula>$Y27&lt;&gt;"SPL"</formula>
    </cfRule>
  </conditionalFormatting>
  <conditionalFormatting sqref="X38:AA38">
    <cfRule type="expression" dxfId="495" priority="924">
      <formula>$Y36&lt;&gt;"SPL"</formula>
    </cfRule>
  </conditionalFormatting>
  <conditionalFormatting sqref="X47:AA47">
    <cfRule type="expression" dxfId="494" priority="861">
      <formula>$Y45&lt;&gt;"SPL"</formula>
    </cfRule>
  </conditionalFormatting>
  <conditionalFormatting sqref="X56:AA56">
    <cfRule type="expression" dxfId="493" priority="794">
      <formula>$Y54&lt;&gt;"SPL"</formula>
    </cfRule>
  </conditionalFormatting>
  <conditionalFormatting sqref="X65:AA65">
    <cfRule type="expression" dxfId="492" priority="727">
      <formula>$Y63&lt;&gt;"SPL"</formula>
    </cfRule>
  </conditionalFormatting>
  <conditionalFormatting sqref="X74:AA74">
    <cfRule type="expression" dxfId="491" priority="660">
      <formula>$Y72&lt;&gt;"SPL"</formula>
    </cfRule>
  </conditionalFormatting>
  <conditionalFormatting sqref="X83:AA83">
    <cfRule type="expression" dxfId="490" priority="593">
      <formula>$Y81&lt;&gt;"SPL"</formula>
    </cfRule>
  </conditionalFormatting>
  <conditionalFormatting sqref="X92:AA92">
    <cfRule type="expression" dxfId="489" priority="526">
      <formula>$Y90&lt;&gt;"SPL"</formula>
    </cfRule>
  </conditionalFormatting>
  <conditionalFormatting sqref="X101:AA101">
    <cfRule type="expression" dxfId="488" priority="459">
      <formula>$Y99&lt;&gt;"SPL"</formula>
    </cfRule>
  </conditionalFormatting>
  <conditionalFormatting sqref="X110:AA110">
    <cfRule type="expression" dxfId="487" priority="392">
      <formula>$Y108&lt;&gt;"SPL"</formula>
    </cfRule>
  </conditionalFormatting>
  <conditionalFormatting sqref="X119:AA119">
    <cfRule type="expression" dxfId="486" priority="325">
      <formula>$Y117&lt;&gt;"SPL"</formula>
    </cfRule>
  </conditionalFormatting>
  <conditionalFormatting sqref="X128:AA128">
    <cfRule type="expression" dxfId="485" priority="258">
      <formula>$Y126&lt;&gt;"SPL"</formula>
    </cfRule>
  </conditionalFormatting>
  <conditionalFormatting sqref="X137:AA137">
    <cfRule type="expression" dxfId="484" priority="191">
      <formula>$Y135&lt;&gt;"SPL"</formula>
    </cfRule>
  </conditionalFormatting>
  <conditionalFormatting sqref="X146:AA146">
    <cfRule type="expression" dxfId="483" priority="124">
      <formula>$Y144&lt;&gt;"SPL"</formula>
    </cfRule>
  </conditionalFormatting>
  <conditionalFormatting sqref="X155:AA155">
    <cfRule type="expression" dxfId="482" priority="57">
      <formula>$Y153&lt;&gt;"SPL"</formula>
    </cfRule>
  </conditionalFormatting>
  <conditionalFormatting sqref="Y19">
    <cfRule type="expression" dxfId="481" priority="1028">
      <formula>Y18="SPL"</formula>
    </cfRule>
  </conditionalFormatting>
  <conditionalFormatting sqref="Y20">
    <cfRule type="expression" dxfId="480" priority="1058">
      <formula>AND($Y18="SPL",Y20="",$X18&gt;2)</formula>
    </cfRule>
  </conditionalFormatting>
  <conditionalFormatting sqref="Y28">
    <cfRule type="expression" dxfId="479" priority="962">
      <formula>Y27="SPL"</formula>
    </cfRule>
  </conditionalFormatting>
  <conditionalFormatting sqref="Y29">
    <cfRule type="expression" dxfId="478" priority="994">
      <formula>AND($Y27="SPL",Y29="",$X27&gt;2)</formula>
    </cfRule>
  </conditionalFormatting>
  <conditionalFormatting sqref="Y37">
    <cfRule type="expression" dxfId="477" priority="898">
      <formula>Y36="SPL"</formula>
    </cfRule>
  </conditionalFormatting>
  <conditionalFormatting sqref="Y38">
    <cfRule type="expression" dxfId="476" priority="927">
      <formula>AND($Y36="SPL",Y38="",$X36&gt;2)</formula>
    </cfRule>
  </conditionalFormatting>
  <conditionalFormatting sqref="Y46">
    <cfRule type="expression" dxfId="475" priority="832">
      <formula>Y45="SPL"</formula>
    </cfRule>
  </conditionalFormatting>
  <conditionalFormatting sqref="Y47">
    <cfRule type="expression" dxfId="474" priority="864">
      <formula>AND($Y45="SPL",Y47="",$X45&gt;2)</formula>
    </cfRule>
  </conditionalFormatting>
  <conditionalFormatting sqref="Y55">
    <cfRule type="expression" dxfId="473" priority="765">
      <formula>Y54="SPL"</formula>
    </cfRule>
  </conditionalFormatting>
  <conditionalFormatting sqref="Y56">
    <cfRule type="expression" dxfId="472" priority="797">
      <formula>AND($Y54="SPL",Y56="",$X54&gt;2)</formula>
    </cfRule>
  </conditionalFormatting>
  <conditionalFormatting sqref="Y64">
    <cfRule type="expression" dxfId="471" priority="698">
      <formula>Y63="SPL"</formula>
    </cfRule>
  </conditionalFormatting>
  <conditionalFormatting sqref="Y65">
    <cfRule type="expression" dxfId="470" priority="730">
      <formula>AND($Y63="SPL",Y65="",$X63&gt;2)</formula>
    </cfRule>
  </conditionalFormatting>
  <conditionalFormatting sqref="Y73">
    <cfRule type="expression" dxfId="469" priority="631">
      <formula>Y72="SPL"</formula>
    </cfRule>
  </conditionalFormatting>
  <conditionalFormatting sqref="Y74">
    <cfRule type="expression" dxfId="468" priority="663">
      <formula>AND($Y72="SPL",Y74="",$X72&gt;2)</formula>
    </cfRule>
  </conditionalFormatting>
  <conditionalFormatting sqref="Y82">
    <cfRule type="expression" dxfId="467" priority="564">
      <formula>Y81="SPL"</formula>
    </cfRule>
  </conditionalFormatting>
  <conditionalFormatting sqref="Y83">
    <cfRule type="expression" dxfId="466" priority="596">
      <formula>AND($Y81="SPL",Y83="",$X81&gt;2)</formula>
    </cfRule>
  </conditionalFormatting>
  <conditionalFormatting sqref="Y91">
    <cfRule type="expression" dxfId="465" priority="497">
      <formula>Y90="SPL"</formula>
    </cfRule>
  </conditionalFormatting>
  <conditionalFormatting sqref="Y92">
    <cfRule type="expression" dxfId="464" priority="529">
      <formula>AND($Y90="SPL",Y92="",$X90&gt;2)</formula>
    </cfRule>
  </conditionalFormatting>
  <conditionalFormatting sqref="Y100">
    <cfRule type="expression" dxfId="463" priority="430">
      <formula>Y99="SPL"</formula>
    </cfRule>
  </conditionalFormatting>
  <conditionalFormatting sqref="Y101">
    <cfRule type="expression" dxfId="462" priority="462">
      <formula>AND($Y99="SPL",Y101="",$X99&gt;2)</formula>
    </cfRule>
  </conditionalFormatting>
  <conditionalFormatting sqref="Y109">
    <cfRule type="expression" dxfId="461" priority="363">
      <formula>Y108="SPL"</formula>
    </cfRule>
  </conditionalFormatting>
  <conditionalFormatting sqref="Y110">
    <cfRule type="expression" dxfId="460" priority="395">
      <formula>AND($Y108="SPL",Y110="",$X108&gt;2)</formula>
    </cfRule>
  </conditionalFormatting>
  <conditionalFormatting sqref="Y118">
    <cfRule type="expression" dxfId="459" priority="296">
      <formula>Y117="SPL"</formula>
    </cfRule>
  </conditionalFormatting>
  <conditionalFormatting sqref="Y119">
    <cfRule type="expression" dxfId="458" priority="328">
      <formula>AND($Y117="SPL",Y119="",$X117&gt;2)</formula>
    </cfRule>
  </conditionalFormatting>
  <conditionalFormatting sqref="Y127">
    <cfRule type="expression" dxfId="457" priority="229">
      <formula>Y126="SPL"</formula>
    </cfRule>
  </conditionalFormatting>
  <conditionalFormatting sqref="Y128">
    <cfRule type="expression" dxfId="456" priority="261">
      <formula>AND($Y126="SPL",Y128="",$X126&gt;2)</formula>
    </cfRule>
  </conditionalFormatting>
  <conditionalFormatting sqref="Y136">
    <cfRule type="expression" dxfId="455" priority="162">
      <formula>Y135="SPL"</formula>
    </cfRule>
  </conditionalFormatting>
  <conditionalFormatting sqref="Y137">
    <cfRule type="expression" dxfId="454" priority="194">
      <formula>AND($Y135="SPL",Y137="",$X135&gt;2)</formula>
    </cfRule>
  </conditionalFormatting>
  <conditionalFormatting sqref="Y145">
    <cfRule type="expression" dxfId="453" priority="95">
      <formula>Y144="SPL"</formula>
    </cfRule>
  </conditionalFormatting>
  <conditionalFormatting sqref="Y146">
    <cfRule type="expression" dxfId="452" priority="127">
      <formula>AND($Y144="SPL",Y146="",$X144&gt;2)</formula>
    </cfRule>
  </conditionalFormatting>
  <conditionalFormatting sqref="Y154">
    <cfRule type="expression" dxfId="451" priority="28">
      <formula>Y153="SPL"</formula>
    </cfRule>
  </conditionalFormatting>
  <conditionalFormatting sqref="Y155">
    <cfRule type="expression" dxfId="450" priority="60">
      <formula>AND($Y153="SPL",Y155="",$X153&gt;2)</formula>
    </cfRule>
  </conditionalFormatting>
  <conditionalFormatting sqref="Z18">
    <cfRule type="expression" dxfId="449" priority="2">
      <formula>AND($T18="L",$Z18="")</formula>
    </cfRule>
  </conditionalFormatting>
  <conditionalFormatting sqref="Z19">
    <cfRule type="expression" dxfId="448" priority="1027">
      <formula>Y18="SPL"</formula>
    </cfRule>
  </conditionalFormatting>
  <conditionalFormatting sqref="Z20">
    <cfRule type="expression" dxfId="447" priority="1057">
      <formula>AND($Y18="SPL",Z20="",$X18&gt;3)</formula>
    </cfRule>
  </conditionalFormatting>
  <conditionalFormatting sqref="Z27">
    <cfRule type="expression" dxfId="446" priority="980">
      <formula>AND($T27="L",$Z27="")</formula>
    </cfRule>
  </conditionalFormatting>
  <conditionalFormatting sqref="Z28">
    <cfRule type="expression" dxfId="445" priority="961">
      <formula>Y27="SPL"</formula>
    </cfRule>
  </conditionalFormatting>
  <conditionalFormatting sqref="Z29">
    <cfRule type="expression" dxfId="444" priority="993">
      <formula>AND($Y27="SPL",Z29="",$X27&gt;3)</formula>
    </cfRule>
  </conditionalFormatting>
  <conditionalFormatting sqref="Z36">
    <cfRule type="expression" dxfId="443" priority="6">
      <formula>AND($T36="L",$Z36="")</formula>
    </cfRule>
  </conditionalFormatting>
  <conditionalFormatting sqref="Z37">
    <cfRule type="expression" dxfId="442" priority="897">
      <formula>Y36="SPL"</formula>
    </cfRule>
  </conditionalFormatting>
  <conditionalFormatting sqref="Z38">
    <cfRule type="expression" dxfId="441" priority="926">
      <formula>AND($Y36="SPL",Z38="",$X36&gt;3)</formula>
    </cfRule>
  </conditionalFormatting>
  <conditionalFormatting sqref="Z45">
    <cfRule type="expression" dxfId="440" priority="850">
      <formula>AND($T45="L",$Z45="")</formula>
    </cfRule>
  </conditionalFormatting>
  <conditionalFormatting sqref="Z46">
    <cfRule type="expression" dxfId="439" priority="831">
      <formula>Y45="SPL"</formula>
    </cfRule>
  </conditionalFormatting>
  <conditionalFormatting sqref="Z47">
    <cfRule type="expression" dxfId="438" priority="863">
      <formula>AND($Y45="SPL",Z47="",$X45&gt;3)</formula>
    </cfRule>
  </conditionalFormatting>
  <conditionalFormatting sqref="Z54">
    <cfRule type="expression" dxfId="437" priority="783">
      <formula>AND($T54="L",$Z54="")</formula>
    </cfRule>
  </conditionalFormatting>
  <conditionalFormatting sqref="Z55">
    <cfRule type="expression" dxfId="436" priority="764">
      <formula>Y54="SPL"</formula>
    </cfRule>
  </conditionalFormatting>
  <conditionalFormatting sqref="Z56">
    <cfRule type="expression" dxfId="435" priority="796">
      <formula>AND($Y54="SPL",Z56="",$X54&gt;3)</formula>
    </cfRule>
  </conditionalFormatting>
  <conditionalFormatting sqref="Z63">
    <cfRule type="expression" dxfId="434" priority="716">
      <formula>AND($T63="L",$Z63="")</formula>
    </cfRule>
  </conditionalFormatting>
  <conditionalFormatting sqref="Z64">
    <cfRule type="expression" dxfId="433" priority="697">
      <formula>Y63="SPL"</formula>
    </cfRule>
  </conditionalFormatting>
  <conditionalFormatting sqref="Z65">
    <cfRule type="expression" dxfId="432" priority="729">
      <formula>AND($Y63="SPL",Z65="",$X63&gt;3)</formula>
    </cfRule>
  </conditionalFormatting>
  <conditionalFormatting sqref="Z72">
    <cfRule type="expression" dxfId="431" priority="649">
      <formula>AND($T72="L",$Z72="")</formula>
    </cfRule>
  </conditionalFormatting>
  <conditionalFormatting sqref="Z73">
    <cfRule type="expression" dxfId="430" priority="630">
      <formula>Y72="SPL"</formula>
    </cfRule>
  </conditionalFormatting>
  <conditionalFormatting sqref="Z74">
    <cfRule type="expression" dxfId="429" priority="662">
      <formula>AND($Y72="SPL",Z74="",$X72&gt;3)</formula>
    </cfRule>
  </conditionalFormatting>
  <conditionalFormatting sqref="Z81">
    <cfRule type="expression" dxfId="428" priority="582">
      <formula>AND($T81="L",$Z81="")</formula>
    </cfRule>
  </conditionalFormatting>
  <conditionalFormatting sqref="Z82">
    <cfRule type="expression" dxfId="427" priority="563">
      <formula>Y81="SPL"</formula>
    </cfRule>
  </conditionalFormatting>
  <conditionalFormatting sqref="Z83">
    <cfRule type="expression" dxfId="426" priority="595">
      <formula>AND($Y81="SPL",Z83="",$X81&gt;3)</formula>
    </cfRule>
  </conditionalFormatting>
  <conditionalFormatting sqref="Z90">
    <cfRule type="expression" dxfId="425" priority="515">
      <formula>AND($T90="L",$Z90="")</formula>
    </cfRule>
  </conditionalFormatting>
  <conditionalFormatting sqref="Z91">
    <cfRule type="expression" dxfId="424" priority="496">
      <formula>Y90="SPL"</formula>
    </cfRule>
  </conditionalFormatting>
  <conditionalFormatting sqref="Z92">
    <cfRule type="expression" dxfId="423" priority="528">
      <formula>AND($Y90="SPL",Z92="",$X90&gt;3)</formula>
    </cfRule>
  </conditionalFormatting>
  <conditionalFormatting sqref="Z99">
    <cfRule type="expression" dxfId="422" priority="448">
      <formula>AND($T99="L",$Z99="")</formula>
    </cfRule>
  </conditionalFormatting>
  <conditionalFormatting sqref="Z100">
    <cfRule type="expression" dxfId="421" priority="429">
      <formula>Y99="SPL"</formula>
    </cfRule>
  </conditionalFormatting>
  <conditionalFormatting sqref="Z101">
    <cfRule type="expression" dxfId="420" priority="461">
      <formula>AND($Y99="SPL",Z101="",$X99&gt;3)</formula>
    </cfRule>
  </conditionalFormatting>
  <conditionalFormatting sqref="Z108">
    <cfRule type="expression" dxfId="419" priority="381">
      <formula>AND($T108="L",$Z108="")</formula>
    </cfRule>
  </conditionalFormatting>
  <conditionalFormatting sqref="Z109">
    <cfRule type="expression" dxfId="418" priority="362">
      <formula>Y108="SPL"</formula>
    </cfRule>
  </conditionalFormatting>
  <conditionalFormatting sqref="Z110">
    <cfRule type="expression" dxfId="417" priority="394">
      <formula>AND($Y108="SPL",Z110="",$X108&gt;3)</formula>
    </cfRule>
  </conditionalFormatting>
  <conditionalFormatting sqref="Z117">
    <cfRule type="expression" dxfId="416" priority="314">
      <formula>AND($T117="L",$Z117="")</formula>
    </cfRule>
  </conditionalFormatting>
  <conditionalFormatting sqref="Z118">
    <cfRule type="expression" dxfId="415" priority="295">
      <formula>Y117="SPL"</formula>
    </cfRule>
  </conditionalFormatting>
  <conditionalFormatting sqref="Z119">
    <cfRule type="expression" dxfId="414" priority="327">
      <formula>AND($Y117="SPL",Z119="",$X117&gt;3)</formula>
    </cfRule>
  </conditionalFormatting>
  <conditionalFormatting sqref="Z126">
    <cfRule type="expression" dxfId="413" priority="247">
      <formula>AND($T126="L",$Z126="")</formula>
    </cfRule>
  </conditionalFormatting>
  <conditionalFormatting sqref="Z127">
    <cfRule type="expression" dxfId="412" priority="228">
      <formula>Y126="SPL"</formula>
    </cfRule>
  </conditionalFormatting>
  <conditionalFormatting sqref="Z128">
    <cfRule type="expression" dxfId="411" priority="260">
      <formula>AND($Y126="SPL",Z128="",$X126&gt;3)</formula>
    </cfRule>
  </conditionalFormatting>
  <conditionalFormatting sqref="Z135">
    <cfRule type="expression" dxfId="410" priority="180">
      <formula>AND($T135="L",$Z135="")</formula>
    </cfRule>
  </conditionalFormatting>
  <conditionalFormatting sqref="Z136">
    <cfRule type="expression" dxfId="409" priority="161">
      <formula>Y135="SPL"</formula>
    </cfRule>
  </conditionalFormatting>
  <conditionalFormatting sqref="Z137">
    <cfRule type="expression" dxfId="408" priority="193">
      <formula>AND($Y135="SPL",Z137="",$X135&gt;3)</formula>
    </cfRule>
  </conditionalFormatting>
  <conditionalFormatting sqref="Z144">
    <cfRule type="expression" dxfId="407" priority="113">
      <formula>AND($T144="L",$Z144="")</formula>
    </cfRule>
  </conditionalFormatting>
  <conditionalFormatting sqref="Z145">
    <cfRule type="expression" dxfId="406" priority="94">
      <formula>Y144="SPL"</formula>
    </cfRule>
  </conditionalFormatting>
  <conditionalFormatting sqref="Z146">
    <cfRule type="expression" dxfId="405" priority="126">
      <formula>AND($Y144="SPL",Z146="",$X144&gt;3)</formula>
    </cfRule>
  </conditionalFormatting>
  <conditionalFormatting sqref="Z153">
    <cfRule type="expression" dxfId="404" priority="46">
      <formula>AND($T153="L",$Z153="")</formula>
    </cfRule>
  </conditionalFormatting>
  <conditionalFormatting sqref="Z154">
    <cfRule type="expression" dxfId="403" priority="27">
      <formula>Y153="SPL"</formula>
    </cfRule>
  </conditionalFormatting>
  <conditionalFormatting sqref="Z155">
    <cfRule type="expression" dxfId="402" priority="59">
      <formula>AND($Y153="SPL",Z155="",$X153&gt;3)</formula>
    </cfRule>
  </conditionalFormatting>
  <conditionalFormatting sqref="AA18">
    <cfRule type="expression" dxfId="401" priority="4">
      <formula>AND(OR($I18="3P",$I18="PH"),$AA18="")</formula>
    </cfRule>
  </conditionalFormatting>
  <conditionalFormatting sqref="AA19">
    <cfRule type="expression" dxfId="400" priority="1026">
      <formula>Y18="SPL"</formula>
    </cfRule>
  </conditionalFormatting>
  <conditionalFormatting sqref="AA20">
    <cfRule type="expression" dxfId="399" priority="1056">
      <formula>AND($Y18="SPL",AA20="",$X18&gt;4)</formula>
    </cfRule>
  </conditionalFormatting>
  <conditionalFormatting sqref="AA25">
    <cfRule type="expression" dxfId="398" priority="1048">
      <formula>AA25=0</formula>
    </cfRule>
    <cfRule type="expression" dxfId="397" priority="1049">
      <formula>ISNA(AA25)</formula>
    </cfRule>
  </conditionalFormatting>
  <conditionalFormatting sqref="AA27">
    <cfRule type="expression" dxfId="396" priority="982">
      <formula>AND(OR($I27="3P",$I27="PH"),$AA27="")</formula>
    </cfRule>
  </conditionalFormatting>
  <conditionalFormatting sqref="AA28">
    <cfRule type="expression" dxfId="395" priority="960">
      <formula>Y27="SPL"</formula>
    </cfRule>
  </conditionalFormatting>
  <conditionalFormatting sqref="AA29">
    <cfRule type="expression" dxfId="394" priority="992">
      <formula>AND($Y27="SPL",AA29="",$X27&gt;4)</formula>
    </cfRule>
  </conditionalFormatting>
  <conditionalFormatting sqref="AA34">
    <cfRule type="expression" dxfId="393" priority="984">
      <formula>AA34=0</formula>
    </cfRule>
    <cfRule type="expression" dxfId="392" priority="985">
      <formula>ISNA(AA34)</formula>
    </cfRule>
  </conditionalFormatting>
  <conditionalFormatting sqref="AA36">
    <cfRule type="expression" dxfId="391" priority="8">
      <formula>AND(OR($I36="3P",$I36="PH"),$AA36="")</formula>
    </cfRule>
  </conditionalFormatting>
  <conditionalFormatting sqref="AA37">
    <cfRule type="expression" dxfId="390" priority="896">
      <formula>Y36="SPL"</formula>
    </cfRule>
  </conditionalFormatting>
  <conditionalFormatting sqref="AA38">
    <cfRule type="expression" dxfId="389" priority="925">
      <formula>AND($Y36="SPL",AA38="",$X36&gt;4)</formula>
    </cfRule>
  </conditionalFormatting>
  <conditionalFormatting sqref="AA43">
    <cfRule type="expression" dxfId="388" priority="917">
      <formula>AA43=0</formula>
    </cfRule>
    <cfRule type="expression" dxfId="387" priority="918">
      <formula>ISNA(AA43)</formula>
    </cfRule>
  </conditionalFormatting>
  <conditionalFormatting sqref="AA45">
    <cfRule type="expression" dxfId="386" priority="852">
      <formula>AND(OR($I45="3P",$I45="PH"),$AA45="")</formula>
    </cfRule>
  </conditionalFormatting>
  <conditionalFormatting sqref="AA46">
    <cfRule type="expression" dxfId="385" priority="830">
      <formula>Y45="SPL"</formula>
    </cfRule>
  </conditionalFormatting>
  <conditionalFormatting sqref="AA47">
    <cfRule type="expression" dxfId="384" priority="862">
      <formula>AND($Y45="SPL",AA47="",$X45&gt;4)</formula>
    </cfRule>
  </conditionalFormatting>
  <conditionalFormatting sqref="AA52">
    <cfRule type="expression" dxfId="383" priority="855">
      <formula>ISNA(AA52)</formula>
    </cfRule>
    <cfRule type="expression" dxfId="382" priority="854">
      <formula>AA52=0</formula>
    </cfRule>
  </conditionalFormatting>
  <conditionalFormatting sqref="AA54">
    <cfRule type="expression" dxfId="381" priority="785">
      <formula>AND(OR($I54="3P",$I54="PH"),$AA54="")</formula>
    </cfRule>
  </conditionalFormatting>
  <conditionalFormatting sqref="AA55">
    <cfRule type="expression" dxfId="380" priority="763">
      <formula>Y54="SPL"</formula>
    </cfRule>
  </conditionalFormatting>
  <conditionalFormatting sqref="AA56">
    <cfRule type="expression" dxfId="379" priority="795">
      <formula>AND($Y54="SPL",AA56="",$X54&gt;4)</formula>
    </cfRule>
  </conditionalFormatting>
  <conditionalFormatting sqref="AA61">
    <cfRule type="expression" dxfId="378" priority="788">
      <formula>ISNA(AA61)</formula>
    </cfRule>
    <cfRule type="expression" dxfId="377" priority="787">
      <formula>AA61=0</formula>
    </cfRule>
  </conditionalFormatting>
  <conditionalFormatting sqref="AA63">
    <cfRule type="expression" dxfId="376" priority="718">
      <formula>AND(OR($I63="3P",$I63="PH"),$AA63="")</formula>
    </cfRule>
  </conditionalFormatting>
  <conditionalFormatting sqref="AA64">
    <cfRule type="expression" dxfId="375" priority="696">
      <formula>Y63="SPL"</formula>
    </cfRule>
  </conditionalFormatting>
  <conditionalFormatting sqref="AA65">
    <cfRule type="expression" dxfId="374" priority="728">
      <formula>AND($Y63="SPL",AA65="",$X63&gt;4)</formula>
    </cfRule>
  </conditionalFormatting>
  <conditionalFormatting sqref="AA70">
    <cfRule type="expression" dxfId="373" priority="721">
      <formula>ISNA(AA70)</formula>
    </cfRule>
    <cfRule type="expression" dxfId="372" priority="720">
      <formula>AA70=0</formula>
    </cfRule>
  </conditionalFormatting>
  <conditionalFormatting sqref="AA72">
    <cfRule type="expression" dxfId="371" priority="651">
      <formula>AND(OR($I72="3P",$I72="PH"),$AA72="")</formula>
    </cfRule>
  </conditionalFormatting>
  <conditionalFormatting sqref="AA73">
    <cfRule type="expression" dxfId="370" priority="629">
      <formula>Y72="SPL"</formula>
    </cfRule>
  </conditionalFormatting>
  <conditionalFormatting sqref="AA74">
    <cfRule type="expression" dxfId="369" priority="661">
      <formula>AND($Y72="SPL",AA74="",$X72&gt;4)</formula>
    </cfRule>
  </conditionalFormatting>
  <conditionalFormatting sqref="AA79">
    <cfRule type="expression" dxfId="368" priority="654">
      <formula>ISNA(AA79)</formula>
    </cfRule>
    <cfRule type="expression" dxfId="367" priority="653">
      <formula>AA79=0</formula>
    </cfRule>
  </conditionalFormatting>
  <conditionalFormatting sqref="AA81">
    <cfRule type="expression" dxfId="366" priority="584">
      <formula>AND(OR($I81="3P",$I81="PH"),$AA81="")</formula>
    </cfRule>
  </conditionalFormatting>
  <conditionalFormatting sqref="AA82">
    <cfRule type="expression" dxfId="365" priority="562">
      <formula>Y81="SPL"</formula>
    </cfRule>
  </conditionalFormatting>
  <conditionalFormatting sqref="AA83">
    <cfRule type="expression" dxfId="364" priority="594">
      <formula>AND($Y81="SPL",AA83="",$X81&gt;4)</formula>
    </cfRule>
  </conditionalFormatting>
  <conditionalFormatting sqref="AA88">
    <cfRule type="expression" dxfId="363" priority="586">
      <formula>AA88=0</formula>
    </cfRule>
    <cfRule type="expression" dxfId="362" priority="587">
      <formula>ISNA(AA88)</formula>
    </cfRule>
  </conditionalFormatting>
  <conditionalFormatting sqref="AA90">
    <cfRule type="expression" dxfId="361" priority="517">
      <formula>AND(OR($I90="3P",$I90="PH"),$AA90="")</formula>
    </cfRule>
  </conditionalFormatting>
  <conditionalFormatting sqref="AA91">
    <cfRule type="expression" dxfId="360" priority="495">
      <formula>Y90="SPL"</formula>
    </cfRule>
  </conditionalFormatting>
  <conditionalFormatting sqref="AA92">
    <cfRule type="expression" dxfId="359" priority="527">
      <formula>AND($Y90="SPL",AA92="",$X90&gt;4)</formula>
    </cfRule>
  </conditionalFormatting>
  <conditionalFormatting sqref="AA97">
    <cfRule type="expression" dxfId="358" priority="520">
      <formula>ISNA(AA97)</formula>
    </cfRule>
    <cfRule type="expression" dxfId="357" priority="519">
      <formula>AA97=0</formula>
    </cfRule>
  </conditionalFormatting>
  <conditionalFormatting sqref="AA99">
    <cfRule type="expression" dxfId="356" priority="450">
      <formula>AND(OR($I99="3P",$I99="PH"),$AA99="")</formula>
    </cfRule>
  </conditionalFormatting>
  <conditionalFormatting sqref="AA100">
    <cfRule type="expression" dxfId="355" priority="428">
      <formula>Y99="SPL"</formula>
    </cfRule>
  </conditionalFormatting>
  <conditionalFormatting sqref="AA101">
    <cfRule type="expression" dxfId="354" priority="460">
      <formula>AND($Y99="SPL",AA101="",$X99&gt;4)</formula>
    </cfRule>
  </conditionalFormatting>
  <conditionalFormatting sqref="AA106">
    <cfRule type="expression" dxfId="353" priority="452">
      <formula>AA106=0</formula>
    </cfRule>
    <cfRule type="expression" dxfId="352" priority="453">
      <formula>ISNA(AA106)</formula>
    </cfRule>
  </conditionalFormatting>
  <conditionalFormatting sqref="AA108">
    <cfRule type="expression" dxfId="351" priority="383">
      <formula>AND(OR($I108="3P",$I108="PH"),$AA108="")</formula>
    </cfRule>
  </conditionalFormatting>
  <conditionalFormatting sqref="AA109">
    <cfRule type="expression" dxfId="350" priority="361">
      <formula>Y108="SPL"</formula>
    </cfRule>
  </conditionalFormatting>
  <conditionalFormatting sqref="AA110">
    <cfRule type="expression" dxfId="349" priority="393">
      <formula>AND($Y108="SPL",AA110="",$X108&gt;4)</formula>
    </cfRule>
  </conditionalFormatting>
  <conditionalFormatting sqref="AA115">
    <cfRule type="expression" dxfId="348" priority="386">
      <formula>ISNA(AA115)</formula>
    </cfRule>
    <cfRule type="expression" dxfId="347" priority="385">
      <formula>AA115=0</formula>
    </cfRule>
  </conditionalFormatting>
  <conditionalFormatting sqref="AA117">
    <cfRule type="expression" dxfId="346" priority="316">
      <formula>AND(OR($I117="3P",$I117="PH"),$AA117="")</formula>
    </cfRule>
  </conditionalFormatting>
  <conditionalFormatting sqref="AA118">
    <cfRule type="expression" dxfId="345" priority="294">
      <formula>Y117="SPL"</formula>
    </cfRule>
  </conditionalFormatting>
  <conditionalFormatting sqref="AA119">
    <cfRule type="expression" dxfId="344" priority="326">
      <formula>AND($Y117="SPL",AA119="",$X117&gt;4)</formula>
    </cfRule>
  </conditionalFormatting>
  <conditionalFormatting sqref="AA124">
    <cfRule type="expression" dxfId="343" priority="318">
      <formula>AA124=0</formula>
    </cfRule>
    <cfRule type="expression" dxfId="342" priority="319">
      <formula>ISNA(AA124)</formula>
    </cfRule>
  </conditionalFormatting>
  <conditionalFormatting sqref="AA126">
    <cfRule type="expression" dxfId="341" priority="249">
      <formula>AND(OR($I126="3P",$I126="PH"),$AA126="")</formula>
    </cfRule>
  </conditionalFormatting>
  <conditionalFormatting sqref="AA127">
    <cfRule type="expression" dxfId="340" priority="227">
      <formula>Y126="SPL"</formula>
    </cfRule>
  </conditionalFormatting>
  <conditionalFormatting sqref="AA128">
    <cfRule type="expression" dxfId="339" priority="259">
      <formula>AND($Y126="SPL",AA128="",$X126&gt;4)</formula>
    </cfRule>
  </conditionalFormatting>
  <conditionalFormatting sqref="AA133">
    <cfRule type="expression" dxfId="338" priority="251">
      <formula>AA133=0</formula>
    </cfRule>
    <cfRule type="expression" dxfId="337" priority="252">
      <formula>ISNA(AA133)</formula>
    </cfRule>
  </conditionalFormatting>
  <conditionalFormatting sqref="AA135">
    <cfRule type="expression" dxfId="336" priority="182">
      <formula>AND(OR($I135="3P",$I135="PH"),$AA135="")</formula>
    </cfRule>
  </conditionalFormatting>
  <conditionalFormatting sqref="AA136">
    <cfRule type="expression" dxfId="335" priority="160">
      <formula>Y135="SPL"</formula>
    </cfRule>
  </conditionalFormatting>
  <conditionalFormatting sqref="AA137">
    <cfRule type="expression" dxfId="334" priority="192">
      <formula>AND($Y135="SPL",AA137="",$X135&gt;4)</formula>
    </cfRule>
  </conditionalFormatting>
  <conditionalFormatting sqref="AA142">
    <cfRule type="expression" dxfId="333" priority="184">
      <formula>AA142=0</formula>
    </cfRule>
    <cfRule type="expression" dxfId="332" priority="185">
      <formula>ISNA(AA142)</formula>
    </cfRule>
  </conditionalFormatting>
  <conditionalFormatting sqref="AA144">
    <cfRule type="expression" dxfId="331" priority="115">
      <formula>AND(OR($I144="3P",$I144="PH"),$AA144="")</formula>
    </cfRule>
  </conditionalFormatting>
  <conditionalFormatting sqref="AA145">
    <cfRule type="expression" dxfId="330" priority="93">
      <formula>Y144="SPL"</formula>
    </cfRule>
  </conditionalFormatting>
  <conditionalFormatting sqref="AA146">
    <cfRule type="expression" dxfId="329" priority="125">
      <formula>AND($Y144="SPL",AA146="",$X144&gt;4)</formula>
    </cfRule>
  </conditionalFormatting>
  <conditionalFormatting sqref="AA151">
    <cfRule type="expression" dxfId="328" priority="118">
      <formula>ISNA(AA151)</formula>
    </cfRule>
    <cfRule type="expression" dxfId="327" priority="117">
      <formula>AA151=0</formula>
    </cfRule>
  </conditionalFormatting>
  <conditionalFormatting sqref="AA153">
    <cfRule type="expression" dxfId="326" priority="48">
      <formula>AND(OR($I153="3P",$I153="PH"),$AA153="")</formula>
    </cfRule>
  </conditionalFormatting>
  <conditionalFormatting sqref="AA154">
    <cfRule type="expression" dxfId="325" priority="26">
      <formula>Y153="SPL"</formula>
    </cfRule>
  </conditionalFormatting>
  <conditionalFormatting sqref="AA155">
    <cfRule type="expression" dxfId="324" priority="58">
      <formula>AND($Y153="SPL",AA155="",$X153&gt;4)</formula>
    </cfRule>
  </conditionalFormatting>
  <conditionalFormatting sqref="AA160">
    <cfRule type="expression" dxfId="323" priority="51">
      <formula>ISNA(AA160)</formula>
    </cfRule>
    <cfRule type="expression" dxfId="322" priority="50">
      <formula>AA160=0</formula>
    </cfRule>
  </conditionalFormatting>
  <conditionalFormatting sqref="AB25">
    <cfRule type="expression" dxfId="321" priority="1046">
      <formula>AND(AA25&lt;&gt;"",AA25&lt;&gt;0,AB25="")</formula>
    </cfRule>
  </conditionalFormatting>
  <conditionalFormatting sqref="AB34">
    <cfRule type="expression" dxfId="320" priority="23">
      <formula>AND(AA34&lt;&gt;"",AA34&lt;&gt;0,AB34="")</formula>
    </cfRule>
  </conditionalFormatting>
  <conditionalFormatting sqref="AB43">
    <cfRule type="expression" dxfId="319" priority="22">
      <formula>AND(AA43&lt;&gt;"",AA43&lt;&gt;0,AB43="")</formula>
    </cfRule>
  </conditionalFormatting>
  <conditionalFormatting sqref="AB52">
    <cfRule type="expression" dxfId="318" priority="21">
      <formula>AND(AA52&lt;&gt;"",AA52&lt;&gt;0,AB52="")</formula>
    </cfRule>
  </conditionalFormatting>
  <conditionalFormatting sqref="AB61">
    <cfRule type="expression" dxfId="317" priority="20">
      <formula>AND(AA61&lt;&gt;"",AA61&lt;&gt;0,AB61="")</formula>
    </cfRule>
  </conditionalFormatting>
  <conditionalFormatting sqref="AB70">
    <cfRule type="expression" dxfId="316" priority="19">
      <formula>AND(AA70&lt;&gt;"",AA70&lt;&gt;0,AB70="")</formula>
    </cfRule>
  </conditionalFormatting>
  <conditionalFormatting sqref="AB79">
    <cfRule type="expression" dxfId="315" priority="18">
      <formula>AND(AA79&lt;&gt;"",AA79&lt;&gt;0,AB79="")</formula>
    </cfRule>
  </conditionalFormatting>
  <conditionalFormatting sqref="AB88">
    <cfRule type="expression" dxfId="314" priority="17">
      <formula>AND(AA88&lt;&gt;"",AA88&lt;&gt;0,AB88="")</formula>
    </cfRule>
  </conditionalFormatting>
  <conditionalFormatting sqref="AB97">
    <cfRule type="expression" dxfId="313" priority="16">
      <formula>AND(AA97&lt;&gt;"",AA97&lt;&gt;0,AB97="")</formula>
    </cfRule>
  </conditionalFormatting>
  <conditionalFormatting sqref="AB106">
    <cfRule type="expression" dxfId="312" priority="15">
      <formula>AND(AA106&lt;&gt;"",AA106&lt;&gt;0,AB106="")</formula>
    </cfRule>
  </conditionalFormatting>
  <conditionalFormatting sqref="AB115">
    <cfRule type="expression" dxfId="311" priority="14">
      <formula>AND(AA115&lt;&gt;"",AA115&lt;&gt;0,AB115="")</formula>
    </cfRule>
  </conditionalFormatting>
  <conditionalFormatting sqref="AB124">
    <cfRule type="expression" dxfId="310" priority="13">
      <formula>AND(AA124&lt;&gt;"",AA124&lt;&gt;0,AB124="")</formula>
    </cfRule>
  </conditionalFormatting>
  <conditionalFormatting sqref="AB133">
    <cfRule type="expression" dxfId="309" priority="12">
      <formula>AND(AA133&lt;&gt;"",AA133&lt;&gt;0,AB133="")</formula>
    </cfRule>
  </conditionalFormatting>
  <conditionalFormatting sqref="AB142">
    <cfRule type="expression" dxfId="308" priority="11">
      <formula>AND(AA142&lt;&gt;"",AA142&lt;&gt;0,AB142="")</formula>
    </cfRule>
  </conditionalFormatting>
  <conditionalFormatting sqref="AB151">
    <cfRule type="expression" dxfId="307" priority="10">
      <formula>AND(AA151&lt;&gt;"",AA151&lt;&gt;0,AB151="")</formula>
    </cfRule>
  </conditionalFormatting>
  <conditionalFormatting sqref="AB160">
    <cfRule type="expression" dxfId="306" priority="9">
      <formula>AND(AA160&lt;&gt;"",AA160&lt;&gt;0,AB160="")</formula>
    </cfRule>
  </conditionalFormatting>
  <dataValidations count="1">
    <dataValidation type="decimal" errorStyle="warning" allowBlank="1" showInputMessage="1" showErrorMessage="1" errorTitle="Valid Entry" error="Please enter a value within the range. DO NOT include the inch designation (&quot;). It is not needed. Thanks." sqref="J20 J146 J137 J29 J38 J56 J47 J65 J74 J92 J83 J101 J110 J128 J119 J155" xr:uid="{2F5E0E63-B180-4AAD-8C94-0680319CE3F3}">
      <formula1>2.25</formula1>
      <formula2>14</formula2>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235D0-6F3A-4A56-813E-E3C5DB7F5CD0}">
  <sheetPr>
    <tabColor theme="7"/>
  </sheetPr>
  <dimension ref="A1:AQ69"/>
  <sheetViews>
    <sheetView topLeftCell="H1" workbookViewId="0">
      <selection activeCell="O15" sqref="O15"/>
    </sheetView>
  </sheetViews>
  <sheetFormatPr defaultRowHeight="12.6" x14ac:dyDescent="0.2"/>
  <cols>
    <col min="2" max="2" width="42.08984375" bestFit="1" customWidth="1"/>
    <col min="3" max="3" width="9.08984375" style="69"/>
    <col min="4" max="4" width="27.26953125" customWidth="1"/>
    <col min="6" max="6" width="23.08984375" bestFit="1" customWidth="1"/>
    <col min="8" max="8" width="30.90625" bestFit="1" customWidth="1"/>
    <col min="10" max="10" width="31.90625" bestFit="1" customWidth="1"/>
    <col min="12" max="12" width="35.26953125" bestFit="1" customWidth="1"/>
    <col min="14" max="14" width="33.90625" bestFit="1" customWidth="1"/>
    <col min="16" max="16" width="27" bestFit="1" customWidth="1"/>
    <col min="18" max="18" width="29.08984375" bestFit="1" customWidth="1"/>
    <col min="19" max="19" width="9.08984375" style="538"/>
    <col min="20" max="20" width="34" bestFit="1" customWidth="1"/>
    <col min="22" max="22" width="37" bestFit="1" customWidth="1"/>
    <col min="24" max="24" width="29.6328125" bestFit="1" customWidth="1"/>
    <col min="26" max="26" width="30.08984375" bestFit="1" customWidth="1"/>
    <col min="28" max="28" width="35.08984375" bestFit="1" customWidth="1"/>
    <col min="30" max="30" width="33.453125" bestFit="1" customWidth="1"/>
    <col min="32" max="32" width="36.453125" bestFit="1" customWidth="1"/>
    <col min="34" max="34" width="48.08984375" bestFit="1" customWidth="1"/>
    <col min="36" max="36" width="43.08984375" bestFit="1" customWidth="1"/>
    <col min="38" max="38" width="47.90625" bestFit="1" customWidth="1"/>
    <col min="40" max="40" width="46.453125" bestFit="1" customWidth="1"/>
    <col min="41" max="41" width="43.36328125" customWidth="1"/>
    <col min="42" max="42" width="9.08984375" style="563"/>
  </cols>
  <sheetData>
    <row r="1" spans="1:43" s="552" customFormat="1" ht="14.4" x14ac:dyDescent="0.3">
      <c r="A1" s="552" t="s">
        <v>531</v>
      </c>
      <c r="C1" s="559" t="s">
        <v>532</v>
      </c>
      <c r="E1" s="552" t="s">
        <v>1750</v>
      </c>
      <c r="G1" s="552" t="s">
        <v>1751</v>
      </c>
      <c r="I1" s="552" t="s">
        <v>1752</v>
      </c>
      <c r="K1" s="552" t="s">
        <v>494</v>
      </c>
      <c r="M1" s="552" t="s">
        <v>1753</v>
      </c>
      <c r="O1" s="552" t="s">
        <v>463</v>
      </c>
      <c r="Q1" s="552" t="s">
        <v>464</v>
      </c>
      <c r="S1" s="557" t="s">
        <v>1754</v>
      </c>
      <c r="U1" s="552" t="s">
        <v>1755</v>
      </c>
      <c r="W1" s="552" t="s">
        <v>1756</v>
      </c>
      <c r="Y1" s="552" t="s">
        <v>469</v>
      </c>
      <c r="AA1" s="552" t="s">
        <v>1757</v>
      </c>
      <c r="AC1" s="552" t="s">
        <v>470</v>
      </c>
      <c r="AE1" s="552" t="s">
        <v>1758</v>
      </c>
      <c r="AG1" s="552" t="s">
        <v>1759</v>
      </c>
      <c r="AH1" s="552" t="s">
        <v>1760</v>
      </c>
      <c r="AI1" s="552" t="s">
        <v>526</v>
      </c>
      <c r="AK1" s="552" t="s">
        <v>133</v>
      </c>
      <c r="AM1" s="552" t="s">
        <v>475</v>
      </c>
      <c r="AO1" s="552" t="s">
        <v>1324</v>
      </c>
      <c r="AP1" s="560"/>
      <c r="AQ1" s="552" t="s">
        <v>1463</v>
      </c>
    </row>
    <row r="2" spans="1:43" ht="14.4" x14ac:dyDescent="0.2">
      <c r="A2" t="s">
        <v>483</v>
      </c>
      <c r="B2" t="s">
        <v>1761</v>
      </c>
      <c r="C2">
        <v>18</v>
      </c>
      <c r="D2" t="s">
        <v>1331</v>
      </c>
      <c r="E2" s="546" t="s">
        <v>1243</v>
      </c>
      <c r="F2" t="s">
        <v>1762</v>
      </c>
      <c r="G2" s="69" t="s">
        <v>480</v>
      </c>
      <c r="H2" t="s">
        <v>1763</v>
      </c>
      <c r="I2" t="s">
        <v>1764</v>
      </c>
      <c r="J2" t="s">
        <v>1765</v>
      </c>
      <c r="K2" t="s">
        <v>1766</v>
      </c>
      <c r="L2" t="s">
        <v>1767</v>
      </c>
      <c r="M2" s="69">
        <v>4.25</v>
      </c>
      <c r="N2" s="69" t="s">
        <v>1768</v>
      </c>
      <c r="O2" s="79" t="s">
        <v>80</v>
      </c>
      <c r="P2" t="s">
        <v>1769</v>
      </c>
      <c r="Q2" s="79" t="s">
        <v>1402</v>
      </c>
      <c r="R2" t="s">
        <v>1770</v>
      </c>
      <c r="S2" s="538">
        <v>478</v>
      </c>
      <c r="T2" t="s">
        <v>1701</v>
      </c>
      <c r="U2" t="s">
        <v>1363</v>
      </c>
      <c r="V2" t="s">
        <v>1364</v>
      </c>
      <c r="W2" t="s">
        <v>487</v>
      </c>
      <c r="X2" t="s">
        <v>1771</v>
      </c>
      <c r="Y2" s="401" t="s">
        <v>1468</v>
      </c>
      <c r="Z2" t="s">
        <v>1469</v>
      </c>
      <c r="AA2" t="s">
        <v>1772</v>
      </c>
      <c r="AB2" t="s">
        <v>1773</v>
      </c>
      <c r="AC2" s="398" t="s">
        <v>537</v>
      </c>
      <c r="AD2" t="s">
        <v>1470</v>
      </c>
      <c r="AE2" s="561" t="s">
        <v>349</v>
      </c>
      <c r="AF2" t="s">
        <v>1774</v>
      </c>
      <c r="AG2" t="s">
        <v>1775</v>
      </c>
      <c r="AH2" t="s">
        <v>1776</v>
      </c>
      <c r="AI2">
        <v>450</v>
      </c>
      <c r="AJ2" t="s">
        <v>1777</v>
      </c>
      <c r="AK2" s="562" t="s">
        <v>1778</v>
      </c>
      <c r="AL2" s="562" t="s">
        <v>1779</v>
      </c>
      <c r="AM2" t="s">
        <v>1475</v>
      </c>
      <c r="AN2" t="s">
        <v>1780</v>
      </c>
      <c r="AO2" t="s">
        <v>1781</v>
      </c>
      <c r="AP2" s="563">
        <v>0</v>
      </c>
      <c r="AQ2" t="s">
        <v>1782</v>
      </c>
    </row>
    <row r="3" spans="1:43" ht="14.4" x14ac:dyDescent="0.2">
      <c r="A3" t="s">
        <v>1783</v>
      </c>
      <c r="B3" t="s">
        <v>1784</v>
      </c>
      <c r="C3">
        <v>16</v>
      </c>
      <c r="D3" t="s">
        <v>1343</v>
      </c>
      <c r="E3" t="s">
        <v>479</v>
      </c>
      <c r="F3" t="s">
        <v>1785</v>
      </c>
      <c r="G3" s="69" t="s">
        <v>1786</v>
      </c>
      <c r="H3" t="s">
        <v>1787</v>
      </c>
      <c r="I3" t="s">
        <v>1788</v>
      </c>
      <c r="J3" t="s">
        <v>1789</v>
      </c>
      <c r="K3" t="s">
        <v>1790</v>
      </c>
      <c r="L3" t="s">
        <v>1791</v>
      </c>
      <c r="M3" s="69">
        <v>4.5</v>
      </c>
      <c r="N3" s="69" t="s">
        <v>1792</v>
      </c>
      <c r="O3" s="564">
        <v>20</v>
      </c>
      <c r="P3" t="s">
        <v>1793</v>
      </c>
      <c r="Q3" s="564">
        <v>26</v>
      </c>
      <c r="R3" t="s">
        <v>1794</v>
      </c>
      <c r="S3" s="538">
        <v>234</v>
      </c>
      <c r="T3" t="s">
        <v>1707</v>
      </c>
      <c r="U3" t="s">
        <v>1795</v>
      </c>
      <c r="V3" t="s">
        <v>1796</v>
      </c>
      <c r="W3" t="s">
        <v>1221</v>
      </c>
      <c r="X3" t="s">
        <v>1797</v>
      </c>
      <c r="Y3" s="401" t="s">
        <v>1798</v>
      </c>
      <c r="Z3" t="s">
        <v>1799</v>
      </c>
      <c r="AA3" t="s">
        <v>1800</v>
      </c>
      <c r="AB3" t="s">
        <v>1801</v>
      </c>
      <c r="AC3" s="398" t="s">
        <v>488</v>
      </c>
      <c r="AD3" t="s">
        <v>1486</v>
      </c>
      <c r="AE3" s="565" t="s">
        <v>1618</v>
      </c>
      <c r="AF3" t="s">
        <v>1802</v>
      </c>
      <c r="AH3" t="s">
        <v>1803</v>
      </c>
      <c r="AI3">
        <v>500</v>
      </c>
      <c r="AJ3" t="s">
        <v>1804</v>
      </c>
      <c r="AK3" s="562" t="s">
        <v>1805</v>
      </c>
      <c r="AL3" s="562" t="s">
        <v>1806</v>
      </c>
      <c r="AM3" t="s">
        <v>1807</v>
      </c>
      <c r="AN3" t="s">
        <v>1808</v>
      </c>
      <c r="AO3" t="s">
        <v>1809</v>
      </c>
      <c r="AP3" s="563">
        <v>0</v>
      </c>
      <c r="AQ3" t="s">
        <v>1810</v>
      </c>
    </row>
    <row r="4" spans="1:43" ht="14.4" x14ac:dyDescent="0.2">
      <c r="C4">
        <v>14</v>
      </c>
      <c r="D4" t="s">
        <v>1358</v>
      </c>
      <c r="G4" s="69" t="s">
        <v>1227</v>
      </c>
      <c r="H4" t="s">
        <v>1811</v>
      </c>
      <c r="I4" t="s">
        <v>1812</v>
      </c>
      <c r="J4" t="s">
        <v>1813</v>
      </c>
      <c r="K4" t="s">
        <v>1814</v>
      </c>
      <c r="L4" t="s">
        <v>1815</v>
      </c>
      <c r="M4" s="69">
        <v>4.625</v>
      </c>
      <c r="N4" s="69" t="s">
        <v>1816</v>
      </c>
      <c r="O4" s="564">
        <v>24</v>
      </c>
      <c r="P4" t="s">
        <v>1817</v>
      </c>
      <c r="Q4" s="564">
        <v>28</v>
      </c>
      <c r="R4" t="s">
        <v>1818</v>
      </c>
      <c r="S4" s="538" t="s">
        <v>1222</v>
      </c>
      <c r="T4" t="s">
        <v>1712</v>
      </c>
      <c r="U4" t="s">
        <v>1375</v>
      </c>
      <c r="V4" t="s">
        <v>1376</v>
      </c>
      <c r="W4" t="s">
        <v>1220</v>
      </c>
      <c r="X4" t="s">
        <v>1819</v>
      </c>
      <c r="Y4" t="s">
        <v>1505</v>
      </c>
      <c r="Z4" t="s">
        <v>1506</v>
      </c>
      <c r="AA4" t="s">
        <v>1820</v>
      </c>
      <c r="AB4" t="s">
        <v>1821</v>
      </c>
      <c r="AE4" s="546" t="s">
        <v>1822</v>
      </c>
      <c r="AF4" t="s">
        <v>1823</v>
      </c>
      <c r="AG4" t="s">
        <v>1824</v>
      </c>
      <c r="AH4" t="s">
        <v>1825</v>
      </c>
      <c r="AI4" t="s">
        <v>490</v>
      </c>
      <c r="AJ4" t="s">
        <v>1826</v>
      </c>
      <c r="AK4" s="562" t="s">
        <v>1827</v>
      </c>
      <c r="AL4" s="562" t="s">
        <v>1828</v>
      </c>
      <c r="AM4" t="s">
        <v>1829</v>
      </c>
      <c r="AN4" t="s">
        <v>1830</v>
      </c>
      <c r="AO4" t="s">
        <v>1831</v>
      </c>
      <c r="AP4" s="563">
        <v>0</v>
      </c>
    </row>
    <row r="5" spans="1:43" ht="14.4" x14ac:dyDescent="0.2">
      <c r="A5" t="s">
        <v>1832</v>
      </c>
      <c r="B5" t="s">
        <v>1833</v>
      </c>
      <c r="C5">
        <v>12</v>
      </c>
      <c r="D5" t="s">
        <v>1372</v>
      </c>
      <c r="I5" t="s">
        <v>1834</v>
      </c>
      <c r="J5" t="s">
        <v>1835</v>
      </c>
      <c r="K5" t="s">
        <v>478</v>
      </c>
      <c r="L5" t="s">
        <v>1836</v>
      </c>
      <c r="M5" s="69">
        <v>4.6870000000000003</v>
      </c>
      <c r="N5" s="69" t="s">
        <v>1837</v>
      </c>
      <c r="O5" s="564">
        <v>26</v>
      </c>
      <c r="P5" t="s">
        <v>1838</v>
      </c>
      <c r="Q5" s="564" t="s">
        <v>1380</v>
      </c>
      <c r="R5" t="s">
        <v>1839</v>
      </c>
      <c r="S5" s="538" t="s">
        <v>1223</v>
      </c>
      <c r="T5" t="s">
        <v>1714</v>
      </c>
      <c r="U5" t="s">
        <v>1348</v>
      </c>
      <c r="V5" t="s">
        <v>1349</v>
      </c>
      <c r="W5" t="s">
        <v>1649</v>
      </c>
      <c r="X5" t="s">
        <v>1840</v>
      </c>
      <c r="Y5" t="s">
        <v>1841</v>
      </c>
      <c r="Z5" t="s">
        <v>1842</v>
      </c>
      <c r="AA5" t="s">
        <v>1843</v>
      </c>
      <c r="AB5" t="s">
        <v>1844</v>
      </c>
      <c r="AC5" s="398" t="s">
        <v>1521</v>
      </c>
      <c r="AD5" t="s">
        <v>1522</v>
      </c>
      <c r="AE5" s="561" t="s">
        <v>1845</v>
      </c>
      <c r="AF5" t="s">
        <v>1846</v>
      </c>
      <c r="AG5" t="s">
        <v>323</v>
      </c>
      <c r="AH5" t="s">
        <v>1847</v>
      </c>
      <c r="AI5" t="s">
        <v>1525</v>
      </c>
      <c r="AJ5" t="s">
        <v>1848</v>
      </c>
      <c r="AK5" s="562" t="s">
        <v>491</v>
      </c>
      <c r="AL5" s="562" t="s">
        <v>1849</v>
      </c>
      <c r="AM5" t="s">
        <v>1850</v>
      </c>
      <c r="AN5" t="s">
        <v>1851</v>
      </c>
      <c r="AO5" t="s">
        <v>1852</v>
      </c>
      <c r="AP5" s="563" t="s">
        <v>1853</v>
      </c>
    </row>
    <row r="6" spans="1:43" ht="14.4" x14ac:dyDescent="0.2">
      <c r="A6" t="s">
        <v>1854</v>
      </c>
      <c r="B6" t="s">
        <v>1855</v>
      </c>
      <c r="I6" t="s">
        <v>1856</v>
      </c>
      <c r="J6" t="s">
        <v>1857</v>
      </c>
      <c r="K6" t="s">
        <v>1858</v>
      </c>
      <c r="L6" t="s">
        <v>1859</v>
      </c>
      <c r="M6" s="69">
        <v>4.75</v>
      </c>
      <c r="N6" s="69" t="s">
        <v>1860</v>
      </c>
      <c r="O6" s="564">
        <v>28</v>
      </c>
      <c r="P6" t="s">
        <v>1861</v>
      </c>
      <c r="Q6" s="564">
        <v>30</v>
      </c>
      <c r="R6" t="s">
        <v>1862</v>
      </c>
      <c r="S6" s="538" t="s">
        <v>1863</v>
      </c>
      <c r="T6" t="s">
        <v>1864</v>
      </c>
      <c r="U6" t="s">
        <v>1865</v>
      </c>
      <c r="V6" t="s">
        <v>1866</v>
      </c>
      <c r="W6">
        <v>234</v>
      </c>
      <c r="X6" t="s">
        <v>1867</v>
      </c>
      <c r="Y6" t="s">
        <v>1537</v>
      </c>
      <c r="Z6" t="s">
        <v>1868</v>
      </c>
      <c r="AA6" t="s">
        <v>1869</v>
      </c>
      <c r="AB6" t="s">
        <v>1870</v>
      </c>
      <c r="AC6" s="398" t="s">
        <v>508</v>
      </c>
      <c r="AD6" t="s">
        <v>1539</v>
      </c>
      <c r="AG6" t="s">
        <v>489</v>
      </c>
      <c r="AH6" t="s">
        <v>1871</v>
      </c>
      <c r="AI6" t="s">
        <v>1542</v>
      </c>
      <c r="AJ6" t="s">
        <v>1872</v>
      </c>
      <c r="AK6" s="562" t="s">
        <v>1873</v>
      </c>
      <c r="AL6" s="562" t="s">
        <v>1874</v>
      </c>
      <c r="AM6" t="s">
        <v>1875</v>
      </c>
      <c r="AN6" t="s">
        <v>1876</v>
      </c>
      <c r="AO6" t="s">
        <v>1877</v>
      </c>
      <c r="AP6" s="563">
        <v>0</v>
      </c>
      <c r="AQ6" s="382"/>
    </row>
    <row r="7" spans="1:43" ht="14.4" x14ac:dyDescent="0.2">
      <c r="A7" t="s">
        <v>1878</v>
      </c>
      <c r="B7" t="s">
        <v>1879</v>
      </c>
      <c r="K7" t="s">
        <v>1880</v>
      </c>
      <c r="L7" t="s">
        <v>1881</v>
      </c>
      <c r="M7" s="69">
        <v>5.5</v>
      </c>
      <c r="N7" s="69" t="s">
        <v>1882</v>
      </c>
      <c r="O7" s="564" t="s">
        <v>1380</v>
      </c>
      <c r="P7" t="s">
        <v>1883</v>
      </c>
      <c r="Q7" s="564">
        <v>34</v>
      </c>
      <c r="R7" t="s">
        <v>1884</v>
      </c>
      <c r="S7" s="538" t="s">
        <v>1224</v>
      </c>
      <c r="T7" t="s">
        <v>1717</v>
      </c>
      <c r="U7" t="s">
        <v>1396</v>
      </c>
      <c r="V7" t="s">
        <v>1397</v>
      </c>
      <c r="W7">
        <v>478</v>
      </c>
      <c r="X7" t="s">
        <v>1885</v>
      </c>
      <c r="Y7" t="s">
        <v>1555</v>
      </c>
      <c r="Z7" t="s">
        <v>1556</v>
      </c>
      <c r="AA7" t="s">
        <v>1886</v>
      </c>
      <c r="AB7" t="s">
        <v>1887</v>
      </c>
      <c r="AC7" s="398" t="s">
        <v>1557</v>
      </c>
      <c r="AD7" t="s">
        <v>1558</v>
      </c>
      <c r="AG7" t="s">
        <v>1888</v>
      </c>
      <c r="AH7" t="s">
        <v>1889</v>
      </c>
      <c r="AI7" t="s">
        <v>1561</v>
      </c>
      <c r="AJ7" t="s">
        <v>1890</v>
      </c>
      <c r="AK7" s="562" t="s">
        <v>1891</v>
      </c>
      <c r="AL7" s="562" t="s">
        <v>1892</v>
      </c>
      <c r="AM7" t="s">
        <v>1893</v>
      </c>
      <c r="AN7" t="s">
        <v>1894</v>
      </c>
      <c r="AO7" t="s">
        <v>1895</v>
      </c>
      <c r="AP7" s="563">
        <v>0</v>
      </c>
    </row>
    <row r="8" spans="1:43" ht="14.4" x14ac:dyDescent="0.2">
      <c r="A8" t="s">
        <v>1896</v>
      </c>
      <c r="B8" t="s">
        <v>1897</v>
      </c>
      <c r="K8" t="s">
        <v>1898</v>
      </c>
      <c r="L8" t="s">
        <v>1899</v>
      </c>
      <c r="M8" s="69">
        <v>5.625</v>
      </c>
      <c r="N8" s="69" t="s">
        <v>1900</v>
      </c>
      <c r="O8" s="564">
        <v>30</v>
      </c>
      <c r="P8" t="s">
        <v>1901</v>
      </c>
      <c r="Q8" s="564">
        <v>36</v>
      </c>
      <c r="R8" t="s">
        <v>1902</v>
      </c>
      <c r="S8" s="538" t="s">
        <v>1233</v>
      </c>
      <c r="T8" t="s">
        <v>1903</v>
      </c>
      <c r="U8" t="s">
        <v>1904</v>
      </c>
      <c r="V8" t="s">
        <v>1905</v>
      </c>
      <c r="W8" t="s">
        <v>1863</v>
      </c>
      <c r="X8" t="s">
        <v>1864</v>
      </c>
      <c r="AA8" t="s">
        <v>1906</v>
      </c>
      <c r="AB8" t="s">
        <v>1907</v>
      </c>
      <c r="AC8" s="398" t="s">
        <v>1908</v>
      </c>
      <c r="AD8" t="s">
        <v>1909</v>
      </c>
      <c r="AG8" t="s">
        <v>1910</v>
      </c>
      <c r="AH8" t="s">
        <v>1911</v>
      </c>
      <c r="AI8" t="s">
        <v>1594</v>
      </c>
      <c r="AJ8" t="s">
        <v>1595</v>
      </c>
      <c r="AK8" s="562" t="s">
        <v>1912</v>
      </c>
      <c r="AL8" s="562" t="s">
        <v>1913</v>
      </c>
      <c r="AM8" t="s">
        <v>1914</v>
      </c>
      <c r="AN8" t="s">
        <v>1915</v>
      </c>
      <c r="AO8" t="s">
        <v>1916</v>
      </c>
      <c r="AP8" s="563">
        <v>0</v>
      </c>
    </row>
    <row r="9" spans="1:43" ht="14.4" x14ac:dyDescent="0.2">
      <c r="A9" t="s">
        <v>1917</v>
      </c>
      <c r="B9" t="s">
        <v>1918</v>
      </c>
      <c r="K9" t="s">
        <v>1919</v>
      </c>
      <c r="L9" t="s">
        <v>1920</v>
      </c>
      <c r="M9" s="69">
        <v>5.75</v>
      </c>
      <c r="N9" s="69" t="s">
        <v>1921</v>
      </c>
      <c r="O9" s="564">
        <v>34</v>
      </c>
      <c r="P9" t="s">
        <v>1922</v>
      </c>
      <c r="Q9" s="564">
        <v>38</v>
      </c>
      <c r="R9" t="s">
        <v>1923</v>
      </c>
      <c r="S9" s="538" t="s">
        <v>1221</v>
      </c>
      <c r="T9" t="s">
        <v>1924</v>
      </c>
      <c r="U9" t="s">
        <v>1925</v>
      </c>
      <c r="V9" t="s">
        <v>1926</v>
      </c>
      <c r="W9" t="s">
        <v>1227</v>
      </c>
      <c r="X9" t="s">
        <v>1927</v>
      </c>
      <c r="AA9" t="s">
        <v>1227</v>
      </c>
      <c r="AB9" t="s">
        <v>1928</v>
      </c>
      <c r="AG9" t="s">
        <v>1929</v>
      </c>
      <c r="AH9" t="s">
        <v>1930</v>
      </c>
      <c r="AI9" t="s">
        <v>1641</v>
      </c>
      <c r="AJ9" t="s">
        <v>1642</v>
      </c>
      <c r="AK9" s="562" t="s">
        <v>1931</v>
      </c>
      <c r="AL9" s="562" t="s">
        <v>1932</v>
      </c>
      <c r="AM9" t="s">
        <v>1933</v>
      </c>
      <c r="AN9" t="s">
        <v>1934</v>
      </c>
      <c r="AO9" t="s">
        <v>1935</v>
      </c>
      <c r="AP9" s="563">
        <v>0</v>
      </c>
    </row>
    <row r="10" spans="1:43" ht="14.4" x14ac:dyDescent="0.2">
      <c r="A10" t="s">
        <v>1455</v>
      </c>
      <c r="B10" t="s">
        <v>1936</v>
      </c>
      <c r="K10" t="s">
        <v>1937</v>
      </c>
      <c r="L10" t="s">
        <v>1938</v>
      </c>
      <c r="M10" s="69">
        <v>5.875</v>
      </c>
      <c r="N10" s="69" t="s">
        <v>1939</v>
      </c>
      <c r="O10" s="564">
        <v>36</v>
      </c>
      <c r="P10" t="s">
        <v>1940</v>
      </c>
      <c r="Q10" s="564">
        <v>80</v>
      </c>
      <c r="R10" t="s">
        <v>1941</v>
      </c>
      <c r="S10" s="538" t="s">
        <v>1220</v>
      </c>
      <c r="T10" t="s">
        <v>1942</v>
      </c>
      <c r="U10" t="s">
        <v>1386</v>
      </c>
      <c r="V10" t="s">
        <v>1387</v>
      </c>
      <c r="AC10" s="398" t="s">
        <v>481</v>
      </c>
      <c r="AD10" t="s">
        <v>1591</v>
      </c>
      <c r="AG10" t="s">
        <v>1943</v>
      </c>
      <c r="AH10" t="s">
        <v>1944</v>
      </c>
      <c r="AI10" t="s">
        <v>1653</v>
      </c>
      <c r="AJ10" t="s">
        <v>1945</v>
      </c>
      <c r="AK10" s="562" t="s">
        <v>1946</v>
      </c>
      <c r="AL10" s="562" t="s">
        <v>1947</v>
      </c>
      <c r="AM10" t="s">
        <v>1948</v>
      </c>
      <c r="AN10" t="s">
        <v>1949</v>
      </c>
      <c r="AO10" t="s">
        <v>1950</v>
      </c>
      <c r="AP10" s="563" t="s">
        <v>1951</v>
      </c>
      <c r="AQ10" t="s">
        <v>1952</v>
      </c>
    </row>
    <row r="11" spans="1:43" ht="14.4" x14ac:dyDescent="0.2">
      <c r="K11" t="s">
        <v>1953</v>
      </c>
      <c r="L11" t="s">
        <v>1954</v>
      </c>
      <c r="M11" s="69">
        <v>6</v>
      </c>
      <c r="N11" s="69" t="s">
        <v>1955</v>
      </c>
      <c r="O11" s="564">
        <v>38</v>
      </c>
      <c r="P11" t="s">
        <v>1956</v>
      </c>
      <c r="Q11" s="564" t="s">
        <v>1369</v>
      </c>
      <c r="R11" t="s">
        <v>1957</v>
      </c>
      <c r="S11" s="538" t="s">
        <v>1649</v>
      </c>
      <c r="T11" t="s">
        <v>1958</v>
      </c>
      <c r="U11" t="s">
        <v>1959</v>
      </c>
      <c r="V11" t="s">
        <v>1960</v>
      </c>
      <c r="AC11" s="398" t="s">
        <v>1242</v>
      </c>
      <c r="AD11" t="s">
        <v>1605</v>
      </c>
      <c r="AG11" t="s">
        <v>1961</v>
      </c>
      <c r="AH11" t="s">
        <v>1962</v>
      </c>
      <c r="AI11" t="s">
        <v>1963</v>
      </c>
      <c r="AJ11" t="s">
        <v>1964</v>
      </c>
      <c r="AK11" s="562" t="s">
        <v>1965</v>
      </c>
      <c r="AL11" s="562" t="s">
        <v>1966</v>
      </c>
      <c r="AM11" t="s">
        <v>1967</v>
      </c>
      <c r="AN11" t="s">
        <v>1968</v>
      </c>
      <c r="AO11" t="s">
        <v>1969</v>
      </c>
      <c r="AP11" s="563">
        <v>0</v>
      </c>
      <c r="AQ11" t="s">
        <v>1970</v>
      </c>
    </row>
    <row r="12" spans="1:43" ht="14.4" x14ac:dyDescent="0.3">
      <c r="A12" s="551" t="s">
        <v>1971</v>
      </c>
      <c r="K12" t="s">
        <v>1972</v>
      </c>
      <c r="L12" t="s">
        <v>1973</v>
      </c>
      <c r="M12" s="69">
        <v>6.625</v>
      </c>
      <c r="N12" s="69" t="s">
        <v>1974</v>
      </c>
      <c r="O12" s="564" t="s">
        <v>1421</v>
      </c>
      <c r="P12" t="s">
        <v>1975</v>
      </c>
      <c r="Q12" s="564">
        <v>72</v>
      </c>
      <c r="R12" t="s">
        <v>1976</v>
      </c>
      <c r="S12" s="538" t="s">
        <v>1227</v>
      </c>
      <c r="T12" t="s">
        <v>1724</v>
      </c>
      <c r="U12" t="s">
        <v>1977</v>
      </c>
      <c r="V12" t="s">
        <v>1978</v>
      </c>
      <c r="AC12" s="398" t="s">
        <v>1243</v>
      </c>
      <c r="AD12" t="s">
        <v>1623</v>
      </c>
      <c r="AG12" t="s">
        <v>1979</v>
      </c>
      <c r="AH12" t="s">
        <v>1980</v>
      </c>
      <c r="AI12" t="s">
        <v>1608</v>
      </c>
      <c r="AJ12" t="s">
        <v>1609</v>
      </c>
      <c r="AK12" s="562" t="s">
        <v>1981</v>
      </c>
      <c r="AL12" s="562" t="s">
        <v>1982</v>
      </c>
      <c r="AM12" t="s">
        <v>1983</v>
      </c>
      <c r="AN12" t="s">
        <v>1984</v>
      </c>
      <c r="AO12" t="s">
        <v>1985</v>
      </c>
      <c r="AP12" s="563">
        <v>0</v>
      </c>
      <c r="AQ12" t="s">
        <v>1986</v>
      </c>
    </row>
    <row r="13" spans="1:43" ht="14.4" x14ac:dyDescent="0.3">
      <c r="A13" s="551" t="s">
        <v>1987</v>
      </c>
      <c r="K13" t="s">
        <v>1988</v>
      </c>
      <c r="L13" t="s">
        <v>1989</v>
      </c>
      <c r="M13" s="69">
        <v>6.75</v>
      </c>
      <c r="N13" s="69" t="s">
        <v>1990</v>
      </c>
      <c r="O13" s="564">
        <v>40</v>
      </c>
      <c r="P13" t="s">
        <v>1991</v>
      </c>
      <c r="Q13" s="564">
        <v>70</v>
      </c>
      <c r="R13" t="s">
        <v>1992</v>
      </c>
      <c r="S13" s="538" t="s">
        <v>1993</v>
      </c>
      <c r="T13" t="s">
        <v>1994</v>
      </c>
      <c r="U13" t="s">
        <v>1405</v>
      </c>
      <c r="V13" t="s">
        <v>1406</v>
      </c>
      <c r="AC13" s="540" t="s">
        <v>1637</v>
      </c>
      <c r="AD13" t="s">
        <v>1638</v>
      </c>
      <c r="AG13" t="s">
        <v>1995</v>
      </c>
      <c r="AH13" t="s">
        <v>1996</v>
      </c>
      <c r="AI13" t="s">
        <v>1665</v>
      </c>
      <c r="AJ13" t="s">
        <v>1666</v>
      </c>
      <c r="AK13" s="562" t="s">
        <v>1997</v>
      </c>
      <c r="AL13" s="562" t="s">
        <v>1998</v>
      </c>
      <c r="AM13" t="s">
        <v>1999</v>
      </c>
      <c r="AN13" t="s">
        <v>2000</v>
      </c>
      <c r="AO13" t="s">
        <v>2001</v>
      </c>
      <c r="AP13" s="563" t="s">
        <v>1686</v>
      </c>
      <c r="AQ13" t="s">
        <v>2002</v>
      </c>
    </row>
    <row r="14" spans="1:43" ht="14.4" x14ac:dyDescent="0.2">
      <c r="K14" t="s">
        <v>2003</v>
      </c>
      <c r="L14" t="s">
        <v>2004</v>
      </c>
      <c r="M14" s="69">
        <v>7</v>
      </c>
      <c r="N14" s="69" t="s">
        <v>2005</v>
      </c>
      <c r="O14" s="564">
        <v>48</v>
      </c>
      <c r="P14" t="s">
        <v>2006</v>
      </c>
      <c r="Q14" s="564">
        <v>68</v>
      </c>
      <c r="R14" t="s">
        <v>2007</v>
      </c>
      <c r="U14" t="s">
        <v>486</v>
      </c>
      <c r="V14" t="s">
        <v>1335</v>
      </c>
      <c r="AC14" s="398" t="s">
        <v>2008</v>
      </c>
      <c r="AD14" t="s">
        <v>2009</v>
      </c>
      <c r="AG14" t="s">
        <v>2010</v>
      </c>
      <c r="AH14" t="s">
        <v>2011</v>
      </c>
      <c r="AI14">
        <v>350</v>
      </c>
      <c r="AJ14" t="s">
        <v>2012</v>
      </c>
      <c r="AK14" s="562" t="s">
        <v>2013</v>
      </c>
      <c r="AL14" s="562" t="s">
        <v>2014</v>
      </c>
      <c r="AM14" t="s">
        <v>2015</v>
      </c>
      <c r="AN14" t="s">
        <v>2016</v>
      </c>
      <c r="AO14" t="s">
        <v>2017</v>
      </c>
      <c r="AP14" s="563" t="s">
        <v>1667</v>
      </c>
    </row>
    <row r="15" spans="1:43" x14ac:dyDescent="0.2">
      <c r="K15" t="s">
        <v>2018</v>
      </c>
      <c r="L15" t="s">
        <v>2019</v>
      </c>
      <c r="M15" s="69">
        <v>7.125</v>
      </c>
      <c r="N15" s="69" t="s">
        <v>2020</v>
      </c>
      <c r="O15" s="564">
        <v>50</v>
      </c>
      <c r="P15" t="s">
        <v>2021</v>
      </c>
      <c r="Q15" s="564">
        <v>60</v>
      </c>
      <c r="R15" t="s">
        <v>2022</v>
      </c>
      <c r="U15" t="s">
        <v>1227</v>
      </c>
      <c r="V15" t="s">
        <v>2023</v>
      </c>
      <c r="AC15" s="398" t="s">
        <v>2024</v>
      </c>
      <c r="AD15" t="s">
        <v>2025</v>
      </c>
      <c r="AG15" t="s">
        <v>2026</v>
      </c>
      <c r="AH15" t="s">
        <v>2027</v>
      </c>
      <c r="AI15">
        <v>400</v>
      </c>
      <c r="AJ15" t="s">
        <v>2028</v>
      </c>
      <c r="AK15" t="s">
        <v>2029</v>
      </c>
      <c r="AL15" t="s">
        <v>2030</v>
      </c>
      <c r="AO15" t="s">
        <v>2031</v>
      </c>
      <c r="AP15" s="563" t="s">
        <v>1691</v>
      </c>
      <c r="AQ15" s="382"/>
    </row>
    <row r="16" spans="1:43" ht="14.4" x14ac:dyDescent="0.2">
      <c r="K16" t="s">
        <v>2032</v>
      </c>
      <c r="L16" t="s">
        <v>2033</v>
      </c>
      <c r="M16" s="69">
        <v>7.75</v>
      </c>
      <c r="N16" s="69" t="s">
        <v>2034</v>
      </c>
      <c r="O16" s="564">
        <v>54</v>
      </c>
      <c r="P16" t="s">
        <v>2035</v>
      </c>
      <c r="Q16" s="564">
        <v>50</v>
      </c>
      <c r="R16" t="s">
        <v>2036</v>
      </c>
      <c r="U16" t="s">
        <v>2037</v>
      </c>
      <c r="V16" s="546" t="s">
        <v>2038</v>
      </c>
      <c r="AC16" s="398" t="s">
        <v>2039</v>
      </c>
      <c r="AD16" t="s">
        <v>2040</v>
      </c>
      <c r="AG16" t="s">
        <v>2041</v>
      </c>
      <c r="AH16" t="s">
        <v>2042</v>
      </c>
      <c r="AI16" t="s">
        <v>2043</v>
      </c>
      <c r="AJ16" t="s">
        <v>2044</v>
      </c>
      <c r="AK16" s="562" t="s">
        <v>2045</v>
      </c>
      <c r="AL16" s="562" t="s">
        <v>2046</v>
      </c>
      <c r="AO16" t="s">
        <v>2047</v>
      </c>
      <c r="AP16" s="563">
        <v>0</v>
      </c>
    </row>
    <row r="17" spans="11:43" x14ac:dyDescent="0.2">
      <c r="K17" t="s">
        <v>2048</v>
      </c>
      <c r="L17" t="s">
        <v>2049</v>
      </c>
      <c r="M17" s="69">
        <v>8.25</v>
      </c>
      <c r="N17" s="69" t="s">
        <v>2050</v>
      </c>
      <c r="O17" s="564">
        <v>58</v>
      </c>
      <c r="P17" t="s">
        <v>2051</v>
      </c>
      <c r="Q17" s="564">
        <v>54</v>
      </c>
      <c r="R17" t="s">
        <v>2052</v>
      </c>
      <c r="U17" t="s">
        <v>2053</v>
      </c>
      <c r="V17" t="s">
        <v>2054</v>
      </c>
      <c r="AC17" s="398" t="s">
        <v>2055</v>
      </c>
      <c r="AD17" t="s">
        <v>2056</v>
      </c>
      <c r="AG17" t="s">
        <v>2057</v>
      </c>
      <c r="AH17" t="s">
        <v>2058</v>
      </c>
      <c r="AI17" t="s">
        <v>2059</v>
      </c>
      <c r="AJ17" t="s">
        <v>2060</v>
      </c>
      <c r="AK17" t="s">
        <v>2061</v>
      </c>
      <c r="AL17" t="s">
        <v>2062</v>
      </c>
      <c r="AO17" t="s">
        <v>2063</v>
      </c>
      <c r="AP17" s="563">
        <v>0</v>
      </c>
      <c r="AQ17" t="s">
        <v>1681</v>
      </c>
    </row>
    <row r="18" spans="11:43" x14ac:dyDescent="0.2">
      <c r="K18" t="s">
        <v>2064</v>
      </c>
      <c r="L18" t="s">
        <v>2065</v>
      </c>
      <c r="M18" s="69">
        <v>8.75</v>
      </c>
      <c r="N18" s="69" t="s">
        <v>2066</v>
      </c>
      <c r="O18" s="564">
        <v>60</v>
      </c>
      <c r="P18" t="s">
        <v>2067</v>
      </c>
      <c r="Q18" s="564">
        <v>48</v>
      </c>
      <c r="R18" t="s">
        <v>2068</v>
      </c>
      <c r="AC18" s="398" t="s">
        <v>2069</v>
      </c>
      <c r="AD18" t="s">
        <v>2070</v>
      </c>
      <c r="AG18" t="s">
        <v>2071</v>
      </c>
      <c r="AH18" t="s">
        <v>2072</v>
      </c>
      <c r="AI18" t="s">
        <v>1671</v>
      </c>
      <c r="AJ18" t="s">
        <v>2073</v>
      </c>
      <c r="AK18" t="s">
        <v>2074</v>
      </c>
      <c r="AL18" t="s">
        <v>2075</v>
      </c>
      <c r="AO18" t="s">
        <v>2076</v>
      </c>
      <c r="AP18" s="563">
        <v>0</v>
      </c>
    </row>
    <row r="19" spans="11:43" ht="14.4" x14ac:dyDescent="0.2">
      <c r="K19" t="s">
        <v>2077</v>
      </c>
      <c r="L19" t="s">
        <v>2078</v>
      </c>
      <c r="M19" s="69" t="s">
        <v>2079</v>
      </c>
      <c r="N19" s="69" t="s">
        <v>2080</v>
      </c>
      <c r="O19" s="564">
        <v>68</v>
      </c>
      <c r="P19" t="s">
        <v>2081</v>
      </c>
      <c r="Q19" s="564">
        <v>40</v>
      </c>
      <c r="R19" t="s">
        <v>2082</v>
      </c>
      <c r="AC19" s="398" t="s">
        <v>1557</v>
      </c>
      <c r="AD19" t="s">
        <v>2083</v>
      </c>
      <c r="AG19" s="566"/>
      <c r="AI19" t="s">
        <v>2084</v>
      </c>
      <c r="AJ19" t="s">
        <v>2085</v>
      </c>
      <c r="AO19" t="s">
        <v>2086</v>
      </c>
      <c r="AP19" s="563">
        <v>0</v>
      </c>
    </row>
    <row r="20" spans="11:43" ht="14.4" x14ac:dyDescent="0.2">
      <c r="K20" t="s">
        <v>2087</v>
      </c>
      <c r="L20" t="s">
        <v>2088</v>
      </c>
      <c r="M20" s="69"/>
      <c r="N20" s="69"/>
      <c r="O20" s="564">
        <v>70</v>
      </c>
      <c r="P20" t="s">
        <v>2089</v>
      </c>
      <c r="Q20" s="564" t="s">
        <v>1421</v>
      </c>
      <c r="R20" t="s">
        <v>2090</v>
      </c>
      <c r="AC20" s="398" t="s">
        <v>2091</v>
      </c>
      <c r="AD20" t="s">
        <v>2092</v>
      </c>
      <c r="AG20" s="566"/>
      <c r="AI20" t="s">
        <v>1577</v>
      </c>
      <c r="AJ20" t="s">
        <v>2093</v>
      </c>
      <c r="AO20" t="s">
        <v>2094</v>
      </c>
      <c r="AP20" s="563">
        <v>0</v>
      </c>
    </row>
    <row r="21" spans="11:43" ht="14.4" x14ac:dyDescent="0.2">
      <c r="K21" t="s">
        <v>2095</v>
      </c>
      <c r="L21" t="s">
        <v>2096</v>
      </c>
      <c r="M21" s="69"/>
      <c r="N21" s="69"/>
      <c r="O21" s="564">
        <v>74</v>
      </c>
      <c r="P21" t="s">
        <v>2097</v>
      </c>
      <c r="Q21" s="564">
        <v>58</v>
      </c>
      <c r="R21" t="s">
        <v>2098</v>
      </c>
      <c r="AG21" s="566"/>
      <c r="AI21" t="s">
        <v>1677</v>
      </c>
      <c r="AJ21" t="s">
        <v>2099</v>
      </c>
      <c r="AO21" t="s">
        <v>2100</v>
      </c>
      <c r="AP21" s="563">
        <v>0</v>
      </c>
    </row>
    <row r="22" spans="11:43" ht="14.4" x14ac:dyDescent="0.2">
      <c r="K22" t="s">
        <v>2101</v>
      </c>
      <c r="L22" t="s">
        <v>2102</v>
      </c>
      <c r="O22" s="564">
        <v>78</v>
      </c>
      <c r="P22" t="s">
        <v>2103</v>
      </c>
      <c r="Q22" s="79" t="s">
        <v>2104</v>
      </c>
      <c r="R22" t="s">
        <v>2105</v>
      </c>
      <c r="AC22" s="398" t="s">
        <v>1663</v>
      </c>
      <c r="AD22" t="s">
        <v>1664</v>
      </c>
      <c r="AG22" s="566"/>
      <c r="AO22" t="s">
        <v>2106</v>
      </c>
      <c r="AP22" s="563" t="s">
        <v>2107</v>
      </c>
    </row>
    <row r="23" spans="11:43" ht="14.4" x14ac:dyDescent="0.2">
      <c r="K23" t="s">
        <v>2108</v>
      </c>
      <c r="L23" t="s">
        <v>2109</v>
      </c>
      <c r="O23" s="564">
        <v>80</v>
      </c>
      <c r="P23" t="s">
        <v>2110</v>
      </c>
      <c r="Q23" s="564">
        <v>100</v>
      </c>
      <c r="R23" t="s">
        <v>2111</v>
      </c>
      <c r="AC23" s="398" t="s">
        <v>509</v>
      </c>
      <c r="AD23" t="s">
        <v>2112</v>
      </c>
      <c r="AO23" t="s">
        <v>2113</v>
      </c>
      <c r="AP23" s="567">
        <v>0</v>
      </c>
    </row>
    <row r="24" spans="11:43" x14ac:dyDescent="0.2">
      <c r="K24" t="s">
        <v>2114</v>
      </c>
      <c r="L24" t="s">
        <v>2115</v>
      </c>
      <c r="M24" s="568"/>
      <c r="O24" s="79" t="s">
        <v>2104</v>
      </c>
      <c r="P24" t="s">
        <v>2116</v>
      </c>
      <c r="AC24" s="398" t="s">
        <v>2117</v>
      </c>
      <c r="AD24" t="s">
        <v>2118</v>
      </c>
      <c r="AO24" t="s">
        <v>2119</v>
      </c>
      <c r="AP24" s="563" t="s">
        <v>2120</v>
      </c>
    </row>
    <row r="25" spans="11:43" x14ac:dyDescent="0.2">
      <c r="K25" t="s">
        <v>2121</v>
      </c>
      <c r="L25" t="s">
        <v>2122</v>
      </c>
      <c r="M25" s="568"/>
      <c r="AC25" s="398" t="s">
        <v>1675</v>
      </c>
      <c r="AD25" t="s">
        <v>1676</v>
      </c>
      <c r="AO25" t="s">
        <v>2123</v>
      </c>
      <c r="AP25" s="563" t="s">
        <v>2124</v>
      </c>
    </row>
    <row r="26" spans="11:43" x14ac:dyDescent="0.2">
      <c r="K26" t="s">
        <v>2125</v>
      </c>
      <c r="L26" t="s">
        <v>2126</v>
      </c>
      <c r="M26" s="568"/>
      <c r="AI26">
        <v>1</v>
      </c>
      <c r="AO26" t="s">
        <v>2127</v>
      </c>
      <c r="AP26" s="563">
        <v>0</v>
      </c>
    </row>
    <row r="27" spans="11:43" x14ac:dyDescent="0.2">
      <c r="K27" t="s">
        <v>2128</v>
      </c>
      <c r="L27" t="s">
        <v>2129</v>
      </c>
      <c r="M27" s="568"/>
      <c r="AI27">
        <v>2</v>
      </c>
      <c r="AO27" t="s">
        <v>2130</v>
      </c>
      <c r="AP27" s="563">
        <v>0</v>
      </c>
    </row>
    <row r="28" spans="11:43" x14ac:dyDescent="0.2">
      <c r="K28" t="s">
        <v>2131</v>
      </c>
      <c r="L28" t="s">
        <v>2132</v>
      </c>
      <c r="M28" s="568"/>
      <c r="AI28">
        <v>3</v>
      </c>
      <c r="AO28" t="s">
        <v>2133</v>
      </c>
      <c r="AP28" s="563" t="s">
        <v>2134</v>
      </c>
    </row>
    <row r="29" spans="11:43" x14ac:dyDescent="0.2">
      <c r="K29" t="s">
        <v>2135</v>
      </c>
      <c r="L29" t="s">
        <v>2136</v>
      </c>
      <c r="M29" s="568"/>
      <c r="AI29">
        <v>4</v>
      </c>
      <c r="AO29" t="s">
        <v>1695</v>
      </c>
      <c r="AP29" s="563" t="s">
        <v>1694</v>
      </c>
    </row>
    <row r="30" spans="11:43" ht="14.4" x14ac:dyDescent="0.3">
      <c r="K30" t="s">
        <v>2137</v>
      </c>
      <c r="L30" t="s">
        <v>2138</v>
      </c>
      <c r="M30" s="568"/>
      <c r="S30" s="552" t="s">
        <v>2139</v>
      </c>
      <c r="T30" s="552"/>
      <c r="V30" t="s">
        <v>1600</v>
      </c>
      <c r="AI30">
        <v>5</v>
      </c>
      <c r="AO30" t="s">
        <v>2140</v>
      </c>
      <c r="AP30" s="563">
        <v>0</v>
      </c>
    </row>
    <row r="31" spans="11:43" ht="14.4" x14ac:dyDescent="0.2">
      <c r="K31" t="s">
        <v>2141</v>
      </c>
      <c r="L31" t="s">
        <v>2142</v>
      </c>
      <c r="M31" s="568"/>
      <c r="S31" s="538">
        <v>478</v>
      </c>
      <c r="U31" s="160" t="s">
        <v>1616</v>
      </c>
      <c r="V31" s="160" t="s">
        <v>1617</v>
      </c>
      <c r="AI31">
        <v>6</v>
      </c>
      <c r="AO31" t="s">
        <v>2143</v>
      </c>
      <c r="AP31" s="563">
        <v>0</v>
      </c>
    </row>
    <row r="32" spans="11:43" ht="14.4" x14ac:dyDescent="0.2">
      <c r="K32" t="s">
        <v>2144</v>
      </c>
      <c r="L32" t="s">
        <v>2145</v>
      </c>
      <c r="M32" s="568"/>
      <c r="S32" s="538">
        <v>234</v>
      </c>
      <c r="U32" s="160" t="s">
        <v>514</v>
      </c>
      <c r="V32" s="160" t="s">
        <v>1632</v>
      </c>
      <c r="AO32" t="s">
        <v>2146</v>
      </c>
      <c r="AP32" s="563">
        <v>0</v>
      </c>
    </row>
    <row r="33" spans="11:42" ht="14.4" x14ac:dyDescent="0.2">
      <c r="K33" t="s">
        <v>2147</v>
      </c>
      <c r="L33" t="s">
        <v>2148</v>
      </c>
      <c r="M33" s="568"/>
      <c r="S33" s="538" t="s">
        <v>1222</v>
      </c>
      <c r="U33" s="160" t="s">
        <v>1644</v>
      </c>
      <c r="V33" s="160" t="s">
        <v>1645</v>
      </c>
      <c r="AO33" t="s">
        <v>2149</v>
      </c>
      <c r="AP33" s="563">
        <v>0</v>
      </c>
    </row>
    <row r="34" spans="11:42" ht="14.4" x14ac:dyDescent="0.2">
      <c r="K34" t="s">
        <v>2150</v>
      </c>
      <c r="L34" t="s">
        <v>2151</v>
      </c>
      <c r="M34" s="568"/>
      <c r="S34" s="538" t="s">
        <v>1223</v>
      </c>
      <c r="T34" t="s">
        <v>1189</v>
      </c>
      <c r="U34" s="160" t="s">
        <v>515</v>
      </c>
      <c r="V34" s="160" t="s">
        <v>1655</v>
      </c>
      <c r="AO34" t="s">
        <v>2152</v>
      </c>
      <c r="AP34" s="563">
        <v>0</v>
      </c>
    </row>
    <row r="35" spans="11:42" x14ac:dyDescent="0.2">
      <c r="K35" t="s">
        <v>2153</v>
      </c>
      <c r="L35" t="s">
        <v>2154</v>
      </c>
      <c r="M35" s="568"/>
      <c r="S35" s="538" t="s">
        <v>1863</v>
      </c>
      <c r="AO35" t="s">
        <v>2155</v>
      </c>
      <c r="AP35" s="563">
        <v>0</v>
      </c>
    </row>
    <row r="36" spans="11:42" ht="14.4" x14ac:dyDescent="0.2">
      <c r="K36" t="s">
        <v>2156</v>
      </c>
      <c r="L36" t="s">
        <v>2157</v>
      </c>
      <c r="M36" s="568"/>
      <c r="S36" s="538" t="s">
        <v>1224</v>
      </c>
      <c r="T36" t="s">
        <v>1189</v>
      </c>
      <c r="AO36" t="s">
        <v>2158</v>
      </c>
      <c r="AP36" s="567">
        <v>0</v>
      </c>
    </row>
    <row r="37" spans="11:42" ht="14.4" x14ac:dyDescent="0.3">
      <c r="K37" t="s">
        <v>2159</v>
      </c>
      <c r="L37" t="s">
        <v>2160</v>
      </c>
      <c r="M37" s="568"/>
      <c r="S37" s="538" t="s">
        <v>1233</v>
      </c>
      <c r="AG37" s="552" t="s">
        <v>2161</v>
      </c>
      <c r="AH37" s="552"/>
      <c r="AI37" s="552" t="s">
        <v>2139</v>
      </c>
      <c r="AJ37" s="552"/>
      <c r="AK37" s="552" t="s">
        <v>2139</v>
      </c>
      <c r="AL37" s="552"/>
      <c r="AM37" s="552" t="s">
        <v>2139</v>
      </c>
      <c r="AN37" s="552"/>
      <c r="AO37" t="s">
        <v>2162</v>
      </c>
      <c r="AP37" s="563">
        <v>0</v>
      </c>
    </row>
    <row r="38" spans="11:42" ht="14.4" x14ac:dyDescent="0.2">
      <c r="K38" t="s">
        <v>2163</v>
      </c>
      <c r="L38" t="s">
        <v>2164</v>
      </c>
      <c r="M38" s="568"/>
      <c r="S38" s="538" t="s">
        <v>1221</v>
      </c>
      <c r="AG38" t="s">
        <v>1775</v>
      </c>
      <c r="AH38" t="s">
        <v>1776</v>
      </c>
      <c r="AI38">
        <v>450</v>
      </c>
      <c r="AK38" s="562" t="s">
        <v>1778</v>
      </c>
      <c r="AL38" s="562" t="s">
        <v>120</v>
      </c>
      <c r="AM38" t="s">
        <v>1475</v>
      </c>
      <c r="AO38" t="s">
        <v>2165</v>
      </c>
      <c r="AP38" s="563" t="s">
        <v>2166</v>
      </c>
    </row>
    <row r="39" spans="11:42" ht="14.4" x14ac:dyDescent="0.2">
      <c r="K39" t="s">
        <v>2167</v>
      </c>
      <c r="L39" t="s">
        <v>2168</v>
      </c>
      <c r="M39" s="568"/>
      <c r="S39" s="538" t="s">
        <v>1220</v>
      </c>
      <c r="AG39" t="s">
        <v>2169</v>
      </c>
      <c r="AH39" t="s">
        <v>1803</v>
      </c>
      <c r="AI39">
        <v>500</v>
      </c>
      <c r="AK39" s="562" t="s">
        <v>1805</v>
      </c>
      <c r="AL39" s="562" t="s">
        <v>120</v>
      </c>
      <c r="AM39" t="s">
        <v>1807</v>
      </c>
      <c r="AO39" t="s">
        <v>2170</v>
      </c>
      <c r="AP39" s="563">
        <v>0</v>
      </c>
    </row>
    <row r="40" spans="11:42" ht="14.4" x14ac:dyDescent="0.2">
      <c r="K40" t="s">
        <v>2171</v>
      </c>
      <c r="L40" t="s">
        <v>2172</v>
      </c>
      <c r="M40" s="568"/>
      <c r="S40" s="538" t="s">
        <v>1649</v>
      </c>
      <c r="AG40" t="s">
        <v>1824</v>
      </c>
      <c r="AH40" t="s">
        <v>1825</v>
      </c>
      <c r="AI40" t="s">
        <v>490</v>
      </c>
      <c r="AK40" s="562" t="s">
        <v>1827</v>
      </c>
      <c r="AL40" s="562" t="s">
        <v>120</v>
      </c>
      <c r="AM40" t="s">
        <v>1829</v>
      </c>
    </row>
    <row r="41" spans="11:42" ht="14.4" x14ac:dyDescent="0.2">
      <c r="K41" t="s">
        <v>2173</v>
      </c>
      <c r="L41" t="s">
        <v>2174</v>
      </c>
      <c r="M41" s="568"/>
      <c r="S41" s="538" t="s">
        <v>1227</v>
      </c>
      <c r="T41" t="s">
        <v>1189</v>
      </c>
      <c r="AG41" t="s">
        <v>323</v>
      </c>
      <c r="AH41" t="s">
        <v>1847</v>
      </c>
      <c r="AI41" t="s">
        <v>1525</v>
      </c>
      <c r="AK41" s="562" t="s">
        <v>491</v>
      </c>
      <c r="AL41" s="562" t="s">
        <v>120</v>
      </c>
      <c r="AM41" t="s">
        <v>1850</v>
      </c>
      <c r="AN41" t="s">
        <v>1189</v>
      </c>
    </row>
    <row r="42" spans="11:42" ht="14.4" x14ac:dyDescent="0.2">
      <c r="K42" t="s">
        <v>2175</v>
      </c>
      <c r="L42" t="s">
        <v>2176</v>
      </c>
      <c r="M42" s="568"/>
      <c r="S42" s="538" t="s">
        <v>1993</v>
      </c>
      <c r="AG42" t="s">
        <v>489</v>
      </c>
      <c r="AH42" t="s">
        <v>1871</v>
      </c>
      <c r="AI42" t="s">
        <v>1542</v>
      </c>
      <c r="AJ42" t="s">
        <v>1189</v>
      </c>
      <c r="AK42" s="562" t="s">
        <v>1873</v>
      </c>
      <c r="AL42" s="562" t="s">
        <v>120</v>
      </c>
      <c r="AM42" t="s">
        <v>1893</v>
      </c>
    </row>
    <row r="43" spans="11:42" ht="14.4" x14ac:dyDescent="0.2">
      <c r="K43" t="s">
        <v>2177</v>
      </c>
      <c r="L43" t="s">
        <v>2178</v>
      </c>
      <c r="M43" s="568"/>
      <c r="AG43" t="s">
        <v>1888</v>
      </c>
      <c r="AH43" t="s">
        <v>1889</v>
      </c>
      <c r="AI43" t="s">
        <v>1561</v>
      </c>
      <c r="AJ43" t="s">
        <v>1189</v>
      </c>
      <c r="AK43" s="562" t="s">
        <v>1891</v>
      </c>
      <c r="AL43" s="562" t="s">
        <v>120</v>
      </c>
      <c r="AM43" t="s">
        <v>1914</v>
      </c>
    </row>
    <row r="44" spans="11:42" ht="14.4" x14ac:dyDescent="0.2">
      <c r="K44" t="s">
        <v>2179</v>
      </c>
      <c r="L44" t="s">
        <v>2180</v>
      </c>
      <c r="M44" s="568"/>
      <c r="AG44" t="s">
        <v>1910</v>
      </c>
      <c r="AH44" t="s">
        <v>1911</v>
      </c>
      <c r="AI44" t="s">
        <v>1594</v>
      </c>
      <c r="AJ44" t="s">
        <v>1189</v>
      </c>
      <c r="AK44" s="562" t="s">
        <v>1912</v>
      </c>
      <c r="AL44" s="562" t="s">
        <v>120</v>
      </c>
      <c r="AM44" t="s">
        <v>1933</v>
      </c>
    </row>
    <row r="45" spans="11:42" ht="14.4" x14ac:dyDescent="0.2">
      <c r="K45" t="s">
        <v>1423</v>
      </c>
      <c r="L45" t="s">
        <v>2181</v>
      </c>
      <c r="M45" s="568"/>
      <c r="AG45" t="s">
        <v>1929</v>
      </c>
      <c r="AH45" t="s">
        <v>1930</v>
      </c>
      <c r="AI45" t="s">
        <v>1641</v>
      </c>
      <c r="AJ45" t="s">
        <v>1189</v>
      </c>
      <c r="AK45" s="562" t="s">
        <v>1931</v>
      </c>
      <c r="AL45" s="562" t="s">
        <v>120</v>
      </c>
      <c r="AM45" t="s">
        <v>1948</v>
      </c>
    </row>
    <row r="46" spans="11:42" ht="14.4" x14ac:dyDescent="0.2">
      <c r="K46" t="s">
        <v>2182</v>
      </c>
      <c r="L46" t="s">
        <v>2183</v>
      </c>
      <c r="M46" s="568"/>
      <c r="AG46" t="s">
        <v>1943</v>
      </c>
      <c r="AH46" t="s">
        <v>1944</v>
      </c>
      <c r="AI46" t="s">
        <v>1653</v>
      </c>
      <c r="AJ46" t="s">
        <v>1189</v>
      </c>
      <c r="AK46" s="562" t="s">
        <v>1946</v>
      </c>
      <c r="AL46" s="562" t="s">
        <v>120</v>
      </c>
      <c r="AM46" t="s">
        <v>1967</v>
      </c>
      <c r="AN46" t="s">
        <v>1189</v>
      </c>
    </row>
    <row r="47" spans="11:42" ht="14.4" x14ac:dyDescent="0.2">
      <c r="K47" t="s">
        <v>2184</v>
      </c>
      <c r="L47" t="s">
        <v>2185</v>
      </c>
      <c r="M47" s="568"/>
      <c r="AG47" t="s">
        <v>1961</v>
      </c>
      <c r="AH47" t="s">
        <v>1962</v>
      </c>
      <c r="AI47" t="s">
        <v>1963</v>
      </c>
      <c r="AJ47" t="s">
        <v>1189</v>
      </c>
      <c r="AK47" s="562" t="s">
        <v>1965</v>
      </c>
      <c r="AL47" s="562" t="s">
        <v>120</v>
      </c>
      <c r="AM47" t="s">
        <v>1983</v>
      </c>
      <c r="AN47" t="s">
        <v>1189</v>
      </c>
    </row>
    <row r="48" spans="11:42" ht="14.4" x14ac:dyDescent="0.2">
      <c r="K48" t="s">
        <v>2186</v>
      </c>
      <c r="L48" t="s">
        <v>2187</v>
      </c>
      <c r="M48" s="568"/>
      <c r="AG48" t="s">
        <v>1979</v>
      </c>
      <c r="AH48" t="s">
        <v>1980</v>
      </c>
      <c r="AI48" t="s">
        <v>1608</v>
      </c>
      <c r="AJ48" t="s">
        <v>1189</v>
      </c>
      <c r="AK48" s="562" t="s">
        <v>1981</v>
      </c>
      <c r="AL48" s="562" t="s">
        <v>1189</v>
      </c>
      <c r="AM48" t="s">
        <v>1999</v>
      </c>
      <c r="AN48" t="s">
        <v>1189</v>
      </c>
    </row>
    <row r="49" spans="11:40" ht="14.4" x14ac:dyDescent="0.2">
      <c r="K49" t="s">
        <v>2188</v>
      </c>
      <c r="L49" t="s">
        <v>2189</v>
      </c>
      <c r="M49" s="568"/>
      <c r="AG49" t="s">
        <v>2190</v>
      </c>
      <c r="AH49" t="s">
        <v>2191</v>
      </c>
      <c r="AI49" t="s">
        <v>1665</v>
      </c>
      <c r="AJ49" t="s">
        <v>1189</v>
      </c>
      <c r="AK49" s="562" t="s">
        <v>1997</v>
      </c>
      <c r="AL49" s="562" t="s">
        <v>1189</v>
      </c>
      <c r="AM49" t="s">
        <v>2015</v>
      </c>
      <c r="AN49" t="s">
        <v>1189</v>
      </c>
    </row>
    <row r="50" spans="11:40" ht="14.4" x14ac:dyDescent="0.2">
      <c r="K50" t="s">
        <v>2192</v>
      </c>
      <c r="L50" t="s">
        <v>2193</v>
      </c>
      <c r="M50" s="568"/>
      <c r="AG50" s="546" t="s">
        <v>2169</v>
      </c>
      <c r="AH50" t="s">
        <v>2194</v>
      </c>
      <c r="AI50">
        <v>350</v>
      </c>
      <c r="AK50" s="562" t="s">
        <v>2013</v>
      </c>
      <c r="AL50" s="562" t="s">
        <v>120</v>
      </c>
      <c r="AM50" t="s">
        <v>1875</v>
      </c>
      <c r="AN50" t="s">
        <v>1189</v>
      </c>
    </row>
    <row r="51" spans="11:40" ht="14.4" x14ac:dyDescent="0.2">
      <c r="K51" t="s">
        <v>2195</v>
      </c>
      <c r="L51" t="s">
        <v>2196</v>
      </c>
      <c r="M51" s="568"/>
      <c r="AG51" s="566" t="s">
        <v>2197</v>
      </c>
      <c r="AH51" t="s">
        <v>2198</v>
      </c>
      <c r="AI51">
        <v>400</v>
      </c>
      <c r="AK51" t="s">
        <v>2029</v>
      </c>
      <c r="AL51" t="s">
        <v>120</v>
      </c>
    </row>
    <row r="52" spans="11:40" ht="14.4" x14ac:dyDescent="0.2">
      <c r="K52" t="s">
        <v>2199</v>
      </c>
      <c r="L52" t="s">
        <v>2200</v>
      </c>
      <c r="M52" s="568"/>
      <c r="AG52" s="566" t="s">
        <v>2201</v>
      </c>
      <c r="AH52" s="546" t="s">
        <v>2202</v>
      </c>
      <c r="AI52" t="s">
        <v>2043</v>
      </c>
      <c r="AK52" s="562" t="s">
        <v>2045</v>
      </c>
      <c r="AL52" s="562" t="s">
        <v>120</v>
      </c>
    </row>
    <row r="53" spans="11:40" ht="14.4" x14ac:dyDescent="0.2">
      <c r="K53" t="s">
        <v>2203</v>
      </c>
      <c r="L53" t="s">
        <v>2204</v>
      </c>
      <c r="M53" s="568"/>
      <c r="AG53" s="566" t="s">
        <v>2205</v>
      </c>
      <c r="AH53" t="s">
        <v>2206</v>
      </c>
      <c r="AI53" t="s">
        <v>2059</v>
      </c>
      <c r="AK53" t="s">
        <v>2061</v>
      </c>
      <c r="AL53" t="s">
        <v>120</v>
      </c>
    </row>
    <row r="54" spans="11:40" ht="14.4" x14ac:dyDescent="0.2">
      <c r="K54" t="s">
        <v>2207</v>
      </c>
      <c r="L54" t="s">
        <v>2208</v>
      </c>
      <c r="M54" s="568"/>
      <c r="AG54" s="566" t="s">
        <v>2209</v>
      </c>
      <c r="AH54" t="s">
        <v>2210</v>
      </c>
      <c r="AI54" t="s">
        <v>1671</v>
      </c>
      <c r="AJ54" t="s">
        <v>1189</v>
      </c>
      <c r="AK54" t="s">
        <v>2074</v>
      </c>
      <c r="AL54" t="s">
        <v>120</v>
      </c>
    </row>
    <row r="55" spans="11:40" ht="14.4" x14ac:dyDescent="0.2">
      <c r="K55" t="s">
        <v>2211</v>
      </c>
      <c r="L55" t="s">
        <v>2212</v>
      </c>
      <c r="M55" s="568"/>
      <c r="AG55" s="566" t="s">
        <v>2213</v>
      </c>
      <c r="AH55" t="s">
        <v>2214</v>
      </c>
      <c r="AI55" t="s">
        <v>2084</v>
      </c>
    </row>
    <row r="56" spans="11:40" ht="14.4" x14ac:dyDescent="0.2">
      <c r="K56" t="s">
        <v>2215</v>
      </c>
      <c r="L56" t="s">
        <v>2216</v>
      </c>
      <c r="M56" s="568"/>
      <c r="AG56" s="566" t="s">
        <v>2217</v>
      </c>
      <c r="AH56" t="s">
        <v>2218</v>
      </c>
      <c r="AI56" t="s">
        <v>1577</v>
      </c>
    </row>
    <row r="57" spans="11:40" ht="14.4" x14ac:dyDescent="0.2">
      <c r="K57" t="s">
        <v>2219</v>
      </c>
      <c r="L57" t="s">
        <v>2220</v>
      </c>
      <c r="M57" s="568"/>
      <c r="AG57" s="566" t="s">
        <v>2221</v>
      </c>
      <c r="AH57" t="s">
        <v>2222</v>
      </c>
      <c r="AI57" t="s">
        <v>1677</v>
      </c>
      <c r="AJ57" t="s">
        <v>1189</v>
      </c>
    </row>
    <row r="58" spans="11:40" ht="14.4" x14ac:dyDescent="0.2">
      <c r="K58" t="s">
        <v>2223</v>
      </c>
      <c r="L58" t="s">
        <v>2224</v>
      </c>
      <c r="M58" s="568"/>
      <c r="AG58" s="566" t="s">
        <v>2169</v>
      </c>
      <c r="AH58" t="s">
        <v>2225</v>
      </c>
    </row>
    <row r="59" spans="11:40" x14ac:dyDescent="0.2">
      <c r="K59" t="s">
        <v>2226</v>
      </c>
      <c r="L59" t="s">
        <v>2227</v>
      </c>
      <c r="M59" s="568"/>
      <c r="AG59" t="s">
        <v>120</v>
      </c>
      <c r="AH59" t="s">
        <v>2228</v>
      </c>
    </row>
    <row r="60" spans="11:40" x14ac:dyDescent="0.2">
      <c r="K60" t="s">
        <v>2229</v>
      </c>
      <c r="L60" t="s">
        <v>2230</v>
      </c>
      <c r="M60" s="568"/>
      <c r="AG60" t="s">
        <v>1995</v>
      </c>
      <c r="AH60" t="s">
        <v>2231</v>
      </c>
    </row>
    <row r="61" spans="11:40" x14ac:dyDescent="0.2">
      <c r="K61" t="s">
        <v>2232</v>
      </c>
      <c r="L61" t="s">
        <v>2233</v>
      </c>
      <c r="M61" s="568"/>
      <c r="AG61" t="s">
        <v>2010</v>
      </c>
      <c r="AH61" t="s">
        <v>2234</v>
      </c>
    </row>
    <row r="62" spans="11:40" x14ac:dyDescent="0.2">
      <c r="K62" t="s">
        <v>2235</v>
      </c>
      <c r="L62" t="s">
        <v>2236</v>
      </c>
      <c r="M62" s="568"/>
      <c r="AG62" t="s">
        <v>120</v>
      </c>
      <c r="AH62" t="s">
        <v>2237</v>
      </c>
    </row>
    <row r="63" spans="11:40" x14ac:dyDescent="0.2">
      <c r="M63" s="568"/>
      <c r="AG63" t="s">
        <v>2026</v>
      </c>
      <c r="AH63" t="s">
        <v>2027</v>
      </c>
    </row>
    <row r="64" spans="11:40" x14ac:dyDescent="0.2">
      <c r="M64" s="568"/>
      <c r="AG64" t="s">
        <v>120</v>
      </c>
      <c r="AH64" t="s">
        <v>2238</v>
      </c>
    </row>
    <row r="65" spans="13:34" x14ac:dyDescent="0.2">
      <c r="M65" s="568"/>
      <c r="AG65" t="s">
        <v>2041</v>
      </c>
      <c r="AH65" t="s">
        <v>2042</v>
      </c>
    </row>
    <row r="66" spans="13:34" x14ac:dyDescent="0.2">
      <c r="M66" s="568"/>
      <c r="AG66" t="s">
        <v>120</v>
      </c>
      <c r="AH66" t="s">
        <v>2239</v>
      </c>
    </row>
    <row r="67" spans="13:34" x14ac:dyDescent="0.2">
      <c r="M67" s="568"/>
      <c r="AG67" t="s">
        <v>2057</v>
      </c>
      <c r="AH67" t="s">
        <v>2058</v>
      </c>
    </row>
    <row r="68" spans="13:34" x14ac:dyDescent="0.2">
      <c r="M68" s="568"/>
      <c r="AG68" t="s">
        <v>120</v>
      </c>
      <c r="AH68" t="s">
        <v>2240</v>
      </c>
    </row>
    <row r="69" spans="13:34" x14ac:dyDescent="0.2">
      <c r="M69" s="568"/>
      <c r="AG69" t="s">
        <v>2071</v>
      </c>
      <c r="AH69" t="s">
        <v>2072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B0D4-AFE5-4586-A0FF-3D1698E82D71}">
  <sheetPr>
    <tabColor rgb="FFFFFF00"/>
  </sheetPr>
  <dimension ref="A1:AE52"/>
  <sheetViews>
    <sheetView workbookViewId="0">
      <selection activeCell="N21" sqref="N21:R21"/>
    </sheetView>
  </sheetViews>
  <sheetFormatPr defaultRowHeight="14.4" x14ac:dyDescent="0.3"/>
  <cols>
    <col min="1" max="1" width="4.90625" customWidth="1"/>
    <col min="2" max="2" width="5.26953125" customWidth="1"/>
    <col min="3" max="3" width="7.36328125" customWidth="1"/>
    <col min="4" max="4" width="4.08984375" bestFit="1" customWidth="1"/>
    <col min="5" max="5" width="4.08984375" customWidth="1"/>
    <col min="6" max="6" width="7.453125" bestFit="1" customWidth="1"/>
    <col min="7" max="7" width="7.08984375" bestFit="1" customWidth="1"/>
    <col min="8" max="8" width="6.6328125" customWidth="1"/>
    <col min="9" max="9" width="5.08984375" customWidth="1"/>
    <col min="10" max="11" width="5.453125" customWidth="1"/>
    <col min="12" max="12" width="5.90625" customWidth="1"/>
    <col min="13" max="13" width="6.36328125" customWidth="1"/>
    <col min="14" max="14" width="6.90625" bestFit="1" customWidth="1"/>
    <col min="15" max="15" width="6.08984375" bestFit="1" customWidth="1"/>
    <col min="16" max="16" width="5.453125" customWidth="1"/>
    <col min="17" max="17" width="6.453125" customWidth="1"/>
    <col min="18" max="18" width="5.90625" customWidth="1"/>
    <col min="19" max="21" width="6.90625" customWidth="1"/>
    <col min="22" max="26" width="8.7265625" customWidth="1"/>
    <col min="27" max="27" width="33.6328125" customWidth="1"/>
    <col min="29" max="29" width="4.90625" style="263" bestFit="1" customWidth="1"/>
    <col min="30" max="31" width="4.90625" style="120" customWidth="1"/>
    <col min="32" max="34" width="1.90625" customWidth="1"/>
  </cols>
  <sheetData>
    <row r="1" spans="1:29" ht="15" customHeight="1" x14ac:dyDescent="0.3">
      <c r="A1" s="4125" t="s">
        <v>432</v>
      </c>
      <c r="B1" s="4125"/>
      <c r="C1" s="4125"/>
      <c r="D1" s="4125"/>
      <c r="E1" s="4125"/>
      <c r="F1" s="4125"/>
      <c r="G1" s="4125"/>
      <c r="H1" s="4125"/>
      <c r="I1" s="4125"/>
      <c r="J1" s="4125"/>
      <c r="K1" s="4125"/>
      <c r="L1" s="262" t="s">
        <v>433</v>
      </c>
      <c r="M1" s="262"/>
      <c r="N1" s="262"/>
      <c r="O1" s="4126" t="s">
        <v>434</v>
      </c>
      <c r="P1" s="4126"/>
      <c r="Q1" s="4126"/>
      <c r="R1" s="4126"/>
      <c r="S1" s="4126"/>
      <c r="T1" s="4126"/>
      <c r="U1" s="4126"/>
      <c r="V1" s="4126"/>
      <c r="W1" s="4126"/>
      <c r="X1" s="4126"/>
      <c r="Y1" s="4126"/>
      <c r="Z1" s="4126"/>
      <c r="AA1" s="4126"/>
      <c r="AB1" s="4126"/>
    </row>
    <row r="2" spans="1:29" ht="15" customHeight="1" x14ac:dyDescent="0.3">
      <c r="A2" s="4125"/>
      <c r="B2" s="4125"/>
      <c r="C2" s="4125"/>
      <c r="D2" s="4125"/>
      <c r="E2" s="4125"/>
      <c r="F2" s="4125"/>
      <c r="G2" s="4125"/>
      <c r="H2" s="4125"/>
      <c r="I2" s="4125"/>
      <c r="J2" s="4125"/>
      <c r="K2" s="4125"/>
      <c r="L2" s="262" t="s">
        <v>435</v>
      </c>
      <c r="M2" s="262"/>
      <c r="N2" s="264"/>
      <c r="O2" s="4126"/>
      <c r="P2" s="4126"/>
      <c r="Q2" s="4126"/>
      <c r="R2" s="4126"/>
      <c r="S2" s="4126"/>
      <c r="T2" s="4126"/>
      <c r="U2" s="4126"/>
      <c r="V2" s="4126"/>
      <c r="W2" s="4126"/>
      <c r="X2" s="4126"/>
      <c r="Y2" s="4126"/>
      <c r="Z2" s="4126"/>
      <c r="AA2" s="4126"/>
      <c r="AB2" s="4126"/>
    </row>
    <row r="3" spans="1:29" x14ac:dyDescent="0.3">
      <c r="A3" s="262"/>
      <c r="B3" s="262"/>
      <c r="C3" s="262"/>
      <c r="D3" s="262"/>
      <c r="E3" s="262"/>
      <c r="F3" s="262"/>
      <c r="G3" s="262"/>
      <c r="H3" s="262"/>
      <c r="I3" s="262"/>
      <c r="J3" s="262"/>
      <c r="K3" s="262"/>
      <c r="L3" s="262"/>
      <c r="M3" s="262"/>
      <c r="N3" s="262"/>
      <c r="O3" s="262"/>
      <c r="P3" s="262"/>
      <c r="Q3" s="262"/>
      <c r="R3" s="262"/>
      <c r="S3" s="262"/>
      <c r="T3" s="262"/>
      <c r="U3" s="262"/>
      <c r="V3" s="262"/>
      <c r="W3" s="262"/>
      <c r="X3" s="262"/>
      <c r="Y3" s="262"/>
      <c r="Z3" s="262"/>
      <c r="AA3" s="265" t="s">
        <v>436</v>
      </c>
      <c r="AB3" s="266" t="s">
        <v>437</v>
      </c>
    </row>
    <row r="4" spans="1:29" x14ac:dyDescent="0.3">
      <c r="A4" s="267"/>
      <c r="B4" s="267"/>
      <c r="C4" s="268" t="s">
        <v>438</v>
      </c>
      <c r="D4" s="4127"/>
      <c r="E4" s="4127"/>
      <c r="F4" s="4127"/>
      <c r="G4" s="4127"/>
      <c r="H4" s="4127"/>
      <c r="I4" s="4127"/>
      <c r="J4" s="4127"/>
      <c r="K4" s="4127"/>
      <c r="L4" s="4128"/>
      <c r="M4" s="268" t="s">
        <v>439</v>
      </c>
      <c r="N4" s="4129"/>
      <c r="O4" s="4129"/>
      <c r="P4" s="4129"/>
      <c r="Q4" s="4129"/>
      <c r="R4" s="4129"/>
      <c r="S4" s="4129"/>
      <c r="T4" s="4129"/>
      <c r="U4" s="4129"/>
      <c r="V4" s="4129"/>
      <c r="W4" s="4130"/>
      <c r="X4" s="267"/>
      <c r="Y4" s="267"/>
      <c r="Z4" s="267"/>
      <c r="AA4" s="269" t="s">
        <v>440</v>
      </c>
      <c r="AB4" s="270"/>
    </row>
    <row r="5" spans="1:29" x14ac:dyDescent="0.3">
      <c r="A5" s="267"/>
      <c r="B5" s="267"/>
      <c r="C5" s="271"/>
      <c r="D5" s="4131"/>
      <c r="E5" s="4131"/>
      <c r="F5" s="4131"/>
      <c r="G5" s="4131"/>
      <c r="H5" s="4131"/>
      <c r="I5" s="4131"/>
      <c r="J5" s="4131"/>
      <c r="K5" s="4131"/>
      <c r="L5" s="4132"/>
      <c r="M5" s="271"/>
      <c r="N5" s="4133" t="s">
        <v>441</v>
      </c>
      <c r="O5" s="4133"/>
      <c r="P5" s="4133"/>
      <c r="Q5" s="4133"/>
      <c r="R5" s="4133"/>
      <c r="S5" s="4133"/>
      <c r="T5" s="4133"/>
      <c r="U5" s="4133"/>
      <c r="V5" s="4133"/>
      <c r="W5" s="4134"/>
      <c r="X5" s="267"/>
      <c r="Y5" s="267"/>
      <c r="Z5" s="267"/>
      <c r="AA5" s="272" t="s">
        <v>442</v>
      </c>
      <c r="AB5" s="273" t="s">
        <v>443</v>
      </c>
    </row>
    <row r="6" spans="1:29" x14ac:dyDescent="0.3">
      <c r="A6" s="267"/>
      <c r="B6" s="267"/>
      <c r="C6" s="271"/>
      <c r="D6" s="4131"/>
      <c r="E6" s="4131"/>
      <c r="F6" s="4131"/>
      <c r="G6" s="4131"/>
      <c r="H6" s="4131"/>
      <c r="I6" s="4131"/>
      <c r="J6" s="4131"/>
      <c r="K6" s="4131"/>
      <c r="L6" s="4132"/>
      <c r="M6" s="271"/>
      <c r="N6" s="4133"/>
      <c r="O6" s="4133"/>
      <c r="P6" s="4133"/>
      <c r="Q6" s="4133"/>
      <c r="R6" s="4133"/>
      <c r="S6" s="4133"/>
      <c r="T6" s="4133"/>
      <c r="U6" s="4133"/>
      <c r="V6" s="4133"/>
      <c r="W6" s="4134"/>
      <c r="X6" s="267"/>
      <c r="Y6" s="267"/>
      <c r="Z6" s="267"/>
      <c r="AA6" s="274"/>
      <c r="AB6" s="275"/>
    </row>
    <row r="7" spans="1:29" x14ac:dyDescent="0.3">
      <c r="A7" s="267"/>
      <c r="B7" s="267"/>
      <c r="C7" s="276"/>
      <c r="D7" s="4135"/>
      <c r="E7" s="4135"/>
      <c r="F7" s="4135"/>
      <c r="G7" s="4135"/>
      <c r="H7" s="4135"/>
      <c r="I7" s="4135"/>
      <c r="J7" s="4135"/>
      <c r="K7" s="4135"/>
      <c r="L7" s="4136"/>
      <c r="M7" s="276"/>
      <c r="N7" s="4137"/>
      <c r="O7" s="4137"/>
      <c r="P7" s="4137"/>
      <c r="Q7" s="4137"/>
      <c r="R7" s="4137"/>
      <c r="S7" s="4137"/>
      <c r="T7" s="4137"/>
      <c r="U7" s="4137"/>
      <c r="V7" s="4137"/>
      <c r="W7" s="4138"/>
      <c r="X7" s="267"/>
      <c r="Y7" s="267"/>
      <c r="Z7" s="267"/>
      <c r="AA7" s="272" t="s">
        <v>444</v>
      </c>
      <c r="AB7" s="267"/>
    </row>
    <row r="8" spans="1:29" x14ac:dyDescent="0.3">
      <c r="A8" s="267"/>
      <c r="B8" s="4139" t="s">
        <v>445</v>
      </c>
      <c r="C8" s="4139"/>
      <c r="D8" s="4139"/>
      <c r="E8" s="4139"/>
      <c r="F8" s="4139"/>
      <c r="G8" s="4140"/>
      <c r="H8" s="4140"/>
      <c r="I8" s="4140"/>
      <c r="J8" s="4140"/>
      <c r="K8" s="4140"/>
      <c r="L8" s="4140"/>
      <c r="M8" s="4140"/>
      <c r="N8" s="4140"/>
      <c r="O8" s="4142" t="s">
        <v>446</v>
      </c>
      <c r="P8" s="4143"/>
      <c r="Q8" s="4144" t="s">
        <v>447</v>
      </c>
      <c r="R8" s="4144"/>
      <c r="S8" s="4144"/>
      <c r="T8" s="4144"/>
      <c r="U8" s="277" t="s">
        <v>448</v>
      </c>
      <c r="V8" s="4146" t="s">
        <v>449</v>
      </c>
      <c r="W8" s="4146"/>
      <c r="X8" s="267"/>
      <c r="Y8" s="267"/>
      <c r="Z8" s="267"/>
      <c r="AA8" s="274"/>
      <c r="AB8" s="267"/>
    </row>
    <row r="9" spans="1:29" x14ac:dyDescent="0.3">
      <c r="A9" s="267"/>
      <c r="B9" s="4139" t="s">
        <v>450</v>
      </c>
      <c r="C9" s="4139"/>
      <c r="D9" s="4139"/>
      <c r="E9" s="4139"/>
      <c r="F9" s="4139"/>
      <c r="G9" s="4141"/>
      <c r="H9" s="4141"/>
      <c r="I9" s="4141"/>
      <c r="J9" s="4141"/>
      <c r="K9" s="4141"/>
      <c r="L9" s="4141"/>
      <c r="M9" s="4141"/>
      <c r="N9" s="4141"/>
      <c r="O9" s="267"/>
      <c r="P9" s="267"/>
      <c r="Q9" s="4145"/>
      <c r="R9" s="4145"/>
      <c r="S9" s="4145"/>
      <c r="T9" s="4145"/>
      <c r="U9" s="267"/>
      <c r="V9" s="267"/>
      <c r="W9" s="267"/>
      <c r="X9" s="267"/>
      <c r="Y9" s="267"/>
      <c r="Z9" s="267"/>
      <c r="AA9" s="272" t="s">
        <v>451</v>
      </c>
      <c r="AB9" s="267"/>
    </row>
    <row r="10" spans="1:29" x14ac:dyDescent="0.3">
      <c r="A10" s="267"/>
      <c r="B10" s="278"/>
      <c r="C10" s="278"/>
      <c r="D10" s="278"/>
      <c r="E10" s="278"/>
      <c r="F10" s="278"/>
      <c r="G10" s="278"/>
      <c r="H10" s="278"/>
      <c r="I10" s="278"/>
      <c r="J10" s="278"/>
      <c r="K10" s="278"/>
      <c r="L10" s="278"/>
      <c r="M10" s="278"/>
      <c r="N10" s="278"/>
      <c r="O10" s="278"/>
      <c r="P10" s="278"/>
      <c r="Q10" s="278"/>
      <c r="R10" s="278"/>
      <c r="S10" s="279"/>
      <c r="T10" s="279"/>
      <c r="U10" s="279"/>
      <c r="V10" s="279"/>
      <c r="W10" s="279"/>
      <c r="X10" s="279"/>
      <c r="Y10" s="279"/>
      <c r="Z10" s="279"/>
      <c r="AA10" s="280"/>
      <c r="AB10" s="281"/>
    </row>
    <row r="11" spans="1:29" ht="15.75" customHeight="1" x14ac:dyDescent="0.3">
      <c r="A11" s="267"/>
      <c r="B11" s="4114" t="s">
        <v>452</v>
      </c>
      <c r="C11" s="4203"/>
      <c r="D11" s="4204"/>
      <c r="E11" s="4204"/>
      <c r="F11" s="4204"/>
      <c r="G11" s="4204"/>
      <c r="H11" s="4204"/>
      <c r="I11" s="4204"/>
      <c r="J11" s="4204"/>
      <c r="K11" s="4204"/>
      <c r="L11" s="4204"/>
      <c r="M11" s="4204"/>
      <c r="N11" s="4204"/>
      <c r="O11" s="4204"/>
      <c r="P11" s="4204"/>
      <c r="Q11" s="4204"/>
      <c r="R11" s="4204"/>
      <c r="S11" s="4204"/>
      <c r="T11" s="4204"/>
      <c r="U11" s="4204"/>
      <c r="V11" s="4204"/>
      <c r="W11" s="4205"/>
      <c r="X11" s="267"/>
      <c r="Y11" s="267"/>
      <c r="Z11" s="267"/>
      <c r="AA11" s="267"/>
      <c r="AB11" s="267"/>
    </row>
    <row r="12" spans="1:29" ht="15.75" customHeight="1" x14ac:dyDescent="0.3">
      <c r="A12" s="267"/>
      <c r="B12" s="4115"/>
      <c r="C12" s="4206"/>
      <c r="D12" s="4207"/>
      <c r="E12" s="4207"/>
      <c r="F12" s="4207"/>
      <c r="G12" s="4207"/>
      <c r="H12" s="4207"/>
      <c r="I12" s="4207"/>
      <c r="J12" s="4207"/>
      <c r="K12" s="4207"/>
      <c r="L12" s="4207"/>
      <c r="M12" s="4207"/>
      <c r="N12" s="4207"/>
      <c r="O12" s="4207"/>
      <c r="P12" s="4207"/>
      <c r="Q12" s="4207"/>
      <c r="R12" s="4207"/>
      <c r="S12" s="4207"/>
      <c r="T12" s="4207"/>
      <c r="U12" s="4207"/>
      <c r="V12" s="4207"/>
      <c r="W12" s="4208"/>
      <c r="X12" s="267"/>
      <c r="Y12" s="267"/>
      <c r="Z12" s="267"/>
      <c r="AA12" s="267"/>
      <c r="AB12" s="267"/>
    </row>
    <row r="13" spans="1:29" ht="15.75" customHeight="1" x14ac:dyDescent="0.3">
      <c r="A13" s="267"/>
      <c r="B13" s="4115"/>
      <c r="C13" s="4206"/>
      <c r="D13" s="4207"/>
      <c r="E13" s="4207"/>
      <c r="F13" s="4207"/>
      <c r="G13" s="4207"/>
      <c r="H13" s="4207"/>
      <c r="I13" s="4207"/>
      <c r="J13" s="4207"/>
      <c r="K13" s="4207"/>
      <c r="L13" s="4207"/>
      <c r="M13" s="4207"/>
      <c r="N13" s="4207"/>
      <c r="O13" s="4207"/>
      <c r="P13" s="4207"/>
      <c r="Q13" s="4207"/>
      <c r="R13" s="4207"/>
      <c r="S13" s="4207"/>
      <c r="T13" s="4207"/>
      <c r="U13" s="4207"/>
      <c r="V13" s="4207"/>
      <c r="W13" s="4208"/>
      <c r="X13" s="267"/>
      <c r="Y13" s="267"/>
      <c r="Z13" s="267"/>
      <c r="AA13" s="267"/>
      <c r="AB13" s="267"/>
    </row>
    <row r="14" spans="1:29" ht="15.75" customHeight="1" x14ac:dyDescent="0.3">
      <c r="A14" s="267"/>
      <c r="B14" s="4115"/>
      <c r="C14" s="4209"/>
      <c r="D14" s="4210"/>
      <c r="E14" s="4210"/>
      <c r="F14" s="4210"/>
      <c r="G14" s="4210"/>
      <c r="H14" s="4210"/>
      <c r="I14" s="4210"/>
      <c r="J14" s="4210"/>
      <c r="K14" s="4210"/>
      <c r="L14" s="4210"/>
      <c r="M14" s="4210"/>
      <c r="N14" s="4210"/>
      <c r="O14" s="4210"/>
      <c r="P14" s="4210"/>
      <c r="Q14" s="4210"/>
      <c r="R14" s="4210"/>
      <c r="S14" s="4210"/>
      <c r="T14" s="4210"/>
      <c r="U14" s="4210"/>
      <c r="V14" s="4210"/>
      <c r="W14" s="4211"/>
      <c r="X14" s="267"/>
      <c r="Y14" s="267"/>
      <c r="Z14" s="267"/>
      <c r="AA14" s="267"/>
      <c r="AB14" s="267"/>
    </row>
    <row r="15" spans="1:29" ht="15.75" customHeight="1" thickBot="1" x14ac:dyDescent="0.35">
      <c r="A15" s="282" t="s">
        <v>454</v>
      </c>
      <c r="B15" s="283"/>
      <c r="C15" s="283"/>
      <c r="D15" s="284"/>
      <c r="E15" s="284"/>
      <c r="F15" s="284"/>
      <c r="G15" s="284"/>
      <c r="H15" s="284"/>
      <c r="I15" s="284"/>
      <c r="J15" s="284"/>
      <c r="K15" s="284"/>
      <c r="L15" s="284"/>
      <c r="M15" s="284"/>
      <c r="N15" s="284"/>
      <c r="O15" s="284"/>
      <c r="P15" s="284"/>
      <c r="Q15" s="284"/>
      <c r="R15" s="284"/>
      <c r="S15" s="284"/>
      <c r="T15" s="284"/>
      <c r="U15" s="284"/>
      <c r="V15" s="284"/>
      <c r="W15" s="284"/>
      <c r="X15" s="284"/>
      <c r="Y15" s="284"/>
      <c r="Z15" s="284"/>
      <c r="AA15" s="285"/>
      <c r="AB15" s="176"/>
    </row>
    <row r="16" spans="1:29" s="292" customFormat="1" ht="33" x14ac:dyDescent="0.2">
      <c r="A16" s="286" t="s">
        <v>455</v>
      </c>
      <c r="B16" s="286" t="s">
        <v>16</v>
      </c>
      <c r="C16" s="286" t="s">
        <v>531</v>
      </c>
      <c r="D16" s="286" t="s">
        <v>532</v>
      </c>
      <c r="E16" s="286" t="s">
        <v>499</v>
      </c>
      <c r="F16" s="286" t="s">
        <v>533</v>
      </c>
      <c r="G16" s="286" t="s">
        <v>460</v>
      </c>
      <c r="H16" s="286" t="s">
        <v>461</v>
      </c>
      <c r="I16" s="286" t="s">
        <v>462</v>
      </c>
      <c r="J16" s="4097" t="s">
        <v>463</v>
      </c>
      <c r="K16" s="4097"/>
      <c r="L16" s="4097" t="s">
        <v>464</v>
      </c>
      <c r="M16" s="4098"/>
      <c r="N16" s="288" t="s">
        <v>465</v>
      </c>
      <c r="O16" s="288" t="s">
        <v>466</v>
      </c>
      <c r="P16" s="288" t="s">
        <v>467</v>
      </c>
      <c r="Q16" s="288" t="s">
        <v>468</v>
      </c>
      <c r="R16" s="288" t="s">
        <v>469</v>
      </c>
      <c r="S16" s="288" t="s">
        <v>470</v>
      </c>
      <c r="T16" s="4102" t="s">
        <v>471</v>
      </c>
      <c r="U16" s="4103"/>
      <c r="V16" s="286" t="s">
        <v>472</v>
      </c>
      <c r="W16" s="286" t="s">
        <v>473</v>
      </c>
      <c r="X16" s="286" t="s">
        <v>474</v>
      </c>
      <c r="Y16" s="286" t="s">
        <v>133</v>
      </c>
      <c r="Z16" s="288" t="s">
        <v>475</v>
      </c>
      <c r="AA16" s="289" t="s">
        <v>476</v>
      </c>
      <c r="AB16" s="290" t="s">
        <v>477</v>
      </c>
      <c r="AC16" s="291"/>
    </row>
    <row r="17" spans="1:29" s="306" customFormat="1" ht="32.25" customHeight="1" x14ac:dyDescent="0.3">
      <c r="A17" s="293" t="s">
        <v>92</v>
      </c>
      <c r="B17" s="293" t="s">
        <v>92</v>
      </c>
      <c r="C17" s="293" t="s">
        <v>971</v>
      </c>
      <c r="D17" s="294">
        <v>16</v>
      </c>
      <c r="E17" s="293" t="s">
        <v>479</v>
      </c>
      <c r="F17" s="295" t="s">
        <v>480</v>
      </c>
      <c r="G17" s="293" t="s">
        <v>481</v>
      </c>
      <c r="H17" s="293" t="s">
        <v>482</v>
      </c>
      <c r="I17" s="296" t="s">
        <v>483</v>
      </c>
      <c r="J17" s="4110">
        <v>30</v>
      </c>
      <c r="K17" s="4111"/>
      <c r="L17" s="4112">
        <v>80</v>
      </c>
      <c r="M17" s="4110"/>
      <c r="N17" s="297" t="s">
        <v>484</v>
      </c>
      <c r="O17" s="298" t="s">
        <v>485</v>
      </c>
      <c r="P17" s="299" t="s">
        <v>486</v>
      </c>
      <c r="Q17" s="298" t="s">
        <v>487</v>
      </c>
      <c r="R17" s="300" t="s">
        <v>78</v>
      </c>
      <c r="S17" s="301" t="s">
        <v>488</v>
      </c>
      <c r="T17" s="4113" t="s">
        <v>489</v>
      </c>
      <c r="U17" s="4108"/>
      <c r="V17" s="302" t="s">
        <v>490</v>
      </c>
      <c r="W17" s="294">
        <v>4</v>
      </c>
      <c r="X17" s="293" t="s">
        <v>486</v>
      </c>
      <c r="Y17" s="293" t="s">
        <v>491</v>
      </c>
      <c r="Z17" s="300"/>
      <c r="AA17" s="303"/>
      <c r="AB17" s="304"/>
      <c r="AC17" s="305"/>
    </row>
    <row r="18" spans="1:29" s="319" customFormat="1" ht="15.6" x14ac:dyDescent="0.3">
      <c r="A18" s="307"/>
      <c r="B18" s="308"/>
      <c r="C18" s="308"/>
      <c r="D18" s="309"/>
      <c r="E18" s="308"/>
      <c r="F18" s="310" t="s">
        <v>492</v>
      </c>
      <c r="G18" s="4099" t="s">
        <v>493</v>
      </c>
      <c r="H18" s="4100"/>
      <c r="I18" s="311" t="s">
        <v>494</v>
      </c>
      <c r="J18" s="4101" t="s">
        <v>463</v>
      </c>
      <c r="K18" s="4101"/>
      <c r="L18" s="4101" t="s">
        <v>464</v>
      </c>
      <c r="M18" s="4101"/>
      <c r="N18" s="311" t="s">
        <v>495</v>
      </c>
      <c r="O18" s="4101" t="s">
        <v>467</v>
      </c>
      <c r="P18" s="4101"/>
      <c r="Q18" s="4101" t="s">
        <v>496</v>
      </c>
      <c r="R18" s="4101"/>
      <c r="S18" s="312" t="s">
        <v>497</v>
      </c>
      <c r="T18" s="313" t="s">
        <v>498</v>
      </c>
      <c r="U18" s="313" t="s">
        <v>499</v>
      </c>
      <c r="V18" s="311" t="s">
        <v>500</v>
      </c>
      <c r="W18" s="314" t="s">
        <v>501</v>
      </c>
      <c r="X18" s="314" t="s">
        <v>502</v>
      </c>
      <c r="Y18" s="314" t="s">
        <v>503</v>
      </c>
      <c r="Z18" s="315" t="s">
        <v>504</v>
      </c>
      <c r="AA18" s="316" t="s">
        <v>476</v>
      </c>
      <c r="AB18" s="317"/>
      <c r="AC18" s="318"/>
    </row>
    <row r="19" spans="1:29" ht="25.5" customHeight="1" x14ac:dyDescent="0.3">
      <c r="A19" s="4092"/>
      <c r="B19" s="4092"/>
      <c r="C19" s="293" t="s">
        <v>505</v>
      </c>
      <c r="D19" s="4093"/>
      <c r="E19" s="4093"/>
      <c r="F19" s="320"/>
      <c r="G19" s="4094"/>
      <c r="H19" s="4095"/>
      <c r="I19" s="321" t="s">
        <v>506</v>
      </c>
      <c r="J19" s="4096"/>
      <c r="K19" s="4096"/>
      <c r="L19" s="4096"/>
      <c r="M19" s="4096"/>
      <c r="N19" s="320"/>
      <c r="O19" s="4091"/>
      <c r="P19" s="4091"/>
      <c r="Q19" s="4091" t="s">
        <v>507</v>
      </c>
      <c r="R19" s="4091"/>
      <c r="S19" s="293" t="s">
        <v>508</v>
      </c>
      <c r="T19" s="293" t="s">
        <v>481</v>
      </c>
      <c r="U19" s="293" t="s">
        <v>509</v>
      </c>
      <c r="V19" s="320"/>
      <c r="W19" s="320"/>
      <c r="X19" s="320"/>
      <c r="Y19" s="320"/>
      <c r="Z19" s="322"/>
      <c r="AA19" s="303"/>
      <c r="AB19" s="323"/>
      <c r="AC19" s="324"/>
    </row>
    <row r="20" spans="1:29" x14ac:dyDescent="0.3">
      <c r="A20" s="325"/>
      <c r="B20" s="326"/>
      <c r="C20" s="326"/>
      <c r="D20" s="327" t="s">
        <v>510</v>
      </c>
      <c r="E20" s="327"/>
      <c r="F20" s="328" t="s">
        <v>511</v>
      </c>
      <c r="G20" s="4078" t="str">
        <f>IF(I17="SK","See Elevation Form","")</f>
        <v/>
      </c>
      <c r="H20" s="4079"/>
      <c r="I20" s="4080"/>
      <c r="J20" s="4081" t="s">
        <v>512</v>
      </c>
      <c r="K20" s="4081"/>
      <c r="L20" s="4081" t="s">
        <v>513</v>
      </c>
      <c r="M20" s="4081"/>
      <c r="N20" s="328" t="s">
        <v>511</v>
      </c>
      <c r="O20" s="4081" t="s">
        <v>514</v>
      </c>
      <c r="P20" s="4081"/>
      <c r="Q20" s="4081" t="s">
        <v>515</v>
      </c>
      <c r="R20" s="4081"/>
      <c r="S20" s="4061" t="s">
        <v>516</v>
      </c>
      <c r="T20" s="4061"/>
      <c r="U20" s="4061"/>
      <c r="V20" s="4062" t="s">
        <v>517</v>
      </c>
      <c r="W20" s="4062"/>
      <c r="X20" s="4062"/>
      <c r="Y20" s="4062"/>
      <c r="Z20" s="4063"/>
      <c r="AA20" s="316" t="s">
        <v>476</v>
      </c>
      <c r="AB20" s="323"/>
    </row>
    <row r="21" spans="1:29" ht="18" customHeight="1" x14ac:dyDescent="0.3">
      <c r="A21" s="4064" t="s">
        <v>518</v>
      </c>
      <c r="B21" s="4065"/>
      <c r="C21" s="4065"/>
      <c r="D21" s="329" t="s">
        <v>519</v>
      </c>
      <c r="E21" s="330"/>
      <c r="F21" s="330"/>
      <c r="G21" s="330"/>
      <c r="H21" s="330"/>
      <c r="I21" s="331"/>
      <c r="J21" s="330"/>
      <c r="K21" s="332"/>
      <c r="L21" s="4068" t="s">
        <v>520</v>
      </c>
      <c r="M21" s="333" t="s">
        <v>521</v>
      </c>
      <c r="N21" s="4070" t="s">
        <v>85</v>
      </c>
      <c r="O21" s="4070"/>
      <c r="P21" s="4070"/>
      <c r="Q21" s="4070"/>
      <c r="R21" s="4070"/>
      <c r="S21" s="333" t="s">
        <v>468</v>
      </c>
      <c r="T21" s="4071"/>
      <c r="U21" s="4072"/>
      <c r="V21" s="4072"/>
      <c r="W21" s="4072"/>
      <c r="X21" s="4073"/>
      <c r="Y21" s="335" t="s">
        <v>522</v>
      </c>
      <c r="Z21" s="300" t="s">
        <v>523</v>
      </c>
      <c r="AA21" s="303"/>
      <c r="AB21" s="323"/>
      <c r="AC21" s="263">
        <v>0</v>
      </c>
    </row>
    <row r="22" spans="1:29" ht="18" customHeight="1" x14ac:dyDescent="0.3">
      <c r="A22" s="4074"/>
      <c r="B22" s="4075"/>
      <c r="C22" s="4075"/>
      <c r="D22" s="336"/>
      <c r="E22" s="334"/>
      <c r="F22" s="334"/>
      <c r="G22" s="334"/>
      <c r="H22" s="334"/>
      <c r="I22" s="337"/>
      <c r="J22" s="334"/>
      <c r="K22" s="334"/>
      <c r="L22" s="4068"/>
      <c r="M22" s="333" t="s">
        <v>524</v>
      </c>
      <c r="N22" s="4070" t="s">
        <v>525</v>
      </c>
      <c r="O22" s="4070"/>
      <c r="P22" s="4070"/>
      <c r="Q22" s="4070"/>
      <c r="R22" s="4070"/>
      <c r="S22" s="333" t="s">
        <v>526</v>
      </c>
      <c r="T22" s="4070"/>
      <c r="U22" s="4070"/>
      <c r="V22" s="4070"/>
      <c r="W22" s="4070"/>
      <c r="X22" s="4070"/>
      <c r="Y22" s="338"/>
      <c r="Z22" s="4082"/>
      <c r="AA22" s="4083"/>
      <c r="AB22" s="323"/>
      <c r="AC22" s="263">
        <v>0</v>
      </c>
    </row>
    <row r="23" spans="1:29" ht="18" customHeight="1" x14ac:dyDescent="0.3">
      <c r="A23" s="4074"/>
      <c r="B23" s="4075"/>
      <c r="C23" s="4075"/>
      <c r="D23" s="336"/>
      <c r="E23" s="334"/>
      <c r="F23" s="334"/>
      <c r="G23" s="334"/>
      <c r="H23" s="334"/>
      <c r="I23" s="337"/>
      <c r="J23" s="334"/>
      <c r="K23" s="334"/>
      <c r="L23" s="4068"/>
      <c r="M23" s="333" t="s">
        <v>527</v>
      </c>
      <c r="N23" s="4070" t="s">
        <v>528</v>
      </c>
      <c r="O23" s="4070"/>
      <c r="P23" s="4070"/>
      <c r="Q23" s="4070"/>
      <c r="R23" s="4070"/>
      <c r="S23" s="333" t="s">
        <v>133</v>
      </c>
      <c r="T23" s="4070"/>
      <c r="U23" s="4070"/>
      <c r="V23" s="4070"/>
      <c r="W23" s="4070"/>
      <c r="X23" s="4070"/>
      <c r="Y23" s="338" t="e">
        <v>#N/A</v>
      </c>
      <c r="Z23" s="4084"/>
      <c r="AA23" s="4085"/>
      <c r="AB23" s="323"/>
      <c r="AC23" s="263">
        <v>0</v>
      </c>
    </row>
    <row r="24" spans="1:29" ht="18" customHeight="1" thickBot="1" x14ac:dyDescent="0.35">
      <c r="A24" s="4076"/>
      <c r="B24" s="4077"/>
      <c r="C24" s="4077"/>
      <c r="D24" s="4086"/>
      <c r="E24" s="4086"/>
      <c r="F24" s="4086"/>
      <c r="G24" s="4086"/>
      <c r="H24" s="4086"/>
      <c r="I24" s="4086"/>
      <c r="J24" s="4086"/>
      <c r="K24" s="4088"/>
      <c r="L24" s="4069"/>
      <c r="M24" s="339" t="s">
        <v>529</v>
      </c>
      <c r="N24" s="4087" t="s">
        <v>530</v>
      </c>
      <c r="O24" s="4086"/>
      <c r="P24" s="4086"/>
      <c r="Q24" s="4086"/>
      <c r="R24" s="4088"/>
      <c r="S24" s="339" t="s">
        <v>475</v>
      </c>
      <c r="T24" s="4087"/>
      <c r="U24" s="4086"/>
      <c r="V24" s="4086"/>
      <c r="W24" s="4086"/>
      <c r="X24" s="4088"/>
      <c r="Y24" s="340" t="e">
        <v>#N/A</v>
      </c>
      <c r="Z24" s="4089"/>
      <c r="AA24" s="4090"/>
      <c r="AB24" s="341"/>
    </row>
    <row r="25" spans="1:29" s="292" customFormat="1" ht="36" customHeight="1" x14ac:dyDescent="0.2">
      <c r="A25" s="286" t="s">
        <v>455</v>
      </c>
      <c r="B25" s="286" t="s">
        <v>16</v>
      </c>
      <c r="C25" s="286" t="s">
        <v>531</v>
      </c>
      <c r="D25" s="286" t="s">
        <v>532</v>
      </c>
      <c r="E25" s="286" t="s">
        <v>499</v>
      </c>
      <c r="F25" s="286" t="s">
        <v>533</v>
      </c>
      <c r="G25" s="286" t="s">
        <v>460</v>
      </c>
      <c r="H25" s="286" t="s">
        <v>461</v>
      </c>
      <c r="I25" s="286" t="s">
        <v>462</v>
      </c>
      <c r="J25" s="4097" t="s">
        <v>463</v>
      </c>
      <c r="K25" s="4097"/>
      <c r="L25" s="4097" t="s">
        <v>464</v>
      </c>
      <c r="M25" s="4098"/>
      <c r="N25" s="288" t="s">
        <v>465</v>
      </c>
      <c r="O25" s="288" t="s">
        <v>466</v>
      </c>
      <c r="P25" s="288" t="s">
        <v>467</v>
      </c>
      <c r="Q25" s="288" t="s">
        <v>468</v>
      </c>
      <c r="R25" s="288" t="s">
        <v>469</v>
      </c>
      <c r="S25" s="288" t="s">
        <v>470</v>
      </c>
      <c r="T25" s="4102" t="s">
        <v>471</v>
      </c>
      <c r="U25" s="4103"/>
      <c r="V25" s="286" t="s">
        <v>472</v>
      </c>
      <c r="W25" s="286" t="s">
        <v>473</v>
      </c>
      <c r="X25" s="286" t="s">
        <v>474</v>
      </c>
      <c r="Y25" s="286" t="s">
        <v>133</v>
      </c>
      <c r="Z25" s="288" t="s">
        <v>475</v>
      </c>
      <c r="AA25" s="289" t="s">
        <v>476</v>
      </c>
      <c r="AB25" s="290" t="s">
        <v>477</v>
      </c>
      <c r="AC25" s="291"/>
    </row>
    <row r="26" spans="1:29" s="306" customFormat="1" ht="32.25" customHeight="1" x14ac:dyDescent="0.3">
      <c r="A26" s="293" t="s">
        <v>534</v>
      </c>
      <c r="B26" s="293" t="s">
        <v>92</v>
      </c>
      <c r="C26" s="293" t="s">
        <v>535</v>
      </c>
      <c r="D26" s="294">
        <v>16</v>
      </c>
      <c r="E26" s="293" t="s">
        <v>479</v>
      </c>
      <c r="F26" s="295" t="s">
        <v>480</v>
      </c>
      <c r="G26" s="293" t="s">
        <v>536</v>
      </c>
      <c r="H26" s="293" t="s">
        <v>537</v>
      </c>
      <c r="I26" s="296" t="s">
        <v>483</v>
      </c>
      <c r="J26" s="4110">
        <v>20</v>
      </c>
      <c r="K26" s="4111"/>
      <c r="L26" s="4112">
        <v>80</v>
      </c>
      <c r="M26" s="4110"/>
      <c r="N26" s="297" t="s">
        <v>484</v>
      </c>
      <c r="O26" s="298">
        <v>478</v>
      </c>
      <c r="P26" s="299" t="s">
        <v>486</v>
      </c>
      <c r="Q26" s="298"/>
      <c r="R26" s="300" t="s">
        <v>538</v>
      </c>
      <c r="S26" s="301" t="s">
        <v>488</v>
      </c>
      <c r="T26" s="4113" t="s">
        <v>489</v>
      </c>
      <c r="U26" s="4108"/>
      <c r="V26" s="302">
        <v>450</v>
      </c>
      <c r="W26" s="294">
        <v>4</v>
      </c>
      <c r="X26" s="293" t="s">
        <v>486</v>
      </c>
      <c r="Y26" s="293" t="s">
        <v>491</v>
      </c>
      <c r="Z26" s="300" t="s">
        <v>539</v>
      </c>
      <c r="AA26" s="303"/>
      <c r="AB26" s="304"/>
      <c r="AC26" s="305"/>
    </row>
    <row r="27" spans="1:29" s="319" customFormat="1" ht="15.6" x14ac:dyDescent="0.3">
      <c r="A27" s="307"/>
      <c r="B27" s="308"/>
      <c r="C27" s="308"/>
      <c r="D27" s="309"/>
      <c r="E27" s="308"/>
      <c r="F27" s="310" t="s">
        <v>492</v>
      </c>
      <c r="G27" s="4099" t="s">
        <v>493</v>
      </c>
      <c r="H27" s="4100"/>
      <c r="I27" s="311" t="s">
        <v>494</v>
      </c>
      <c r="J27" s="4101" t="s">
        <v>463</v>
      </c>
      <c r="K27" s="4101"/>
      <c r="L27" s="4101" t="s">
        <v>464</v>
      </c>
      <c r="M27" s="4101"/>
      <c r="N27" s="311" t="s">
        <v>495</v>
      </c>
      <c r="O27" s="4101" t="s">
        <v>467</v>
      </c>
      <c r="P27" s="4101"/>
      <c r="Q27" s="4101" t="s">
        <v>496</v>
      </c>
      <c r="R27" s="4101"/>
      <c r="S27" s="312" t="s">
        <v>497</v>
      </c>
      <c r="T27" s="313" t="s">
        <v>498</v>
      </c>
      <c r="U27" s="313" t="s">
        <v>499</v>
      </c>
      <c r="V27" s="311" t="s">
        <v>500</v>
      </c>
      <c r="W27" s="314" t="s">
        <v>501</v>
      </c>
      <c r="X27" s="314" t="s">
        <v>502</v>
      </c>
      <c r="Y27" s="314" t="s">
        <v>503</v>
      </c>
      <c r="Z27" s="315" t="s">
        <v>504</v>
      </c>
      <c r="AA27" s="316" t="s">
        <v>476</v>
      </c>
      <c r="AB27" s="317"/>
      <c r="AC27" s="318"/>
    </row>
    <row r="28" spans="1:29" ht="25.5" customHeight="1" x14ac:dyDescent="0.3">
      <c r="A28" s="4092" t="s">
        <v>540</v>
      </c>
      <c r="B28" s="4092"/>
      <c r="C28" s="293" t="s">
        <v>505</v>
      </c>
      <c r="D28" s="4093" t="s">
        <v>541</v>
      </c>
      <c r="E28" s="4093"/>
      <c r="F28" s="320"/>
      <c r="G28" s="4094"/>
      <c r="H28" s="4095"/>
      <c r="I28" s="321"/>
      <c r="J28" s="4096">
        <v>36</v>
      </c>
      <c r="K28" s="4096"/>
      <c r="L28" s="4096" t="s">
        <v>542</v>
      </c>
      <c r="M28" s="4096"/>
      <c r="N28" s="320"/>
      <c r="O28" s="4091"/>
      <c r="P28" s="4091"/>
      <c r="Q28" s="4091" t="s">
        <v>507</v>
      </c>
      <c r="R28" s="4091"/>
      <c r="S28" s="293" t="s">
        <v>508</v>
      </c>
      <c r="T28" s="293" t="s">
        <v>481</v>
      </c>
      <c r="U28" s="293" t="s">
        <v>509</v>
      </c>
      <c r="V28" s="320"/>
      <c r="W28" s="320"/>
      <c r="X28" s="320"/>
      <c r="Y28" s="320"/>
      <c r="Z28" s="322"/>
      <c r="AA28" s="303"/>
      <c r="AB28" s="323"/>
      <c r="AC28" s="324"/>
    </row>
    <row r="29" spans="1:29" x14ac:dyDescent="0.3">
      <c r="A29" s="325"/>
      <c r="B29" s="326"/>
      <c r="C29" s="326"/>
      <c r="D29" s="327" t="s">
        <v>510</v>
      </c>
      <c r="E29" s="327"/>
      <c r="F29" s="328" t="s">
        <v>511</v>
      </c>
      <c r="G29" s="4078" t="str">
        <f>IF(I26="SK","See Elevation Form","")</f>
        <v/>
      </c>
      <c r="H29" s="4079"/>
      <c r="I29" s="4080"/>
      <c r="J29" s="4081" t="s">
        <v>512</v>
      </c>
      <c r="K29" s="4081"/>
      <c r="L29" s="4081" t="s">
        <v>513</v>
      </c>
      <c r="M29" s="4081"/>
      <c r="N29" s="328" t="s">
        <v>511</v>
      </c>
      <c r="O29" s="4081" t="s">
        <v>514</v>
      </c>
      <c r="P29" s="4081"/>
      <c r="Q29" s="4081" t="s">
        <v>515</v>
      </c>
      <c r="R29" s="4081"/>
      <c r="S29" s="4061" t="s">
        <v>516</v>
      </c>
      <c r="T29" s="4061"/>
      <c r="U29" s="4061"/>
      <c r="V29" s="4062" t="s">
        <v>517</v>
      </c>
      <c r="W29" s="4062"/>
      <c r="X29" s="4062"/>
      <c r="Y29" s="4062"/>
      <c r="Z29" s="4063"/>
      <c r="AA29" s="316" t="s">
        <v>476</v>
      </c>
      <c r="AB29" s="323"/>
    </row>
    <row r="30" spans="1:29" ht="18" customHeight="1" x14ac:dyDescent="0.3">
      <c r="A30" s="4064" t="s">
        <v>518</v>
      </c>
      <c r="B30" s="4065"/>
      <c r="C30" s="4065"/>
      <c r="D30" s="4066"/>
      <c r="E30" s="4066"/>
      <c r="F30" s="4066"/>
      <c r="G30" s="4066"/>
      <c r="H30" s="4066"/>
      <c r="I30" s="4066"/>
      <c r="J30" s="4066"/>
      <c r="K30" s="4067"/>
      <c r="L30" s="4068" t="s">
        <v>520</v>
      </c>
      <c r="M30" s="333" t="s">
        <v>521</v>
      </c>
      <c r="N30" s="4070"/>
      <c r="O30" s="4070"/>
      <c r="P30" s="4070"/>
      <c r="Q30" s="4070"/>
      <c r="R30" s="4070"/>
      <c r="S30" s="333" t="s">
        <v>468</v>
      </c>
      <c r="T30" s="4071"/>
      <c r="U30" s="4072"/>
      <c r="V30" s="4072"/>
      <c r="W30" s="4072"/>
      <c r="X30" s="4073"/>
      <c r="Y30" s="335" t="s">
        <v>522</v>
      </c>
      <c r="Z30" s="300" t="s">
        <v>523</v>
      </c>
      <c r="AA30" s="303"/>
      <c r="AB30" s="323"/>
      <c r="AC30" s="263">
        <v>0</v>
      </c>
    </row>
    <row r="31" spans="1:29" ht="18" customHeight="1" x14ac:dyDescent="0.3">
      <c r="A31" s="4074"/>
      <c r="B31" s="4075"/>
      <c r="C31" s="4075"/>
      <c r="D31" s="329" t="s">
        <v>519</v>
      </c>
      <c r="E31" s="334"/>
      <c r="F31" s="334"/>
      <c r="G31" s="334"/>
      <c r="H31" s="334"/>
      <c r="I31" s="337"/>
      <c r="J31" s="342"/>
      <c r="K31" s="342"/>
      <c r="L31" s="4068"/>
      <c r="M31" s="333" t="s">
        <v>524</v>
      </c>
      <c r="N31" s="4070"/>
      <c r="O31" s="4070"/>
      <c r="P31" s="4070"/>
      <c r="Q31" s="4070"/>
      <c r="R31" s="4070"/>
      <c r="S31" s="333" t="s">
        <v>526</v>
      </c>
      <c r="T31" s="4070"/>
      <c r="U31" s="4070"/>
      <c r="V31" s="4070"/>
      <c r="W31" s="4070"/>
      <c r="X31" s="4070"/>
      <c r="Y31" s="338"/>
      <c r="Z31" s="4082"/>
      <c r="AA31" s="4083"/>
      <c r="AB31" s="323"/>
      <c r="AC31" s="263">
        <v>0</v>
      </c>
    </row>
    <row r="32" spans="1:29" ht="18" customHeight="1" x14ac:dyDescent="0.3">
      <c r="A32" s="4074"/>
      <c r="B32" s="4075"/>
      <c r="C32" s="4075"/>
      <c r="D32" s="4070"/>
      <c r="E32" s="4070"/>
      <c r="F32" s="4070"/>
      <c r="G32" s="4070"/>
      <c r="H32" s="4070"/>
      <c r="I32" s="4070"/>
      <c r="J32" s="4070"/>
      <c r="K32" s="4070"/>
      <c r="L32" s="4068"/>
      <c r="M32" s="333" t="s">
        <v>527</v>
      </c>
      <c r="N32" s="4070"/>
      <c r="O32" s="4070"/>
      <c r="P32" s="4070"/>
      <c r="Q32" s="4070"/>
      <c r="R32" s="4070"/>
      <c r="S32" s="333" t="s">
        <v>133</v>
      </c>
      <c r="T32" s="4070"/>
      <c r="U32" s="4070"/>
      <c r="V32" s="4070"/>
      <c r="W32" s="4070"/>
      <c r="X32" s="4070"/>
      <c r="Y32" s="338"/>
      <c r="Z32" s="4084"/>
      <c r="AA32" s="4085"/>
      <c r="AB32" s="323"/>
      <c r="AC32" s="263">
        <v>0</v>
      </c>
    </row>
    <row r="33" spans="1:29" s="344" customFormat="1" ht="18" customHeight="1" thickBot="1" x14ac:dyDescent="0.35">
      <c r="A33" s="4076"/>
      <c r="B33" s="4077"/>
      <c r="C33" s="4077"/>
      <c r="D33" s="4086"/>
      <c r="E33" s="4086"/>
      <c r="F33" s="4086"/>
      <c r="G33" s="4086"/>
      <c r="H33" s="4086"/>
      <c r="I33" s="4086"/>
      <c r="J33" s="4086"/>
      <c r="K33" s="4088"/>
      <c r="L33" s="4069"/>
      <c r="M33" s="339" t="s">
        <v>529</v>
      </c>
      <c r="N33" s="4087"/>
      <c r="O33" s="4086"/>
      <c r="P33" s="4086"/>
      <c r="Q33" s="4086"/>
      <c r="R33" s="4088"/>
      <c r="S33" s="339" t="s">
        <v>475</v>
      </c>
      <c r="T33" s="4087"/>
      <c r="U33" s="4086"/>
      <c r="V33" s="4086"/>
      <c r="W33" s="4086"/>
      <c r="X33" s="4088"/>
      <c r="Y33" s="340" t="e">
        <v>#N/A</v>
      </c>
      <c r="Z33" s="4089"/>
      <c r="AA33" s="4090"/>
      <c r="AB33" s="341"/>
      <c r="AC33" s="343"/>
    </row>
    <row r="34" spans="1:29" s="292" customFormat="1" ht="36" customHeight="1" x14ac:dyDescent="0.2">
      <c r="A34" s="286" t="s">
        <v>455</v>
      </c>
      <c r="B34" s="286" t="s">
        <v>16</v>
      </c>
      <c r="C34" s="286" t="s">
        <v>531</v>
      </c>
      <c r="D34" s="286" t="s">
        <v>532</v>
      </c>
      <c r="E34" s="286" t="s">
        <v>499</v>
      </c>
      <c r="F34" s="286" t="s">
        <v>533</v>
      </c>
      <c r="G34" s="286" t="s">
        <v>460</v>
      </c>
      <c r="H34" s="286" t="s">
        <v>461</v>
      </c>
      <c r="I34" s="286" t="s">
        <v>462</v>
      </c>
      <c r="J34" s="4097" t="s">
        <v>463</v>
      </c>
      <c r="K34" s="4097"/>
      <c r="L34" s="4097" t="s">
        <v>464</v>
      </c>
      <c r="M34" s="4098"/>
      <c r="N34" s="288" t="s">
        <v>465</v>
      </c>
      <c r="O34" s="288" t="s">
        <v>466</v>
      </c>
      <c r="P34" s="288" t="s">
        <v>467</v>
      </c>
      <c r="Q34" s="288" t="s">
        <v>468</v>
      </c>
      <c r="R34" s="288" t="s">
        <v>469</v>
      </c>
      <c r="S34" s="288" t="s">
        <v>470</v>
      </c>
      <c r="T34" s="4102" t="s">
        <v>471</v>
      </c>
      <c r="U34" s="4103"/>
      <c r="V34" s="286" t="s">
        <v>472</v>
      </c>
      <c r="W34" s="286" t="s">
        <v>473</v>
      </c>
      <c r="X34" s="286" t="s">
        <v>474</v>
      </c>
      <c r="Y34" s="286" t="s">
        <v>133</v>
      </c>
      <c r="Z34" s="288" t="s">
        <v>475</v>
      </c>
      <c r="AA34" s="289" t="s">
        <v>476</v>
      </c>
      <c r="AB34" s="290" t="s">
        <v>477</v>
      </c>
      <c r="AC34" s="291"/>
    </row>
    <row r="35" spans="1:29" s="306" customFormat="1" ht="32.25" customHeight="1" x14ac:dyDescent="0.3">
      <c r="A35" s="293"/>
      <c r="B35" s="293"/>
      <c r="C35" s="293"/>
      <c r="D35" s="294"/>
      <c r="E35" s="293"/>
      <c r="F35" s="295"/>
      <c r="G35" s="293"/>
      <c r="H35" s="293"/>
      <c r="I35" s="296"/>
      <c r="J35" s="4104"/>
      <c r="K35" s="4105"/>
      <c r="L35" s="4106"/>
      <c r="M35" s="4107"/>
      <c r="N35" s="297"/>
      <c r="O35" s="298"/>
      <c r="P35" s="299"/>
      <c r="Q35" s="298"/>
      <c r="R35" s="300"/>
      <c r="S35" s="301"/>
      <c r="T35" s="4108"/>
      <c r="U35" s="4109"/>
      <c r="V35" s="302"/>
      <c r="W35" s="294"/>
      <c r="X35" s="293"/>
      <c r="Y35" s="293"/>
      <c r="Z35" s="300"/>
      <c r="AA35" s="303"/>
      <c r="AB35" s="304"/>
      <c r="AC35" s="305"/>
    </row>
    <row r="36" spans="1:29" s="319" customFormat="1" ht="15.6" x14ac:dyDescent="0.3">
      <c r="A36" s="307"/>
      <c r="B36" s="308"/>
      <c r="C36" s="308"/>
      <c r="D36" s="309"/>
      <c r="E36" s="308"/>
      <c r="F36" s="310" t="s">
        <v>492</v>
      </c>
      <c r="G36" s="4099" t="s">
        <v>493</v>
      </c>
      <c r="H36" s="4100"/>
      <c r="I36" s="311" t="s">
        <v>494</v>
      </c>
      <c r="J36" s="4101" t="s">
        <v>463</v>
      </c>
      <c r="K36" s="4101"/>
      <c r="L36" s="4101" t="s">
        <v>464</v>
      </c>
      <c r="M36" s="4101"/>
      <c r="N36" s="311" t="s">
        <v>495</v>
      </c>
      <c r="O36" s="4101" t="s">
        <v>467</v>
      </c>
      <c r="P36" s="4101"/>
      <c r="Q36" s="4101" t="s">
        <v>496</v>
      </c>
      <c r="R36" s="4101"/>
      <c r="S36" s="312" t="s">
        <v>497</v>
      </c>
      <c r="T36" s="313" t="s">
        <v>498</v>
      </c>
      <c r="U36" s="313" t="s">
        <v>499</v>
      </c>
      <c r="V36" s="311" t="s">
        <v>500</v>
      </c>
      <c r="W36" s="314" t="s">
        <v>501</v>
      </c>
      <c r="X36" s="314" t="s">
        <v>502</v>
      </c>
      <c r="Y36" s="314" t="s">
        <v>503</v>
      </c>
      <c r="Z36" s="315" t="s">
        <v>504</v>
      </c>
      <c r="AA36" s="316" t="s">
        <v>476</v>
      </c>
      <c r="AB36" s="317"/>
      <c r="AC36" s="318"/>
    </row>
    <row r="37" spans="1:29" ht="25.5" customHeight="1" x14ac:dyDescent="0.3">
      <c r="A37" s="4092" t="s">
        <v>540</v>
      </c>
      <c r="B37" s="4092"/>
      <c r="C37" s="293" t="s">
        <v>543</v>
      </c>
      <c r="D37" s="4093" t="s">
        <v>541</v>
      </c>
      <c r="E37" s="4093"/>
      <c r="F37" s="320"/>
      <c r="G37" s="4094"/>
      <c r="H37" s="4095"/>
      <c r="I37" s="321"/>
      <c r="J37" s="4096">
        <v>36</v>
      </c>
      <c r="K37" s="4096"/>
      <c r="L37" s="4096" t="s">
        <v>542</v>
      </c>
      <c r="M37" s="4096"/>
      <c r="N37" s="320"/>
      <c r="O37" s="4091"/>
      <c r="P37" s="4091"/>
      <c r="Q37" s="4091" t="s">
        <v>507</v>
      </c>
      <c r="R37" s="4091"/>
      <c r="S37" s="293"/>
      <c r="T37" s="293"/>
      <c r="U37" s="293"/>
      <c r="V37" s="320"/>
      <c r="W37" s="320"/>
      <c r="X37" s="320"/>
      <c r="Y37" s="320"/>
      <c r="Z37" s="322"/>
      <c r="AA37" s="303"/>
      <c r="AB37" s="323"/>
      <c r="AC37" s="324"/>
    </row>
    <row r="38" spans="1:29" x14ac:dyDescent="0.3">
      <c r="A38" s="325"/>
      <c r="B38" s="326"/>
      <c r="C38" s="326"/>
      <c r="D38" s="327" t="s">
        <v>510</v>
      </c>
      <c r="E38" s="327"/>
      <c r="F38" s="328" t="s">
        <v>511</v>
      </c>
      <c r="G38" s="4078" t="str">
        <f>IF(I35="SK","See Elevation Form","")</f>
        <v/>
      </c>
      <c r="H38" s="4079"/>
      <c r="I38" s="4080"/>
      <c r="J38" s="4081" t="s">
        <v>512</v>
      </c>
      <c r="K38" s="4081"/>
      <c r="L38" s="4081" t="s">
        <v>513</v>
      </c>
      <c r="M38" s="4081"/>
      <c r="N38" s="328" t="s">
        <v>511</v>
      </c>
      <c r="O38" s="4081" t="s">
        <v>514</v>
      </c>
      <c r="P38" s="4081"/>
      <c r="Q38" s="4081" t="s">
        <v>515</v>
      </c>
      <c r="R38" s="4081"/>
      <c r="S38" s="4061" t="s">
        <v>516</v>
      </c>
      <c r="T38" s="4061"/>
      <c r="U38" s="4061"/>
      <c r="V38" s="4062" t="s">
        <v>517</v>
      </c>
      <c r="W38" s="4062"/>
      <c r="X38" s="4062"/>
      <c r="Y38" s="4062"/>
      <c r="Z38" s="4063"/>
      <c r="AA38" s="316" t="s">
        <v>476</v>
      </c>
      <c r="AB38" s="323"/>
    </row>
    <row r="39" spans="1:29" ht="18" customHeight="1" x14ac:dyDescent="0.3">
      <c r="A39" s="4064" t="s">
        <v>518</v>
      </c>
      <c r="B39" s="4065"/>
      <c r="C39" s="4065"/>
      <c r="D39" s="4066"/>
      <c r="E39" s="4066"/>
      <c r="F39" s="4066"/>
      <c r="G39" s="4066"/>
      <c r="H39" s="4066"/>
      <c r="I39" s="4066"/>
      <c r="J39" s="4066"/>
      <c r="K39" s="4067"/>
      <c r="L39" s="4068" t="s">
        <v>520</v>
      </c>
      <c r="M39" s="333" t="s">
        <v>521</v>
      </c>
      <c r="N39" s="4070"/>
      <c r="O39" s="4070"/>
      <c r="P39" s="4070"/>
      <c r="Q39" s="4070"/>
      <c r="R39" s="4070"/>
      <c r="S39" s="333" t="s">
        <v>468</v>
      </c>
      <c r="T39" s="4071" t="s">
        <v>544</v>
      </c>
      <c r="U39" s="4072"/>
      <c r="V39" s="4072"/>
      <c r="W39" s="4072"/>
      <c r="X39" s="4073"/>
      <c r="Y39" s="335" t="s">
        <v>522</v>
      </c>
      <c r="Z39" s="300" t="s">
        <v>523</v>
      </c>
      <c r="AA39" s="303"/>
      <c r="AB39" s="323"/>
      <c r="AC39" s="263" t="e">
        <v>#N/A</v>
      </c>
    </row>
    <row r="40" spans="1:29" ht="18" customHeight="1" x14ac:dyDescent="0.3">
      <c r="A40" s="4074"/>
      <c r="B40" s="4075"/>
      <c r="C40" s="4075"/>
      <c r="D40" s="336" t="s">
        <v>545</v>
      </c>
      <c r="E40" s="342"/>
      <c r="F40" s="342"/>
      <c r="G40" s="342"/>
      <c r="H40" s="342"/>
      <c r="I40" s="342"/>
      <c r="J40" s="342"/>
      <c r="K40" s="342"/>
      <c r="L40" s="4068"/>
      <c r="M40" s="333" t="s">
        <v>524</v>
      </c>
      <c r="N40" s="4070"/>
      <c r="O40" s="4070"/>
      <c r="P40" s="4070"/>
      <c r="Q40" s="4070"/>
      <c r="R40" s="4070"/>
      <c r="S40" s="333" t="s">
        <v>526</v>
      </c>
      <c r="T40" s="4070"/>
      <c r="U40" s="4070"/>
      <c r="V40" s="4070"/>
      <c r="W40" s="4070"/>
      <c r="X40" s="4070"/>
      <c r="Y40" s="338" t="e">
        <v>#N/A</v>
      </c>
      <c r="Z40" s="4082"/>
      <c r="AA40" s="4083"/>
      <c r="AB40" s="323"/>
      <c r="AC40" s="263" t="e">
        <v>#N/A</v>
      </c>
    </row>
    <row r="41" spans="1:29" ht="18" customHeight="1" x14ac:dyDescent="0.3">
      <c r="A41" s="4074"/>
      <c r="B41" s="4075"/>
      <c r="C41" s="4075"/>
      <c r="D41" s="4070"/>
      <c r="E41" s="4070"/>
      <c r="F41" s="4070"/>
      <c r="G41" s="4070"/>
      <c r="H41" s="4070"/>
      <c r="I41" s="4070"/>
      <c r="J41" s="4070"/>
      <c r="K41" s="4070"/>
      <c r="L41" s="4068"/>
      <c r="M41" s="333" t="s">
        <v>527</v>
      </c>
      <c r="N41" s="4070"/>
      <c r="O41" s="4070"/>
      <c r="P41" s="4070"/>
      <c r="Q41" s="4070"/>
      <c r="R41" s="4070"/>
      <c r="S41" s="333" t="s">
        <v>133</v>
      </c>
      <c r="T41" s="4070"/>
      <c r="U41" s="4070"/>
      <c r="V41" s="4070"/>
      <c r="W41" s="4070"/>
      <c r="X41" s="4070"/>
      <c r="Y41" s="338" t="e">
        <v>#N/A</v>
      </c>
      <c r="Z41" s="4084"/>
      <c r="AA41" s="4085"/>
      <c r="AB41" s="323"/>
      <c r="AC41" s="263" t="e">
        <v>#N/A</v>
      </c>
    </row>
    <row r="42" spans="1:29" ht="18" customHeight="1" thickBot="1" x14ac:dyDescent="0.35">
      <c r="A42" s="4076"/>
      <c r="B42" s="4077"/>
      <c r="C42" s="4077"/>
      <c r="D42" s="4086"/>
      <c r="E42" s="4086"/>
      <c r="F42" s="4086"/>
      <c r="G42" s="4086"/>
      <c r="H42" s="4086"/>
      <c r="I42" s="4086"/>
      <c r="J42" s="4086"/>
      <c r="K42" s="4086"/>
      <c r="L42" s="4069"/>
      <c r="M42" s="339" t="s">
        <v>529</v>
      </c>
      <c r="N42" s="4087"/>
      <c r="O42" s="4086"/>
      <c r="P42" s="4086"/>
      <c r="Q42" s="4086"/>
      <c r="R42" s="4088"/>
      <c r="S42" s="339" t="s">
        <v>475</v>
      </c>
      <c r="T42" s="4087"/>
      <c r="U42" s="4086"/>
      <c r="V42" s="4086"/>
      <c r="W42" s="4086"/>
      <c r="X42" s="4088"/>
      <c r="Y42" s="340" t="e">
        <v>#N/A</v>
      </c>
      <c r="Z42" s="4089"/>
      <c r="AA42" s="4090"/>
      <c r="AB42" s="341"/>
    </row>
    <row r="43" spans="1:29" s="292" customFormat="1" ht="36" customHeight="1" x14ac:dyDescent="0.2">
      <c r="A43" s="345" t="s">
        <v>455</v>
      </c>
      <c r="B43" s="345" t="s">
        <v>16</v>
      </c>
      <c r="C43" s="345" t="s">
        <v>531</v>
      </c>
      <c r="D43" s="345" t="s">
        <v>532</v>
      </c>
      <c r="E43" s="345" t="s">
        <v>499</v>
      </c>
      <c r="F43" s="345" t="s">
        <v>533</v>
      </c>
      <c r="G43" s="345" t="s">
        <v>460</v>
      </c>
      <c r="H43" s="345" t="s">
        <v>461</v>
      </c>
      <c r="I43" s="345" t="s">
        <v>462</v>
      </c>
      <c r="J43" s="4031" t="s">
        <v>463</v>
      </c>
      <c r="K43" s="4031"/>
      <c r="L43" s="4031" t="s">
        <v>464</v>
      </c>
      <c r="M43" s="4032"/>
      <c r="N43" s="346" t="s">
        <v>465</v>
      </c>
      <c r="O43" s="346" t="s">
        <v>466</v>
      </c>
      <c r="P43" s="346" t="s">
        <v>467</v>
      </c>
      <c r="Q43" s="346" t="s">
        <v>468</v>
      </c>
      <c r="R43" s="346" t="s">
        <v>469</v>
      </c>
      <c r="S43" s="346" t="s">
        <v>470</v>
      </c>
      <c r="T43" s="4021" t="s">
        <v>471</v>
      </c>
      <c r="U43" s="4022"/>
      <c r="V43" s="345" t="s">
        <v>472</v>
      </c>
      <c r="W43" s="345" t="s">
        <v>473</v>
      </c>
      <c r="X43" s="345" t="s">
        <v>474</v>
      </c>
      <c r="Y43" s="345" t="s">
        <v>133</v>
      </c>
      <c r="Z43" s="346" t="s">
        <v>475</v>
      </c>
      <c r="AA43" s="348" t="s">
        <v>476</v>
      </c>
      <c r="AB43" s="349" t="s">
        <v>477</v>
      </c>
      <c r="AC43" s="291"/>
    </row>
    <row r="44" spans="1:29" s="306" customFormat="1" ht="32.25" customHeight="1" x14ac:dyDescent="0.3">
      <c r="A44" s="350"/>
      <c r="B44" s="350"/>
      <c r="C44" s="351"/>
      <c r="D44" s="352"/>
      <c r="E44" s="351"/>
      <c r="F44" s="353"/>
      <c r="G44" s="351"/>
      <c r="H44" s="351"/>
      <c r="I44" s="354"/>
      <c r="J44" s="4023"/>
      <c r="K44" s="4024"/>
      <c r="L44" s="4025"/>
      <c r="M44" s="4023"/>
      <c r="N44" s="355"/>
      <c r="O44" s="356"/>
      <c r="P44" s="357"/>
      <c r="Q44" s="356"/>
      <c r="R44" s="358"/>
      <c r="S44" s="359"/>
      <c r="T44" s="4026"/>
      <c r="U44" s="4027"/>
      <c r="V44" s="360"/>
      <c r="W44" s="361"/>
      <c r="X44" s="350"/>
      <c r="Y44" s="350"/>
      <c r="Z44" s="362"/>
      <c r="AA44" s="363"/>
      <c r="AB44" s="364"/>
      <c r="AC44" s="305"/>
    </row>
    <row r="45" spans="1:29" s="319" customFormat="1" ht="15.6" x14ac:dyDescent="0.3">
      <c r="A45" s="365"/>
      <c r="B45" s="366"/>
      <c r="C45" s="367"/>
      <c r="D45" s="368"/>
      <c r="E45" s="367"/>
      <c r="F45" s="369" t="s">
        <v>492</v>
      </c>
      <c r="G45" s="4033" t="s">
        <v>493</v>
      </c>
      <c r="H45" s="4034"/>
      <c r="I45" s="370" t="s">
        <v>494</v>
      </c>
      <c r="J45" s="4035" t="s">
        <v>463</v>
      </c>
      <c r="K45" s="4035"/>
      <c r="L45" s="4035" t="s">
        <v>464</v>
      </c>
      <c r="M45" s="4035"/>
      <c r="N45" s="370" t="s">
        <v>495</v>
      </c>
      <c r="O45" s="4035" t="s">
        <v>467</v>
      </c>
      <c r="P45" s="4035"/>
      <c r="Q45" s="4035" t="s">
        <v>496</v>
      </c>
      <c r="R45" s="4035"/>
      <c r="S45" s="371" t="s">
        <v>497</v>
      </c>
      <c r="T45" s="372" t="s">
        <v>498</v>
      </c>
      <c r="U45" s="372" t="s">
        <v>499</v>
      </c>
      <c r="V45" s="370" t="s">
        <v>500</v>
      </c>
      <c r="W45" s="373" t="s">
        <v>501</v>
      </c>
      <c r="X45" s="373" t="s">
        <v>502</v>
      </c>
      <c r="Y45" s="373" t="s">
        <v>503</v>
      </c>
      <c r="Z45" s="374" t="s">
        <v>504</v>
      </c>
      <c r="AA45" s="375" t="s">
        <v>476</v>
      </c>
      <c r="AB45" s="376"/>
      <c r="AC45" s="318"/>
    </row>
    <row r="46" spans="1:29" ht="25.5" customHeight="1" x14ac:dyDescent="0.3">
      <c r="A46" s="4042" t="s">
        <v>540</v>
      </c>
      <c r="B46" s="4042"/>
      <c r="C46" s="351"/>
      <c r="D46" s="4043" t="s">
        <v>541</v>
      </c>
      <c r="E46" s="4043"/>
      <c r="F46" s="377"/>
      <c r="G46" s="4044"/>
      <c r="H46" s="4045"/>
      <c r="I46" s="378"/>
      <c r="J46" s="4046">
        <v>36</v>
      </c>
      <c r="K46" s="4046"/>
      <c r="L46" s="4046"/>
      <c r="M46" s="4046"/>
      <c r="N46" s="377"/>
      <c r="O46" s="4038"/>
      <c r="P46" s="4038"/>
      <c r="Q46" s="4038"/>
      <c r="R46" s="4038"/>
      <c r="S46" s="351"/>
      <c r="T46" s="351"/>
      <c r="U46" s="351"/>
      <c r="V46" s="377">
        <v>10</v>
      </c>
      <c r="W46" s="377">
        <v>6.75</v>
      </c>
      <c r="X46" s="377">
        <v>56</v>
      </c>
      <c r="Y46" s="377"/>
      <c r="Z46" s="379"/>
      <c r="AA46" s="363"/>
      <c r="AB46" s="380"/>
      <c r="AC46" s="324"/>
    </row>
    <row r="47" spans="1:29" x14ac:dyDescent="0.3">
      <c r="A47" s="381"/>
      <c r="B47" s="382"/>
      <c r="C47" s="382"/>
      <c r="D47" s="383" t="s">
        <v>510</v>
      </c>
      <c r="E47" s="383"/>
      <c r="F47" s="384" t="s">
        <v>511</v>
      </c>
      <c r="G47" s="4057" t="str">
        <f>IF(I44="SK","See Elevation Form","")</f>
        <v/>
      </c>
      <c r="H47" s="4058"/>
      <c r="I47" s="4059"/>
      <c r="J47" s="4060" t="s">
        <v>512</v>
      </c>
      <c r="K47" s="4060"/>
      <c r="L47" s="4060"/>
      <c r="M47" s="4060"/>
      <c r="N47" s="384" t="s">
        <v>511</v>
      </c>
      <c r="O47" s="4060"/>
      <c r="P47" s="4060"/>
      <c r="Q47" s="4060"/>
      <c r="R47" s="4060"/>
      <c r="S47" s="4028" t="s">
        <v>516</v>
      </c>
      <c r="T47" s="4028"/>
      <c r="U47" s="4028"/>
      <c r="V47" s="4029" t="s">
        <v>517</v>
      </c>
      <c r="W47" s="4029"/>
      <c r="X47" s="4029"/>
      <c r="Y47" s="4029"/>
      <c r="Z47" s="4030"/>
      <c r="AA47" s="375" t="s">
        <v>476</v>
      </c>
      <c r="AB47" s="380"/>
    </row>
    <row r="48" spans="1:29" ht="18" customHeight="1" x14ac:dyDescent="0.3">
      <c r="A48" s="4047" t="s">
        <v>518</v>
      </c>
      <c r="B48" s="4048"/>
      <c r="C48" s="4048"/>
      <c r="D48" s="4049"/>
      <c r="E48" s="4049"/>
      <c r="F48" s="4049"/>
      <c r="G48" s="4049"/>
      <c r="H48" s="4049"/>
      <c r="I48" s="4049"/>
      <c r="J48" s="4049"/>
      <c r="K48" s="4050"/>
      <c r="L48" s="4051" t="s">
        <v>520</v>
      </c>
      <c r="M48" s="385" t="s">
        <v>521</v>
      </c>
      <c r="N48" s="4018"/>
      <c r="O48" s="4018"/>
      <c r="P48" s="4018"/>
      <c r="Q48" s="4018"/>
      <c r="R48" s="4018"/>
      <c r="S48" s="385" t="s">
        <v>468</v>
      </c>
      <c r="T48" s="4039"/>
      <c r="U48" s="4040"/>
      <c r="V48" s="4040"/>
      <c r="W48" s="4040"/>
      <c r="X48" s="4041"/>
      <c r="Y48" s="386" t="s">
        <v>522</v>
      </c>
      <c r="Z48" s="362"/>
      <c r="AA48" s="363"/>
      <c r="AB48" s="380"/>
      <c r="AC48" s="263" t="e">
        <v>#N/A</v>
      </c>
    </row>
    <row r="49" spans="1:29" ht="18" customHeight="1" x14ac:dyDescent="0.3">
      <c r="A49" s="4053"/>
      <c r="B49" s="4054"/>
      <c r="C49" s="4054"/>
      <c r="D49" s="4018"/>
      <c r="E49" s="4018"/>
      <c r="F49" s="4018"/>
      <c r="G49" s="4018"/>
      <c r="H49" s="4018"/>
      <c r="I49" s="4018"/>
      <c r="J49" s="4018"/>
      <c r="K49" s="4018"/>
      <c r="L49" s="4051"/>
      <c r="M49" s="385" t="s">
        <v>524</v>
      </c>
      <c r="N49" s="4018"/>
      <c r="O49" s="4018"/>
      <c r="P49" s="4018"/>
      <c r="Q49" s="4018"/>
      <c r="R49" s="4018"/>
      <c r="S49" s="385" t="s">
        <v>526</v>
      </c>
      <c r="T49" s="4018"/>
      <c r="U49" s="4018"/>
      <c r="V49" s="4018"/>
      <c r="W49" s="4018"/>
      <c r="X49" s="4018"/>
      <c r="Y49" s="387" t="e">
        <v>#N/A</v>
      </c>
      <c r="Z49" s="4016"/>
      <c r="AA49" s="4017"/>
      <c r="AB49" s="380"/>
      <c r="AC49" s="263" t="e">
        <v>#N/A</v>
      </c>
    </row>
    <row r="50" spans="1:29" ht="18" customHeight="1" x14ac:dyDescent="0.3">
      <c r="A50" s="4053"/>
      <c r="B50" s="4054"/>
      <c r="C50" s="4054"/>
      <c r="D50" s="4018"/>
      <c r="E50" s="4018"/>
      <c r="F50" s="4018"/>
      <c r="G50" s="4018"/>
      <c r="H50" s="4018"/>
      <c r="I50" s="4018"/>
      <c r="J50" s="4018"/>
      <c r="K50" s="4018"/>
      <c r="L50" s="4051"/>
      <c r="M50" s="385" t="s">
        <v>527</v>
      </c>
      <c r="N50" s="4018"/>
      <c r="O50" s="4018"/>
      <c r="P50" s="4018"/>
      <c r="Q50" s="4018"/>
      <c r="R50" s="4018"/>
      <c r="S50" s="385" t="s">
        <v>133</v>
      </c>
      <c r="T50" s="4018"/>
      <c r="U50" s="4018"/>
      <c r="V50" s="4018"/>
      <c r="W50" s="4018"/>
      <c r="X50" s="4018"/>
      <c r="Y50" s="387" t="e">
        <v>#N/A</v>
      </c>
      <c r="Z50" s="4019"/>
      <c r="AA50" s="4020"/>
      <c r="AB50" s="380"/>
      <c r="AC50" s="263" t="e">
        <v>#N/A</v>
      </c>
    </row>
    <row r="51" spans="1:29" ht="18" customHeight="1" thickBot="1" x14ac:dyDescent="0.35">
      <c r="A51" s="4055"/>
      <c r="B51" s="4056"/>
      <c r="C51" s="4056"/>
      <c r="D51" s="4014"/>
      <c r="E51" s="4014"/>
      <c r="F51" s="4014"/>
      <c r="G51" s="4014"/>
      <c r="H51" s="4014"/>
      <c r="I51" s="4014"/>
      <c r="J51" s="4014"/>
      <c r="K51" s="4014"/>
      <c r="L51" s="4052"/>
      <c r="M51" s="388" t="s">
        <v>529</v>
      </c>
      <c r="N51" s="4013"/>
      <c r="O51" s="4014"/>
      <c r="P51" s="4014"/>
      <c r="Q51" s="4014"/>
      <c r="R51" s="4015"/>
      <c r="S51" s="388" t="s">
        <v>475</v>
      </c>
      <c r="T51" s="4013"/>
      <c r="U51" s="4014"/>
      <c r="V51" s="4014"/>
      <c r="W51" s="4014"/>
      <c r="X51" s="4015"/>
      <c r="Y51" s="389" t="e">
        <v>#N/A</v>
      </c>
      <c r="Z51" s="4036"/>
      <c r="AA51" s="4037"/>
      <c r="AB51" s="390"/>
    </row>
    <row r="52" spans="1:29" x14ac:dyDescent="0.3">
      <c r="AA52" t="s">
        <v>546</v>
      </c>
    </row>
  </sheetData>
  <mergeCells count="185">
    <mergeCell ref="S47:U47"/>
    <mergeCell ref="V47:Z47"/>
    <mergeCell ref="A48:C48"/>
    <mergeCell ref="D48:K48"/>
    <mergeCell ref="L48:L51"/>
    <mergeCell ref="N48:R48"/>
    <mergeCell ref="T48:X48"/>
    <mergeCell ref="A49:C51"/>
    <mergeCell ref="D49:K49"/>
    <mergeCell ref="N49:R49"/>
    <mergeCell ref="D51:K51"/>
    <mergeCell ref="N51:R51"/>
    <mergeCell ref="T51:X51"/>
    <mergeCell ref="Z51:AA51"/>
    <mergeCell ref="T49:X49"/>
    <mergeCell ref="Z49:AA49"/>
    <mergeCell ref="D50:K50"/>
    <mergeCell ref="N50:R50"/>
    <mergeCell ref="T50:X50"/>
    <mergeCell ref="Z50:AA50"/>
    <mergeCell ref="G47:I47"/>
    <mergeCell ref="J47:K47"/>
    <mergeCell ref="L47:M47"/>
    <mergeCell ref="O47:P47"/>
    <mergeCell ref="Q47:R47"/>
    <mergeCell ref="G45:H45"/>
    <mergeCell ref="J45:K45"/>
    <mergeCell ref="L45:M45"/>
    <mergeCell ref="O45:P45"/>
    <mergeCell ref="Q45:R45"/>
    <mergeCell ref="A46:B46"/>
    <mergeCell ref="D46:E46"/>
    <mergeCell ref="G46:H46"/>
    <mergeCell ref="J46:K46"/>
    <mergeCell ref="L46:M46"/>
    <mergeCell ref="J43:K43"/>
    <mergeCell ref="L43:M43"/>
    <mergeCell ref="T43:U43"/>
    <mergeCell ref="J44:K44"/>
    <mergeCell ref="L44:M44"/>
    <mergeCell ref="T44:U44"/>
    <mergeCell ref="O46:P46"/>
    <mergeCell ref="Q46:R46"/>
    <mergeCell ref="S38:U38"/>
    <mergeCell ref="V38:Z38"/>
    <mergeCell ref="A39:C39"/>
    <mergeCell ref="D39:K39"/>
    <mergeCell ref="L39:L42"/>
    <mergeCell ref="N39:R39"/>
    <mergeCell ref="T39:X39"/>
    <mergeCell ref="A40:C42"/>
    <mergeCell ref="N40:R40"/>
    <mergeCell ref="T40:X40"/>
    <mergeCell ref="Z40:AA40"/>
    <mergeCell ref="D41:K41"/>
    <mergeCell ref="N41:R41"/>
    <mergeCell ref="T41:X41"/>
    <mergeCell ref="Z41:AA41"/>
    <mergeCell ref="D42:K42"/>
    <mergeCell ref="N42:R42"/>
    <mergeCell ref="T42:X42"/>
    <mergeCell ref="Z42:AA42"/>
    <mergeCell ref="G38:I38"/>
    <mergeCell ref="J38:K38"/>
    <mergeCell ref="L38:M38"/>
    <mergeCell ref="O38:P38"/>
    <mergeCell ref="Q38:R38"/>
    <mergeCell ref="O37:P37"/>
    <mergeCell ref="Q37:R37"/>
    <mergeCell ref="S29:U29"/>
    <mergeCell ref="G36:H36"/>
    <mergeCell ref="J36:K36"/>
    <mergeCell ref="L36:M36"/>
    <mergeCell ref="O36:P36"/>
    <mergeCell ref="Q36:R36"/>
    <mergeCell ref="A37:B37"/>
    <mergeCell ref="D37:E37"/>
    <mergeCell ref="G37:H37"/>
    <mergeCell ref="J37:K37"/>
    <mergeCell ref="L37:M37"/>
    <mergeCell ref="L29:M29"/>
    <mergeCell ref="O29:P29"/>
    <mergeCell ref="Q29:R29"/>
    <mergeCell ref="J34:K34"/>
    <mergeCell ref="L34:M34"/>
    <mergeCell ref="T34:U34"/>
    <mergeCell ref="J35:K35"/>
    <mergeCell ref="L35:M35"/>
    <mergeCell ref="T35:U35"/>
    <mergeCell ref="D28:E28"/>
    <mergeCell ref="G28:H28"/>
    <mergeCell ref="J28:K28"/>
    <mergeCell ref="L28:M28"/>
    <mergeCell ref="V29:Z29"/>
    <mergeCell ref="A30:C30"/>
    <mergeCell ref="D30:K30"/>
    <mergeCell ref="L30:L33"/>
    <mergeCell ref="N30:R30"/>
    <mergeCell ref="T30:X30"/>
    <mergeCell ref="A31:C33"/>
    <mergeCell ref="N31:R31"/>
    <mergeCell ref="T31:X31"/>
    <mergeCell ref="Z31:AA31"/>
    <mergeCell ref="D32:K32"/>
    <mergeCell ref="N32:R32"/>
    <mergeCell ref="T32:X32"/>
    <mergeCell ref="Z32:AA32"/>
    <mergeCell ref="D33:K33"/>
    <mergeCell ref="N33:R33"/>
    <mergeCell ref="T33:X33"/>
    <mergeCell ref="Z33:AA33"/>
    <mergeCell ref="G29:I29"/>
    <mergeCell ref="J29:K29"/>
    <mergeCell ref="J25:K25"/>
    <mergeCell ref="L25:M25"/>
    <mergeCell ref="T25:U25"/>
    <mergeCell ref="J26:K26"/>
    <mergeCell ref="L26:M26"/>
    <mergeCell ref="T26:U26"/>
    <mergeCell ref="O28:P28"/>
    <mergeCell ref="Q28:R28"/>
    <mergeCell ref="A21:C21"/>
    <mergeCell ref="L21:L24"/>
    <mergeCell ref="N21:R21"/>
    <mergeCell ref="T21:X21"/>
    <mergeCell ref="A22:C24"/>
    <mergeCell ref="N22:R22"/>
    <mergeCell ref="T22:X22"/>
    <mergeCell ref="D24:K24"/>
    <mergeCell ref="N24:R24"/>
    <mergeCell ref="T24:X24"/>
    <mergeCell ref="G27:H27"/>
    <mergeCell ref="J27:K27"/>
    <mergeCell ref="L27:M27"/>
    <mergeCell ref="O27:P27"/>
    <mergeCell ref="Q27:R27"/>
    <mergeCell ref="A28:B28"/>
    <mergeCell ref="Z24:AA24"/>
    <mergeCell ref="S20:U20"/>
    <mergeCell ref="V20:Z20"/>
    <mergeCell ref="G18:H18"/>
    <mergeCell ref="J18:K18"/>
    <mergeCell ref="L18:M18"/>
    <mergeCell ref="O18:P18"/>
    <mergeCell ref="Q18:R18"/>
    <mergeCell ref="A19:B19"/>
    <mergeCell ref="D19:E19"/>
    <mergeCell ref="G19:H19"/>
    <mergeCell ref="J19:K19"/>
    <mergeCell ref="L19:M19"/>
    <mergeCell ref="Z22:AA22"/>
    <mergeCell ref="O19:P19"/>
    <mergeCell ref="Q19:R19"/>
    <mergeCell ref="G20:I20"/>
    <mergeCell ref="J20:K20"/>
    <mergeCell ref="L20:M20"/>
    <mergeCell ref="O20:P20"/>
    <mergeCell ref="Q20:R20"/>
    <mergeCell ref="N23:R23"/>
    <mergeCell ref="T23:X23"/>
    <mergeCell ref="Z23:AA23"/>
    <mergeCell ref="J17:K17"/>
    <mergeCell ref="L17:M17"/>
    <mergeCell ref="T17:U17"/>
    <mergeCell ref="D6:L6"/>
    <mergeCell ref="N6:W6"/>
    <mergeCell ref="D7:L7"/>
    <mergeCell ref="N7:W7"/>
    <mergeCell ref="B8:F8"/>
    <mergeCell ref="G8:N9"/>
    <mergeCell ref="O8:P8"/>
    <mergeCell ref="Q8:T9"/>
    <mergeCell ref="V8:W8"/>
    <mergeCell ref="B9:F9"/>
    <mergeCell ref="A1:K2"/>
    <mergeCell ref="O1:AB2"/>
    <mergeCell ref="D4:L4"/>
    <mergeCell ref="N4:W4"/>
    <mergeCell ref="D5:L5"/>
    <mergeCell ref="N5:W5"/>
    <mergeCell ref="B11:B14"/>
    <mergeCell ref="C11:W14"/>
    <mergeCell ref="J16:K16"/>
    <mergeCell ref="L16:M16"/>
    <mergeCell ref="T16:U16"/>
  </mergeCells>
  <conditionalFormatting sqref="C19">
    <cfRule type="expression" dxfId="305" priority="154">
      <formula>AND($G17="I",OR($C19="SNGL",$C19="DBLE"))</formula>
    </cfRule>
  </conditionalFormatting>
  <conditionalFormatting sqref="C28">
    <cfRule type="expression" dxfId="304" priority="57">
      <formula>AND($G26="I",OR($C28="SNGL",$C28="DBLE"))</formula>
    </cfRule>
  </conditionalFormatting>
  <conditionalFormatting sqref="C37">
    <cfRule type="expression" dxfId="303" priority="11">
      <formula>AND($G35="I",OR($C37="SNGL",$C37="DBLE"))</formula>
    </cfRule>
  </conditionalFormatting>
  <conditionalFormatting sqref="C46">
    <cfRule type="expression" dxfId="302" priority="101">
      <formula>AND($G44="I",OR($C46="SNGL",$C46="DBLE"))</formula>
    </cfRule>
  </conditionalFormatting>
  <conditionalFormatting sqref="F19">
    <cfRule type="expression" dxfId="301" priority="192">
      <formula>F17&lt;&gt;"SPL"</formula>
    </cfRule>
    <cfRule type="expression" dxfId="300" priority="194">
      <formula>AND(F17="SPL",F19="")</formula>
    </cfRule>
  </conditionalFormatting>
  <conditionalFormatting sqref="F20">
    <cfRule type="expression" dxfId="299" priority="188">
      <formula>F17&lt;&gt;"SPL"</formula>
    </cfRule>
  </conditionalFormatting>
  <conditionalFormatting sqref="F28">
    <cfRule type="expression" dxfId="298" priority="92">
      <formula>AND(F26="SPL",F28="")</formula>
    </cfRule>
    <cfRule type="expression" dxfId="297" priority="90">
      <formula>F26&lt;&gt;"SPL"</formula>
    </cfRule>
  </conditionalFormatting>
  <conditionalFormatting sqref="F29">
    <cfRule type="expression" dxfId="296" priority="86">
      <formula>F26&lt;&gt;"SPL"</formula>
    </cfRule>
  </conditionalFormatting>
  <conditionalFormatting sqref="F37">
    <cfRule type="expression" dxfId="295" priority="40">
      <formula>F35&lt;&gt;"SPL"</formula>
    </cfRule>
    <cfRule type="expression" dxfId="294" priority="42">
      <formula>AND(F35="SPL",F37="")</formula>
    </cfRule>
  </conditionalFormatting>
  <conditionalFormatting sqref="F38">
    <cfRule type="expression" dxfId="293" priority="36">
      <formula>F35&lt;&gt;"SPL"</formula>
    </cfRule>
  </conditionalFormatting>
  <conditionalFormatting sqref="F46">
    <cfRule type="expression" dxfId="292" priority="137">
      <formula>F44&lt;&gt;"SPL"</formula>
    </cfRule>
    <cfRule type="expression" dxfId="291" priority="139">
      <formula>AND(F44="SPL",F46="")</formula>
    </cfRule>
  </conditionalFormatting>
  <conditionalFormatting sqref="F47">
    <cfRule type="expression" dxfId="290" priority="133">
      <formula>F44&lt;&gt;"SPL"</formula>
    </cfRule>
  </conditionalFormatting>
  <conditionalFormatting sqref="G19:H19">
    <cfRule type="expression" dxfId="289" priority="147">
      <formula>AND(I17="SK",G19="")</formula>
    </cfRule>
  </conditionalFormatting>
  <conditionalFormatting sqref="G28:H28">
    <cfRule type="expression" dxfId="288" priority="48">
      <formula>AND(I26="SK",G28="")</formula>
    </cfRule>
  </conditionalFormatting>
  <conditionalFormatting sqref="G37:H37">
    <cfRule type="expression" dxfId="287" priority="9">
      <formula>AND(I35="SK",G37="")</formula>
    </cfRule>
  </conditionalFormatting>
  <conditionalFormatting sqref="G46:H46">
    <cfRule type="expression" dxfId="286" priority="94">
      <formula>AND(I44="SK",G46="")</formula>
    </cfRule>
  </conditionalFormatting>
  <conditionalFormatting sqref="G20:I20">
    <cfRule type="expression" dxfId="285" priority="148">
      <formula>I17&lt;&gt;"SK"</formula>
    </cfRule>
  </conditionalFormatting>
  <conditionalFormatting sqref="G29:I29">
    <cfRule type="expression" dxfId="284" priority="52">
      <formula>I26&lt;&gt;"SK"</formula>
    </cfRule>
  </conditionalFormatting>
  <conditionalFormatting sqref="G38:I38">
    <cfRule type="expression" dxfId="283" priority="10">
      <formula>I35&lt;&gt;"SK"</formula>
    </cfRule>
  </conditionalFormatting>
  <conditionalFormatting sqref="G47:I47">
    <cfRule type="expression" dxfId="282" priority="95">
      <formula>I44&lt;&gt;"SK"</formula>
    </cfRule>
  </conditionalFormatting>
  <conditionalFormatting sqref="I19">
    <cfRule type="expression" dxfId="281" priority="190">
      <formula>OR(I17="F",RIGHT(I17,1)="P")</formula>
    </cfRule>
    <cfRule type="expression" dxfId="280" priority="193">
      <formula>AND(I17&lt;&gt;"F",RIGHT(I17,1)&lt;&gt;"P",I19="",I17&lt;&gt;"")</formula>
    </cfRule>
  </conditionalFormatting>
  <conditionalFormatting sqref="I28">
    <cfRule type="expression" dxfId="279" priority="91">
      <formula>AND(I26&lt;&gt;"F",RIGHT(I26,1)&lt;&gt;"P",I28="",I26&lt;&gt;"")</formula>
    </cfRule>
    <cfRule type="expression" dxfId="278" priority="88">
      <formula>OR(I26="F",RIGHT(I26,1)="P")</formula>
    </cfRule>
  </conditionalFormatting>
  <conditionalFormatting sqref="I37">
    <cfRule type="expression" dxfId="277" priority="41">
      <formula>AND(I35&lt;&gt;"F",RIGHT(I35,1)&lt;&gt;"P",I37="",I35&lt;&gt;"")</formula>
    </cfRule>
    <cfRule type="expression" dxfId="276" priority="38">
      <formula>OR(I35="F",RIGHT(I35,1)="P")</formula>
    </cfRule>
  </conditionalFormatting>
  <conditionalFormatting sqref="I46">
    <cfRule type="expression" dxfId="275" priority="135">
      <formula>OR(I44="F",RIGHT(I44,1)="P")</formula>
    </cfRule>
    <cfRule type="expression" dxfId="274" priority="138">
      <formula>AND(I44&lt;&gt;"F",RIGHT(I44,1)&lt;&gt;"P",I46="",I44&lt;&gt;"")</formula>
    </cfRule>
  </conditionalFormatting>
  <conditionalFormatting sqref="J19:K19">
    <cfRule type="expression" dxfId="273" priority="189">
      <formula>J17&lt;&gt;"SW"</formula>
    </cfRule>
    <cfRule type="expression" dxfId="272" priority="191">
      <formula>AND(J17="SW",J19="")</formula>
    </cfRule>
  </conditionalFormatting>
  <conditionalFormatting sqref="J20:K20">
    <cfRule type="expression" dxfId="271" priority="187">
      <formula>AND(J17="SW",J20="")</formula>
    </cfRule>
    <cfRule type="expression" dxfId="270" priority="186">
      <formula>J17&lt;&gt;"SW"</formula>
    </cfRule>
  </conditionalFormatting>
  <conditionalFormatting sqref="J28:K28">
    <cfRule type="expression" dxfId="269" priority="89">
      <formula>AND(J26="SW",J28="")</formula>
    </cfRule>
    <cfRule type="expression" dxfId="268" priority="87">
      <formula>J26&lt;&gt;"SW"</formula>
    </cfRule>
  </conditionalFormatting>
  <conditionalFormatting sqref="J29:K29">
    <cfRule type="expression" dxfId="267" priority="85">
      <formula>AND(J26="SW",J29="")</formula>
    </cfRule>
    <cfRule type="expression" dxfId="266" priority="84">
      <formula>J26&lt;&gt;"SW"</formula>
    </cfRule>
  </conditionalFormatting>
  <conditionalFormatting sqref="J37:K37">
    <cfRule type="expression" dxfId="265" priority="39">
      <formula>AND(J35="SW",J37="")</formula>
    </cfRule>
    <cfRule type="expression" dxfId="264" priority="37">
      <formula>J35&lt;&gt;"SW"</formula>
    </cfRule>
  </conditionalFormatting>
  <conditionalFormatting sqref="J38:K38">
    <cfRule type="expression" dxfId="263" priority="35">
      <formula>AND(J35="SW",J38="")</formula>
    </cfRule>
    <cfRule type="expression" dxfId="262" priority="34">
      <formula>J35&lt;&gt;"SW"</formula>
    </cfRule>
  </conditionalFormatting>
  <conditionalFormatting sqref="J46:K46">
    <cfRule type="expression" dxfId="261" priority="136">
      <formula>AND(J44="SW",J46="")</formula>
    </cfRule>
    <cfRule type="expression" dxfId="260" priority="134">
      <formula>J44&lt;&gt;"SW"</formula>
    </cfRule>
  </conditionalFormatting>
  <conditionalFormatting sqref="J47:K47">
    <cfRule type="expression" dxfId="259" priority="132">
      <formula>AND(J44="SW",J47="")</formula>
    </cfRule>
    <cfRule type="expression" dxfId="258" priority="131">
      <formula>J44&lt;&gt;"SW"</formula>
    </cfRule>
  </conditionalFormatting>
  <conditionalFormatting sqref="L19:M19">
    <cfRule type="expression" dxfId="257" priority="185">
      <formula>AND(L17="SH",L19="")</formula>
    </cfRule>
    <cfRule type="expression" dxfId="256" priority="184">
      <formula>L17&lt;&gt;"SH"</formula>
    </cfRule>
  </conditionalFormatting>
  <conditionalFormatting sqref="L20:M20">
    <cfRule type="expression" dxfId="255" priority="183">
      <formula>AND(L17="SH",L20="")</formula>
    </cfRule>
    <cfRule type="expression" dxfId="254" priority="182">
      <formula>L17&lt;&gt;"SH"</formula>
    </cfRule>
  </conditionalFormatting>
  <conditionalFormatting sqref="L28:M28">
    <cfRule type="expression" dxfId="253" priority="83">
      <formula>AND(L26="SH",L28="")</formula>
    </cfRule>
    <cfRule type="expression" dxfId="252" priority="82">
      <formula>L26&lt;&gt;"SH"</formula>
    </cfRule>
  </conditionalFormatting>
  <conditionalFormatting sqref="L29:M29">
    <cfRule type="expression" dxfId="251" priority="81">
      <formula>AND(L26="SH",L29="")</formula>
    </cfRule>
    <cfRule type="expression" dxfId="250" priority="80">
      <formula>L26&lt;&gt;"SH"</formula>
    </cfRule>
  </conditionalFormatting>
  <conditionalFormatting sqref="L37:M37">
    <cfRule type="expression" dxfId="249" priority="33">
      <formula>AND(L35="SH",L37="")</formula>
    </cfRule>
    <cfRule type="expression" dxfId="248" priority="32">
      <formula>L35&lt;&gt;"SH"</formula>
    </cfRule>
  </conditionalFormatting>
  <conditionalFormatting sqref="L38:M38">
    <cfRule type="expression" dxfId="247" priority="30">
      <formula>L35&lt;&gt;"SH"</formula>
    </cfRule>
    <cfRule type="expression" dxfId="246" priority="31">
      <formula>AND(L35="SH",L38="")</formula>
    </cfRule>
  </conditionalFormatting>
  <conditionalFormatting sqref="L46:M46">
    <cfRule type="expression" dxfId="245" priority="130">
      <formula>AND(L44="SH",L46="")</formula>
    </cfRule>
    <cfRule type="expression" dxfId="244" priority="129">
      <formula>L44&lt;&gt;"SH"</formula>
    </cfRule>
  </conditionalFormatting>
  <conditionalFormatting sqref="L47:M47">
    <cfRule type="expression" dxfId="243" priority="128">
      <formula>AND(L44="SH",L47="")</formula>
    </cfRule>
    <cfRule type="expression" dxfId="242" priority="127">
      <formula>L44&lt;&gt;"SH"</formula>
    </cfRule>
  </conditionalFormatting>
  <conditionalFormatting sqref="N19">
    <cfRule type="expression" dxfId="241" priority="181">
      <formula>AND(N17="SPL",N19="")</formula>
    </cfRule>
    <cfRule type="expression" dxfId="240" priority="180">
      <formula>N17&lt;&gt;"SPL"</formula>
    </cfRule>
  </conditionalFormatting>
  <conditionalFormatting sqref="N20">
    <cfRule type="expression" dxfId="239" priority="179">
      <formula>N17&lt;&gt;"SPL"</formula>
    </cfRule>
  </conditionalFormatting>
  <conditionalFormatting sqref="N21">
    <cfRule type="expression" dxfId="238" priority="158">
      <formula>AND(AC21="*",N21="")</formula>
    </cfRule>
  </conditionalFormatting>
  <conditionalFormatting sqref="N22">
    <cfRule type="expression" dxfId="237" priority="153">
      <formula>AND(AC21="*",N22="")</formula>
    </cfRule>
  </conditionalFormatting>
  <conditionalFormatting sqref="N23:N24">
    <cfRule type="expression" dxfId="236" priority="151">
      <formula>AND(AC21="*",N23="")</formula>
    </cfRule>
  </conditionalFormatting>
  <conditionalFormatting sqref="N28">
    <cfRule type="expression" dxfId="235" priority="78">
      <formula>N26&lt;&gt;"SPL"</formula>
    </cfRule>
    <cfRule type="expression" dxfId="234" priority="79">
      <formula>AND(N26="SPL",N28="")</formula>
    </cfRule>
  </conditionalFormatting>
  <conditionalFormatting sqref="N29">
    <cfRule type="expression" dxfId="233" priority="77">
      <formula>N26&lt;&gt;"SPL"</formula>
    </cfRule>
  </conditionalFormatting>
  <conditionalFormatting sqref="N30:N32">
    <cfRule type="expression" dxfId="232" priority="60">
      <formula>AND(AC30="*",N30="")</formula>
    </cfRule>
  </conditionalFormatting>
  <conditionalFormatting sqref="N33">
    <cfRule type="expression" dxfId="231" priority="55">
      <formula>AND(AND(AC30="*",N33=""),$C28&lt;&gt;"SNGL")</formula>
    </cfRule>
  </conditionalFormatting>
  <conditionalFormatting sqref="N37">
    <cfRule type="expression" dxfId="230" priority="28">
      <formula>N35&lt;&gt;"SPL"</formula>
    </cfRule>
    <cfRule type="expression" dxfId="229" priority="29">
      <formula>AND(N35="SPL",N37="")</formula>
    </cfRule>
  </conditionalFormatting>
  <conditionalFormatting sqref="N38">
    <cfRule type="expression" dxfId="228" priority="27">
      <formula>N35&lt;&gt;"SPL"</formula>
    </cfRule>
  </conditionalFormatting>
  <conditionalFormatting sqref="N39:N41">
    <cfRule type="expression" dxfId="227" priority="2">
      <formula>AND(AC39="*",N39="")</formula>
    </cfRule>
  </conditionalFormatting>
  <conditionalFormatting sqref="N42">
    <cfRule type="expression" dxfId="226" priority="143">
      <formula>AND(AND(AC39="*",N42=""),$C37&lt;&gt;"SNGL")</formula>
    </cfRule>
  </conditionalFormatting>
  <conditionalFormatting sqref="N46">
    <cfRule type="expression" dxfId="225" priority="125">
      <formula>N44&lt;&gt;"SPL"</formula>
    </cfRule>
    <cfRule type="expression" dxfId="224" priority="126">
      <formula>AND(N44="SPL",N46="")</formula>
    </cfRule>
  </conditionalFormatting>
  <conditionalFormatting sqref="N47">
    <cfRule type="expression" dxfId="223" priority="124">
      <formula>N44&lt;&gt;"SPL"</formula>
    </cfRule>
  </conditionalFormatting>
  <conditionalFormatting sqref="N48">
    <cfRule type="expression" dxfId="222" priority="49">
      <formula>AND(AC48="*",N48="")</formula>
    </cfRule>
  </conditionalFormatting>
  <conditionalFormatting sqref="N49">
    <cfRule type="expression" dxfId="221" priority="100">
      <formula>AND(AC48="*",N49="")</formula>
    </cfRule>
  </conditionalFormatting>
  <conditionalFormatting sqref="N50">
    <cfRule type="expression" dxfId="220" priority="99">
      <formula>AND(AC48="*",N50="")</formula>
    </cfRule>
  </conditionalFormatting>
  <conditionalFormatting sqref="N51">
    <cfRule type="expression" dxfId="219" priority="98">
      <formula>AND(AND(AC48="*",N51=""),$C46&lt;&gt;"SNGL")</formula>
    </cfRule>
  </conditionalFormatting>
  <conditionalFormatting sqref="O19:P19">
    <cfRule type="expression" dxfId="218" priority="156">
      <formula>P17&lt;&gt;"SPL"</formula>
    </cfRule>
    <cfRule type="expression" dxfId="217" priority="157">
      <formula>AND(P17="SPL",O19="")</formula>
    </cfRule>
  </conditionalFormatting>
  <conditionalFormatting sqref="O20:P20">
    <cfRule type="expression" dxfId="216" priority="177">
      <formula>P17&lt;&gt;"SPL"</formula>
    </cfRule>
    <cfRule type="expression" dxfId="215" priority="178">
      <formula>AND(P17="SPL",O20="")</formula>
    </cfRule>
  </conditionalFormatting>
  <conditionalFormatting sqref="O28:P28">
    <cfRule type="expression" dxfId="214" priority="59">
      <formula>AND(P26="SPL",O28="")</formula>
    </cfRule>
    <cfRule type="expression" dxfId="213" priority="58">
      <formula>P26&lt;&gt;"SPL"</formula>
    </cfRule>
  </conditionalFormatting>
  <conditionalFormatting sqref="O29:P29">
    <cfRule type="expression" dxfId="212" priority="75">
      <formula>P26&lt;&gt;"SPL"</formula>
    </cfRule>
    <cfRule type="expression" dxfId="211" priority="76">
      <formula>AND(P26="SPL",O29="")</formula>
    </cfRule>
  </conditionalFormatting>
  <conditionalFormatting sqref="O37:P37">
    <cfRule type="expression" dxfId="210" priority="13">
      <formula>AND(P35="SPL",O37="")</formula>
    </cfRule>
    <cfRule type="expression" dxfId="209" priority="12">
      <formula>P35&lt;&gt;"SPL"</formula>
    </cfRule>
  </conditionalFormatting>
  <conditionalFormatting sqref="O38:P38">
    <cfRule type="expression" dxfId="208" priority="26">
      <formula>AND(P35="SPL",O38="")</formula>
    </cfRule>
    <cfRule type="expression" dxfId="207" priority="25">
      <formula>P35&lt;&gt;"SPL"</formula>
    </cfRule>
  </conditionalFormatting>
  <conditionalFormatting sqref="O46:P46">
    <cfRule type="expression" dxfId="206" priority="102">
      <formula>P44&lt;&gt;"SPL"</formula>
    </cfRule>
    <cfRule type="expression" dxfId="205" priority="103">
      <formula>AND(P44="SPL",O46="")</formula>
    </cfRule>
  </conditionalFormatting>
  <conditionalFormatting sqref="O47:P47">
    <cfRule type="expression" dxfId="204" priority="122">
      <formula>P44&lt;&gt;"SPL"</formula>
    </cfRule>
    <cfRule type="expression" dxfId="203" priority="123">
      <formula>AND(P44="SPL",O47="")</formula>
    </cfRule>
  </conditionalFormatting>
  <conditionalFormatting sqref="O21:R24">
    <cfRule type="expression" dxfId="202" priority="152">
      <formula>AND(AD31="*",O21="")</formula>
    </cfRule>
  </conditionalFormatting>
  <conditionalFormatting sqref="O30:R33">
    <cfRule type="expression" dxfId="201" priority="56">
      <formula>AND(AD40="*",O30="")</formula>
    </cfRule>
  </conditionalFormatting>
  <conditionalFormatting sqref="O39:R42">
    <cfRule type="expression" dxfId="200" priority="3">
      <formula>AND(AD49="*",O39="")</formula>
    </cfRule>
  </conditionalFormatting>
  <conditionalFormatting sqref="O48:R51">
    <cfRule type="expression" dxfId="199" priority="50">
      <formula>AND(AD58="*",O48="")</formula>
    </cfRule>
  </conditionalFormatting>
  <conditionalFormatting sqref="Q19:R19">
    <cfRule type="expression" dxfId="198" priority="176">
      <formula>AND(OR(Q17&lt;&gt;"NONE",Q17&lt;&gt;""),Q19="")</formula>
    </cfRule>
    <cfRule type="expression" dxfId="197" priority="175">
      <formula>OR(Q17="NONE",Q17="")</formula>
    </cfRule>
  </conditionalFormatting>
  <conditionalFormatting sqref="Q20:R20">
    <cfRule type="expression" dxfId="196" priority="174">
      <formula>AND(Q17&lt;&gt;"NONE",Q20="")</formula>
    </cfRule>
    <cfRule type="expression" dxfId="195" priority="173">
      <formula>OR(Q17="NONE",Q17="")</formula>
    </cfRule>
  </conditionalFormatting>
  <conditionalFormatting sqref="Q28:R28">
    <cfRule type="expression" dxfId="194" priority="46">
      <formula>AND(OR(Q26&lt;&gt;"NONE",Q26&lt;&gt;""),Q28="")</formula>
    </cfRule>
    <cfRule type="expression" dxfId="193" priority="45">
      <formula>OR(Q26="NONE",Q26="")</formula>
    </cfRule>
  </conditionalFormatting>
  <conditionalFormatting sqref="Q29:R29">
    <cfRule type="expression" dxfId="192" priority="43">
      <formula>OR(Q26="NONE",Q26="")</formula>
    </cfRule>
    <cfRule type="expression" dxfId="191" priority="44">
      <formula>AND(Q26&lt;&gt;"NONE",Q29="")</formula>
    </cfRule>
  </conditionalFormatting>
  <conditionalFormatting sqref="Q37:R37">
    <cfRule type="expression" dxfId="190" priority="7">
      <formula>AND(OR(Q35&lt;&gt;"NONE",Q35&lt;&gt;""),Q37="")</formula>
    </cfRule>
    <cfRule type="expression" dxfId="189" priority="6">
      <formula>OR(Q35="NONE",Q35="")</formula>
    </cfRule>
  </conditionalFormatting>
  <conditionalFormatting sqref="Q38:R38">
    <cfRule type="expression" dxfId="188" priority="4">
      <formula>OR(Q35="NONE",Q35="")</formula>
    </cfRule>
    <cfRule type="expression" dxfId="187" priority="5">
      <formula>AND(Q35&lt;&gt;"NONE",Q38="")</formula>
    </cfRule>
  </conditionalFormatting>
  <conditionalFormatting sqref="Q46:R46">
    <cfRule type="expression" dxfId="186" priority="121">
      <formula>AND(OR(Q44&lt;&gt;"NONE",Q44&lt;&gt;""),Q46="")</formula>
    </cfRule>
    <cfRule type="expression" dxfId="185" priority="120">
      <formula>OR(Q44="NONE",Q44="")</formula>
    </cfRule>
  </conditionalFormatting>
  <conditionalFormatting sqref="Q47:R47">
    <cfRule type="expression" dxfId="184" priority="119">
      <formula>AND(Q44&lt;&gt;"NONE",Q47="")</formula>
    </cfRule>
    <cfRule type="expression" dxfId="183" priority="118">
      <formula>OR(Q44="NONE",Q44="")</formula>
    </cfRule>
  </conditionalFormatting>
  <conditionalFormatting sqref="S19">
    <cfRule type="expression" dxfId="182" priority="171">
      <formula>S18="L"</formula>
    </cfRule>
  </conditionalFormatting>
  <conditionalFormatting sqref="S28">
    <cfRule type="expression" dxfId="181" priority="73">
      <formula>S27="L"</formula>
    </cfRule>
  </conditionalFormatting>
  <conditionalFormatting sqref="S37">
    <cfRule type="expression" dxfId="180" priority="24">
      <formula>S36="L"</formula>
    </cfRule>
  </conditionalFormatting>
  <conditionalFormatting sqref="S46">
    <cfRule type="expression" dxfId="179" priority="116">
      <formula>S45="L"</formula>
    </cfRule>
  </conditionalFormatting>
  <conditionalFormatting sqref="T19">
    <cfRule type="expression" dxfId="178" priority="170">
      <formula>S18="L"</formula>
    </cfRule>
  </conditionalFormatting>
  <conditionalFormatting sqref="T21">
    <cfRule type="expression" dxfId="177" priority="172">
      <formula>AND(Q17="SPL",T21="")</formula>
    </cfRule>
  </conditionalFormatting>
  <conditionalFormatting sqref="T22">
    <cfRule type="expression" dxfId="176" priority="149">
      <formula>AND(AC22="*",T22="")</formula>
    </cfRule>
  </conditionalFormatting>
  <conditionalFormatting sqref="T28">
    <cfRule type="expression" dxfId="175" priority="72">
      <formula>S27="L"</formula>
    </cfRule>
  </conditionalFormatting>
  <conditionalFormatting sqref="T30">
    <cfRule type="expression" dxfId="174" priority="74">
      <formula>AND(Q26="SPL",T30="")</formula>
    </cfRule>
  </conditionalFormatting>
  <conditionalFormatting sqref="T31">
    <cfRule type="expression" dxfId="173" priority="53">
      <formula>AND(AC31="*",T31="")</formula>
    </cfRule>
  </conditionalFormatting>
  <conditionalFormatting sqref="T37">
    <cfRule type="expression" dxfId="172" priority="23">
      <formula>S36="L"</formula>
    </cfRule>
  </conditionalFormatting>
  <conditionalFormatting sqref="T39">
    <cfRule type="expression" dxfId="171" priority="1">
      <formula>AND(Q35="SPL",T39="")</formula>
    </cfRule>
  </conditionalFormatting>
  <conditionalFormatting sqref="T40">
    <cfRule type="expression" dxfId="170" priority="141">
      <formula>AND(AC40="*",T40="")</formula>
    </cfRule>
  </conditionalFormatting>
  <conditionalFormatting sqref="T46">
    <cfRule type="expression" dxfId="169" priority="115">
      <formula>S45="L"</formula>
    </cfRule>
  </conditionalFormatting>
  <conditionalFormatting sqref="T48">
    <cfRule type="expression" dxfId="168" priority="117">
      <formula>AND(Q44="SPL",T48="")</formula>
    </cfRule>
  </conditionalFormatting>
  <conditionalFormatting sqref="T49">
    <cfRule type="expression" dxfId="167" priority="96">
      <formula>AND(AC49="*",T49="")</formula>
    </cfRule>
  </conditionalFormatting>
  <conditionalFormatting sqref="T23:X24">
    <cfRule type="expression" dxfId="166" priority="195">
      <formula>AND(AC23="*",T23="")</formula>
    </cfRule>
  </conditionalFormatting>
  <conditionalFormatting sqref="T32:X33">
    <cfRule type="expression" dxfId="165" priority="93">
      <formula>AND(AC32="*",T32="")</formula>
    </cfRule>
  </conditionalFormatting>
  <conditionalFormatting sqref="T41:X42">
    <cfRule type="expression" dxfId="164" priority="146">
      <formula>AND(AC41="*",T41="")</formula>
    </cfRule>
  </conditionalFormatting>
  <conditionalFormatting sqref="T50:X51">
    <cfRule type="expression" dxfId="163" priority="140">
      <formula>AND(AC50="*",T50="")</formula>
    </cfRule>
  </conditionalFormatting>
  <conditionalFormatting sqref="U19">
    <cfRule type="expression" dxfId="162" priority="169">
      <formula>S18="L"</formula>
    </cfRule>
  </conditionalFormatting>
  <conditionalFormatting sqref="U28">
    <cfRule type="expression" dxfId="161" priority="71">
      <formula>S27="L"</formula>
    </cfRule>
  </conditionalFormatting>
  <conditionalFormatting sqref="U37">
    <cfRule type="expression" dxfId="160" priority="22">
      <formula>S36="L"</formula>
    </cfRule>
  </conditionalFormatting>
  <conditionalFormatting sqref="U46">
    <cfRule type="expression" dxfId="159" priority="114">
      <formula>S45="L"</formula>
    </cfRule>
  </conditionalFormatting>
  <conditionalFormatting sqref="U22:X22">
    <cfRule type="expression" dxfId="158" priority="150">
      <formula>AND(AJ32="*",U22="")</formula>
    </cfRule>
  </conditionalFormatting>
  <conditionalFormatting sqref="U31:X31">
    <cfRule type="expression" dxfId="157" priority="54">
      <formula>AND(AJ41="*",U31="")</formula>
    </cfRule>
  </conditionalFormatting>
  <conditionalFormatting sqref="U40:X40">
    <cfRule type="expression" dxfId="156" priority="142">
      <formula>AND(AJ50="*",U40="")</formula>
    </cfRule>
  </conditionalFormatting>
  <conditionalFormatting sqref="U49:X49">
    <cfRule type="expression" dxfId="155" priority="97">
      <formula>AND(AJ59="*",U49="")</formula>
    </cfRule>
  </conditionalFormatting>
  <conditionalFormatting sqref="V19">
    <cfRule type="expression" dxfId="154" priority="167">
      <formula>X17&lt;&gt;"SPL"</formula>
    </cfRule>
    <cfRule type="expression" dxfId="153" priority="168">
      <formula>AND(X17="SPL",V19="",W17&gt;0)</formula>
    </cfRule>
  </conditionalFormatting>
  <conditionalFormatting sqref="V28">
    <cfRule type="expression" dxfId="152" priority="70">
      <formula>AND(X26="SPL",V28="",W26&gt;0)</formula>
    </cfRule>
    <cfRule type="expression" dxfId="151" priority="69">
      <formula>X26&lt;&gt;"SPL"</formula>
    </cfRule>
  </conditionalFormatting>
  <conditionalFormatting sqref="V37">
    <cfRule type="expression" dxfId="150" priority="20">
      <formula>X35&lt;&gt;"SPL"</formula>
    </cfRule>
    <cfRule type="expression" dxfId="149" priority="21">
      <formula>AND(X35="SPL",V37="",W35&gt;0)</formula>
    </cfRule>
  </conditionalFormatting>
  <conditionalFormatting sqref="V46">
    <cfRule type="expression" dxfId="148" priority="112">
      <formula>X44&lt;&gt;"SPL"</formula>
    </cfRule>
    <cfRule type="expression" dxfId="147" priority="113">
      <formula>AND(X44="SPL",V46="",W44&gt;0)</formula>
    </cfRule>
  </conditionalFormatting>
  <conditionalFormatting sqref="V20:Z20">
    <cfRule type="expression" dxfId="146" priority="161">
      <formula>$X$17&lt;&gt;"SPL"</formula>
    </cfRule>
  </conditionalFormatting>
  <conditionalFormatting sqref="V29:Z29">
    <cfRule type="expression" dxfId="145" priority="63">
      <formula>$X$17&lt;&gt;"SPL"</formula>
    </cfRule>
  </conditionalFormatting>
  <conditionalFormatting sqref="V38:Z38">
    <cfRule type="expression" dxfId="144" priority="14">
      <formula>$X$17&lt;&gt;"SPL"</formula>
    </cfRule>
  </conditionalFormatting>
  <conditionalFormatting sqref="V47:Z47">
    <cfRule type="expression" dxfId="143" priority="106">
      <formula>$X$17&lt;&gt;"SPL"</formula>
    </cfRule>
  </conditionalFormatting>
  <conditionalFormatting sqref="W19">
    <cfRule type="expression" dxfId="142" priority="166">
      <formula>AND($X17="SPL",W19="",$W17&gt;1)</formula>
    </cfRule>
  </conditionalFormatting>
  <conditionalFormatting sqref="W28">
    <cfRule type="expression" dxfId="141" priority="68">
      <formula>AND($X26="SPL",W28="",$W26&gt;1)</formula>
    </cfRule>
  </conditionalFormatting>
  <conditionalFormatting sqref="W37">
    <cfRule type="expression" dxfId="140" priority="19">
      <formula>AND($X35="SPL",W37="",$W35&gt;1)</formula>
    </cfRule>
  </conditionalFormatting>
  <conditionalFormatting sqref="W46">
    <cfRule type="expression" dxfId="139" priority="111">
      <formula>AND($X44="SPL",W46="",$W44&gt;1)</formula>
    </cfRule>
  </conditionalFormatting>
  <conditionalFormatting sqref="W19:Z19">
    <cfRule type="expression" dxfId="138" priority="162">
      <formula>$X17&lt;&gt;"SPL"</formula>
    </cfRule>
  </conditionalFormatting>
  <conditionalFormatting sqref="W28:Z28">
    <cfRule type="expression" dxfId="137" priority="64">
      <formula>$X26&lt;&gt;"SPL"</formula>
    </cfRule>
  </conditionalFormatting>
  <conditionalFormatting sqref="W37:Z37">
    <cfRule type="expression" dxfId="136" priority="15">
      <formula>$X35&lt;&gt;"SPL"</formula>
    </cfRule>
  </conditionalFormatting>
  <conditionalFormatting sqref="W46:Z46">
    <cfRule type="expression" dxfId="135" priority="107">
      <formula>$X44&lt;&gt;"SPL"</formula>
    </cfRule>
  </conditionalFormatting>
  <conditionalFormatting sqref="X19">
    <cfRule type="expression" dxfId="134" priority="165">
      <formula>AND($X17="SPL",X19="",$W17&gt;2)</formula>
    </cfRule>
  </conditionalFormatting>
  <conditionalFormatting sqref="X28">
    <cfRule type="expression" dxfId="133" priority="67">
      <formula>AND($X26="SPL",X28="",$W26&gt;2)</formula>
    </cfRule>
  </conditionalFormatting>
  <conditionalFormatting sqref="X37">
    <cfRule type="expression" dxfId="132" priority="18">
      <formula>AND($X35="SPL",X37="",$W35&gt;2)</formula>
    </cfRule>
  </conditionalFormatting>
  <conditionalFormatting sqref="X46">
    <cfRule type="expression" dxfId="131" priority="110">
      <formula>AND($X44="SPL",X46="",$W44&gt;2)</formula>
    </cfRule>
  </conditionalFormatting>
  <conditionalFormatting sqref="Y17">
    <cfRule type="expression" dxfId="130" priority="155">
      <formula>AND($S17="L",$Y17="")</formula>
    </cfRule>
  </conditionalFormatting>
  <conditionalFormatting sqref="Y19">
    <cfRule type="expression" dxfId="129" priority="164">
      <formula>AND($X17="SPL",Y19="",$W17&gt;3)</formula>
    </cfRule>
  </conditionalFormatting>
  <conditionalFormatting sqref="Y22:Y24">
    <cfRule type="expression" dxfId="128" priority="160">
      <formula>ISNA(Y22)</formula>
    </cfRule>
    <cfRule type="expression" dxfId="127" priority="159">
      <formula>Y22=0</formula>
    </cfRule>
  </conditionalFormatting>
  <conditionalFormatting sqref="Y26">
    <cfRule type="expression" dxfId="126" priority="47">
      <formula>AND($S26="L",$Y26="")</formula>
    </cfRule>
  </conditionalFormatting>
  <conditionalFormatting sqref="Y28">
    <cfRule type="expression" dxfId="125" priority="66">
      <formula>AND($X26="SPL",Y28="",$W26&gt;3)</formula>
    </cfRule>
  </conditionalFormatting>
  <conditionalFormatting sqref="Y31:Y33">
    <cfRule type="expression" dxfId="124" priority="62">
      <formula>ISNA(Y31)</formula>
    </cfRule>
    <cfRule type="expression" dxfId="123" priority="61">
      <formula>Y31=0</formula>
    </cfRule>
  </conditionalFormatting>
  <conditionalFormatting sqref="Y35">
    <cfRule type="expression" dxfId="122" priority="8">
      <formula>AND($S35="L",$Y35="")</formula>
    </cfRule>
  </conditionalFormatting>
  <conditionalFormatting sqref="Y37">
    <cfRule type="expression" dxfId="121" priority="17">
      <formula>AND($X35="SPL",Y37="",$W35&gt;3)</formula>
    </cfRule>
  </conditionalFormatting>
  <conditionalFormatting sqref="Y40:Y42">
    <cfRule type="expression" dxfId="120" priority="145">
      <formula>ISNA(Y40)</formula>
    </cfRule>
    <cfRule type="expression" dxfId="119" priority="144">
      <formula>Y40=0</formula>
    </cfRule>
  </conditionalFormatting>
  <conditionalFormatting sqref="Y44">
    <cfRule type="expression" dxfId="118" priority="51">
      <formula>AND($S44="L",$Y44="")</formula>
    </cfRule>
  </conditionalFormatting>
  <conditionalFormatting sqref="Y46">
    <cfRule type="expression" dxfId="117" priority="109">
      <formula>AND($X44="SPL",Y46="",$W44&gt;3)</formula>
    </cfRule>
  </conditionalFormatting>
  <conditionalFormatting sqref="Y49:Y51">
    <cfRule type="expression" dxfId="116" priority="104">
      <formula>Y49=0</formula>
    </cfRule>
    <cfRule type="expression" dxfId="115" priority="105">
      <formula>ISNA(Y49)</formula>
    </cfRule>
  </conditionalFormatting>
  <conditionalFormatting sqref="Z19">
    <cfRule type="expression" dxfId="114" priority="163">
      <formula>AND($X17="SPL",Z19="",$W17&gt;4)</formula>
    </cfRule>
  </conditionalFormatting>
  <conditionalFormatting sqref="Z28">
    <cfRule type="expression" dxfId="113" priority="65">
      <formula>AND($X26="SPL",Z28="",$W26&gt;4)</formula>
    </cfRule>
  </conditionalFormatting>
  <conditionalFormatting sqref="Z37">
    <cfRule type="expression" dxfId="112" priority="16">
      <formula>AND($X35="SPL",Z37="",$W35&gt;4)</formula>
    </cfRule>
  </conditionalFormatting>
  <conditionalFormatting sqref="Z46">
    <cfRule type="expression" dxfId="111" priority="108">
      <formula>AND($X44="SPL",Z46="",$W44&gt;4)</formula>
    </cfRule>
  </conditionalFormatting>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1DF4-06B7-4F08-9689-1367D869C6BB}">
  <sheetPr>
    <tabColor rgb="FFFFFF00"/>
  </sheetPr>
  <dimension ref="A1:BF72"/>
  <sheetViews>
    <sheetView workbookViewId="0">
      <selection activeCell="A19" sqref="A19"/>
    </sheetView>
  </sheetViews>
  <sheetFormatPr defaultRowHeight="12.6" x14ac:dyDescent="0.2"/>
  <cols>
    <col min="1" max="1" width="12.08984375" style="398" customWidth="1"/>
    <col min="2" max="2" width="29.90625" style="400" customWidth="1"/>
    <col min="3" max="3" width="34.26953125" customWidth="1"/>
    <col min="4" max="8" width="9.90625" customWidth="1"/>
    <col min="9" max="9" width="11.6328125" customWidth="1"/>
    <col min="10" max="10" width="13" customWidth="1"/>
    <col min="11" max="11" width="11.36328125" customWidth="1"/>
    <col min="12" max="12" width="34.7265625" style="398" bestFit="1" customWidth="1"/>
    <col min="13" max="13" width="19.36328125" style="398" bestFit="1" customWidth="1"/>
    <col min="14" max="14" width="9.6328125" style="400" bestFit="1" customWidth="1"/>
    <col min="15" max="15" width="9.08984375" style="398"/>
    <col min="16" max="16" width="10.6328125" style="400" customWidth="1"/>
    <col min="18" max="18" width="30.90625" style="400" bestFit="1" customWidth="1"/>
    <col min="20" max="20" width="15" style="400" customWidth="1"/>
    <col min="21" max="21" width="13.453125" customWidth="1"/>
    <col min="22" max="22" width="43.90625" style="400" bestFit="1" customWidth="1"/>
    <col min="23" max="23" width="9.36328125" bestFit="1" customWidth="1"/>
    <col min="24" max="24" width="9.6328125" bestFit="1" customWidth="1"/>
    <col min="25" max="25" width="7.90625" style="400" bestFit="1" customWidth="1"/>
    <col min="27" max="27" width="19.08984375" style="400" bestFit="1" customWidth="1"/>
    <col min="28" max="28" width="9.08984375" style="398"/>
    <col min="29" max="29" width="22.6328125" style="400" bestFit="1" customWidth="1"/>
    <col min="30" max="30" width="9.08984375" style="403"/>
    <col min="31" max="31" width="11.6328125" style="400" bestFit="1" customWidth="1"/>
    <col min="32" max="32" width="44.08984375" style="403" bestFit="1" customWidth="1"/>
    <col min="33" max="33" width="13.90625" style="403" bestFit="1" customWidth="1"/>
    <col min="34" max="34" width="12.08984375" style="404" customWidth="1"/>
    <col min="35" max="35" width="9.26953125" customWidth="1"/>
    <col min="36" max="36" width="5.6328125" style="400" bestFit="1" customWidth="1"/>
    <col min="38" max="38" width="31.90625" style="400" bestFit="1" customWidth="1"/>
    <col min="40" max="40" width="13" style="400" customWidth="1"/>
    <col min="41" max="41" width="18.08984375" style="398" bestFit="1" customWidth="1"/>
    <col min="42" max="42" width="39.08984375" style="400" bestFit="1" customWidth="1"/>
    <col min="43" max="43" width="10.6328125" bestFit="1" customWidth="1"/>
    <col min="44" max="44" width="15.90625" customWidth="1"/>
    <col min="45" max="45" width="24.36328125" style="400" customWidth="1"/>
    <col min="47" max="47" width="4.90625" style="400" bestFit="1" customWidth="1"/>
    <col min="49" max="49" width="41.6328125" style="400" bestFit="1" customWidth="1"/>
    <col min="50" max="50" width="9.08984375" style="402"/>
    <col min="51" max="51" width="5.6328125" style="403" bestFit="1" customWidth="1"/>
    <col min="52" max="52" width="43.08984375" style="400" bestFit="1" customWidth="1"/>
    <col min="54" max="54" width="40.453125" style="400" customWidth="1"/>
    <col min="56" max="56" width="49.6328125" style="400" customWidth="1"/>
    <col min="57" max="57" width="7.90625" customWidth="1"/>
    <col min="58" max="58" width="51.90625" style="400" bestFit="1" customWidth="1"/>
  </cols>
  <sheetData>
    <row r="1" spans="1:49" s="393" customFormat="1" ht="23.25" customHeight="1" x14ac:dyDescent="0.2">
      <c r="A1" s="4147" t="s">
        <v>547</v>
      </c>
      <c r="B1" s="4147"/>
      <c r="C1" s="4147"/>
      <c r="D1" s="4147"/>
      <c r="E1" s="4147"/>
      <c r="F1" s="4147"/>
      <c r="G1" s="391"/>
      <c r="H1" s="391"/>
      <c r="I1" s="391"/>
      <c r="J1" s="392"/>
      <c r="K1" s="391"/>
      <c r="T1" s="394"/>
      <c r="AD1" s="394"/>
      <c r="AN1" s="394"/>
    </row>
    <row r="2" spans="1:49" s="393" customFormat="1" ht="23.25" customHeight="1" x14ac:dyDescent="0.2">
      <c r="A2" s="393" t="s">
        <v>50</v>
      </c>
      <c r="B2" s="393" t="s">
        <v>548</v>
      </c>
      <c r="D2" s="391" t="s">
        <v>549</v>
      </c>
      <c r="E2" s="393" t="s">
        <v>50</v>
      </c>
      <c r="F2" s="391" t="s">
        <v>343</v>
      </c>
      <c r="G2" s="391" t="s">
        <v>38</v>
      </c>
      <c r="H2" s="391" t="s">
        <v>93</v>
      </c>
      <c r="I2" s="391" t="s">
        <v>37</v>
      </c>
      <c r="J2" s="392"/>
      <c r="K2" s="393" t="s">
        <v>50</v>
      </c>
      <c r="L2" s="393" t="s">
        <v>548</v>
      </c>
      <c r="N2" s="391" t="s">
        <v>549</v>
      </c>
      <c r="O2" s="393" t="s">
        <v>50</v>
      </c>
      <c r="P2" s="391" t="s">
        <v>343</v>
      </c>
      <c r="Q2" s="391" t="s">
        <v>38</v>
      </c>
      <c r="R2" s="391" t="s">
        <v>93</v>
      </c>
      <c r="S2" s="391" t="s">
        <v>37</v>
      </c>
      <c r="T2" s="392"/>
      <c r="U2" s="393" t="s">
        <v>50</v>
      </c>
      <c r="V2" s="393" t="s">
        <v>548</v>
      </c>
      <c r="X2" s="391" t="s">
        <v>549</v>
      </c>
      <c r="Y2" s="393" t="s">
        <v>50</v>
      </c>
      <c r="Z2" s="391" t="s">
        <v>343</v>
      </c>
      <c r="AA2" s="391" t="s">
        <v>38</v>
      </c>
      <c r="AB2" s="391" t="s">
        <v>93</v>
      </c>
      <c r="AC2" s="391" t="s">
        <v>37</v>
      </c>
      <c r="AD2" s="394"/>
      <c r="AE2" s="393" t="s">
        <v>50</v>
      </c>
      <c r="AF2" s="393" t="s">
        <v>548</v>
      </c>
      <c r="AH2" s="391" t="s">
        <v>549</v>
      </c>
      <c r="AI2" s="393" t="s">
        <v>50</v>
      </c>
      <c r="AJ2" s="391" t="s">
        <v>343</v>
      </c>
      <c r="AK2" s="391" t="s">
        <v>38</v>
      </c>
      <c r="AL2" s="391" t="s">
        <v>93</v>
      </c>
      <c r="AM2" s="391" t="s">
        <v>37</v>
      </c>
      <c r="AN2" s="394"/>
      <c r="AO2" s="393" t="s">
        <v>50</v>
      </c>
      <c r="AP2" s="393" t="s">
        <v>548</v>
      </c>
      <c r="AR2" s="391" t="s">
        <v>549</v>
      </c>
      <c r="AS2" s="393" t="s">
        <v>50</v>
      </c>
      <c r="AT2" s="391" t="s">
        <v>343</v>
      </c>
      <c r="AU2" s="391" t="s">
        <v>38</v>
      </c>
      <c r="AV2" s="391" t="s">
        <v>93</v>
      </c>
      <c r="AW2" s="391" t="s">
        <v>37</v>
      </c>
    </row>
    <row r="3" spans="1:49" ht="14.4" x14ac:dyDescent="0.3">
      <c r="A3" s="395" t="s">
        <v>550</v>
      </c>
      <c r="B3" s="396" t="s">
        <v>551</v>
      </c>
      <c r="C3" s="396" t="s">
        <v>552</v>
      </c>
      <c r="D3" s="397" t="s">
        <v>43</v>
      </c>
      <c r="E3" s="397" t="s">
        <v>553</v>
      </c>
      <c r="F3">
        <v>0.4</v>
      </c>
      <c r="G3">
        <v>8.5</v>
      </c>
      <c r="H3">
        <f>24+4+4</f>
        <v>32</v>
      </c>
      <c r="K3" s="395" t="s">
        <v>554</v>
      </c>
      <c r="L3" s="396" t="s">
        <v>555</v>
      </c>
      <c r="M3" s="397" t="s">
        <v>556</v>
      </c>
      <c r="N3" s="397" t="s">
        <v>43</v>
      </c>
      <c r="O3" s="397" t="s">
        <v>557</v>
      </c>
      <c r="P3">
        <v>0.4</v>
      </c>
      <c r="Q3">
        <v>18.600000000000001</v>
      </c>
      <c r="R3"/>
      <c r="T3"/>
      <c r="U3" s="395" t="s">
        <v>558</v>
      </c>
      <c r="V3" s="396" t="s">
        <v>559</v>
      </c>
      <c r="W3" s="397" t="s">
        <v>560</v>
      </c>
      <c r="X3" s="397" t="s">
        <v>43</v>
      </c>
      <c r="Y3" s="397" t="s">
        <v>59</v>
      </c>
      <c r="Z3">
        <v>0.4</v>
      </c>
      <c r="AA3">
        <v>9.75</v>
      </c>
      <c r="AB3"/>
      <c r="AC3"/>
      <c r="AD3"/>
      <c r="AE3" s="395" t="s">
        <v>561</v>
      </c>
      <c r="AF3" s="396" t="s">
        <v>562</v>
      </c>
      <c r="AG3" s="397" t="s">
        <v>563</v>
      </c>
      <c r="AH3" s="397" t="s">
        <v>43</v>
      </c>
      <c r="AI3" s="397" t="s">
        <v>564</v>
      </c>
      <c r="AJ3">
        <v>0.4</v>
      </c>
      <c r="AL3"/>
      <c r="AN3"/>
      <c r="AO3" t="s">
        <v>565</v>
      </c>
      <c r="AP3" t="s">
        <v>566</v>
      </c>
      <c r="AQ3" t="s">
        <v>567</v>
      </c>
      <c r="AR3" t="s">
        <v>43</v>
      </c>
      <c r="AS3" t="s">
        <v>568</v>
      </c>
      <c r="AU3"/>
      <c r="AW3"/>
    </row>
    <row r="4" spans="1:49" ht="14.4" x14ac:dyDescent="0.3">
      <c r="A4" s="395" t="s">
        <v>550</v>
      </c>
      <c r="B4" s="396" t="s">
        <v>569</v>
      </c>
      <c r="C4" s="396" t="s">
        <v>570</v>
      </c>
      <c r="D4" s="397" t="s">
        <v>43</v>
      </c>
      <c r="E4" s="397" t="s">
        <v>553</v>
      </c>
      <c r="F4">
        <v>0.4</v>
      </c>
      <c r="G4">
        <v>8.5</v>
      </c>
      <c r="H4">
        <f>24+6+4</f>
        <v>34</v>
      </c>
      <c r="K4" s="395" t="s">
        <v>554</v>
      </c>
      <c r="L4" s="396" t="s">
        <v>571</v>
      </c>
      <c r="M4" s="397" t="s">
        <v>572</v>
      </c>
      <c r="N4" s="397" t="s">
        <v>43</v>
      </c>
      <c r="O4" s="397" t="s">
        <v>557</v>
      </c>
      <c r="P4">
        <v>0.4</v>
      </c>
      <c r="Q4">
        <v>18.600000000000001</v>
      </c>
      <c r="R4"/>
      <c r="T4"/>
      <c r="U4" s="395" t="s">
        <v>558</v>
      </c>
      <c r="V4" s="396" t="s">
        <v>573</v>
      </c>
      <c r="W4" s="397" t="s">
        <v>574</v>
      </c>
      <c r="X4" s="397" t="s">
        <v>43</v>
      </c>
      <c r="Y4" s="397" t="s">
        <v>59</v>
      </c>
      <c r="Z4">
        <v>0.4</v>
      </c>
      <c r="AA4">
        <v>9.75</v>
      </c>
      <c r="AB4"/>
      <c r="AC4"/>
      <c r="AD4"/>
      <c r="AE4" s="395" t="s">
        <v>561</v>
      </c>
      <c r="AF4" s="396" t="s">
        <v>575</v>
      </c>
      <c r="AG4" s="397" t="s">
        <v>576</v>
      </c>
      <c r="AH4" s="397" t="s">
        <v>43</v>
      </c>
      <c r="AI4" s="397" t="s">
        <v>564</v>
      </c>
      <c r="AJ4">
        <v>0.4</v>
      </c>
      <c r="AL4"/>
      <c r="AN4"/>
      <c r="AO4" t="s">
        <v>577</v>
      </c>
      <c r="AP4" t="s">
        <v>578</v>
      </c>
      <c r="AQ4" t="s">
        <v>579</v>
      </c>
      <c r="AR4" t="s">
        <v>43</v>
      </c>
      <c r="AS4" t="s">
        <v>580</v>
      </c>
      <c r="AU4"/>
      <c r="AW4"/>
    </row>
    <row r="5" spans="1:49" ht="14.4" x14ac:dyDescent="0.3">
      <c r="A5" s="395" t="s">
        <v>550</v>
      </c>
      <c r="B5" s="396" t="s">
        <v>581</v>
      </c>
      <c r="C5" s="396" t="s">
        <v>582</v>
      </c>
      <c r="D5" s="397" t="s">
        <v>43</v>
      </c>
      <c r="E5" s="397" t="s">
        <v>553</v>
      </c>
      <c r="F5">
        <v>0.4</v>
      </c>
      <c r="G5">
        <v>8.5</v>
      </c>
      <c r="H5">
        <f>24+8+4</f>
        <v>36</v>
      </c>
      <c r="K5" s="395" t="s">
        <v>554</v>
      </c>
      <c r="L5" s="396" t="s">
        <v>583</v>
      </c>
      <c r="M5" s="397" t="s">
        <v>584</v>
      </c>
      <c r="N5" s="397" t="s">
        <v>43</v>
      </c>
      <c r="O5" s="397" t="s">
        <v>557</v>
      </c>
      <c r="P5">
        <v>0.4</v>
      </c>
      <c r="Q5">
        <v>18.600000000000001</v>
      </c>
      <c r="R5"/>
      <c r="T5"/>
      <c r="U5" s="395" t="s">
        <v>558</v>
      </c>
      <c r="V5" s="396" t="s">
        <v>585</v>
      </c>
      <c r="W5" s="397" t="s">
        <v>586</v>
      </c>
      <c r="X5" s="397" t="s">
        <v>43</v>
      </c>
      <c r="Y5" s="397" t="s">
        <v>59</v>
      </c>
      <c r="Z5">
        <v>0.4</v>
      </c>
      <c r="AA5">
        <v>9.75</v>
      </c>
      <c r="AB5"/>
      <c r="AC5"/>
      <c r="AD5"/>
      <c r="AE5" s="395" t="s">
        <v>561</v>
      </c>
      <c r="AF5" s="396" t="s">
        <v>587</v>
      </c>
      <c r="AG5" s="397" t="s">
        <v>588</v>
      </c>
      <c r="AH5" s="397" t="s">
        <v>43</v>
      </c>
      <c r="AI5" s="397" t="s">
        <v>564</v>
      </c>
      <c r="AJ5">
        <v>0.4</v>
      </c>
      <c r="AL5"/>
      <c r="AN5"/>
      <c r="AO5" t="s">
        <v>589</v>
      </c>
      <c r="AP5" t="s">
        <v>590</v>
      </c>
      <c r="AQ5" t="s">
        <v>591</v>
      </c>
      <c r="AR5" t="s">
        <v>43</v>
      </c>
      <c r="AS5" t="s">
        <v>592</v>
      </c>
      <c r="AU5"/>
      <c r="AW5"/>
    </row>
    <row r="6" spans="1:49" ht="14.4" x14ac:dyDescent="0.3">
      <c r="A6" s="395" t="s">
        <v>550</v>
      </c>
      <c r="B6" s="396" t="s">
        <v>593</v>
      </c>
      <c r="C6" s="396" t="s">
        <v>594</v>
      </c>
      <c r="D6" s="397" t="s">
        <v>43</v>
      </c>
      <c r="E6" s="397" t="s">
        <v>553</v>
      </c>
      <c r="F6">
        <v>0.4</v>
      </c>
      <c r="G6">
        <v>8.5</v>
      </c>
      <c r="H6">
        <f>36+4</f>
        <v>40</v>
      </c>
      <c r="K6" s="395" t="s">
        <v>554</v>
      </c>
      <c r="L6" s="396" t="s">
        <v>595</v>
      </c>
      <c r="M6" s="397" t="s">
        <v>596</v>
      </c>
      <c r="N6" s="397" t="s">
        <v>43</v>
      </c>
      <c r="O6" s="397" t="s">
        <v>557</v>
      </c>
      <c r="P6">
        <v>0.4</v>
      </c>
      <c r="Q6">
        <v>18.600000000000001</v>
      </c>
      <c r="R6"/>
      <c r="T6"/>
      <c r="U6" s="395" t="s">
        <v>558</v>
      </c>
      <c r="V6" s="396" t="s">
        <v>597</v>
      </c>
      <c r="W6" s="397" t="s">
        <v>598</v>
      </c>
      <c r="X6" s="397" t="s">
        <v>43</v>
      </c>
      <c r="Y6" s="397" t="s">
        <v>59</v>
      </c>
      <c r="Z6">
        <v>0.4</v>
      </c>
      <c r="AA6">
        <v>9.75</v>
      </c>
      <c r="AB6"/>
      <c r="AC6"/>
      <c r="AD6"/>
      <c r="AE6" s="395" t="s">
        <v>561</v>
      </c>
      <c r="AF6" s="396" t="s">
        <v>599</v>
      </c>
      <c r="AG6" s="397" t="s">
        <v>600</v>
      </c>
      <c r="AH6" s="397" t="s">
        <v>43</v>
      </c>
      <c r="AI6" s="397" t="s">
        <v>564</v>
      </c>
      <c r="AJ6">
        <v>0.4</v>
      </c>
      <c r="AL6"/>
      <c r="AN6"/>
      <c r="AO6" t="s">
        <v>601</v>
      </c>
      <c r="AP6" t="s">
        <v>602</v>
      </c>
      <c r="AQ6" t="s">
        <v>603</v>
      </c>
      <c r="AR6" t="s">
        <v>43</v>
      </c>
      <c r="AS6" t="s">
        <v>604</v>
      </c>
      <c r="AU6"/>
      <c r="AW6"/>
    </row>
    <row r="7" spans="1:49" ht="14.4" x14ac:dyDescent="0.3">
      <c r="A7" s="395" t="s">
        <v>550</v>
      </c>
      <c r="B7" s="396" t="s">
        <v>605</v>
      </c>
      <c r="C7" s="396" t="s">
        <v>606</v>
      </c>
      <c r="D7" s="397" t="s">
        <v>43</v>
      </c>
      <c r="E7" s="397" t="s">
        <v>553</v>
      </c>
      <c r="F7">
        <v>0.4</v>
      </c>
      <c r="G7">
        <v>8.5</v>
      </c>
      <c r="H7">
        <v>44</v>
      </c>
      <c r="K7" s="395" t="s">
        <v>554</v>
      </c>
      <c r="L7" s="396" t="s">
        <v>607</v>
      </c>
      <c r="M7" s="397" t="s">
        <v>608</v>
      </c>
      <c r="N7" s="397" t="s">
        <v>43</v>
      </c>
      <c r="O7" s="397" t="s">
        <v>557</v>
      </c>
      <c r="P7">
        <v>0.4</v>
      </c>
      <c r="Q7">
        <v>18.600000000000001</v>
      </c>
      <c r="R7"/>
      <c r="T7"/>
      <c r="U7" s="395" t="s">
        <v>558</v>
      </c>
      <c r="V7" s="396" t="s">
        <v>609</v>
      </c>
      <c r="W7" s="397" t="s">
        <v>610</v>
      </c>
      <c r="X7" s="397" t="s">
        <v>43</v>
      </c>
      <c r="Y7" s="397" t="s">
        <v>59</v>
      </c>
      <c r="Z7">
        <v>0.4</v>
      </c>
      <c r="AA7">
        <v>9.75</v>
      </c>
      <c r="AB7"/>
      <c r="AC7"/>
      <c r="AD7"/>
      <c r="AE7" s="395" t="s">
        <v>561</v>
      </c>
      <c r="AF7" s="396" t="s">
        <v>611</v>
      </c>
      <c r="AG7" s="397" t="s">
        <v>612</v>
      </c>
      <c r="AH7" s="397" t="s">
        <v>43</v>
      </c>
      <c r="AI7" s="397" t="s">
        <v>564</v>
      </c>
      <c r="AJ7">
        <v>0.4</v>
      </c>
      <c r="AL7"/>
      <c r="AN7"/>
      <c r="AO7" t="s">
        <v>613</v>
      </c>
      <c r="AP7" t="s">
        <v>614</v>
      </c>
      <c r="AQ7" t="s">
        <v>615</v>
      </c>
      <c r="AR7" t="s">
        <v>43</v>
      </c>
      <c r="AS7" t="s">
        <v>616</v>
      </c>
      <c r="AU7"/>
      <c r="AW7"/>
    </row>
    <row r="8" spans="1:49" ht="14.4" x14ac:dyDescent="0.3">
      <c r="A8" s="395" t="s">
        <v>550</v>
      </c>
      <c r="B8" s="396" t="s">
        <v>617</v>
      </c>
      <c r="C8" s="396" t="s">
        <v>618</v>
      </c>
      <c r="D8" s="397" t="s">
        <v>43</v>
      </c>
      <c r="E8" s="397" t="s">
        <v>553</v>
      </c>
      <c r="F8">
        <v>0.4</v>
      </c>
      <c r="G8">
        <v>8.5</v>
      </c>
      <c r="H8">
        <v>46</v>
      </c>
      <c r="K8" s="395" t="s">
        <v>554</v>
      </c>
      <c r="L8" s="396" t="s">
        <v>619</v>
      </c>
      <c r="M8" s="397" t="s">
        <v>620</v>
      </c>
      <c r="N8" s="397" t="s">
        <v>43</v>
      </c>
      <c r="O8" s="397" t="s">
        <v>557</v>
      </c>
      <c r="P8">
        <v>0.4</v>
      </c>
      <c r="Q8">
        <v>18.600000000000001</v>
      </c>
      <c r="R8"/>
      <c r="T8"/>
      <c r="U8" s="395" t="s">
        <v>558</v>
      </c>
      <c r="V8" s="396" t="s">
        <v>621</v>
      </c>
      <c r="W8" s="397" t="s">
        <v>622</v>
      </c>
      <c r="X8" s="397" t="s">
        <v>43</v>
      </c>
      <c r="Y8" s="397" t="s">
        <v>59</v>
      </c>
      <c r="Z8">
        <v>0.4</v>
      </c>
      <c r="AA8">
        <v>9.75</v>
      </c>
      <c r="AB8"/>
      <c r="AC8"/>
      <c r="AD8"/>
      <c r="AE8" s="395" t="s">
        <v>561</v>
      </c>
      <c r="AF8" s="396" t="s">
        <v>623</v>
      </c>
      <c r="AG8" s="397" t="s">
        <v>624</v>
      </c>
      <c r="AH8" s="397" t="s">
        <v>43</v>
      </c>
      <c r="AI8" s="397" t="s">
        <v>564</v>
      </c>
      <c r="AJ8">
        <v>0.4</v>
      </c>
      <c r="AK8">
        <v>2.2599999999999998</v>
      </c>
      <c r="AL8"/>
      <c r="AN8"/>
      <c r="AO8" t="s">
        <v>625</v>
      </c>
      <c r="AP8" t="s">
        <v>626</v>
      </c>
      <c r="AQ8" t="s">
        <v>627</v>
      </c>
      <c r="AR8" t="s">
        <v>43</v>
      </c>
      <c r="AS8" t="s">
        <v>628</v>
      </c>
      <c r="AU8"/>
      <c r="AW8"/>
    </row>
    <row r="9" spans="1:49" ht="14.4" x14ac:dyDescent="0.3">
      <c r="A9" s="395" t="s">
        <v>550</v>
      </c>
      <c r="B9" s="396" t="s">
        <v>629</v>
      </c>
      <c r="C9" s="396" t="s">
        <v>630</v>
      </c>
      <c r="D9" s="397" t="s">
        <v>43</v>
      </c>
      <c r="E9" s="397" t="s">
        <v>553</v>
      </c>
      <c r="F9">
        <v>0.4</v>
      </c>
      <c r="G9">
        <v>8.5</v>
      </c>
      <c r="H9">
        <v>48</v>
      </c>
      <c r="K9" s="395" t="s">
        <v>554</v>
      </c>
      <c r="L9" s="396" t="s">
        <v>631</v>
      </c>
      <c r="M9" s="397" t="s">
        <v>632</v>
      </c>
      <c r="N9" s="397" t="s">
        <v>43</v>
      </c>
      <c r="O9" s="397" t="s">
        <v>557</v>
      </c>
      <c r="P9">
        <v>0.4</v>
      </c>
      <c r="Q9">
        <v>18.600000000000001</v>
      </c>
      <c r="R9"/>
      <c r="T9"/>
      <c r="U9" s="395" t="s">
        <v>558</v>
      </c>
      <c r="V9" s="396" t="s">
        <v>633</v>
      </c>
      <c r="W9" s="397" t="s">
        <v>634</v>
      </c>
      <c r="X9" s="397" t="s">
        <v>43</v>
      </c>
      <c r="Y9" s="397" t="s">
        <v>59</v>
      </c>
      <c r="Z9">
        <v>0.4</v>
      </c>
      <c r="AA9">
        <v>9.75</v>
      </c>
      <c r="AB9"/>
      <c r="AC9"/>
      <c r="AD9"/>
      <c r="AE9" s="395" t="s">
        <v>635</v>
      </c>
      <c r="AF9" s="396" t="s">
        <v>562</v>
      </c>
      <c r="AG9" s="397" t="s">
        <v>636</v>
      </c>
      <c r="AH9" s="397" t="s">
        <v>43</v>
      </c>
      <c r="AI9" s="397" t="s">
        <v>637</v>
      </c>
      <c r="AJ9">
        <v>0.4</v>
      </c>
      <c r="AL9"/>
      <c r="AN9"/>
      <c r="AO9"/>
      <c r="AP9"/>
      <c r="AS9"/>
      <c r="AU9"/>
      <c r="AW9"/>
    </row>
    <row r="10" spans="1:49" ht="14.4" x14ac:dyDescent="0.3">
      <c r="A10" s="395" t="s">
        <v>550</v>
      </c>
      <c r="B10" s="396" t="s">
        <v>638</v>
      </c>
      <c r="C10" s="396" t="s">
        <v>639</v>
      </c>
      <c r="D10" s="397" t="s">
        <v>43</v>
      </c>
      <c r="E10" s="397" t="s">
        <v>553</v>
      </c>
      <c r="F10">
        <v>0.4</v>
      </c>
      <c r="G10">
        <v>8.5</v>
      </c>
      <c r="H10">
        <f>48+4</f>
        <v>52</v>
      </c>
      <c r="K10" s="395" t="s">
        <v>554</v>
      </c>
      <c r="L10" s="396" t="s">
        <v>640</v>
      </c>
      <c r="M10" s="397" t="s">
        <v>641</v>
      </c>
      <c r="N10" s="397" t="s">
        <v>43</v>
      </c>
      <c r="O10" s="397" t="s">
        <v>557</v>
      </c>
      <c r="P10">
        <v>0.4</v>
      </c>
      <c r="Q10">
        <v>18.600000000000001</v>
      </c>
      <c r="R10"/>
      <c r="T10"/>
      <c r="U10" s="395" t="s">
        <v>558</v>
      </c>
      <c r="V10" s="396" t="s">
        <v>642</v>
      </c>
      <c r="W10" s="397" t="s">
        <v>643</v>
      </c>
      <c r="X10" s="397" t="s">
        <v>43</v>
      </c>
      <c r="Y10" s="397" t="s">
        <v>59</v>
      </c>
      <c r="Z10">
        <v>0.4</v>
      </c>
      <c r="AA10">
        <v>9.75</v>
      </c>
      <c r="AB10"/>
      <c r="AC10"/>
      <c r="AD10"/>
      <c r="AE10" s="395" t="s">
        <v>635</v>
      </c>
      <c r="AF10" s="396" t="s">
        <v>575</v>
      </c>
      <c r="AG10" s="397" t="s">
        <v>644</v>
      </c>
      <c r="AH10" s="397" t="s">
        <v>43</v>
      </c>
      <c r="AI10" s="397" t="s">
        <v>637</v>
      </c>
      <c r="AJ10">
        <v>0.4</v>
      </c>
      <c r="AL10"/>
      <c r="AN10"/>
      <c r="AO10"/>
      <c r="AP10"/>
      <c r="AS10"/>
      <c r="AU10"/>
      <c r="AW10"/>
    </row>
    <row r="11" spans="1:49" ht="14.4" x14ac:dyDescent="0.3">
      <c r="A11" s="395" t="s">
        <v>550</v>
      </c>
      <c r="B11" s="396" t="s">
        <v>645</v>
      </c>
      <c r="C11" s="396" t="s">
        <v>646</v>
      </c>
      <c r="D11" s="397" t="s">
        <v>43</v>
      </c>
      <c r="E11" s="397" t="s">
        <v>553</v>
      </c>
      <c r="F11">
        <v>0.4</v>
      </c>
      <c r="G11">
        <v>8.5</v>
      </c>
      <c r="H11">
        <f>48+4+6</f>
        <v>58</v>
      </c>
      <c r="K11" s="395" t="s">
        <v>554</v>
      </c>
      <c r="L11" s="396" t="s">
        <v>647</v>
      </c>
      <c r="M11" s="397" t="s">
        <v>648</v>
      </c>
      <c r="N11" s="397" t="s">
        <v>43</v>
      </c>
      <c r="O11" s="397" t="s">
        <v>557</v>
      </c>
      <c r="P11">
        <v>0.4</v>
      </c>
      <c r="Q11">
        <v>18.600000000000001</v>
      </c>
      <c r="R11"/>
      <c r="T11"/>
      <c r="U11" s="395" t="s">
        <v>558</v>
      </c>
      <c r="V11" s="396" t="s">
        <v>649</v>
      </c>
      <c r="W11" s="397" t="s">
        <v>650</v>
      </c>
      <c r="X11" s="397" t="s">
        <v>43</v>
      </c>
      <c r="Y11" s="397" t="s">
        <v>59</v>
      </c>
      <c r="Z11">
        <v>0.4</v>
      </c>
      <c r="AA11">
        <v>9.75</v>
      </c>
      <c r="AB11"/>
      <c r="AC11"/>
      <c r="AD11"/>
      <c r="AE11" s="395" t="s">
        <v>635</v>
      </c>
      <c r="AF11" s="396" t="s">
        <v>587</v>
      </c>
      <c r="AG11" s="397" t="s">
        <v>651</v>
      </c>
      <c r="AH11" s="397" t="s">
        <v>43</v>
      </c>
      <c r="AI11" s="397" t="s">
        <v>637</v>
      </c>
      <c r="AJ11">
        <v>0.4</v>
      </c>
      <c r="AL11"/>
      <c r="AN11"/>
      <c r="AO11"/>
      <c r="AP11"/>
      <c r="AS11"/>
      <c r="AU11"/>
      <c r="AW11"/>
    </row>
    <row r="12" spans="1:49" ht="14.4" x14ac:dyDescent="0.3">
      <c r="A12" s="395" t="s">
        <v>550</v>
      </c>
      <c r="B12" s="396" t="s">
        <v>652</v>
      </c>
      <c r="C12" s="396" t="s">
        <v>653</v>
      </c>
      <c r="D12" s="397" t="s">
        <v>43</v>
      </c>
      <c r="E12" s="397" t="s">
        <v>553</v>
      </c>
      <c r="F12">
        <v>0.4</v>
      </c>
      <c r="G12">
        <v>8.5</v>
      </c>
      <c r="H12">
        <v>64</v>
      </c>
      <c r="K12" s="395" t="s">
        <v>554</v>
      </c>
      <c r="L12" s="396" t="s">
        <v>654</v>
      </c>
      <c r="M12" s="397" t="s">
        <v>655</v>
      </c>
      <c r="N12" s="397" t="s">
        <v>43</v>
      </c>
      <c r="O12" s="397" t="s">
        <v>557</v>
      </c>
      <c r="P12">
        <v>0.4</v>
      </c>
      <c r="Q12">
        <v>18.600000000000001</v>
      </c>
      <c r="R12"/>
      <c r="T12"/>
      <c r="U12" s="395" t="s">
        <v>558</v>
      </c>
      <c r="V12" s="396" t="s">
        <v>656</v>
      </c>
      <c r="W12" s="397" t="s">
        <v>657</v>
      </c>
      <c r="X12" s="397" t="s">
        <v>43</v>
      </c>
      <c r="Y12" s="397" t="s">
        <v>59</v>
      </c>
      <c r="Z12">
        <v>0.4</v>
      </c>
      <c r="AA12">
        <v>9.75</v>
      </c>
      <c r="AB12"/>
      <c r="AC12"/>
      <c r="AD12"/>
      <c r="AE12" s="395" t="s">
        <v>635</v>
      </c>
      <c r="AF12" s="396" t="s">
        <v>599</v>
      </c>
      <c r="AG12" s="397" t="s">
        <v>658</v>
      </c>
      <c r="AH12" s="397" t="s">
        <v>43</v>
      </c>
      <c r="AI12" s="397" t="s">
        <v>637</v>
      </c>
      <c r="AJ12">
        <v>0.4</v>
      </c>
      <c r="AL12"/>
      <c r="AN12"/>
      <c r="AO12"/>
      <c r="AP12"/>
      <c r="AS12"/>
      <c r="AU12"/>
      <c r="AW12"/>
    </row>
    <row r="13" spans="1:49" ht="14.4" x14ac:dyDescent="0.3">
      <c r="A13" s="395" t="s">
        <v>550</v>
      </c>
      <c r="B13" s="396" t="s">
        <v>659</v>
      </c>
      <c r="C13" s="396" t="s">
        <v>660</v>
      </c>
      <c r="D13" s="397" t="s">
        <v>43</v>
      </c>
      <c r="E13" s="397" t="s">
        <v>553</v>
      </c>
      <c r="F13">
        <v>0.4</v>
      </c>
      <c r="G13">
        <v>8.5</v>
      </c>
      <c r="H13">
        <v>76</v>
      </c>
      <c r="K13" s="395" t="s">
        <v>554</v>
      </c>
      <c r="L13" s="396" t="s">
        <v>661</v>
      </c>
      <c r="M13" s="397" t="s">
        <v>662</v>
      </c>
      <c r="N13" s="397" t="s">
        <v>43</v>
      </c>
      <c r="O13" s="397" t="s">
        <v>557</v>
      </c>
      <c r="P13">
        <v>0.4</v>
      </c>
      <c r="Q13">
        <v>18.600000000000001</v>
      </c>
      <c r="R13"/>
      <c r="T13"/>
      <c r="U13" s="395" t="s">
        <v>558</v>
      </c>
      <c r="V13" s="396" t="s">
        <v>663</v>
      </c>
      <c r="W13" s="397" t="s">
        <v>664</v>
      </c>
      <c r="X13" s="397" t="s">
        <v>43</v>
      </c>
      <c r="Y13" s="397" t="s">
        <v>59</v>
      </c>
      <c r="Z13">
        <v>0.4</v>
      </c>
      <c r="AA13">
        <v>9.75</v>
      </c>
      <c r="AB13"/>
      <c r="AC13"/>
      <c r="AD13"/>
      <c r="AE13" s="395" t="s">
        <v>635</v>
      </c>
      <c r="AF13" s="396" t="s">
        <v>611</v>
      </c>
      <c r="AG13" s="397" t="s">
        <v>665</v>
      </c>
      <c r="AH13" s="397" t="s">
        <v>43</v>
      </c>
      <c r="AI13" s="397" t="s">
        <v>637</v>
      </c>
      <c r="AJ13">
        <v>0.4</v>
      </c>
      <c r="AL13"/>
      <c r="AN13"/>
      <c r="AO13"/>
      <c r="AP13"/>
      <c r="AS13"/>
      <c r="AU13"/>
      <c r="AW13"/>
    </row>
    <row r="14" spans="1:49" ht="14.4" x14ac:dyDescent="0.3">
      <c r="A14" s="395" t="s">
        <v>550</v>
      </c>
      <c r="B14" s="396" t="s">
        <v>666</v>
      </c>
      <c r="C14" s="396" t="s">
        <v>667</v>
      </c>
      <c r="D14" s="397" t="s">
        <v>43</v>
      </c>
      <c r="E14" s="397" t="s">
        <v>553</v>
      </c>
      <c r="F14">
        <v>0.4</v>
      </c>
      <c r="G14">
        <v>8.5</v>
      </c>
      <c r="H14">
        <v>88</v>
      </c>
      <c r="K14" s="395" t="s">
        <v>554</v>
      </c>
      <c r="L14" s="396" t="s">
        <v>668</v>
      </c>
      <c r="M14" s="397" t="s">
        <v>669</v>
      </c>
      <c r="N14" s="397" t="s">
        <v>43</v>
      </c>
      <c r="O14" s="397" t="s">
        <v>557</v>
      </c>
      <c r="P14">
        <v>0.4</v>
      </c>
      <c r="Q14">
        <v>18.600000000000001</v>
      </c>
      <c r="R14"/>
      <c r="T14"/>
      <c r="U14" s="395" t="s">
        <v>670</v>
      </c>
      <c r="V14" s="396" t="s">
        <v>671</v>
      </c>
      <c r="W14" s="397" t="s">
        <v>672</v>
      </c>
      <c r="X14" s="397" t="s">
        <v>43</v>
      </c>
      <c r="Y14" s="397" t="s">
        <v>55</v>
      </c>
      <c r="Z14">
        <v>0.4</v>
      </c>
      <c r="AA14">
        <v>14.3</v>
      </c>
      <c r="AB14"/>
      <c r="AC14"/>
      <c r="AD14"/>
      <c r="AE14" s="395" t="s">
        <v>635</v>
      </c>
      <c r="AF14" s="396" t="s">
        <v>623</v>
      </c>
      <c r="AG14" s="397" t="s">
        <v>673</v>
      </c>
      <c r="AH14" s="397" t="s">
        <v>43</v>
      </c>
      <c r="AI14" s="397" t="s">
        <v>637</v>
      </c>
      <c r="AJ14">
        <v>0.4</v>
      </c>
      <c r="AK14">
        <v>2.2599999999999998</v>
      </c>
      <c r="AL14"/>
      <c r="AN14"/>
      <c r="AO14"/>
      <c r="AP14"/>
      <c r="AS14"/>
      <c r="AU14"/>
      <c r="AW14"/>
    </row>
    <row r="15" spans="1:49" ht="14.4" x14ac:dyDescent="0.3">
      <c r="A15" s="395" t="s">
        <v>550</v>
      </c>
      <c r="B15" s="396" t="s">
        <v>674</v>
      </c>
      <c r="C15" s="396" t="s">
        <v>675</v>
      </c>
      <c r="D15" s="397" t="s">
        <v>43</v>
      </c>
      <c r="E15" s="397" t="s">
        <v>553</v>
      </c>
      <c r="F15">
        <v>0.4</v>
      </c>
      <c r="G15">
        <v>8.5</v>
      </c>
      <c r="H15">
        <v>100</v>
      </c>
      <c r="K15" s="395" t="s">
        <v>554</v>
      </c>
      <c r="L15" s="396" t="s">
        <v>676</v>
      </c>
      <c r="M15" s="397" t="s">
        <v>677</v>
      </c>
      <c r="N15" s="397" t="s">
        <v>43</v>
      </c>
      <c r="O15" s="397" t="s">
        <v>557</v>
      </c>
      <c r="P15">
        <v>0.4</v>
      </c>
      <c r="Q15">
        <v>18.600000000000001</v>
      </c>
      <c r="R15"/>
      <c r="T15"/>
      <c r="U15" s="395" t="s">
        <v>670</v>
      </c>
      <c r="V15" s="396" t="s">
        <v>678</v>
      </c>
      <c r="W15" s="397" t="s">
        <v>679</v>
      </c>
      <c r="X15" s="397" t="s">
        <v>43</v>
      </c>
      <c r="Y15" s="397" t="s">
        <v>55</v>
      </c>
      <c r="Z15">
        <v>0.4</v>
      </c>
      <c r="AA15">
        <v>14.3</v>
      </c>
      <c r="AB15"/>
      <c r="AC15"/>
      <c r="AD15"/>
      <c r="AE15" s="395" t="s">
        <v>680</v>
      </c>
      <c r="AF15" s="396" t="s">
        <v>562</v>
      </c>
      <c r="AG15" s="397" t="s">
        <v>681</v>
      </c>
      <c r="AH15" s="397" t="s">
        <v>43</v>
      </c>
      <c r="AI15" s="397" t="s">
        <v>682</v>
      </c>
      <c r="AJ15">
        <v>0.4</v>
      </c>
      <c r="AL15"/>
      <c r="AN15"/>
      <c r="AO15"/>
      <c r="AP15"/>
      <c r="AS15"/>
      <c r="AU15"/>
      <c r="AW15"/>
    </row>
    <row r="16" spans="1:49" ht="14.4" x14ac:dyDescent="0.3">
      <c r="A16" s="395" t="s">
        <v>550</v>
      </c>
      <c r="B16" s="396" t="s">
        <v>683</v>
      </c>
      <c r="C16" s="396" t="s">
        <v>684</v>
      </c>
      <c r="D16" s="397" t="s">
        <v>43</v>
      </c>
      <c r="E16" s="397" t="s">
        <v>553</v>
      </c>
      <c r="F16">
        <v>0.4</v>
      </c>
      <c r="G16">
        <v>8.5</v>
      </c>
      <c r="H16">
        <v>112</v>
      </c>
      <c r="K16" s="395" t="s">
        <v>554</v>
      </c>
      <c r="L16" s="396" t="s">
        <v>685</v>
      </c>
      <c r="M16" s="397" t="s">
        <v>686</v>
      </c>
      <c r="N16" s="397" t="s">
        <v>43</v>
      </c>
      <c r="O16" s="397" t="s">
        <v>557</v>
      </c>
      <c r="P16">
        <v>0.4</v>
      </c>
      <c r="Q16">
        <v>18.600000000000001</v>
      </c>
      <c r="R16"/>
      <c r="T16"/>
      <c r="U16" s="395" t="s">
        <v>670</v>
      </c>
      <c r="V16" s="396" t="s">
        <v>687</v>
      </c>
      <c r="W16" s="397" t="s">
        <v>688</v>
      </c>
      <c r="X16" s="397" t="s">
        <v>43</v>
      </c>
      <c r="Y16" s="397" t="s">
        <v>55</v>
      </c>
      <c r="Z16">
        <v>0.4</v>
      </c>
      <c r="AA16">
        <v>14.3</v>
      </c>
      <c r="AB16"/>
      <c r="AC16"/>
      <c r="AD16"/>
      <c r="AE16" s="395" t="s">
        <v>680</v>
      </c>
      <c r="AF16" s="396" t="s">
        <v>575</v>
      </c>
      <c r="AG16" s="397" t="s">
        <v>689</v>
      </c>
      <c r="AH16" s="397" t="s">
        <v>43</v>
      </c>
      <c r="AI16" s="397" t="s">
        <v>682</v>
      </c>
      <c r="AJ16">
        <v>0.4</v>
      </c>
      <c r="AL16"/>
      <c r="AN16"/>
      <c r="AO16"/>
      <c r="AP16"/>
      <c r="AS16"/>
      <c r="AU16"/>
      <c r="AW16"/>
    </row>
    <row r="17" spans="11:38" ht="14.4" x14ac:dyDescent="0.3">
      <c r="K17" s="395" t="s">
        <v>690</v>
      </c>
      <c r="L17" s="396" t="s">
        <v>691</v>
      </c>
      <c r="M17" s="397" t="s">
        <v>692</v>
      </c>
      <c r="N17" s="397" t="s">
        <v>43</v>
      </c>
      <c r="O17" s="397" t="s">
        <v>693</v>
      </c>
      <c r="P17">
        <v>0.4</v>
      </c>
      <c r="Q17">
        <v>27.6</v>
      </c>
      <c r="R17"/>
      <c r="T17"/>
      <c r="U17" s="395" t="s">
        <v>670</v>
      </c>
      <c r="V17" s="396" t="s">
        <v>694</v>
      </c>
      <c r="W17" s="397" t="s">
        <v>695</v>
      </c>
      <c r="X17" s="397" t="s">
        <v>43</v>
      </c>
      <c r="Y17" s="397" t="s">
        <v>55</v>
      </c>
      <c r="Z17">
        <v>0.4</v>
      </c>
      <c r="AA17">
        <v>14.3</v>
      </c>
      <c r="AB17"/>
      <c r="AC17"/>
      <c r="AD17"/>
      <c r="AE17" s="395" t="s">
        <v>680</v>
      </c>
      <c r="AF17" s="396" t="s">
        <v>587</v>
      </c>
      <c r="AG17" s="397" t="s">
        <v>696</v>
      </c>
      <c r="AH17" s="397" t="s">
        <v>43</v>
      </c>
      <c r="AI17" s="397" t="s">
        <v>682</v>
      </c>
      <c r="AJ17">
        <v>0.4</v>
      </c>
      <c r="AL17"/>
    </row>
    <row r="18" spans="11:38" ht="14.4" x14ac:dyDescent="0.3">
      <c r="K18" s="395" t="s">
        <v>690</v>
      </c>
      <c r="L18" s="396" t="s">
        <v>697</v>
      </c>
      <c r="M18" s="397" t="s">
        <v>698</v>
      </c>
      <c r="N18" s="397" t="s">
        <v>43</v>
      </c>
      <c r="O18" s="397" t="s">
        <v>693</v>
      </c>
      <c r="P18">
        <v>0.4</v>
      </c>
      <c r="Q18">
        <v>27.6</v>
      </c>
      <c r="R18"/>
      <c r="T18"/>
      <c r="U18" s="395" t="s">
        <v>670</v>
      </c>
      <c r="V18" s="396" t="s">
        <v>699</v>
      </c>
      <c r="W18" s="397" t="s">
        <v>700</v>
      </c>
      <c r="X18" s="397" t="s">
        <v>43</v>
      </c>
      <c r="Y18" s="397" t="s">
        <v>55</v>
      </c>
      <c r="Z18">
        <v>0.4</v>
      </c>
      <c r="AA18">
        <v>14.3</v>
      </c>
      <c r="AB18"/>
      <c r="AC18"/>
      <c r="AD18"/>
      <c r="AE18" s="395" t="s">
        <v>680</v>
      </c>
      <c r="AF18" s="396" t="s">
        <v>599</v>
      </c>
      <c r="AG18" s="397" t="s">
        <v>701</v>
      </c>
      <c r="AH18" s="397" t="s">
        <v>43</v>
      </c>
      <c r="AI18" s="397" t="s">
        <v>682</v>
      </c>
      <c r="AJ18">
        <v>0.4</v>
      </c>
      <c r="AL18"/>
    </row>
    <row r="19" spans="11:38" ht="14.4" x14ac:dyDescent="0.3">
      <c r="K19" s="395" t="s">
        <v>690</v>
      </c>
      <c r="L19" s="396" t="s">
        <v>702</v>
      </c>
      <c r="M19" s="397" t="s">
        <v>703</v>
      </c>
      <c r="N19" s="397" t="s">
        <v>43</v>
      </c>
      <c r="O19" s="397" t="s">
        <v>693</v>
      </c>
      <c r="P19">
        <v>0.4</v>
      </c>
      <c r="Q19">
        <v>27.6</v>
      </c>
      <c r="R19"/>
      <c r="T19"/>
      <c r="U19" s="395" t="s">
        <v>670</v>
      </c>
      <c r="V19" s="396" t="s">
        <v>704</v>
      </c>
      <c r="W19" s="397" t="s">
        <v>705</v>
      </c>
      <c r="X19" s="397" t="s">
        <v>43</v>
      </c>
      <c r="Y19" s="397" t="s">
        <v>55</v>
      </c>
      <c r="Z19">
        <v>0.4</v>
      </c>
      <c r="AA19">
        <v>14.3</v>
      </c>
      <c r="AB19"/>
      <c r="AC19"/>
      <c r="AD19"/>
      <c r="AE19" s="395" t="s">
        <v>680</v>
      </c>
      <c r="AF19" s="396" t="s">
        <v>611</v>
      </c>
      <c r="AG19" s="397" t="s">
        <v>706</v>
      </c>
      <c r="AH19" s="397" t="s">
        <v>43</v>
      </c>
      <c r="AI19" s="397" t="s">
        <v>682</v>
      </c>
      <c r="AJ19">
        <v>0.4</v>
      </c>
      <c r="AL19"/>
    </row>
    <row r="20" spans="11:38" ht="14.4" x14ac:dyDescent="0.3">
      <c r="K20" s="395" t="s">
        <v>690</v>
      </c>
      <c r="L20" s="396" t="s">
        <v>707</v>
      </c>
      <c r="M20" s="397" t="s">
        <v>708</v>
      </c>
      <c r="N20" s="397" t="s">
        <v>43</v>
      </c>
      <c r="O20" s="397" t="s">
        <v>693</v>
      </c>
      <c r="P20">
        <v>0.4</v>
      </c>
      <c r="Q20">
        <v>27.6</v>
      </c>
      <c r="R20"/>
      <c r="T20"/>
      <c r="U20" s="395" t="s">
        <v>670</v>
      </c>
      <c r="V20" s="396" t="s">
        <v>709</v>
      </c>
      <c r="W20" s="397" t="s">
        <v>710</v>
      </c>
      <c r="X20" s="397" t="s">
        <v>43</v>
      </c>
      <c r="Y20" s="397" t="s">
        <v>55</v>
      </c>
      <c r="Z20">
        <v>0.4</v>
      </c>
      <c r="AA20">
        <v>14.3</v>
      </c>
      <c r="AB20"/>
      <c r="AC20"/>
      <c r="AD20"/>
      <c r="AE20" s="395" t="s">
        <v>680</v>
      </c>
      <c r="AF20" s="396" t="s">
        <v>623</v>
      </c>
      <c r="AG20" s="397" t="s">
        <v>711</v>
      </c>
      <c r="AH20" s="397" t="s">
        <v>43</v>
      </c>
      <c r="AI20" s="397" t="s">
        <v>682</v>
      </c>
      <c r="AJ20">
        <v>0.4</v>
      </c>
      <c r="AK20">
        <v>2.2599999999999998</v>
      </c>
      <c r="AL20"/>
    </row>
    <row r="21" spans="11:38" ht="14.4" x14ac:dyDescent="0.3">
      <c r="K21" s="395" t="s">
        <v>690</v>
      </c>
      <c r="L21" s="396" t="s">
        <v>712</v>
      </c>
      <c r="M21" s="397" t="s">
        <v>713</v>
      </c>
      <c r="N21" s="397" t="s">
        <v>43</v>
      </c>
      <c r="O21" s="397" t="s">
        <v>693</v>
      </c>
      <c r="P21">
        <v>0.4</v>
      </c>
      <c r="Q21">
        <v>27.6</v>
      </c>
      <c r="R21"/>
      <c r="T21"/>
      <c r="U21" s="395" t="s">
        <v>670</v>
      </c>
      <c r="V21" s="396" t="s">
        <v>714</v>
      </c>
      <c r="W21" s="397" t="s">
        <v>715</v>
      </c>
      <c r="X21" s="397" t="s">
        <v>43</v>
      </c>
      <c r="Y21" s="397" t="s">
        <v>55</v>
      </c>
      <c r="Z21">
        <v>0.4</v>
      </c>
      <c r="AA21">
        <v>14.3</v>
      </c>
      <c r="AB21"/>
      <c r="AC21"/>
      <c r="AD21"/>
      <c r="AE21" s="395" t="s">
        <v>716</v>
      </c>
      <c r="AF21" s="396" t="s">
        <v>562</v>
      </c>
      <c r="AG21" s="397" t="s">
        <v>717</v>
      </c>
      <c r="AH21" s="397" t="s">
        <v>43</v>
      </c>
      <c r="AI21" s="397" t="s">
        <v>718</v>
      </c>
      <c r="AJ21">
        <v>0.4</v>
      </c>
      <c r="AL21"/>
    </row>
    <row r="22" spans="11:38" ht="14.4" x14ac:dyDescent="0.3">
      <c r="K22" s="395" t="s">
        <v>690</v>
      </c>
      <c r="L22" s="396" t="s">
        <v>719</v>
      </c>
      <c r="M22" s="397" t="s">
        <v>720</v>
      </c>
      <c r="N22" s="397" t="s">
        <v>43</v>
      </c>
      <c r="O22" s="397" t="s">
        <v>693</v>
      </c>
      <c r="P22">
        <v>0.4</v>
      </c>
      <c r="Q22">
        <v>27.6</v>
      </c>
      <c r="R22"/>
      <c r="T22"/>
      <c r="U22" s="395" t="s">
        <v>670</v>
      </c>
      <c r="V22" s="396" t="s">
        <v>721</v>
      </c>
      <c r="W22" s="397" t="s">
        <v>722</v>
      </c>
      <c r="X22" s="397" t="s">
        <v>43</v>
      </c>
      <c r="Y22" s="397" t="s">
        <v>55</v>
      </c>
      <c r="Z22">
        <v>0.4</v>
      </c>
      <c r="AA22">
        <v>14.3</v>
      </c>
      <c r="AB22"/>
      <c r="AC22"/>
      <c r="AD22"/>
      <c r="AE22" s="395" t="s">
        <v>716</v>
      </c>
      <c r="AF22" s="396" t="s">
        <v>575</v>
      </c>
      <c r="AG22" s="397" t="s">
        <v>723</v>
      </c>
      <c r="AH22" s="397" t="s">
        <v>43</v>
      </c>
      <c r="AI22" s="397" t="s">
        <v>718</v>
      </c>
      <c r="AJ22">
        <v>0.4</v>
      </c>
      <c r="AL22"/>
    </row>
    <row r="23" spans="11:38" ht="14.4" x14ac:dyDescent="0.3">
      <c r="K23" s="395" t="s">
        <v>690</v>
      </c>
      <c r="L23" s="396" t="s">
        <v>724</v>
      </c>
      <c r="M23" s="397" t="s">
        <v>725</v>
      </c>
      <c r="N23" s="397" t="s">
        <v>43</v>
      </c>
      <c r="O23" s="397" t="s">
        <v>693</v>
      </c>
      <c r="P23">
        <v>0.4</v>
      </c>
      <c r="Q23">
        <v>27.6</v>
      </c>
      <c r="R23"/>
      <c r="T23"/>
      <c r="U23" s="395" t="s">
        <v>670</v>
      </c>
      <c r="V23" s="396" t="s">
        <v>726</v>
      </c>
      <c r="W23" s="397" t="s">
        <v>727</v>
      </c>
      <c r="X23" s="397" t="s">
        <v>43</v>
      </c>
      <c r="Y23" s="397" t="s">
        <v>55</v>
      </c>
      <c r="Z23">
        <v>0.4</v>
      </c>
      <c r="AA23">
        <v>14.3</v>
      </c>
      <c r="AB23"/>
      <c r="AC23"/>
      <c r="AD23"/>
      <c r="AE23" s="395" t="s">
        <v>716</v>
      </c>
      <c r="AF23" s="396" t="s">
        <v>587</v>
      </c>
      <c r="AG23" s="397" t="s">
        <v>728</v>
      </c>
      <c r="AH23" s="397" t="s">
        <v>43</v>
      </c>
      <c r="AI23" s="397" t="s">
        <v>718</v>
      </c>
      <c r="AJ23">
        <v>0.4</v>
      </c>
      <c r="AL23"/>
    </row>
    <row r="24" spans="11:38" ht="14.4" x14ac:dyDescent="0.3">
      <c r="K24" s="395" t="s">
        <v>690</v>
      </c>
      <c r="L24" s="396" t="s">
        <v>729</v>
      </c>
      <c r="M24" s="397" t="s">
        <v>730</v>
      </c>
      <c r="N24" s="397" t="s">
        <v>43</v>
      </c>
      <c r="O24" s="397" t="s">
        <v>693</v>
      </c>
      <c r="P24">
        <v>0.4</v>
      </c>
      <c r="Q24">
        <v>27.6</v>
      </c>
      <c r="R24"/>
      <c r="T24"/>
      <c r="U24" s="395" t="s">
        <v>670</v>
      </c>
      <c r="V24" s="396" t="s">
        <v>731</v>
      </c>
      <c r="W24" s="397" t="s">
        <v>732</v>
      </c>
      <c r="X24" s="397" t="s">
        <v>43</v>
      </c>
      <c r="Y24" s="397" t="s">
        <v>55</v>
      </c>
      <c r="Z24">
        <v>0.4</v>
      </c>
      <c r="AA24">
        <v>14.3</v>
      </c>
      <c r="AB24"/>
      <c r="AC24"/>
      <c r="AD24"/>
      <c r="AE24" s="395" t="s">
        <v>716</v>
      </c>
      <c r="AF24" s="396" t="s">
        <v>599</v>
      </c>
      <c r="AG24" s="397" t="s">
        <v>733</v>
      </c>
      <c r="AH24" s="397" t="s">
        <v>43</v>
      </c>
      <c r="AI24" s="397" t="s">
        <v>718</v>
      </c>
      <c r="AJ24">
        <v>0.4</v>
      </c>
      <c r="AL24"/>
    </row>
    <row r="25" spans="11:38" ht="14.4" x14ac:dyDescent="0.3">
      <c r="K25" s="395" t="s">
        <v>690</v>
      </c>
      <c r="L25" s="396" t="s">
        <v>734</v>
      </c>
      <c r="M25" s="397" t="s">
        <v>735</v>
      </c>
      <c r="N25" s="397" t="s">
        <v>43</v>
      </c>
      <c r="O25" s="397" t="s">
        <v>693</v>
      </c>
      <c r="P25">
        <v>0.4</v>
      </c>
      <c r="Q25">
        <v>27.6</v>
      </c>
      <c r="R25"/>
      <c r="T25"/>
      <c r="U25" s="395" t="s">
        <v>736</v>
      </c>
      <c r="V25" s="396" t="s">
        <v>737</v>
      </c>
      <c r="W25" s="397" t="s">
        <v>738</v>
      </c>
      <c r="X25" s="397" t="s">
        <v>43</v>
      </c>
      <c r="Y25" s="397" t="s">
        <v>61</v>
      </c>
      <c r="Z25">
        <v>0.4</v>
      </c>
      <c r="AA25">
        <v>7.35</v>
      </c>
      <c r="AB25"/>
      <c r="AC25"/>
      <c r="AD25"/>
      <c r="AE25" s="395" t="s">
        <v>716</v>
      </c>
      <c r="AF25" s="396" t="s">
        <v>611</v>
      </c>
      <c r="AG25" s="397" t="s">
        <v>739</v>
      </c>
      <c r="AH25" s="397" t="s">
        <v>43</v>
      </c>
      <c r="AI25" s="397" t="s">
        <v>718</v>
      </c>
      <c r="AJ25">
        <v>0.4</v>
      </c>
      <c r="AL25"/>
    </row>
    <row r="26" spans="11:38" ht="14.4" x14ac:dyDescent="0.3">
      <c r="K26" s="395" t="s">
        <v>690</v>
      </c>
      <c r="L26" s="396" t="s">
        <v>740</v>
      </c>
      <c r="M26" s="397" t="s">
        <v>741</v>
      </c>
      <c r="N26" s="397" t="s">
        <v>43</v>
      </c>
      <c r="O26" s="397" t="s">
        <v>693</v>
      </c>
      <c r="P26">
        <v>0.4</v>
      </c>
      <c r="Q26">
        <v>27.6</v>
      </c>
      <c r="R26"/>
      <c r="T26"/>
      <c r="U26" s="395" t="s">
        <v>736</v>
      </c>
      <c r="V26" s="396" t="s">
        <v>742</v>
      </c>
      <c r="W26" s="397" t="s">
        <v>743</v>
      </c>
      <c r="X26" s="397" t="s">
        <v>43</v>
      </c>
      <c r="Y26" s="397" t="s">
        <v>61</v>
      </c>
      <c r="Z26">
        <v>0.4</v>
      </c>
      <c r="AA26">
        <v>7.35</v>
      </c>
      <c r="AB26"/>
      <c r="AC26"/>
      <c r="AD26"/>
      <c r="AE26" s="395" t="s">
        <v>716</v>
      </c>
      <c r="AF26" s="396" t="s">
        <v>623</v>
      </c>
      <c r="AG26" s="397" t="s">
        <v>744</v>
      </c>
      <c r="AH26" s="397" t="s">
        <v>43</v>
      </c>
      <c r="AI26" s="397" t="s">
        <v>718</v>
      </c>
      <c r="AJ26">
        <v>0.4</v>
      </c>
      <c r="AK26">
        <v>2.15</v>
      </c>
      <c r="AL26"/>
    </row>
    <row r="27" spans="11:38" ht="14.4" x14ac:dyDescent="0.3">
      <c r="K27" s="395" t="s">
        <v>690</v>
      </c>
      <c r="L27" s="396" t="s">
        <v>745</v>
      </c>
      <c r="M27" s="397" t="s">
        <v>746</v>
      </c>
      <c r="N27" s="397" t="s">
        <v>43</v>
      </c>
      <c r="O27" s="397" t="s">
        <v>693</v>
      </c>
      <c r="P27">
        <v>0.4</v>
      </c>
      <c r="Q27">
        <v>27.6</v>
      </c>
      <c r="R27"/>
      <c r="T27"/>
      <c r="U27" s="395" t="s">
        <v>736</v>
      </c>
      <c r="V27" s="396" t="s">
        <v>747</v>
      </c>
      <c r="W27" s="397" t="s">
        <v>748</v>
      </c>
      <c r="X27" s="397" t="s">
        <v>43</v>
      </c>
      <c r="Y27" s="397" t="s">
        <v>61</v>
      </c>
      <c r="Z27">
        <v>0.4</v>
      </c>
      <c r="AA27">
        <v>7.35</v>
      </c>
      <c r="AB27"/>
      <c r="AC27"/>
      <c r="AD27"/>
      <c r="AE27" s="395" t="s">
        <v>749</v>
      </c>
      <c r="AF27" s="396" t="s">
        <v>750</v>
      </c>
      <c r="AG27" s="397" t="s">
        <v>751</v>
      </c>
      <c r="AH27" s="397" t="s">
        <v>43</v>
      </c>
      <c r="AI27" s="397" t="s">
        <v>752</v>
      </c>
      <c r="AJ27">
        <v>0.4</v>
      </c>
      <c r="AK27">
        <v>6.5</v>
      </c>
      <c r="AL27"/>
    </row>
    <row r="28" spans="11:38" ht="14.4" x14ac:dyDescent="0.3">
      <c r="K28" s="395" t="s">
        <v>690</v>
      </c>
      <c r="L28" s="396" t="s">
        <v>753</v>
      </c>
      <c r="M28" s="397" t="s">
        <v>754</v>
      </c>
      <c r="N28" s="397" t="s">
        <v>43</v>
      </c>
      <c r="O28" s="397" t="s">
        <v>693</v>
      </c>
      <c r="P28">
        <v>0.4</v>
      </c>
      <c r="Q28">
        <v>27.6</v>
      </c>
      <c r="R28"/>
      <c r="T28"/>
      <c r="U28" s="395" t="s">
        <v>736</v>
      </c>
      <c r="V28" s="396" t="s">
        <v>755</v>
      </c>
      <c r="W28" s="397" t="s">
        <v>756</v>
      </c>
      <c r="X28" s="397" t="s">
        <v>43</v>
      </c>
      <c r="Y28" s="397" t="s">
        <v>61</v>
      </c>
      <c r="Z28">
        <v>0.4</v>
      </c>
      <c r="AA28">
        <v>7.35</v>
      </c>
      <c r="AB28"/>
      <c r="AC28"/>
      <c r="AD28"/>
      <c r="AE28" s="395" t="s">
        <v>757</v>
      </c>
      <c r="AF28" s="396" t="s">
        <v>750</v>
      </c>
      <c r="AG28" s="397" t="s">
        <v>758</v>
      </c>
      <c r="AH28" s="397" t="s">
        <v>43</v>
      </c>
      <c r="AI28" s="397" t="s">
        <v>759</v>
      </c>
      <c r="AJ28">
        <v>0.4</v>
      </c>
      <c r="AK28">
        <v>8.65</v>
      </c>
      <c r="AL28"/>
    </row>
    <row r="29" spans="11:38" ht="14.4" x14ac:dyDescent="0.3">
      <c r="K29" s="395" t="s">
        <v>690</v>
      </c>
      <c r="L29" s="396" t="s">
        <v>760</v>
      </c>
      <c r="M29" s="397" t="s">
        <v>761</v>
      </c>
      <c r="N29" s="397" t="s">
        <v>43</v>
      </c>
      <c r="O29" s="397" t="s">
        <v>693</v>
      </c>
      <c r="P29">
        <v>0.4</v>
      </c>
      <c r="Q29">
        <v>27.6</v>
      </c>
      <c r="R29"/>
      <c r="T29"/>
      <c r="U29" s="395" t="s">
        <v>736</v>
      </c>
      <c r="V29" s="396" t="s">
        <v>762</v>
      </c>
      <c r="W29" s="397" t="s">
        <v>763</v>
      </c>
      <c r="X29" s="397" t="s">
        <v>43</v>
      </c>
      <c r="Y29" s="397" t="s">
        <v>61</v>
      </c>
      <c r="Z29">
        <v>0.4</v>
      </c>
      <c r="AA29">
        <v>7.35</v>
      </c>
      <c r="AB29"/>
      <c r="AC29"/>
      <c r="AD29"/>
      <c r="AE29" s="395" t="s">
        <v>764</v>
      </c>
      <c r="AF29" s="396" t="s">
        <v>765</v>
      </c>
      <c r="AG29" s="397" t="s">
        <v>766</v>
      </c>
      <c r="AH29" s="397" t="s">
        <v>43</v>
      </c>
      <c r="AI29" s="397" t="s">
        <v>767</v>
      </c>
      <c r="AJ29">
        <v>0.4</v>
      </c>
      <c r="AK29">
        <v>40</v>
      </c>
      <c r="AL29"/>
    </row>
    <row r="30" spans="11:38" ht="14.4" x14ac:dyDescent="0.3">
      <c r="K30" s="395" t="s">
        <v>690</v>
      </c>
      <c r="L30" s="396" t="s">
        <v>768</v>
      </c>
      <c r="M30" s="397" t="s">
        <v>769</v>
      </c>
      <c r="N30" s="397" t="s">
        <v>43</v>
      </c>
      <c r="O30" s="397" t="s">
        <v>693</v>
      </c>
      <c r="P30">
        <v>0.4</v>
      </c>
      <c r="Q30">
        <v>27.6</v>
      </c>
      <c r="R30"/>
      <c r="T30"/>
      <c r="U30" s="395" t="s">
        <v>736</v>
      </c>
      <c r="V30" s="396" t="s">
        <v>770</v>
      </c>
      <c r="W30" s="397" t="s">
        <v>771</v>
      </c>
      <c r="X30" s="397" t="s">
        <v>43</v>
      </c>
      <c r="Y30" s="397" t="s">
        <v>61</v>
      </c>
      <c r="Z30">
        <v>0.4</v>
      </c>
      <c r="AA30">
        <v>7.35</v>
      </c>
      <c r="AB30"/>
      <c r="AC30"/>
      <c r="AD30"/>
      <c r="AE30" s="395" t="s">
        <v>772</v>
      </c>
      <c r="AF30" s="396" t="s">
        <v>773</v>
      </c>
      <c r="AG30" s="397" t="s">
        <v>774</v>
      </c>
      <c r="AH30" s="397" t="s">
        <v>43</v>
      </c>
      <c r="AI30" s="397" t="s">
        <v>775</v>
      </c>
      <c r="AJ30">
        <v>0.4</v>
      </c>
      <c r="AK30">
        <v>9.25</v>
      </c>
      <c r="AL30"/>
    </row>
    <row r="31" spans="11:38" ht="14.4" x14ac:dyDescent="0.3">
      <c r="K31" s="395" t="s">
        <v>776</v>
      </c>
      <c r="L31" s="396" t="s">
        <v>777</v>
      </c>
      <c r="M31" s="397" t="s">
        <v>778</v>
      </c>
      <c r="N31" s="397" t="s">
        <v>43</v>
      </c>
      <c r="O31" s="397" t="s">
        <v>779</v>
      </c>
      <c r="P31">
        <v>0.4</v>
      </c>
      <c r="Q31">
        <v>26.25</v>
      </c>
      <c r="R31"/>
      <c r="T31"/>
      <c r="U31" s="395" t="s">
        <v>736</v>
      </c>
      <c r="V31" s="396" t="s">
        <v>780</v>
      </c>
      <c r="W31" s="397" t="s">
        <v>781</v>
      </c>
      <c r="X31" s="397" t="s">
        <v>43</v>
      </c>
      <c r="Y31" s="397" t="s">
        <v>61</v>
      </c>
      <c r="Z31">
        <v>0.4</v>
      </c>
      <c r="AA31">
        <v>7.35</v>
      </c>
      <c r="AB31"/>
      <c r="AC31"/>
      <c r="AD31"/>
      <c r="AE31" s="395" t="s">
        <v>782</v>
      </c>
      <c r="AF31" s="396" t="s">
        <v>783</v>
      </c>
      <c r="AG31" s="397" t="s">
        <v>784</v>
      </c>
      <c r="AH31" s="397" t="s">
        <v>43</v>
      </c>
      <c r="AI31" s="397" t="s">
        <v>785</v>
      </c>
      <c r="AJ31">
        <v>0.4</v>
      </c>
      <c r="AK31">
        <v>17.899999999999999</v>
      </c>
      <c r="AL31"/>
    </row>
    <row r="32" spans="11:38" ht="14.4" x14ac:dyDescent="0.3">
      <c r="K32" s="395" t="s">
        <v>776</v>
      </c>
      <c r="L32" s="396" t="s">
        <v>786</v>
      </c>
      <c r="M32" s="397" t="s">
        <v>787</v>
      </c>
      <c r="N32" s="397" t="s">
        <v>43</v>
      </c>
      <c r="O32" s="397" t="s">
        <v>779</v>
      </c>
      <c r="P32">
        <v>0.4</v>
      </c>
      <c r="Q32">
        <v>26.25</v>
      </c>
      <c r="R32" s="398"/>
      <c r="T32" s="398"/>
      <c r="U32" s="395" t="s">
        <v>736</v>
      </c>
      <c r="V32" s="397" t="s">
        <v>788</v>
      </c>
      <c r="W32" s="397" t="s">
        <v>789</v>
      </c>
      <c r="X32" s="397" t="s">
        <v>43</v>
      </c>
      <c r="Y32" s="397" t="s">
        <v>61</v>
      </c>
      <c r="Z32">
        <v>0.4</v>
      </c>
      <c r="AA32">
        <v>7.35</v>
      </c>
      <c r="AB32"/>
      <c r="AC32"/>
      <c r="AD32"/>
      <c r="AE32" s="395" t="s">
        <v>790</v>
      </c>
      <c r="AF32" s="396" t="s">
        <v>750</v>
      </c>
      <c r="AG32" s="397" t="s">
        <v>791</v>
      </c>
      <c r="AH32" s="397" t="s">
        <v>43</v>
      </c>
      <c r="AI32" s="397" t="s">
        <v>792</v>
      </c>
      <c r="AJ32">
        <v>0.4</v>
      </c>
      <c r="AK32">
        <v>6.95</v>
      </c>
      <c r="AL32"/>
    </row>
    <row r="33" spans="11:38" ht="14.4" x14ac:dyDescent="0.3">
      <c r="K33" s="395" t="s">
        <v>776</v>
      </c>
      <c r="L33" s="396" t="s">
        <v>793</v>
      </c>
      <c r="M33" s="397" t="s">
        <v>794</v>
      </c>
      <c r="N33" s="397" t="s">
        <v>43</v>
      </c>
      <c r="O33" s="397" t="s">
        <v>779</v>
      </c>
      <c r="P33">
        <v>0.4</v>
      </c>
      <c r="Q33">
        <v>26.25</v>
      </c>
      <c r="R33" s="398"/>
      <c r="T33" s="398"/>
      <c r="U33" s="395" t="s">
        <v>736</v>
      </c>
      <c r="V33" s="397" t="s">
        <v>795</v>
      </c>
      <c r="W33" s="397" t="s">
        <v>796</v>
      </c>
      <c r="X33" s="397" t="s">
        <v>43</v>
      </c>
      <c r="Y33" s="397" t="s">
        <v>61</v>
      </c>
      <c r="Z33">
        <v>0.4</v>
      </c>
      <c r="AA33">
        <v>7.35</v>
      </c>
      <c r="AB33"/>
      <c r="AC33"/>
      <c r="AD33"/>
      <c r="AE33" s="395" t="s">
        <v>797</v>
      </c>
      <c r="AF33" s="396" t="s">
        <v>798</v>
      </c>
      <c r="AG33" s="397" t="s">
        <v>799</v>
      </c>
      <c r="AH33" s="397" t="s">
        <v>43</v>
      </c>
      <c r="AI33" s="397" t="s">
        <v>800</v>
      </c>
      <c r="AJ33">
        <v>0.4</v>
      </c>
      <c r="AK33">
        <v>8.9499999999999993</v>
      </c>
      <c r="AL33"/>
    </row>
    <row r="34" spans="11:38" ht="14.4" x14ac:dyDescent="0.3">
      <c r="K34" s="395" t="s">
        <v>776</v>
      </c>
      <c r="L34" s="396" t="s">
        <v>801</v>
      </c>
      <c r="M34" s="397" t="s">
        <v>802</v>
      </c>
      <c r="N34" s="397" t="s">
        <v>43</v>
      </c>
      <c r="O34" s="397" t="s">
        <v>779</v>
      </c>
      <c r="P34">
        <v>0.4</v>
      </c>
      <c r="Q34">
        <v>26.25</v>
      </c>
      <c r="R34" s="398"/>
      <c r="T34" s="398"/>
      <c r="U34" s="395" t="s">
        <v>736</v>
      </c>
      <c r="V34" s="397" t="s">
        <v>803</v>
      </c>
      <c r="W34" s="397" t="s">
        <v>804</v>
      </c>
      <c r="X34" s="397" t="s">
        <v>43</v>
      </c>
      <c r="Y34" s="397" t="s">
        <v>61</v>
      </c>
      <c r="Z34">
        <v>0.4</v>
      </c>
      <c r="AA34">
        <v>7.35</v>
      </c>
      <c r="AB34"/>
      <c r="AC34"/>
      <c r="AD34"/>
      <c r="AE34" s="395" t="s">
        <v>805</v>
      </c>
      <c r="AF34" s="396" t="s">
        <v>765</v>
      </c>
      <c r="AG34" s="397" t="s">
        <v>806</v>
      </c>
      <c r="AH34" s="397" t="s">
        <v>43</v>
      </c>
      <c r="AI34" s="397" t="s">
        <v>807</v>
      </c>
      <c r="AJ34">
        <v>0.4</v>
      </c>
      <c r="AK34">
        <v>47</v>
      </c>
      <c r="AL34"/>
    </row>
    <row r="35" spans="11:38" ht="14.4" x14ac:dyDescent="0.3">
      <c r="K35" s="395" t="s">
        <v>776</v>
      </c>
      <c r="L35" s="396" t="s">
        <v>808</v>
      </c>
      <c r="M35" s="397" t="s">
        <v>809</v>
      </c>
      <c r="N35" s="397" t="s">
        <v>43</v>
      </c>
      <c r="O35" s="397" t="s">
        <v>779</v>
      </c>
      <c r="P35">
        <v>0.4</v>
      </c>
      <c r="Q35">
        <v>26.25</v>
      </c>
      <c r="R35" s="398"/>
      <c r="T35" s="398"/>
      <c r="U35" s="395" t="s">
        <v>736</v>
      </c>
      <c r="V35" s="397" t="s">
        <v>810</v>
      </c>
      <c r="W35" s="397" t="s">
        <v>811</v>
      </c>
      <c r="X35" s="397" t="s">
        <v>43</v>
      </c>
      <c r="Y35" s="397" t="s">
        <v>61</v>
      </c>
      <c r="Z35">
        <v>0.4</v>
      </c>
      <c r="AA35">
        <v>7.35</v>
      </c>
      <c r="AB35"/>
      <c r="AC35"/>
      <c r="AD35"/>
      <c r="AE35" s="395" t="s">
        <v>812</v>
      </c>
      <c r="AF35" s="396" t="s">
        <v>750</v>
      </c>
      <c r="AG35" s="397" t="s">
        <v>813</v>
      </c>
      <c r="AH35" s="397" t="s">
        <v>43</v>
      </c>
      <c r="AI35" s="397" t="s">
        <v>814</v>
      </c>
      <c r="AJ35">
        <v>0.4</v>
      </c>
      <c r="AK35">
        <v>8</v>
      </c>
      <c r="AL35"/>
    </row>
    <row r="36" spans="11:38" ht="14.4" x14ac:dyDescent="0.3">
      <c r="K36" s="395" t="s">
        <v>776</v>
      </c>
      <c r="L36" s="396" t="s">
        <v>815</v>
      </c>
      <c r="M36" s="397" t="s">
        <v>816</v>
      </c>
      <c r="N36" s="397" t="s">
        <v>43</v>
      </c>
      <c r="O36" s="397" t="s">
        <v>779</v>
      </c>
      <c r="P36">
        <v>0.4</v>
      </c>
      <c r="Q36">
        <v>26.25</v>
      </c>
      <c r="R36" s="398"/>
      <c r="T36" s="398"/>
      <c r="V36"/>
      <c r="Y36"/>
      <c r="AA36"/>
      <c r="AB36"/>
      <c r="AC36"/>
      <c r="AD36"/>
      <c r="AE36" s="395" t="s">
        <v>817</v>
      </c>
      <c r="AF36" s="396" t="s">
        <v>818</v>
      </c>
      <c r="AG36" s="397" t="s">
        <v>819</v>
      </c>
      <c r="AH36" s="397" t="s">
        <v>43</v>
      </c>
      <c r="AI36" s="397" t="s">
        <v>820</v>
      </c>
      <c r="AJ36">
        <v>0.4</v>
      </c>
      <c r="AK36">
        <v>9.85</v>
      </c>
      <c r="AL36" s="398"/>
    </row>
    <row r="37" spans="11:38" ht="14.4" x14ac:dyDescent="0.3">
      <c r="K37" s="395" t="s">
        <v>776</v>
      </c>
      <c r="L37" s="396" t="s">
        <v>821</v>
      </c>
      <c r="M37" s="397" t="s">
        <v>822</v>
      </c>
      <c r="N37" s="397" t="s">
        <v>43</v>
      </c>
      <c r="O37" s="397" t="s">
        <v>779</v>
      </c>
      <c r="P37">
        <v>0.4</v>
      </c>
      <c r="Q37">
        <v>26.25</v>
      </c>
      <c r="R37" s="398"/>
      <c r="T37" s="398"/>
      <c r="V37"/>
      <c r="Y37"/>
      <c r="AA37"/>
      <c r="AB37"/>
      <c r="AC37"/>
      <c r="AD37"/>
      <c r="AE37" s="395" t="s">
        <v>823</v>
      </c>
      <c r="AF37" s="396" t="s">
        <v>824</v>
      </c>
      <c r="AG37" s="397" t="s">
        <v>825</v>
      </c>
      <c r="AH37" s="397" t="s">
        <v>43</v>
      </c>
      <c r="AI37" s="397" t="s">
        <v>826</v>
      </c>
      <c r="AJ37">
        <v>0.4</v>
      </c>
      <c r="AK37">
        <v>12.65</v>
      </c>
      <c r="AL37" s="398"/>
    </row>
    <row r="38" spans="11:38" ht="14.4" x14ac:dyDescent="0.3">
      <c r="K38" s="395" t="s">
        <v>776</v>
      </c>
      <c r="L38" s="396" t="s">
        <v>827</v>
      </c>
      <c r="M38" s="397" t="s">
        <v>828</v>
      </c>
      <c r="N38" s="397" t="s">
        <v>43</v>
      </c>
      <c r="O38" s="397" t="s">
        <v>779</v>
      </c>
      <c r="P38">
        <v>0.4</v>
      </c>
      <c r="Q38">
        <v>26.25</v>
      </c>
      <c r="R38" s="398"/>
      <c r="T38" s="398"/>
      <c r="V38"/>
      <c r="Y38"/>
      <c r="AA38"/>
      <c r="AB38"/>
      <c r="AC38"/>
      <c r="AD38"/>
      <c r="AE38" s="395" t="s">
        <v>829</v>
      </c>
      <c r="AF38" s="396" t="s">
        <v>830</v>
      </c>
      <c r="AG38" s="397" t="s">
        <v>831</v>
      </c>
      <c r="AH38" s="397" t="s">
        <v>43</v>
      </c>
      <c r="AI38" s="397" t="s">
        <v>832</v>
      </c>
      <c r="AJ38">
        <v>0.4</v>
      </c>
      <c r="AK38">
        <v>19.7</v>
      </c>
      <c r="AL38" s="398"/>
    </row>
    <row r="39" spans="11:38" ht="14.4" x14ac:dyDescent="0.3">
      <c r="K39" s="395" t="s">
        <v>776</v>
      </c>
      <c r="L39" s="396" t="s">
        <v>833</v>
      </c>
      <c r="M39" s="397" t="s">
        <v>834</v>
      </c>
      <c r="N39" s="397" t="s">
        <v>43</v>
      </c>
      <c r="O39" s="397" t="s">
        <v>779</v>
      </c>
      <c r="P39">
        <v>0.4</v>
      </c>
      <c r="Q39">
        <v>26.25</v>
      </c>
      <c r="R39" s="398"/>
      <c r="T39" s="398"/>
      <c r="V39"/>
      <c r="Y39"/>
      <c r="AA39"/>
      <c r="AB39"/>
      <c r="AC39"/>
      <c r="AD39"/>
      <c r="AE39" s="395" t="s">
        <v>835</v>
      </c>
      <c r="AF39" s="396" t="s">
        <v>836</v>
      </c>
      <c r="AG39" s="397" t="s">
        <v>837</v>
      </c>
      <c r="AH39" s="397" t="s">
        <v>43</v>
      </c>
      <c r="AI39" s="397" t="s">
        <v>838</v>
      </c>
      <c r="AJ39">
        <v>0.4</v>
      </c>
      <c r="AK39">
        <v>4.25</v>
      </c>
      <c r="AL39" s="398"/>
    </row>
    <row r="40" spans="11:38" ht="14.4" x14ac:dyDescent="0.3">
      <c r="K40" s="395" t="s">
        <v>776</v>
      </c>
      <c r="L40" s="396" t="s">
        <v>839</v>
      </c>
      <c r="M40" s="397" t="s">
        <v>840</v>
      </c>
      <c r="N40" s="397" t="s">
        <v>43</v>
      </c>
      <c r="O40" s="397" t="s">
        <v>779</v>
      </c>
      <c r="P40">
        <v>0.4</v>
      </c>
      <c r="Q40">
        <v>26.25</v>
      </c>
      <c r="R40" s="398"/>
      <c r="T40" s="398"/>
      <c r="V40"/>
      <c r="Y40"/>
      <c r="AA40"/>
      <c r="AB40"/>
      <c r="AC40"/>
      <c r="AD40"/>
      <c r="AE40" s="395" t="s">
        <v>841</v>
      </c>
      <c r="AF40" s="396" t="s">
        <v>842</v>
      </c>
      <c r="AG40" s="397" t="s">
        <v>843</v>
      </c>
      <c r="AH40" s="397" t="s">
        <v>43</v>
      </c>
      <c r="AI40" s="397" t="s">
        <v>844</v>
      </c>
      <c r="AJ40">
        <v>0.4</v>
      </c>
      <c r="AK40">
        <v>2.75</v>
      </c>
      <c r="AL40" s="398"/>
    </row>
    <row r="41" spans="11:38" ht="14.4" x14ac:dyDescent="0.3">
      <c r="K41" s="395" t="s">
        <v>776</v>
      </c>
      <c r="L41" s="396" t="s">
        <v>845</v>
      </c>
      <c r="M41" s="397" t="s">
        <v>846</v>
      </c>
      <c r="N41" s="397" t="s">
        <v>43</v>
      </c>
      <c r="O41" s="397" t="s">
        <v>779</v>
      </c>
      <c r="P41">
        <v>0.4</v>
      </c>
      <c r="Q41">
        <v>26.25</v>
      </c>
      <c r="R41" s="398"/>
      <c r="T41" s="398"/>
      <c r="V41"/>
      <c r="Y41"/>
      <c r="AA41"/>
      <c r="AB41"/>
      <c r="AC41"/>
      <c r="AD41"/>
      <c r="AE41" s="395" t="s">
        <v>847</v>
      </c>
      <c r="AF41" s="396" t="s">
        <v>848</v>
      </c>
      <c r="AG41" s="397" t="s">
        <v>849</v>
      </c>
      <c r="AH41" s="397" t="s">
        <v>43</v>
      </c>
      <c r="AI41" s="397" t="s">
        <v>850</v>
      </c>
      <c r="AJ41">
        <v>0.4</v>
      </c>
      <c r="AK41">
        <v>2.75</v>
      </c>
      <c r="AL41" s="398"/>
    </row>
    <row r="42" spans="11:38" ht="14.4" x14ac:dyDescent="0.3">
      <c r="K42" s="395" t="s">
        <v>776</v>
      </c>
      <c r="L42" s="396" t="s">
        <v>851</v>
      </c>
      <c r="M42" s="397" t="s">
        <v>852</v>
      </c>
      <c r="N42" s="397" t="s">
        <v>43</v>
      </c>
      <c r="O42" s="397" t="s">
        <v>779</v>
      </c>
      <c r="P42">
        <v>0.4</v>
      </c>
      <c r="Q42">
        <v>26.25</v>
      </c>
      <c r="R42" s="398"/>
      <c r="T42" s="398"/>
      <c r="V42"/>
      <c r="Y42"/>
      <c r="AA42"/>
      <c r="AB42"/>
      <c r="AC42"/>
      <c r="AD42"/>
      <c r="AE42" s="395" t="s">
        <v>853</v>
      </c>
      <c r="AF42" s="396" t="s">
        <v>824</v>
      </c>
      <c r="AG42" s="397" t="s">
        <v>854</v>
      </c>
      <c r="AH42" s="397" t="s">
        <v>43</v>
      </c>
      <c r="AI42" s="397" t="s">
        <v>855</v>
      </c>
      <c r="AJ42">
        <v>0.4</v>
      </c>
      <c r="AK42">
        <v>6.5</v>
      </c>
      <c r="AL42" s="398"/>
    </row>
    <row r="43" spans="11:38" ht="14.4" x14ac:dyDescent="0.3">
      <c r="K43" s="395" t="s">
        <v>776</v>
      </c>
      <c r="L43" s="396" t="s">
        <v>856</v>
      </c>
      <c r="M43" s="397" t="s">
        <v>857</v>
      </c>
      <c r="N43" s="397" t="s">
        <v>43</v>
      </c>
      <c r="O43" s="397" t="s">
        <v>779</v>
      </c>
      <c r="P43">
        <v>0.4</v>
      </c>
      <c r="Q43">
        <v>26.25</v>
      </c>
      <c r="R43" s="398"/>
      <c r="T43" s="398"/>
      <c r="V43"/>
      <c r="Y43"/>
      <c r="AA43"/>
      <c r="AB43"/>
      <c r="AC43"/>
      <c r="AD43"/>
      <c r="AE43" s="395" t="s">
        <v>858</v>
      </c>
      <c r="AF43" s="396" t="s">
        <v>859</v>
      </c>
      <c r="AG43" s="397" t="s">
        <v>860</v>
      </c>
      <c r="AH43" s="397" t="s">
        <v>43</v>
      </c>
      <c r="AI43" s="397" t="s">
        <v>861</v>
      </c>
      <c r="AJ43">
        <v>0.4</v>
      </c>
      <c r="AK43">
        <v>4.4000000000000004</v>
      </c>
      <c r="AL43" s="398"/>
    </row>
    <row r="44" spans="11:38" ht="14.4" x14ac:dyDescent="0.3">
      <c r="K44" s="395" t="s">
        <v>776</v>
      </c>
      <c r="L44" s="396" t="s">
        <v>862</v>
      </c>
      <c r="M44" s="397" t="s">
        <v>863</v>
      </c>
      <c r="N44" s="397" t="s">
        <v>43</v>
      </c>
      <c r="O44" s="397" t="s">
        <v>779</v>
      </c>
      <c r="P44">
        <v>0.4</v>
      </c>
      <c r="Q44">
        <v>26.25</v>
      </c>
      <c r="R44" s="398"/>
      <c r="T44" s="398"/>
      <c r="V44"/>
      <c r="Y44"/>
      <c r="AA44"/>
      <c r="AB44"/>
      <c r="AC44"/>
      <c r="AD44"/>
      <c r="AE44" s="395" t="s">
        <v>864</v>
      </c>
      <c r="AF44" s="396" t="s">
        <v>836</v>
      </c>
      <c r="AG44" s="397" t="s">
        <v>865</v>
      </c>
      <c r="AH44" s="397" t="s">
        <v>43</v>
      </c>
      <c r="AI44" s="397" t="s">
        <v>866</v>
      </c>
      <c r="AJ44">
        <v>0.4</v>
      </c>
      <c r="AK44">
        <v>6.5</v>
      </c>
      <c r="AL44" s="398"/>
    </row>
    <row r="45" spans="11:38" ht="14.4" x14ac:dyDescent="0.3">
      <c r="K45" s="395" t="s">
        <v>867</v>
      </c>
      <c r="L45" s="396" t="s">
        <v>868</v>
      </c>
      <c r="M45" s="397" t="s">
        <v>869</v>
      </c>
      <c r="N45" s="397" t="s">
        <v>43</v>
      </c>
      <c r="O45" s="399">
        <v>424</v>
      </c>
      <c r="P45">
        <v>0.4</v>
      </c>
      <c r="Q45">
        <v>13.15</v>
      </c>
      <c r="R45" s="398"/>
      <c r="T45" s="398"/>
      <c r="V45"/>
      <c r="Y45"/>
      <c r="AA45"/>
      <c r="AB45"/>
      <c r="AC45"/>
      <c r="AD45"/>
      <c r="AE45" s="395" t="s">
        <v>870</v>
      </c>
      <c r="AF45" s="396" t="s">
        <v>871</v>
      </c>
      <c r="AG45" s="397" t="s">
        <v>872</v>
      </c>
      <c r="AH45" s="397" t="s">
        <v>43</v>
      </c>
      <c r="AI45" s="397" t="s">
        <v>873</v>
      </c>
      <c r="AJ45">
        <v>0.4</v>
      </c>
      <c r="AK45">
        <v>7.6</v>
      </c>
      <c r="AL45" s="398"/>
    </row>
    <row r="46" spans="11:38" ht="14.4" x14ac:dyDescent="0.3">
      <c r="K46" s="395" t="s">
        <v>867</v>
      </c>
      <c r="L46" s="396" t="s">
        <v>874</v>
      </c>
      <c r="M46" s="397" t="s">
        <v>875</v>
      </c>
      <c r="N46" s="397" t="s">
        <v>43</v>
      </c>
      <c r="O46" s="399">
        <v>424</v>
      </c>
      <c r="P46">
        <v>0.4</v>
      </c>
      <c r="Q46">
        <v>13.15</v>
      </c>
      <c r="R46" s="398"/>
      <c r="T46" s="398"/>
      <c r="V46"/>
      <c r="Y46"/>
      <c r="AA46"/>
      <c r="AB46"/>
      <c r="AC46"/>
      <c r="AD46"/>
      <c r="AE46" s="395" t="s">
        <v>876</v>
      </c>
      <c r="AF46" s="396" t="s">
        <v>877</v>
      </c>
      <c r="AG46" s="397" t="s">
        <v>878</v>
      </c>
      <c r="AH46" s="397" t="s">
        <v>43</v>
      </c>
      <c r="AI46" s="397" t="s">
        <v>879</v>
      </c>
      <c r="AJ46">
        <v>0.4</v>
      </c>
      <c r="AK46">
        <v>5.8</v>
      </c>
      <c r="AL46" s="398"/>
    </row>
    <row r="47" spans="11:38" ht="14.4" x14ac:dyDescent="0.3">
      <c r="K47" s="395" t="s">
        <v>867</v>
      </c>
      <c r="L47" s="396" t="s">
        <v>880</v>
      </c>
      <c r="M47" s="397" t="s">
        <v>881</v>
      </c>
      <c r="N47" s="397" t="s">
        <v>43</v>
      </c>
      <c r="O47" s="399">
        <v>424</v>
      </c>
      <c r="P47">
        <v>0.4</v>
      </c>
      <c r="Q47">
        <v>13.15</v>
      </c>
      <c r="R47" s="398"/>
      <c r="T47" s="398"/>
      <c r="V47"/>
      <c r="Y47"/>
      <c r="AA47"/>
      <c r="AB47"/>
      <c r="AC47"/>
      <c r="AD47"/>
      <c r="AE47" s="395" t="s">
        <v>882</v>
      </c>
      <c r="AF47" s="396" t="s">
        <v>883</v>
      </c>
      <c r="AG47" s="397" t="s">
        <v>884</v>
      </c>
      <c r="AH47" s="397" t="s">
        <v>43</v>
      </c>
      <c r="AI47" s="397" t="s">
        <v>885</v>
      </c>
      <c r="AJ47">
        <v>0.4</v>
      </c>
      <c r="AK47">
        <v>6.05</v>
      </c>
      <c r="AL47" s="398"/>
    </row>
    <row r="48" spans="11:38" ht="14.4" x14ac:dyDescent="0.3">
      <c r="K48" s="395" t="s">
        <v>867</v>
      </c>
      <c r="L48" s="396" t="s">
        <v>886</v>
      </c>
      <c r="M48" s="397" t="s">
        <v>887</v>
      </c>
      <c r="N48" s="397" t="s">
        <v>43</v>
      </c>
      <c r="O48" s="399">
        <v>424</v>
      </c>
      <c r="P48">
        <v>0.4</v>
      </c>
      <c r="Q48">
        <v>13.15</v>
      </c>
      <c r="R48" s="398"/>
      <c r="T48" s="398"/>
      <c r="V48"/>
      <c r="Y48"/>
      <c r="AA48"/>
      <c r="AB48"/>
      <c r="AC48"/>
      <c r="AD48"/>
      <c r="AE48" s="395" t="s">
        <v>888</v>
      </c>
      <c r="AF48" s="396" t="s">
        <v>889</v>
      </c>
      <c r="AG48" s="397" t="s">
        <v>890</v>
      </c>
      <c r="AH48" s="397" t="s">
        <v>43</v>
      </c>
      <c r="AI48" s="397" t="s">
        <v>891</v>
      </c>
      <c r="AJ48">
        <v>0.4</v>
      </c>
      <c r="AK48">
        <v>13.6</v>
      </c>
      <c r="AL48" s="398"/>
    </row>
    <row r="49" spans="11:38" ht="14.4" x14ac:dyDescent="0.3">
      <c r="K49" s="395" t="s">
        <v>867</v>
      </c>
      <c r="L49" s="396" t="s">
        <v>892</v>
      </c>
      <c r="M49" s="397" t="s">
        <v>893</v>
      </c>
      <c r="N49" s="397" t="s">
        <v>43</v>
      </c>
      <c r="O49" s="399">
        <v>424</v>
      </c>
      <c r="P49">
        <v>0.4</v>
      </c>
      <c r="Q49">
        <v>13.15</v>
      </c>
      <c r="R49" s="398"/>
      <c r="T49" s="398"/>
      <c r="V49"/>
      <c r="Y49"/>
      <c r="AA49"/>
      <c r="AB49"/>
      <c r="AC49"/>
      <c r="AD49"/>
      <c r="AE49" s="395" t="s">
        <v>894</v>
      </c>
      <c r="AF49" s="396" t="s">
        <v>895</v>
      </c>
      <c r="AG49" s="397" t="s">
        <v>896</v>
      </c>
      <c r="AH49" s="397" t="s">
        <v>43</v>
      </c>
      <c r="AI49" s="397" t="s">
        <v>897</v>
      </c>
      <c r="AJ49">
        <v>0.4</v>
      </c>
      <c r="AK49">
        <v>14.2</v>
      </c>
      <c r="AL49" s="398"/>
    </row>
    <row r="50" spans="11:38" ht="14.4" x14ac:dyDescent="0.3">
      <c r="K50" s="395" t="s">
        <v>867</v>
      </c>
      <c r="L50" s="396" t="s">
        <v>898</v>
      </c>
      <c r="M50" s="397" t="s">
        <v>899</v>
      </c>
      <c r="N50" s="397" t="s">
        <v>43</v>
      </c>
      <c r="O50" s="399">
        <v>424</v>
      </c>
      <c r="P50">
        <v>0.4</v>
      </c>
      <c r="Q50">
        <v>13.15</v>
      </c>
      <c r="R50" s="398"/>
      <c r="T50" s="398"/>
      <c r="V50"/>
      <c r="Y50"/>
      <c r="AA50"/>
      <c r="AB50"/>
      <c r="AC50"/>
      <c r="AD50"/>
      <c r="AE50" s="395" t="s">
        <v>900</v>
      </c>
      <c r="AF50" s="396" t="s">
        <v>901</v>
      </c>
      <c r="AG50" s="397" t="s">
        <v>902</v>
      </c>
      <c r="AH50" s="397" t="s">
        <v>43</v>
      </c>
      <c r="AI50" s="397" t="s">
        <v>903</v>
      </c>
      <c r="AJ50">
        <v>0.4</v>
      </c>
      <c r="AL50" s="398"/>
    </row>
    <row r="51" spans="11:38" ht="14.4" x14ac:dyDescent="0.3">
      <c r="K51" s="395" t="s">
        <v>867</v>
      </c>
      <c r="L51" s="396" t="s">
        <v>904</v>
      </c>
      <c r="M51" s="397" t="s">
        <v>905</v>
      </c>
      <c r="N51" s="397" t="s">
        <v>43</v>
      </c>
      <c r="O51" s="399">
        <v>424</v>
      </c>
      <c r="P51">
        <v>0.4</v>
      </c>
      <c r="Q51">
        <v>13.15</v>
      </c>
      <c r="R51" s="398"/>
      <c r="T51" s="398"/>
      <c r="V51"/>
      <c r="Y51"/>
      <c r="AA51"/>
      <c r="AB51"/>
      <c r="AC51"/>
      <c r="AD51"/>
      <c r="AE51" s="395" t="s">
        <v>900</v>
      </c>
      <c r="AF51" s="396" t="s">
        <v>906</v>
      </c>
      <c r="AG51" s="397" t="s">
        <v>907</v>
      </c>
      <c r="AH51" s="397" t="s">
        <v>43</v>
      </c>
      <c r="AI51" s="397" t="s">
        <v>903</v>
      </c>
      <c r="AJ51">
        <v>0.4</v>
      </c>
      <c r="AL51" s="398"/>
    </row>
    <row r="52" spans="11:38" ht="14.4" x14ac:dyDescent="0.3">
      <c r="K52" s="395" t="s">
        <v>867</v>
      </c>
      <c r="L52" s="396" t="s">
        <v>908</v>
      </c>
      <c r="M52" s="397" t="s">
        <v>909</v>
      </c>
      <c r="N52" s="397" t="s">
        <v>43</v>
      </c>
      <c r="O52" s="399">
        <v>424</v>
      </c>
      <c r="P52">
        <v>0.4</v>
      </c>
      <c r="Q52">
        <v>13.15</v>
      </c>
      <c r="R52" s="398"/>
      <c r="T52" s="398"/>
      <c r="V52"/>
      <c r="Y52"/>
      <c r="AA52"/>
      <c r="AB52"/>
      <c r="AC52"/>
      <c r="AD52"/>
      <c r="AE52" s="395" t="s">
        <v>900</v>
      </c>
      <c r="AF52" s="396" t="s">
        <v>910</v>
      </c>
      <c r="AG52" s="397" t="s">
        <v>911</v>
      </c>
      <c r="AH52" s="397" t="s">
        <v>43</v>
      </c>
      <c r="AI52" s="397" t="s">
        <v>903</v>
      </c>
      <c r="AJ52">
        <v>0.4</v>
      </c>
      <c r="AL52" s="398"/>
    </row>
    <row r="53" spans="11:38" ht="14.4" x14ac:dyDescent="0.3">
      <c r="K53" s="395" t="s">
        <v>867</v>
      </c>
      <c r="L53" s="396" t="s">
        <v>912</v>
      </c>
      <c r="M53" s="397" t="s">
        <v>913</v>
      </c>
      <c r="N53" s="397" t="s">
        <v>43</v>
      </c>
      <c r="O53" s="399">
        <v>424</v>
      </c>
      <c r="P53">
        <v>0.4</v>
      </c>
      <c r="Q53">
        <v>13.15</v>
      </c>
      <c r="R53" s="398"/>
      <c r="T53" s="398"/>
      <c r="V53"/>
      <c r="Y53"/>
      <c r="AA53"/>
      <c r="AB53"/>
      <c r="AC53"/>
      <c r="AD53"/>
      <c r="AE53" s="395" t="s">
        <v>900</v>
      </c>
      <c r="AF53" s="396" t="s">
        <v>914</v>
      </c>
      <c r="AG53" s="397" t="s">
        <v>915</v>
      </c>
      <c r="AH53" s="397" t="s">
        <v>43</v>
      </c>
      <c r="AI53" s="397" t="s">
        <v>903</v>
      </c>
      <c r="AJ53">
        <v>0.4</v>
      </c>
      <c r="AK53">
        <v>3.35</v>
      </c>
      <c r="AL53" s="398"/>
    </row>
    <row r="54" spans="11:38" ht="14.4" x14ac:dyDescent="0.3">
      <c r="K54" s="395" t="s">
        <v>867</v>
      </c>
      <c r="L54" s="396" t="s">
        <v>916</v>
      </c>
      <c r="M54" s="397" t="s">
        <v>917</v>
      </c>
      <c r="N54" s="397" t="s">
        <v>43</v>
      </c>
      <c r="O54" s="399">
        <v>424</v>
      </c>
      <c r="P54">
        <v>0.4</v>
      </c>
      <c r="Q54">
        <v>13.15</v>
      </c>
      <c r="R54" s="398"/>
      <c r="T54" s="398"/>
      <c r="V54"/>
      <c r="Y54"/>
      <c r="AA54"/>
      <c r="AB54"/>
      <c r="AC54"/>
      <c r="AD54"/>
      <c r="AE54" s="395" t="s">
        <v>918</v>
      </c>
      <c r="AF54" s="396" t="s">
        <v>919</v>
      </c>
      <c r="AG54" s="397" t="s">
        <v>920</v>
      </c>
      <c r="AH54" s="397" t="s">
        <v>43</v>
      </c>
      <c r="AI54" s="397" t="s">
        <v>921</v>
      </c>
      <c r="AJ54">
        <v>0.4</v>
      </c>
      <c r="AL54" s="398"/>
    </row>
    <row r="55" spans="11:38" ht="14.4" x14ac:dyDescent="0.3">
      <c r="K55" s="395" t="s">
        <v>867</v>
      </c>
      <c r="L55" s="396" t="s">
        <v>922</v>
      </c>
      <c r="M55" s="397" t="s">
        <v>923</v>
      </c>
      <c r="N55" s="397" t="s">
        <v>43</v>
      </c>
      <c r="O55" s="399">
        <v>424</v>
      </c>
      <c r="P55">
        <v>0.4</v>
      </c>
      <c r="Q55">
        <v>13.15</v>
      </c>
      <c r="R55" s="398"/>
      <c r="T55" s="398"/>
      <c r="V55"/>
      <c r="Y55"/>
      <c r="AA55"/>
      <c r="AB55"/>
      <c r="AC55"/>
      <c r="AD55"/>
      <c r="AE55" s="395" t="s">
        <v>918</v>
      </c>
      <c r="AF55" s="396" t="s">
        <v>924</v>
      </c>
      <c r="AG55" s="397" t="s">
        <v>925</v>
      </c>
      <c r="AH55" s="397" t="s">
        <v>43</v>
      </c>
      <c r="AI55" s="397" t="s">
        <v>921</v>
      </c>
      <c r="AJ55">
        <v>0.4</v>
      </c>
      <c r="AL55" s="398"/>
    </row>
    <row r="56" spans="11:38" ht="14.4" x14ac:dyDescent="0.3">
      <c r="K56" s="395" t="s">
        <v>867</v>
      </c>
      <c r="L56" s="396" t="s">
        <v>926</v>
      </c>
      <c r="M56" s="397" t="s">
        <v>927</v>
      </c>
      <c r="N56" s="397" t="s">
        <v>43</v>
      </c>
      <c r="O56" s="399">
        <v>424</v>
      </c>
      <c r="P56">
        <v>0.4</v>
      </c>
      <c r="Q56">
        <v>13.15</v>
      </c>
      <c r="R56" s="398"/>
      <c r="T56" s="398"/>
      <c r="V56"/>
      <c r="Y56"/>
      <c r="AA56"/>
      <c r="AB56"/>
      <c r="AC56"/>
      <c r="AD56"/>
      <c r="AE56" s="395" t="s">
        <v>918</v>
      </c>
      <c r="AF56" s="396" t="s">
        <v>928</v>
      </c>
      <c r="AG56" s="397" t="s">
        <v>929</v>
      </c>
      <c r="AH56" s="397" t="s">
        <v>43</v>
      </c>
      <c r="AI56" s="397" t="s">
        <v>921</v>
      </c>
      <c r="AJ56">
        <v>0.4</v>
      </c>
      <c r="AL56" s="398"/>
    </row>
    <row r="57" spans="11:38" ht="14.4" x14ac:dyDescent="0.3">
      <c r="K57" s="395" t="s">
        <v>867</v>
      </c>
      <c r="L57" s="396" t="s">
        <v>930</v>
      </c>
      <c r="M57" s="397" t="s">
        <v>931</v>
      </c>
      <c r="N57" s="397" t="s">
        <v>43</v>
      </c>
      <c r="O57" s="399">
        <v>424</v>
      </c>
      <c r="P57">
        <v>0.4</v>
      </c>
      <c r="Q57">
        <v>13.15</v>
      </c>
      <c r="R57" s="398"/>
      <c r="T57" s="398"/>
      <c r="V57"/>
      <c r="Y57"/>
      <c r="AA57"/>
      <c r="AB57"/>
      <c r="AC57"/>
      <c r="AD57"/>
      <c r="AE57" s="395" t="s">
        <v>918</v>
      </c>
      <c r="AF57" s="396" t="s">
        <v>932</v>
      </c>
      <c r="AG57" s="397" t="s">
        <v>933</v>
      </c>
      <c r="AH57" s="397" t="s">
        <v>43</v>
      </c>
      <c r="AI57" s="397" t="s">
        <v>921</v>
      </c>
      <c r="AJ57">
        <v>0.4</v>
      </c>
      <c r="AL57" s="398"/>
    </row>
    <row r="58" spans="11:38" ht="14.4" x14ac:dyDescent="0.3">
      <c r="K58" s="395" t="s">
        <v>867</v>
      </c>
      <c r="L58" s="396" t="s">
        <v>934</v>
      </c>
      <c r="M58" s="397" t="s">
        <v>935</v>
      </c>
      <c r="N58" s="397" t="s">
        <v>43</v>
      </c>
      <c r="O58" s="399">
        <v>424</v>
      </c>
      <c r="P58">
        <v>0.4</v>
      </c>
      <c r="Q58">
        <v>13.15</v>
      </c>
      <c r="R58" s="398"/>
      <c r="T58" s="398"/>
      <c r="V58"/>
      <c r="Y58"/>
      <c r="AA58"/>
      <c r="AB58"/>
      <c r="AC58"/>
      <c r="AD58"/>
      <c r="AE58" s="395" t="s">
        <v>918</v>
      </c>
      <c r="AF58" s="396" t="s">
        <v>936</v>
      </c>
      <c r="AG58" s="397" t="s">
        <v>937</v>
      </c>
      <c r="AH58" s="397" t="s">
        <v>43</v>
      </c>
      <c r="AI58" s="397" t="s">
        <v>921</v>
      </c>
      <c r="AJ58">
        <v>0.4</v>
      </c>
      <c r="AL58" s="398"/>
    </row>
    <row r="59" spans="11:38" ht="14.4" x14ac:dyDescent="0.3">
      <c r="K59" s="395" t="s">
        <v>938</v>
      </c>
      <c r="L59" s="396" t="s">
        <v>868</v>
      </c>
      <c r="M59" s="397" t="s">
        <v>939</v>
      </c>
      <c r="N59" s="397" t="s">
        <v>43</v>
      </c>
      <c r="O59" s="399" t="s">
        <v>940</v>
      </c>
      <c r="P59">
        <v>0.4</v>
      </c>
      <c r="Q59">
        <v>13</v>
      </c>
      <c r="R59" s="398"/>
      <c r="T59" s="398"/>
      <c r="V59"/>
      <c r="Y59"/>
      <c r="AA59"/>
      <c r="AB59"/>
      <c r="AC59"/>
      <c r="AD59"/>
      <c r="AE59" s="395" t="s">
        <v>918</v>
      </c>
      <c r="AF59" s="396" t="s">
        <v>941</v>
      </c>
      <c r="AG59" s="397" t="s">
        <v>942</v>
      </c>
      <c r="AH59" s="397" t="s">
        <v>43</v>
      </c>
      <c r="AI59" s="397" t="s">
        <v>921</v>
      </c>
      <c r="AJ59">
        <v>0.4</v>
      </c>
      <c r="AK59">
        <v>4.3499999999999996</v>
      </c>
      <c r="AL59" s="398"/>
    </row>
    <row r="60" spans="11:38" ht="14.4" x14ac:dyDescent="0.3">
      <c r="K60" s="395" t="s">
        <v>938</v>
      </c>
      <c r="L60" s="396" t="s">
        <v>874</v>
      </c>
      <c r="M60" s="397" t="s">
        <v>943</v>
      </c>
      <c r="N60" s="397" t="s">
        <v>43</v>
      </c>
      <c r="O60" s="399" t="s">
        <v>940</v>
      </c>
      <c r="P60">
        <v>0.4</v>
      </c>
      <c r="Q60">
        <v>13</v>
      </c>
      <c r="R60" s="398"/>
      <c r="T60" s="398"/>
      <c r="V60"/>
      <c r="Y60"/>
      <c r="AA60"/>
      <c r="AB60"/>
      <c r="AC60"/>
      <c r="AD60"/>
      <c r="AE60" s="395" t="s">
        <v>944</v>
      </c>
      <c r="AF60" s="396" t="s">
        <v>945</v>
      </c>
      <c r="AG60" s="397" t="s">
        <v>946</v>
      </c>
      <c r="AH60" s="397" t="s">
        <v>43</v>
      </c>
      <c r="AI60" s="397" t="s">
        <v>947</v>
      </c>
      <c r="AJ60">
        <v>0.4</v>
      </c>
      <c r="AK60">
        <v>13.9</v>
      </c>
      <c r="AL60" s="398"/>
    </row>
    <row r="61" spans="11:38" ht="14.4" x14ac:dyDescent="0.3">
      <c r="K61" s="395" t="s">
        <v>938</v>
      </c>
      <c r="L61" s="396" t="s">
        <v>880</v>
      </c>
      <c r="M61" s="397" t="s">
        <v>948</v>
      </c>
      <c r="N61" s="397" t="s">
        <v>43</v>
      </c>
      <c r="O61" s="399" t="s">
        <v>940</v>
      </c>
      <c r="P61">
        <v>0.4</v>
      </c>
      <c r="Q61">
        <v>13</v>
      </c>
      <c r="R61" s="398"/>
      <c r="T61" s="398"/>
      <c r="V61"/>
      <c r="Y61"/>
      <c r="AA61"/>
      <c r="AB61"/>
      <c r="AC61"/>
      <c r="AD61"/>
      <c r="AE61"/>
      <c r="AF61"/>
      <c r="AG61"/>
      <c r="AH61"/>
      <c r="AJ61"/>
      <c r="AL61" s="398"/>
    </row>
    <row r="62" spans="11:38" ht="14.4" x14ac:dyDescent="0.3">
      <c r="K62" s="395" t="s">
        <v>938</v>
      </c>
      <c r="L62" s="396" t="s">
        <v>886</v>
      </c>
      <c r="M62" s="397" t="s">
        <v>949</v>
      </c>
      <c r="N62" s="397" t="s">
        <v>43</v>
      </c>
      <c r="O62" s="399" t="s">
        <v>940</v>
      </c>
      <c r="P62">
        <v>0.4</v>
      </c>
      <c r="Q62">
        <v>13</v>
      </c>
      <c r="R62" s="398"/>
      <c r="T62" s="398"/>
      <c r="V62"/>
      <c r="Y62"/>
      <c r="AA62"/>
      <c r="AB62"/>
      <c r="AC62"/>
      <c r="AD62"/>
      <c r="AE62"/>
      <c r="AF62"/>
      <c r="AG62"/>
      <c r="AH62"/>
      <c r="AJ62"/>
      <c r="AL62" s="398"/>
    </row>
    <row r="63" spans="11:38" ht="14.4" x14ac:dyDescent="0.3">
      <c r="K63" s="395" t="s">
        <v>938</v>
      </c>
      <c r="L63" s="396" t="s">
        <v>892</v>
      </c>
      <c r="M63" s="397" t="s">
        <v>950</v>
      </c>
      <c r="N63" s="397" t="s">
        <v>43</v>
      </c>
      <c r="O63" s="399" t="s">
        <v>940</v>
      </c>
      <c r="P63">
        <v>0.4</v>
      </c>
      <c r="Q63">
        <v>13</v>
      </c>
      <c r="R63" s="398"/>
      <c r="T63" s="398"/>
      <c r="V63"/>
      <c r="Y63"/>
      <c r="AA63"/>
      <c r="AB63"/>
      <c r="AC63"/>
      <c r="AD63"/>
      <c r="AE63"/>
      <c r="AF63"/>
      <c r="AG63"/>
      <c r="AH63"/>
      <c r="AJ63"/>
      <c r="AL63" s="398"/>
    </row>
    <row r="64" spans="11:38" ht="14.4" x14ac:dyDescent="0.3">
      <c r="K64" s="395" t="s">
        <v>938</v>
      </c>
      <c r="L64" s="396" t="s">
        <v>898</v>
      </c>
      <c r="M64" s="397" t="s">
        <v>951</v>
      </c>
      <c r="N64" s="397" t="s">
        <v>43</v>
      </c>
      <c r="O64" s="399" t="s">
        <v>940</v>
      </c>
      <c r="P64">
        <v>0.4</v>
      </c>
      <c r="Q64">
        <v>13</v>
      </c>
      <c r="R64" s="398"/>
      <c r="T64" s="398"/>
      <c r="V64"/>
      <c r="Y64"/>
      <c r="AA64"/>
      <c r="AB64"/>
      <c r="AC64"/>
      <c r="AD64"/>
      <c r="AE64"/>
      <c r="AF64"/>
      <c r="AG64"/>
      <c r="AH64"/>
      <c r="AJ64"/>
      <c r="AL64" s="398"/>
    </row>
    <row r="65" spans="11:18" ht="14.4" x14ac:dyDescent="0.3">
      <c r="K65" s="395" t="s">
        <v>938</v>
      </c>
      <c r="L65" s="396" t="s">
        <v>904</v>
      </c>
      <c r="M65" s="397" t="s">
        <v>952</v>
      </c>
      <c r="N65" s="397" t="s">
        <v>43</v>
      </c>
      <c r="O65" s="399" t="s">
        <v>940</v>
      </c>
      <c r="P65">
        <v>0.4</v>
      </c>
      <c r="Q65">
        <v>13</v>
      </c>
      <c r="R65" s="398"/>
    </row>
    <row r="66" spans="11:18" ht="14.4" x14ac:dyDescent="0.3">
      <c r="K66" s="395" t="s">
        <v>938</v>
      </c>
      <c r="L66" s="396" t="s">
        <v>908</v>
      </c>
      <c r="M66" s="397" t="s">
        <v>953</v>
      </c>
      <c r="N66" s="397" t="s">
        <v>43</v>
      </c>
      <c r="O66" s="399" t="s">
        <v>940</v>
      </c>
      <c r="P66">
        <v>0.4</v>
      </c>
      <c r="Q66">
        <v>13</v>
      </c>
      <c r="R66" s="398"/>
    </row>
    <row r="67" spans="11:18" ht="14.4" x14ac:dyDescent="0.3">
      <c r="K67" s="395" t="s">
        <v>938</v>
      </c>
      <c r="L67" s="396" t="s">
        <v>912</v>
      </c>
      <c r="M67" s="397" t="s">
        <v>954</v>
      </c>
      <c r="N67" s="397" t="s">
        <v>43</v>
      </c>
      <c r="O67" s="399" t="s">
        <v>940</v>
      </c>
      <c r="P67">
        <v>0.4</v>
      </c>
      <c r="Q67">
        <v>13</v>
      </c>
      <c r="R67" s="398"/>
    </row>
    <row r="68" spans="11:18" ht="14.4" x14ac:dyDescent="0.3">
      <c r="K68" s="395" t="s">
        <v>938</v>
      </c>
      <c r="L68" s="396" t="s">
        <v>916</v>
      </c>
      <c r="M68" s="397" t="s">
        <v>955</v>
      </c>
      <c r="N68" s="397" t="s">
        <v>43</v>
      </c>
      <c r="O68" s="399" t="s">
        <v>940</v>
      </c>
      <c r="P68">
        <v>0.4</v>
      </c>
      <c r="Q68">
        <v>13</v>
      </c>
      <c r="R68" s="398"/>
    </row>
    <row r="69" spans="11:18" ht="14.4" x14ac:dyDescent="0.3">
      <c r="K69" s="395" t="s">
        <v>938</v>
      </c>
      <c r="L69" s="396" t="s">
        <v>922</v>
      </c>
      <c r="M69" s="397" t="s">
        <v>956</v>
      </c>
      <c r="N69" s="397" t="s">
        <v>43</v>
      </c>
      <c r="O69" s="399" t="s">
        <v>940</v>
      </c>
      <c r="P69">
        <v>0.4</v>
      </c>
      <c r="Q69">
        <v>13</v>
      </c>
      <c r="R69" s="398"/>
    </row>
    <row r="70" spans="11:18" ht="14.4" x14ac:dyDescent="0.3">
      <c r="K70" s="395" t="s">
        <v>938</v>
      </c>
      <c r="L70" s="396" t="s">
        <v>926</v>
      </c>
      <c r="M70" s="397" t="s">
        <v>957</v>
      </c>
      <c r="N70" s="397" t="s">
        <v>43</v>
      </c>
      <c r="O70" s="399" t="s">
        <v>940</v>
      </c>
      <c r="P70">
        <v>0.4</v>
      </c>
      <c r="Q70">
        <v>13</v>
      </c>
      <c r="R70" s="398"/>
    </row>
    <row r="71" spans="11:18" ht="14.4" x14ac:dyDescent="0.3">
      <c r="K71" s="395" t="s">
        <v>938</v>
      </c>
      <c r="L71" s="396" t="s">
        <v>930</v>
      </c>
      <c r="M71" s="397" t="s">
        <v>958</v>
      </c>
      <c r="N71" s="397" t="s">
        <v>43</v>
      </c>
      <c r="O71" s="399" t="s">
        <v>940</v>
      </c>
      <c r="P71">
        <v>0.4</v>
      </c>
      <c r="Q71">
        <v>13</v>
      </c>
      <c r="R71" s="398"/>
    </row>
    <row r="72" spans="11:18" ht="14.4" x14ac:dyDescent="0.3">
      <c r="K72" s="395" t="s">
        <v>938</v>
      </c>
      <c r="L72" s="396" t="s">
        <v>934</v>
      </c>
      <c r="M72" s="397" t="s">
        <v>959</v>
      </c>
      <c r="N72" s="397" t="s">
        <v>43</v>
      </c>
      <c r="O72" s="399" t="s">
        <v>940</v>
      </c>
      <c r="P72">
        <v>0.4</v>
      </c>
      <c r="Q72">
        <v>13</v>
      </c>
      <c r="R72" s="398"/>
    </row>
  </sheetData>
  <mergeCells count="1">
    <mergeCell ref="A1:F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61E08-4EE7-4245-91E1-5DC15E2064D5}">
  <sheetPr>
    <tabColor theme="9" tint="-0.249977111117893"/>
  </sheetPr>
  <dimension ref="A1:AC63"/>
  <sheetViews>
    <sheetView topLeftCell="A35" workbookViewId="0">
      <selection activeCell="R56" sqref="R56"/>
    </sheetView>
  </sheetViews>
  <sheetFormatPr defaultRowHeight="14.4" x14ac:dyDescent="0.3"/>
  <cols>
    <col min="1" max="1" width="4.90625" customWidth="1"/>
    <col min="2" max="2" width="5.26953125" customWidth="1"/>
    <col min="3" max="3" width="7.36328125" customWidth="1"/>
    <col min="4" max="4" width="4.08984375" bestFit="1" customWidth="1"/>
    <col min="5" max="5" width="4.08984375" customWidth="1"/>
    <col min="6" max="6" width="7.453125" bestFit="1" customWidth="1"/>
    <col min="7" max="7" width="7.08984375" bestFit="1" customWidth="1"/>
    <col min="8" max="8" width="5.453125" customWidth="1"/>
    <col min="9" max="9" width="5.08984375" customWidth="1"/>
    <col min="10" max="12" width="5.453125" customWidth="1"/>
    <col min="13" max="13" width="6.36328125" customWidth="1"/>
    <col min="14" max="14" width="6.90625" bestFit="1" customWidth="1"/>
    <col min="15" max="15" width="6.08984375" bestFit="1" customWidth="1"/>
    <col min="16" max="16" width="5.453125" customWidth="1"/>
    <col min="17" max="17" width="6.453125" customWidth="1"/>
    <col min="18" max="18" width="5.90625" customWidth="1"/>
    <col min="19" max="21" width="6.90625" customWidth="1"/>
    <col min="22" max="26" width="8.7265625" customWidth="1"/>
    <col min="27" max="27" width="33.6328125" customWidth="1"/>
    <col min="29" max="29" width="1.90625" style="263" bestFit="1" customWidth="1"/>
    <col min="30" max="31" width="4.90625" customWidth="1"/>
    <col min="32" max="34" width="1.90625" customWidth="1"/>
  </cols>
  <sheetData>
    <row r="1" spans="1:29" ht="15" customHeight="1" x14ac:dyDescent="0.3">
      <c r="A1" s="4215" t="s">
        <v>1257</v>
      </c>
      <c r="B1" s="4215"/>
      <c r="C1" s="4215"/>
      <c r="D1" s="4215"/>
      <c r="E1" s="4215"/>
      <c r="F1" s="4215"/>
      <c r="G1" s="4215"/>
      <c r="H1" s="4215"/>
      <c r="I1" s="4215"/>
      <c r="J1" s="4215"/>
      <c r="K1" s="4215"/>
      <c r="L1" s="405" t="s">
        <v>433</v>
      </c>
      <c r="M1" s="405"/>
      <c r="N1" s="405"/>
      <c r="O1" s="4216" t="s">
        <v>1258</v>
      </c>
      <c r="P1" s="4216"/>
      <c r="Q1" s="4216"/>
      <c r="R1" s="4216"/>
      <c r="S1" s="4216"/>
      <c r="T1" s="4216"/>
      <c r="U1" s="4216"/>
      <c r="V1" s="4216"/>
      <c r="W1" s="4216"/>
      <c r="X1" s="4216"/>
      <c r="Y1" s="406"/>
      <c r="Z1" s="407" t="s">
        <v>961</v>
      </c>
      <c r="AA1" s="408" t="s">
        <v>440</v>
      </c>
      <c r="AB1" s="409" t="s">
        <v>443</v>
      </c>
    </row>
    <row r="2" spans="1:29" ht="15" customHeight="1" x14ac:dyDescent="0.3">
      <c r="A2" s="4215"/>
      <c r="B2" s="4215"/>
      <c r="C2" s="4215"/>
      <c r="D2" s="4215"/>
      <c r="E2" s="4215"/>
      <c r="F2" s="4215"/>
      <c r="G2" s="4215"/>
      <c r="H2" s="4215"/>
      <c r="I2" s="4215"/>
      <c r="J2" s="4215"/>
      <c r="K2" s="4215"/>
      <c r="L2" s="405" t="s">
        <v>435</v>
      </c>
      <c r="M2" s="405"/>
      <c r="N2" s="406"/>
      <c r="O2" s="4216"/>
      <c r="P2" s="4216"/>
      <c r="Q2" s="4216"/>
      <c r="R2" s="4216"/>
      <c r="S2" s="4216"/>
      <c r="T2" s="4216"/>
      <c r="U2" s="4216"/>
      <c r="V2" s="4216"/>
      <c r="W2" s="4216"/>
      <c r="X2" s="4216"/>
      <c r="Y2" s="406"/>
      <c r="Z2" s="407" t="s">
        <v>962</v>
      </c>
      <c r="AA2" s="410"/>
      <c r="AB2" s="411"/>
    </row>
    <row r="3" spans="1:29" ht="15.75" customHeight="1" x14ac:dyDescent="0.3">
      <c r="A3" s="412" t="s">
        <v>454</v>
      </c>
      <c r="B3" s="413"/>
      <c r="C3" s="414"/>
      <c r="D3" s="415"/>
      <c r="E3" s="415"/>
      <c r="F3" s="415"/>
      <c r="G3" s="415"/>
      <c r="H3" s="415"/>
      <c r="I3" s="415"/>
      <c r="J3" s="415"/>
      <c r="K3" s="415"/>
      <c r="L3" s="415"/>
      <c r="M3" s="415"/>
      <c r="N3" s="415"/>
      <c r="O3" s="415"/>
      <c r="P3" s="415"/>
      <c r="Q3" s="415"/>
      <c r="R3" s="415"/>
      <c r="S3" s="415"/>
      <c r="T3" s="415"/>
      <c r="U3" s="415"/>
      <c r="V3" s="415"/>
      <c r="W3" s="415"/>
      <c r="X3" s="415"/>
      <c r="Y3" s="415"/>
      <c r="Z3" s="415"/>
      <c r="AA3" s="416"/>
      <c r="AB3" s="382"/>
    </row>
    <row r="4" spans="1:29" s="292" customFormat="1" ht="36" customHeight="1" x14ac:dyDescent="0.2">
      <c r="A4" s="345" t="s">
        <v>455</v>
      </c>
      <c r="B4" s="345" t="s">
        <v>16</v>
      </c>
      <c r="C4" s="345" t="s">
        <v>531</v>
      </c>
      <c r="D4" s="345" t="s">
        <v>532</v>
      </c>
      <c r="E4" s="345" t="s">
        <v>499</v>
      </c>
      <c r="F4" s="345" t="s">
        <v>533</v>
      </c>
      <c r="G4" s="345" t="s">
        <v>460</v>
      </c>
      <c r="H4" s="345" t="s">
        <v>461</v>
      </c>
      <c r="I4" s="345" t="s">
        <v>462</v>
      </c>
      <c r="J4" s="4031" t="s">
        <v>463</v>
      </c>
      <c r="K4" s="4031"/>
      <c r="L4" s="4031" t="s">
        <v>464</v>
      </c>
      <c r="M4" s="4032"/>
      <c r="N4" s="346" t="s">
        <v>465</v>
      </c>
      <c r="O4" s="346" t="s">
        <v>466</v>
      </c>
      <c r="P4" s="346" t="s">
        <v>467</v>
      </c>
      <c r="Q4" s="346" t="s">
        <v>468</v>
      </c>
      <c r="R4" s="346" t="s">
        <v>469</v>
      </c>
      <c r="S4" s="346" t="s">
        <v>470</v>
      </c>
      <c r="T4" s="4021" t="s">
        <v>471</v>
      </c>
      <c r="U4" s="4022"/>
      <c r="V4" s="345" t="s">
        <v>472</v>
      </c>
      <c r="W4" s="345" t="s">
        <v>473</v>
      </c>
      <c r="X4" s="345" t="s">
        <v>474</v>
      </c>
      <c r="Y4" s="345" t="s">
        <v>133</v>
      </c>
      <c r="Z4" s="346" t="s">
        <v>475</v>
      </c>
      <c r="AA4" s="348" t="s">
        <v>476</v>
      </c>
      <c r="AB4" s="349" t="s">
        <v>477</v>
      </c>
      <c r="AC4" s="291"/>
    </row>
    <row r="5" spans="1:29" s="306" customFormat="1" ht="32.25" customHeight="1" x14ac:dyDescent="0.3">
      <c r="A5" s="350" t="s">
        <v>963</v>
      </c>
      <c r="B5" s="350" t="s">
        <v>92</v>
      </c>
      <c r="C5" s="351" t="s">
        <v>964</v>
      </c>
      <c r="D5" s="352">
        <v>18</v>
      </c>
      <c r="E5" s="351" t="s">
        <v>479</v>
      </c>
      <c r="F5" s="353" t="s">
        <v>480</v>
      </c>
      <c r="G5" s="351" t="s">
        <v>481</v>
      </c>
      <c r="H5" s="351"/>
      <c r="I5" s="354" t="s">
        <v>483</v>
      </c>
      <c r="J5" s="4023">
        <v>30</v>
      </c>
      <c r="K5" s="4024"/>
      <c r="L5" s="4025">
        <v>70</v>
      </c>
      <c r="M5" s="4023"/>
      <c r="N5" s="355" t="s">
        <v>965</v>
      </c>
      <c r="O5" s="356" t="s">
        <v>966</v>
      </c>
      <c r="P5" s="357"/>
      <c r="Q5" s="356"/>
      <c r="R5" s="358" t="s">
        <v>78</v>
      </c>
      <c r="S5" s="359"/>
      <c r="T5" s="4026" t="s">
        <v>489</v>
      </c>
      <c r="U5" s="4027"/>
      <c r="V5" s="360">
        <v>450</v>
      </c>
      <c r="W5" s="361">
        <v>3</v>
      </c>
      <c r="X5" s="350" t="s">
        <v>486</v>
      </c>
      <c r="Y5" s="350" t="s">
        <v>491</v>
      </c>
      <c r="Z5" s="362"/>
      <c r="AA5" s="363"/>
      <c r="AB5" s="364"/>
      <c r="AC5" s="305"/>
    </row>
    <row r="6" spans="1:29" s="319" customFormat="1" ht="15.6" x14ac:dyDescent="0.3">
      <c r="A6" s="365"/>
      <c r="B6" s="366"/>
      <c r="C6" s="367"/>
      <c r="D6" s="368"/>
      <c r="E6" s="367"/>
      <c r="F6" s="369" t="s">
        <v>492</v>
      </c>
      <c r="G6" s="4033" t="s">
        <v>493</v>
      </c>
      <c r="H6" s="4034"/>
      <c r="I6" s="370" t="s">
        <v>494</v>
      </c>
      <c r="J6" s="4035" t="s">
        <v>463</v>
      </c>
      <c r="K6" s="4035"/>
      <c r="L6" s="4035" t="s">
        <v>464</v>
      </c>
      <c r="M6" s="4035"/>
      <c r="N6" s="370" t="s">
        <v>495</v>
      </c>
      <c r="O6" s="4035" t="s">
        <v>467</v>
      </c>
      <c r="P6" s="4035"/>
      <c r="Q6" s="4035" t="s">
        <v>496</v>
      </c>
      <c r="R6" s="4035"/>
      <c r="S6" s="371" t="s">
        <v>497</v>
      </c>
      <c r="T6" s="372" t="s">
        <v>498</v>
      </c>
      <c r="U6" s="372" t="s">
        <v>499</v>
      </c>
      <c r="V6" s="370" t="s">
        <v>500</v>
      </c>
      <c r="W6" s="373" t="s">
        <v>501</v>
      </c>
      <c r="X6" s="373" t="s">
        <v>502</v>
      </c>
      <c r="Y6" s="373" t="s">
        <v>503</v>
      </c>
      <c r="Z6" s="374" t="s">
        <v>504</v>
      </c>
      <c r="AA6" s="375" t="s">
        <v>476</v>
      </c>
      <c r="AB6" s="376"/>
      <c r="AC6" s="318"/>
    </row>
    <row r="7" spans="1:29" ht="25.5" customHeight="1" x14ac:dyDescent="0.2">
      <c r="A7" s="4042" t="s">
        <v>540</v>
      </c>
      <c r="B7" s="4042"/>
      <c r="C7" s="351"/>
      <c r="D7" s="4043" t="s">
        <v>541</v>
      </c>
      <c r="E7" s="4043"/>
      <c r="F7" s="377"/>
      <c r="G7" s="4044"/>
      <c r="H7" s="4045"/>
      <c r="I7" s="378"/>
      <c r="J7" s="4046">
        <v>36</v>
      </c>
      <c r="K7" s="4046"/>
      <c r="L7" s="4046"/>
      <c r="M7" s="4046"/>
      <c r="N7" s="377"/>
      <c r="O7" s="4038"/>
      <c r="P7" s="4038"/>
      <c r="Q7" s="4038"/>
      <c r="R7" s="4038"/>
      <c r="S7" s="351"/>
      <c r="T7" s="351"/>
      <c r="U7" s="351"/>
      <c r="V7" s="377">
        <v>10</v>
      </c>
      <c r="W7" s="377">
        <v>6.75</v>
      </c>
      <c r="X7" s="377">
        <v>56</v>
      </c>
      <c r="Y7" s="377"/>
      <c r="Z7" s="379"/>
      <c r="AA7" s="363"/>
      <c r="AB7" s="380"/>
      <c r="AC7" s="324"/>
    </row>
    <row r="8" spans="1:29" x14ac:dyDescent="0.3">
      <c r="A8" s="381"/>
      <c r="B8" s="382"/>
      <c r="C8" s="382"/>
      <c r="D8" s="383" t="s">
        <v>510</v>
      </c>
      <c r="E8" s="383"/>
      <c r="F8" s="384" t="s">
        <v>511</v>
      </c>
      <c r="G8" s="4057" t="str">
        <f>IF(I5="SK","See Elevation Form","")</f>
        <v/>
      </c>
      <c r="H8" s="4058"/>
      <c r="I8" s="4059"/>
      <c r="J8" s="4060" t="s">
        <v>512</v>
      </c>
      <c r="K8" s="4060"/>
      <c r="L8" s="4060"/>
      <c r="M8" s="4060"/>
      <c r="N8" s="384" t="s">
        <v>511</v>
      </c>
      <c r="O8" s="4060"/>
      <c r="P8" s="4060"/>
      <c r="Q8" s="4060"/>
      <c r="R8" s="4060"/>
      <c r="S8" s="4028" t="s">
        <v>516</v>
      </c>
      <c r="T8" s="4028"/>
      <c r="U8" s="4028"/>
      <c r="V8" s="4029" t="s">
        <v>517</v>
      </c>
      <c r="W8" s="4029"/>
      <c r="X8" s="4029"/>
      <c r="Y8" s="4029"/>
      <c r="Z8" s="4030"/>
      <c r="AA8" s="375" t="s">
        <v>476</v>
      </c>
      <c r="AB8" s="380"/>
    </row>
    <row r="9" spans="1:29" ht="18" customHeight="1" x14ac:dyDescent="0.3">
      <c r="A9" s="4047" t="s">
        <v>518</v>
      </c>
      <c r="B9" s="4048"/>
      <c r="C9" s="4048"/>
      <c r="D9" s="4049" t="s">
        <v>967</v>
      </c>
      <c r="E9" s="4049"/>
      <c r="F9" s="4049"/>
      <c r="G9" s="4049"/>
      <c r="H9" s="4049"/>
      <c r="I9" s="4049"/>
      <c r="J9" s="4049"/>
      <c r="K9" s="4050"/>
      <c r="L9" s="4051" t="s">
        <v>520</v>
      </c>
      <c r="M9" s="385" t="s">
        <v>521</v>
      </c>
      <c r="N9" s="4018" t="s">
        <v>968</v>
      </c>
      <c r="O9" s="4018"/>
      <c r="P9" s="4018"/>
      <c r="Q9" s="4018"/>
      <c r="R9" s="4018"/>
      <c r="S9" s="385" t="s">
        <v>468</v>
      </c>
      <c r="T9" s="4039"/>
      <c r="U9" s="4040"/>
      <c r="V9" s="4040"/>
      <c r="W9" s="4040"/>
      <c r="X9" s="4041"/>
      <c r="Y9" s="386" t="s">
        <v>522</v>
      </c>
      <c r="Z9" s="362"/>
      <c r="AA9" s="363"/>
      <c r="AB9" s="380"/>
      <c r="AC9" s="263" t="e">
        <v>#REF!</v>
      </c>
    </row>
    <row r="10" spans="1:29" ht="18" customHeight="1" x14ac:dyDescent="0.3">
      <c r="A10" s="4053"/>
      <c r="B10" s="4054"/>
      <c r="C10" s="4054"/>
      <c r="D10" s="4018"/>
      <c r="E10" s="4018"/>
      <c r="F10" s="4018"/>
      <c r="G10" s="4018"/>
      <c r="H10" s="4018"/>
      <c r="I10" s="4018"/>
      <c r="J10" s="4018"/>
      <c r="K10" s="4018"/>
      <c r="L10" s="4051"/>
      <c r="M10" s="385" t="s">
        <v>524</v>
      </c>
      <c r="N10" s="4018"/>
      <c r="O10" s="4018"/>
      <c r="P10" s="4018"/>
      <c r="Q10" s="4018"/>
      <c r="R10" s="4018"/>
      <c r="S10" s="385" t="s">
        <v>526</v>
      </c>
      <c r="T10" s="4018"/>
      <c r="U10" s="4018"/>
      <c r="V10" s="4018"/>
      <c r="W10" s="4018"/>
      <c r="X10" s="4018"/>
      <c r="Y10" s="387" t="e">
        <v>#REF!</v>
      </c>
      <c r="Z10" s="4016"/>
      <c r="AA10" s="4017"/>
      <c r="AB10" s="380"/>
      <c r="AC10" s="263" t="e">
        <v>#REF!</v>
      </c>
    </row>
    <row r="11" spans="1:29" ht="18" customHeight="1" x14ac:dyDescent="0.3">
      <c r="A11" s="4053"/>
      <c r="B11" s="4054"/>
      <c r="C11" s="4054"/>
      <c r="D11" s="4018"/>
      <c r="E11" s="4018"/>
      <c r="F11" s="4018"/>
      <c r="G11" s="4018"/>
      <c r="H11" s="4018"/>
      <c r="I11" s="4018"/>
      <c r="J11" s="4018"/>
      <c r="K11" s="4018"/>
      <c r="L11" s="4051"/>
      <c r="M11" s="385" t="s">
        <v>527</v>
      </c>
      <c r="N11" s="4018"/>
      <c r="O11" s="4018"/>
      <c r="P11" s="4018"/>
      <c r="Q11" s="4018"/>
      <c r="R11" s="4018"/>
      <c r="S11" s="385" t="s">
        <v>133</v>
      </c>
      <c r="T11" s="4018"/>
      <c r="U11" s="4018"/>
      <c r="V11" s="4018"/>
      <c r="W11" s="4018"/>
      <c r="X11" s="4018"/>
      <c r="Y11" s="387" t="e">
        <v>#REF!</v>
      </c>
      <c r="Z11" s="4019"/>
      <c r="AA11" s="4020"/>
      <c r="AB11" s="380"/>
      <c r="AC11" s="263" t="e">
        <v>#REF!</v>
      </c>
    </row>
    <row r="12" spans="1:29" ht="18" customHeight="1" thickBot="1" x14ac:dyDescent="0.35">
      <c r="A12" s="4055"/>
      <c r="B12" s="4056"/>
      <c r="C12" s="4056"/>
      <c r="D12" s="4014"/>
      <c r="E12" s="4014"/>
      <c r="F12" s="4014"/>
      <c r="G12" s="4014"/>
      <c r="H12" s="4014"/>
      <c r="I12" s="4014"/>
      <c r="J12" s="4014"/>
      <c r="K12" s="4014"/>
      <c r="L12" s="4052"/>
      <c r="M12" s="388" t="s">
        <v>529</v>
      </c>
      <c r="N12" s="4013"/>
      <c r="O12" s="4014"/>
      <c r="P12" s="4014"/>
      <c r="Q12" s="4014"/>
      <c r="R12" s="4015"/>
      <c r="S12" s="388" t="s">
        <v>475</v>
      </c>
      <c r="T12" s="4013"/>
      <c r="U12" s="4014"/>
      <c r="V12" s="4014"/>
      <c r="W12" s="4014"/>
      <c r="X12" s="4015"/>
      <c r="Y12" s="389" t="e">
        <v>#REF!</v>
      </c>
      <c r="Z12" s="4036"/>
      <c r="AA12" s="4037"/>
      <c r="AB12" s="390"/>
    </row>
    <row r="13" spans="1:29" s="292" customFormat="1" ht="36" customHeight="1" x14ac:dyDescent="0.2">
      <c r="A13" s="345" t="s">
        <v>455</v>
      </c>
      <c r="B13" s="345" t="s">
        <v>16</v>
      </c>
      <c r="C13" s="345" t="s">
        <v>531</v>
      </c>
      <c r="D13" s="345" t="s">
        <v>532</v>
      </c>
      <c r="E13" s="345" t="s">
        <v>499</v>
      </c>
      <c r="F13" s="345" t="s">
        <v>533</v>
      </c>
      <c r="G13" s="345" t="s">
        <v>460</v>
      </c>
      <c r="H13" s="345" t="s">
        <v>461</v>
      </c>
      <c r="I13" s="345" t="s">
        <v>462</v>
      </c>
      <c r="J13" s="4031" t="s">
        <v>463</v>
      </c>
      <c r="K13" s="4031"/>
      <c r="L13" s="4031" t="s">
        <v>464</v>
      </c>
      <c r="M13" s="4032"/>
      <c r="N13" s="346" t="s">
        <v>465</v>
      </c>
      <c r="O13" s="346" t="s">
        <v>466</v>
      </c>
      <c r="P13" s="346" t="s">
        <v>467</v>
      </c>
      <c r="Q13" s="346" t="s">
        <v>468</v>
      </c>
      <c r="R13" s="346" t="s">
        <v>469</v>
      </c>
      <c r="S13" s="346" t="s">
        <v>470</v>
      </c>
      <c r="T13" s="4021" t="s">
        <v>471</v>
      </c>
      <c r="U13" s="4022"/>
      <c r="V13" s="345" t="s">
        <v>472</v>
      </c>
      <c r="W13" s="345" t="s">
        <v>473</v>
      </c>
      <c r="X13" s="345" t="s">
        <v>474</v>
      </c>
      <c r="Y13" s="345" t="s">
        <v>133</v>
      </c>
      <c r="Z13" s="346" t="s">
        <v>475</v>
      </c>
      <c r="AA13" s="348" t="s">
        <v>476</v>
      </c>
      <c r="AB13" s="349" t="s">
        <v>477</v>
      </c>
      <c r="AC13" s="291"/>
    </row>
    <row r="14" spans="1:29" s="306" customFormat="1" ht="32.25" customHeight="1" x14ac:dyDescent="0.3">
      <c r="A14" s="350" t="s">
        <v>969</v>
      </c>
      <c r="B14" s="350" t="s">
        <v>92</v>
      </c>
      <c r="C14" s="351"/>
      <c r="D14" s="352"/>
      <c r="E14" s="351"/>
      <c r="F14" s="353"/>
      <c r="G14" s="351"/>
      <c r="H14" s="351" t="s">
        <v>970</v>
      </c>
      <c r="I14" s="354"/>
      <c r="J14" s="4023"/>
      <c r="K14" s="4024"/>
      <c r="L14" s="4025">
        <v>80</v>
      </c>
      <c r="M14" s="4023"/>
      <c r="N14" s="355"/>
      <c r="O14" s="356"/>
      <c r="P14" s="357"/>
      <c r="Q14" s="356"/>
      <c r="R14" s="358"/>
      <c r="S14" s="359"/>
      <c r="T14" s="4026"/>
      <c r="U14" s="4027"/>
      <c r="V14" s="360"/>
      <c r="W14" s="361"/>
      <c r="X14" s="350"/>
      <c r="Y14" s="350"/>
      <c r="Z14" s="362"/>
      <c r="AA14" s="363"/>
      <c r="AB14" s="364"/>
      <c r="AC14" s="305"/>
    </row>
    <row r="15" spans="1:29" s="319" customFormat="1" ht="15.6" x14ac:dyDescent="0.3">
      <c r="A15" s="365"/>
      <c r="B15" s="366"/>
      <c r="C15" s="367"/>
      <c r="D15" s="368"/>
      <c r="E15" s="367"/>
      <c r="F15" s="369" t="s">
        <v>492</v>
      </c>
      <c r="G15" s="4033" t="s">
        <v>493</v>
      </c>
      <c r="H15" s="4034"/>
      <c r="I15" s="370" t="s">
        <v>494</v>
      </c>
      <c r="J15" s="4035" t="s">
        <v>463</v>
      </c>
      <c r="K15" s="4035"/>
      <c r="L15" s="4035" t="s">
        <v>464</v>
      </c>
      <c r="M15" s="4035"/>
      <c r="N15" s="370" t="s">
        <v>495</v>
      </c>
      <c r="O15" s="4035" t="s">
        <v>467</v>
      </c>
      <c r="P15" s="4035"/>
      <c r="Q15" s="4035" t="s">
        <v>496</v>
      </c>
      <c r="R15" s="4035"/>
      <c r="S15" s="371" t="s">
        <v>497</v>
      </c>
      <c r="T15" s="372" t="s">
        <v>498</v>
      </c>
      <c r="U15" s="372" t="s">
        <v>499</v>
      </c>
      <c r="V15" s="370" t="s">
        <v>500</v>
      </c>
      <c r="W15" s="373" t="s">
        <v>501</v>
      </c>
      <c r="X15" s="373" t="s">
        <v>502</v>
      </c>
      <c r="Y15" s="373" t="s">
        <v>503</v>
      </c>
      <c r="Z15" s="374" t="s">
        <v>504</v>
      </c>
      <c r="AA15" s="375" t="s">
        <v>476</v>
      </c>
      <c r="AB15" s="376"/>
      <c r="AC15" s="318"/>
    </row>
    <row r="16" spans="1:29" ht="25.5" customHeight="1" x14ac:dyDescent="0.2">
      <c r="A16" s="4042" t="s">
        <v>540</v>
      </c>
      <c r="B16" s="4042"/>
      <c r="C16" s="351"/>
      <c r="D16" s="4043" t="s">
        <v>541</v>
      </c>
      <c r="E16" s="4043"/>
      <c r="F16" s="377"/>
      <c r="G16" s="4044"/>
      <c r="H16" s="4045"/>
      <c r="I16" s="378"/>
      <c r="J16" s="4046">
        <v>36</v>
      </c>
      <c r="K16" s="4046"/>
      <c r="L16" s="4046"/>
      <c r="M16" s="4046"/>
      <c r="N16" s="377"/>
      <c r="O16" s="4038"/>
      <c r="P16" s="4038"/>
      <c r="Q16" s="4038"/>
      <c r="R16" s="4038"/>
      <c r="S16" s="351"/>
      <c r="T16" s="351"/>
      <c r="U16" s="351"/>
      <c r="V16" s="377">
        <v>10</v>
      </c>
      <c r="W16" s="377">
        <v>6.75</v>
      </c>
      <c r="X16" s="377">
        <v>56</v>
      </c>
      <c r="Y16" s="377"/>
      <c r="Z16" s="379"/>
      <c r="AA16" s="363"/>
      <c r="AB16" s="380"/>
      <c r="AC16" s="324"/>
    </row>
    <row r="17" spans="1:29" x14ac:dyDescent="0.3">
      <c r="A17" s="381"/>
      <c r="B17" s="382"/>
      <c r="C17" s="382"/>
      <c r="D17" s="383" t="s">
        <v>510</v>
      </c>
      <c r="E17" s="383"/>
      <c r="F17" s="384" t="s">
        <v>511</v>
      </c>
      <c r="G17" s="4057" t="str">
        <f>IF(I14="SK","See Elevation Form","")</f>
        <v/>
      </c>
      <c r="H17" s="4058"/>
      <c r="I17" s="4059"/>
      <c r="J17" s="4060" t="s">
        <v>512</v>
      </c>
      <c r="K17" s="4060"/>
      <c r="L17" s="4060"/>
      <c r="M17" s="4060"/>
      <c r="N17" s="384" t="s">
        <v>511</v>
      </c>
      <c r="O17" s="4060"/>
      <c r="P17" s="4060"/>
      <c r="Q17" s="4060"/>
      <c r="R17" s="4060"/>
      <c r="S17" s="4028" t="s">
        <v>516</v>
      </c>
      <c r="T17" s="4028"/>
      <c r="U17" s="4028"/>
      <c r="V17" s="4029" t="s">
        <v>517</v>
      </c>
      <c r="W17" s="4029"/>
      <c r="X17" s="4029"/>
      <c r="Y17" s="4029"/>
      <c r="Z17" s="4030"/>
      <c r="AA17" s="375" t="s">
        <v>476</v>
      </c>
      <c r="AB17" s="380"/>
    </row>
    <row r="18" spans="1:29" ht="18" customHeight="1" x14ac:dyDescent="0.3">
      <c r="A18" s="4047" t="s">
        <v>518</v>
      </c>
      <c r="B18" s="4048"/>
      <c r="C18" s="4048"/>
      <c r="D18" s="4049"/>
      <c r="E18" s="4049"/>
      <c r="F18" s="4049"/>
      <c r="G18" s="4049"/>
      <c r="H18" s="4049"/>
      <c r="I18" s="4049"/>
      <c r="J18" s="4049"/>
      <c r="K18" s="4050"/>
      <c r="L18" s="4051" t="s">
        <v>520</v>
      </c>
      <c r="M18" s="385" t="s">
        <v>521</v>
      </c>
      <c r="N18" s="4018"/>
      <c r="O18" s="4018"/>
      <c r="P18" s="4018"/>
      <c r="Q18" s="4018"/>
      <c r="R18" s="4018"/>
      <c r="S18" s="385" t="s">
        <v>468</v>
      </c>
      <c r="T18" s="4039"/>
      <c r="U18" s="4040"/>
      <c r="V18" s="4040"/>
      <c r="W18" s="4040"/>
      <c r="X18" s="4041"/>
      <c r="Y18" s="386" t="s">
        <v>522</v>
      </c>
      <c r="Z18" s="362"/>
      <c r="AA18" s="363"/>
      <c r="AB18" s="380"/>
      <c r="AC18" s="263" t="e">
        <v>#REF!</v>
      </c>
    </row>
    <row r="19" spans="1:29" ht="18" customHeight="1" x14ac:dyDescent="0.3">
      <c r="A19" s="4053"/>
      <c r="B19" s="4054"/>
      <c r="C19" s="4054"/>
      <c r="D19" s="4018"/>
      <c r="E19" s="4018"/>
      <c r="F19" s="4018"/>
      <c r="G19" s="4018"/>
      <c r="H19" s="4018"/>
      <c r="I19" s="4018"/>
      <c r="J19" s="4018"/>
      <c r="K19" s="4018"/>
      <c r="L19" s="4051"/>
      <c r="M19" s="385" t="s">
        <v>524</v>
      </c>
      <c r="N19" s="4018"/>
      <c r="O19" s="4018"/>
      <c r="P19" s="4018"/>
      <c r="Q19" s="4018"/>
      <c r="R19" s="4018"/>
      <c r="S19" s="385" t="s">
        <v>526</v>
      </c>
      <c r="T19" s="4018"/>
      <c r="U19" s="4018"/>
      <c r="V19" s="4018"/>
      <c r="W19" s="4018"/>
      <c r="X19" s="4018"/>
      <c r="Y19" s="387" t="e">
        <v>#REF!</v>
      </c>
      <c r="Z19" s="4016"/>
      <c r="AA19" s="4017"/>
      <c r="AB19" s="380"/>
      <c r="AC19" s="263" t="e">
        <v>#REF!</v>
      </c>
    </row>
    <row r="20" spans="1:29" ht="18" customHeight="1" x14ac:dyDescent="0.3">
      <c r="A20" s="4053"/>
      <c r="B20" s="4054"/>
      <c r="C20" s="4054"/>
      <c r="D20" s="4018"/>
      <c r="E20" s="4018"/>
      <c r="F20" s="4018"/>
      <c r="G20" s="4018"/>
      <c r="H20" s="4018"/>
      <c r="I20" s="4018"/>
      <c r="J20" s="4018"/>
      <c r="K20" s="4018"/>
      <c r="L20" s="4051"/>
      <c r="M20" s="385" t="s">
        <v>527</v>
      </c>
      <c r="N20" s="4018"/>
      <c r="O20" s="4018"/>
      <c r="P20" s="4018"/>
      <c r="Q20" s="4018"/>
      <c r="R20" s="4018"/>
      <c r="S20" s="385" t="s">
        <v>133</v>
      </c>
      <c r="T20" s="4018"/>
      <c r="U20" s="4018"/>
      <c r="V20" s="4018"/>
      <c r="W20" s="4018"/>
      <c r="X20" s="4018"/>
      <c r="Y20" s="387" t="e">
        <v>#REF!</v>
      </c>
      <c r="Z20" s="4019"/>
      <c r="AA20" s="4020"/>
      <c r="AB20" s="380"/>
      <c r="AC20" s="263" t="e">
        <v>#REF!</v>
      </c>
    </row>
    <row r="21" spans="1:29" ht="18" customHeight="1" thickBot="1" x14ac:dyDescent="0.35">
      <c r="A21" s="4055"/>
      <c r="B21" s="4056"/>
      <c r="C21" s="4056"/>
      <c r="D21" s="4014"/>
      <c r="E21" s="4014"/>
      <c r="F21" s="4014"/>
      <c r="G21" s="4014"/>
      <c r="H21" s="4014"/>
      <c r="I21" s="4014"/>
      <c r="J21" s="4014"/>
      <c r="K21" s="4014"/>
      <c r="L21" s="4052"/>
      <c r="M21" s="388" t="s">
        <v>529</v>
      </c>
      <c r="N21" s="4013"/>
      <c r="O21" s="4014"/>
      <c r="P21" s="4014"/>
      <c r="Q21" s="4014"/>
      <c r="R21" s="4015"/>
      <c r="S21" s="388" t="s">
        <v>475</v>
      </c>
      <c r="T21" s="4013"/>
      <c r="U21" s="4014"/>
      <c r="V21" s="4014"/>
      <c r="W21" s="4014"/>
      <c r="X21" s="4015"/>
      <c r="Y21" s="389" t="e">
        <v>#REF!</v>
      </c>
      <c r="Z21" s="4036"/>
      <c r="AA21" s="4037"/>
      <c r="AB21" s="390"/>
    </row>
    <row r="22" spans="1:29" ht="12.6" x14ac:dyDescent="0.2">
      <c r="AC22"/>
    </row>
    <row r="23" spans="1:29" ht="12.6" x14ac:dyDescent="0.2">
      <c r="AC23"/>
    </row>
    <row r="24" spans="1:29" ht="12.6" x14ac:dyDescent="0.2">
      <c r="AC24"/>
    </row>
    <row r="25" spans="1:29" ht="12.6" x14ac:dyDescent="0.2">
      <c r="A25" t="s">
        <v>1259</v>
      </c>
      <c r="AC25"/>
    </row>
    <row r="26" spans="1:29" ht="12.6" x14ac:dyDescent="0.2">
      <c r="AC26"/>
    </row>
    <row r="27" spans="1:29" ht="12.6" x14ac:dyDescent="0.2">
      <c r="A27" t="s">
        <v>1260</v>
      </c>
      <c r="AC27"/>
    </row>
    <row r="28" spans="1:29" ht="12.6" x14ac:dyDescent="0.2">
      <c r="AC28"/>
    </row>
    <row r="29" spans="1:29" ht="12.6" x14ac:dyDescent="0.2">
      <c r="A29" s="4212" t="s">
        <v>1261</v>
      </c>
      <c r="B29" s="4212"/>
      <c r="C29" s="4212"/>
      <c r="D29" s="4212"/>
      <c r="E29" s="4212"/>
      <c r="F29" s="4212"/>
      <c r="G29" s="4212"/>
      <c r="H29" s="4212"/>
      <c r="I29" s="4212"/>
      <c r="J29" s="4212"/>
      <c r="K29" s="4212"/>
      <c r="L29" s="4212"/>
      <c r="M29" s="4212"/>
      <c r="N29" s="4212"/>
      <c r="O29" s="4212"/>
      <c r="P29" s="4212"/>
      <c r="AC29"/>
    </row>
    <row r="30" spans="1:29" ht="13.8" x14ac:dyDescent="0.2">
      <c r="A30" s="4213" t="s">
        <v>35</v>
      </c>
      <c r="B30" s="4213"/>
      <c r="C30" s="4213"/>
      <c r="D30" s="4213"/>
      <c r="E30" s="4213"/>
      <c r="F30" s="4213"/>
      <c r="G30" s="4213"/>
      <c r="H30" s="4213"/>
      <c r="I30" s="4213"/>
      <c r="J30" s="4213"/>
      <c r="K30" s="4213"/>
      <c r="L30" s="4213"/>
      <c r="M30" s="4213"/>
      <c r="N30" s="4213"/>
      <c r="O30" s="4213"/>
      <c r="P30" s="4213"/>
      <c r="Q30" s="4213"/>
      <c r="R30" s="4213"/>
      <c r="S30" s="4213"/>
      <c r="T30" s="4213"/>
      <c r="U30" s="4213"/>
      <c r="V30" s="4213"/>
      <c r="W30" s="4213"/>
      <c r="X30" s="4213"/>
      <c r="Y30" s="4213"/>
      <c r="Z30" s="4213"/>
      <c r="AC30"/>
    </row>
    <row r="31" spans="1:29" ht="13.8" x14ac:dyDescent="0.2">
      <c r="B31" s="4213" t="s">
        <v>22</v>
      </c>
      <c r="C31" s="4213"/>
      <c r="D31" s="4213"/>
      <c r="E31" s="4214" t="s">
        <v>1262</v>
      </c>
      <c r="F31" s="4214"/>
      <c r="G31" s="4214"/>
      <c r="H31" s="4214"/>
      <c r="I31" s="4214"/>
      <c r="J31" s="4213" t="s">
        <v>1263</v>
      </c>
      <c r="K31" s="4213"/>
      <c r="L31" s="4213"/>
      <c r="M31" s="4213"/>
      <c r="N31" s="4213"/>
      <c r="O31" s="4213" t="s">
        <v>1264</v>
      </c>
      <c r="P31" s="4213"/>
      <c r="Q31" s="4213"/>
      <c r="R31" s="4214" t="s">
        <v>1265</v>
      </c>
      <c r="S31" s="4214"/>
      <c r="T31" s="4214"/>
      <c r="U31" s="4214"/>
      <c r="V31" s="4214"/>
      <c r="W31" s="4214"/>
      <c r="AC31"/>
    </row>
    <row r="32" spans="1:29" s="526" customFormat="1" ht="132.6" x14ac:dyDescent="0.2">
      <c r="A32" s="525" t="s">
        <v>1266</v>
      </c>
      <c r="B32" s="525" t="s">
        <v>1267</v>
      </c>
      <c r="C32" s="525" t="s">
        <v>1268</v>
      </c>
      <c r="D32" s="525" t="s">
        <v>1269</v>
      </c>
      <c r="E32" s="525" t="s">
        <v>1267</v>
      </c>
      <c r="F32" s="525" t="s">
        <v>1270</v>
      </c>
      <c r="G32" s="525" t="s">
        <v>1271</v>
      </c>
      <c r="H32" s="525" t="s">
        <v>1272</v>
      </c>
      <c r="I32" s="525" t="s">
        <v>1273</v>
      </c>
      <c r="J32" s="525" t="s">
        <v>1267</v>
      </c>
      <c r="K32" s="525" t="s">
        <v>1274</v>
      </c>
      <c r="L32" s="525" t="s">
        <v>1275</v>
      </c>
      <c r="M32" s="525" t="s">
        <v>1276</v>
      </c>
      <c r="N32" s="525" t="s">
        <v>1277</v>
      </c>
      <c r="O32" s="525"/>
      <c r="P32" s="525" t="s">
        <v>1278</v>
      </c>
      <c r="Q32" s="525" t="s">
        <v>1279</v>
      </c>
      <c r="R32" s="525" t="s">
        <v>1267</v>
      </c>
      <c r="S32" s="525" t="s">
        <v>1280</v>
      </c>
      <c r="T32" s="525" t="s">
        <v>1281</v>
      </c>
      <c r="U32" s="525" t="s">
        <v>1282</v>
      </c>
      <c r="V32" s="525" t="s">
        <v>27</v>
      </c>
      <c r="W32" s="525" t="s">
        <v>1283</v>
      </c>
    </row>
    <row r="33" spans="1:22" x14ac:dyDescent="0.3">
      <c r="A33" t="s">
        <v>1301</v>
      </c>
      <c r="C33" t="s">
        <v>456</v>
      </c>
      <c r="D33" t="s">
        <v>1302</v>
      </c>
    </row>
    <row r="34" spans="1:22" x14ac:dyDescent="0.3">
      <c r="D34" t="s">
        <v>1269</v>
      </c>
    </row>
    <row r="36" spans="1:22" x14ac:dyDescent="0.3">
      <c r="C36" t="s">
        <v>1308</v>
      </c>
      <c r="E36" t="s">
        <v>1309</v>
      </c>
      <c r="L36" t="s">
        <v>549</v>
      </c>
      <c r="N36" t="s">
        <v>1304</v>
      </c>
      <c r="P36" t="s">
        <v>1305</v>
      </c>
      <c r="R36" t="s">
        <v>93</v>
      </c>
      <c r="T36" t="s">
        <v>1306</v>
      </c>
      <c r="V36" t="s">
        <v>1307</v>
      </c>
    </row>
    <row r="38" spans="1:22" x14ac:dyDescent="0.3">
      <c r="C38" t="s">
        <v>1303</v>
      </c>
      <c r="E38" t="s">
        <v>346</v>
      </c>
      <c r="L38">
        <v>1</v>
      </c>
    </row>
    <row r="39" spans="1:22" x14ac:dyDescent="0.3">
      <c r="E39" t="s">
        <v>1290</v>
      </c>
      <c r="L39">
        <v>0</v>
      </c>
    </row>
    <row r="40" spans="1:22" x14ac:dyDescent="0.3">
      <c r="E40" t="s">
        <v>141</v>
      </c>
      <c r="L40">
        <v>1</v>
      </c>
    </row>
    <row r="41" spans="1:22" x14ac:dyDescent="0.3">
      <c r="E41" t="s">
        <v>1216</v>
      </c>
      <c r="L41">
        <v>0</v>
      </c>
    </row>
    <row r="55" spans="1:14" s="527" customFormat="1" ht="13.8" x14ac:dyDescent="0.25">
      <c r="A55" s="527" t="s">
        <v>22</v>
      </c>
      <c r="C55" s="527" t="s">
        <v>1284</v>
      </c>
      <c r="E55" s="527" t="s">
        <v>1285</v>
      </c>
      <c r="G55" s="527" t="s">
        <v>82</v>
      </c>
      <c r="I55" s="527" t="s">
        <v>1286</v>
      </c>
      <c r="K55" s="527" t="s">
        <v>305</v>
      </c>
      <c r="N55" s="527" t="s">
        <v>24</v>
      </c>
    </row>
    <row r="56" spans="1:14" x14ac:dyDescent="0.3">
      <c r="G56" t="s">
        <v>71</v>
      </c>
      <c r="I56" t="s">
        <v>1287</v>
      </c>
      <c r="K56" t="s">
        <v>1288</v>
      </c>
      <c r="N56" t="s">
        <v>390</v>
      </c>
    </row>
    <row r="57" spans="1:14" x14ac:dyDescent="0.3">
      <c r="G57" s="528" t="s">
        <v>1289</v>
      </c>
      <c r="I57" t="s">
        <v>1290</v>
      </c>
      <c r="K57" t="s">
        <v>1291</v>
      </c>
      <c r="N57" t="s">
        <v>23</v>
      </c>
    </row>
    <row r="58" spans="1:14" x14ac:dyDescent="0.3">
      <c r="K58" t="s">
        <v>1292</v>
      </c>
      <c r="N58" t="s">
        <v>1293</v>
      </c>
    </row>
    <row r="59" spans="1:14" x14ac:dyDescent="0.3">
      <c r="K59" t="s">
        <v>1294</v>
      </c>
      <c r="N59" t="s">
        <v>1295</v>
      </c>
    </row>
    <row r="60" spans="1:14" x14ac:dyDescent="0.3">
      <c r="G60" t="s">
        <v>1296</v>
      </c>
      <c r="K60" t="s">
        <v>1297</v>
      </c>
      <c r="N60" t="s">
        <v>394</v>
      </c>
    </row>
    <row r="61" spans="1:14" x14ac:dyDescent="0.3">
      <c r="G61" s="528" t="s">
        <v>1289</v>
      </c>
      <c r="K61" t="s">
        <v>1298</v>
      </c>
    </row>
    <row r="62" spans="1:14" x14ac:dyDescent="0.3">
      <c r="K62" t="s">
        <v>1299</v>
      </c>
    </row>
    <row r="63" spans="1:14" x14ac:dyDescent="0.3">
      <c r="G63" t="s">
        <v>1300</v>
      </c>
    </row>
  </sheetData>
  <mergeCells count="95">
    <mergeCell ref="Z20:AA20"/>
    <mergeCell ref="D21:K21"/>
    <mergeCell ref="N21:R21"/>
    <mergeCell ref="T21:X21"/>
    <mergeCell ref="S17:U17"/>
    <mergeCell ref="V17:Z17"/>
    <mergeCell ref="Z21:AA21"/>
    <mergeCell ref="Z19:AA19"/>
    <mergeCell ref="A18:C18"/>
    <mergeCell ref="D18:K18"/>
    <mergeCell ref="L18:L21"/>
    <mergeCell ref="N18:R18"/>
    <mergeCell ref="T18:X18"/>
    <mergeCell ref="A19:C21"/>
    <mergeCell ref="D19:K19"/>
    <mergeCell ref="N19:R19"/>
    <mergeCell ref="T19:X19"/>
    <mergeCell ref="D20:K20"/>
    <mergeCell ref="N20:R20"/>
    <mergeCell ref="T20:X20"/>
    <mergeCell ref="A16:B16"/>
    <mergeCell ref="D16:E16"/>
    <mergeCell ref="G16:H16"/>
    <mergeCell ref="J16:K16"/>
    <mergeCell ref="L16:M16"/>
    <mergeCell ref="Q16:R16"/>
    <mergeCell ref="G17:I17"/>
    <mergeCell ref="J17:K17"/>
    <mergeCell ref="L17:M17"/>
    <mergeCell ref="O17:P17"/>
    <mergeCell ref="Q17:R17"/>
    <mergeCell ref="O16:P16"/>
    <mergeCell ref="J14:K14"/>
    <mergeCell ref="L14:M14"/>
    <mergeCell ref="T14:U14"/>
    <mergeCell ref="G15:H15"/>
    <mergeCell ref="J15:K15"/>
    <mergeCell ref="L15:M15"/>
    <mergeCell ref="O15:P15"/>
    <mergeCell ref="Q15:R15"/>
    <mergeCell ref="J13:K13"/>
    <mergeCell ref="L13:M13"/>
    <mergeCell ref="T13:U13"/>
    <mergeCell ref="T10:X10"/>
    <mergeCell ref="Z10:AA10"/>
    <mergeCell ref="D11:K11"/>
    <mergeCell ref="N11:R11"/>
    <mergeCell ref="T11:X11"/>
    <mergeCell ref="Z11:AA11"/>
    <mergeCell ref="D12:K12"/>
    <mergeCell ref="N12:R12"/>
    <mergeCell ref="T12:X12"/>
    <mergeCell ref="S8:U8"/>
    <mergeCell ref="V8:Z8"/>
    <mergeCell ref="A9:C9"/>
    <mergeCell ref="D9:K9"/>
    <mergeCell ref="L9:L12"/>
    <mergeCell ref="N9:R9"/>
    <mergeCell ref="T9:X9"/>
    <mergeCell ref="A10:C12"/>
    <mergeCell ref="D10:K10"/>
    <mergeCell ref="N10:R10"/>
    <mergeCell ref="Z12:AA12"/>
    <mergeCell ref="G8:I8"/>
    <mergeCell ref="J8:K8"/>
    <mergeCell ref="L8:M8"/>
    <mergeCell ref="O8:P8"/>
    <mergeCell ref="Q8:R8"/>
    <mergeCell ref="G6:H6"/>
    <mergeCell ref="J6:K6"/>
    <mergeCell ref="L6:M6"/>
    <mergeCell ref="O6:P6"/>
    <mergeCell ref="Q6:R6"/>
    <mergeCell ref="J5:K5"/>
    <mergeCell ref="L5:M5"/>
    <mergeCell ref="T5:U5"/>
    <mergeCell ref="O7:P7"/>
    <mergeCell ref="Q7:R7"/>
    <mergeCell ref="A1:K2"/>
    <mergeCell ref="O1:X2"/>
    <mergeCell ref="J4:K4"/>
    <mergeCell ref="L4:M4"/>
    <mergeCell ref="T4:U4"/>
    <mergeCell ref="A7:B7"/>
    <mergeCell ref="D7:E7"/>
    <mergeCell ref="G7:H7"/>
    <mergeCell ref="J7:K7"/>
    <mergeCell ref="L7:M7"/>
    <mergeCell ref="A29:P29"/>
    <mergeCell ref="A30:Z30"/>
    <mergeCell ref="B31:D31"/>
    <mergeCell ref="E31:I31"/>
    <mergeCell ref="J31:N31"/>
    <mergeCell ref="O31:Q31"/>
    <mergeCell ref="R31:W31"/>
  </mergeCells>
  <conditionalFormatting sqref="C7">
    <cfRule type="expression" dxfId="110" priority="211">
      <formula>AND($G5="I",OR($C7="SNGL",$C7="DBLE"))</formula>
    </cfRule>
  </conditionalFormatting>
  <conditionalFormatting sqref="C16">
    <cfRule type="expression" dxfId="109" priority="162">
      <formula>AND($G14="I",OR($C16="SNGL",$C16="DBLE"))</formula>
    </cfRule>
  </conditionalFormatting>
  <conditionalFormatting sqref="F7">
    <cfRule type="expression" dxfId="108" priority="247">
      <formula>F5&lt;&gt;"SPL"</formula>
    </cfRule>
    <cfRule type="expression" dxfId="107" priority="249">
      <formula>AND(F5="SPL",F7="")</formula>
    </cfRule>
  </conditionalFormatting>
  <conditionalFormatting sqref="F8">
    <cfRule type="expression" dxfId="106" priority="243">
      <formula>F5&lt;&gt;"SPL"</formula>
    </cfRule>
  </conditionalFormatting>
  <conditionalFormatting sqref="F16">
    <cfRule type="expression" dxfId="105" priority="200">
      <formula>F14&lt;&gt;"SPL"</formula>
    </cfRule>
    <cfRule type="expression" dxfId="104" priority="202">
      <formula>AND(F14="SPL",F16="")</formula>
    </cfRule>
  </conditionalFormatting>
  <conditionalFormatting sqref="F17">
    <cfRule type="expression" dxfId="103" priority="196">
      <formula>F14&lt;&gt;"SPL"</formula>
    </cfRule>
  </conditionalFormatting>
  <conditionalFormatting sqref="G7:H7">
    <cfRule type="expression" dxfId="102" priority="204">
      <formula>AND(I5="SK",G7="")</formula>
    </cfRule>
  </conditionalFormatting>
  <conditionalFormatting sqref="G16:H16">
    <cfRule type="expression" dxfId="101" priority="154">
      <formula>AND(I14="SK",G16="")</formula>
    </cfRule>
  </conditionalFormatting>
  <conditionalFormatting sqref="G8:I8">
    <cfRule type="expression" dxfId="100" priority="205">
      <formula>I5&lt;&gt;"SK"</formula>
    </cfRule>
  </conditionalFormatting>
  <conditionalFormatting sqref="G17:I17">
    <cfRule type="expression" dxfId="99" priority="155">
      <formula>I14&lt;&gt;"SK"</formula>
    </cfRule>
  </conditionalFormatting>
  <conditionalFormatting sqref="I7">
    <cfRule type="expression" dxfId="98" priority="245">
      <formula>OR(I5="F",RIGHT(I5,1)="P")</formula>
    </cfRule>
    <cfRule type="expression" dxfId="97" priority="248">
      <formula>AND(I5&lt;&gt;"F",RIGHT(I5,1)&lt;&gt;"P",I7="",I5&lt;&gt;"")</formula>
    </cfRule>
  </conditionalFormatting>
  <conditionalFormatting sqref="I16">
    <cfRule type="expression" dxfId="96" priority="198">
      <formula>OR(I14="F",RIGHT(I14,1)="P")</formula>
    </cfRule>
    <cfRule type="expression" dxfId="95" priority="201">
      <formula>AND(I14&lt;&gt;"F",RIGHT(I14,1)&lt;&gt;"P",I16="",I14&lt;&gt;"")</formula>
    </cfRule>
  </conditionalFormatting>
  <conditionalFormatting sqref="J7:K7">
    <cfRule type="expression" dxfId="94" priority="246">
      <formula>AND(J5="SW",J7="")</formula>
    </cfRule>
    <cfRule type="expression" dxfId="93" priority="244">
      <formula>J5&lt;&gt;"SW"</formula>
    </cfRule>
  </conditionalFormatting>
  <conditionalFormatting sqref="J8:K8">
    <cfRule type="expression" dxfId="92" priority="242">
      <formula>AND(J5="SW",J8="")</formula>
    </cfRule>
    <cfRule type="expression" dxfId="91" priority="241">
      <formula>J5&lt;&gt;"SW"</formula>
    </cfRule>
  </conditionalFormatting>
  <conditionalFormatting sqref="J16:K16">
    <cfRule type="expression" dxfId="90" priority="199">
      <formula>AND(J14="SW",J16="")</formula>
    </cfRule>
    <cfRule type="expression" dxfId="89" priority="197">
      <formula>J14&lt;&gt;"SW"</formula>
    </cfRule>
  </conditionalFormatting>
  <conditionalFormatting sqref="J17:K17">
    <cfRule type="expression" dxfId="88" priority="195">
      <formula>AND(J14="SW",J17="")</formula>
    </cfRule>
    <cfRule type="expression" dxfId="87" priority="194">
      <formula>J14&lt;&gt;"SW"</formula>
    </cfRule>
  </conditionalFormatting>
  <conditionalFormatting sqref="L7:M7">
    <cfRule type="expression" dxfId="86" priority="240">
      <formula>AND(L5="SH",L7="")</formula>
    </cfRule>
    <cfRule type="expression" dxfId="85" priority="239">
      <formula>L5&lt;&gt;"SH"</formula>
    </cfRule>
  </conditionalFormatting>
  <conditionalFormatting sqref="L8:M8">
    <cfRule type="expression" dxfId="84" priority="238">
      <formula>AND(L5="SH",L8="")</formula>
    </cfRule>
    <cfRule type="expression" dxfId="83" priority="237">
      <formula>L5&lt;&gt;"SH"</formula>
    </cfRule>
  </conditionalFormatting>
  <conditionalFormatting sqref="L16:M16">
    <cfRule type="expression" dxfId="82" priority="192">
      <formula>L14&lt;&gt;"SH"</formula>
    </cfRule>
    <cfRule type="expression" dxfId="81" priority="193">
      <formula>AND(L14="SH",L16="")</formula>
    </cfRule>
  </conditionalFormatting>
  <conditionalFormatting sqref="L17:M17">
    <cfRule type="expression" dxfId="80" priority="191">
      <formula>AND(L14="SH",L17="")</formula>
    </cfRule>
    <cfRule type="expression" dxfId="79" priority="190">
      <formula>L14&lt;&gt;"SH"</formula>
    </cfRule>
  </conditionalFormatting>
  <conditionalFormatting sqref="N7">
    <cfRule type="expression" dxfId="78" priority="235">
      <formula>N5&lt;&gt;"SPL"</formula>
    </cfRule>
    <cfRule type="expression" dxfId="77" priority="236">
      <formula>AND(N5="SPL",N7="")</formula>
    </cfRule>
  </conditionalFormatting>
  <conditionalFormatting sqref="N8">
    <cfRule type="expression" dxfId="76" priority="234">
      <formula>N5&lt;&gt;"SPL"</formula>
    </cfRule>
  </conditionalFormatting>
  <conditionalFormatting sqref="N9">
    <cfRule type="expression" dxfId="75" priority="1">
      <formula>AND(AC9="*",N9="")</formula>
    </cfRule>
  </conditionalFormatting>
  <conditionalFormatting sqref="N10">
    <cfRule type="expression" dxfId="74" priority="210">
      <formula>AND(AC9="*",N10="")</formula>
    </cfRule>
  </conditionalFormatting>
  <conditionalFormatting sqref="N11">
    <cfRule type="expression" dxfId="73" priority="209">
      <formula>AND(AC9="*",N11="")</formula>
    </cfRule>
  </conditionalFormatting>
  <conditionalFormatting sqref="N12">
    <cfRule type="expression" dxfId="72" priority="208">
      <formula>AND(AND(AC9="*",N12=""),$C7&lt;&gt;"SNGL")</formula>
    </cfRule>
  </conditionalFormatting>
  <conditionalFormatting sqref="N16">
    <cfRule type="expression" dxfId="71" priority="188">
      <formula>N14&lt;&gt;"SPL"</formula>
    </cfRule>
    <cfRule type="expression" dxfId="70" priority="189">
      <formula>AND(N14="SPL",N16="")</formula>
    </cfRule>
  </conditionalFormatting>
  <conditionalFormatting sqref="N17">
    <cfRule type="expression" dxfId="69" priority="187">
      <formula>N14&lt;&gt;"SPL"</formula>
    </cfRule>
  </conditionalFormatting>
  <conditionalFormatting sqref="N18">
    <cfRule type="expression" dxfId="68" priority="166">
      <formula>AND(AC18="*",N18="")</formula>
    </cfRule>
  </conditionalFormatting>
  <conditionalFormatting sqref="N19">
    <cfRule type="expression" dxfId="67" priority="161">
      <formula>AND(AC18="*",N19="")</formula>
    </cfRule>
  </conditionalFormatting>
  <conditionalFormatting sqref="N20">
    <cfRule type="expression" dxfId="66" priority="160">
      <formula>AND(AC18="*",N20="")</formula>
    </cfRule>
  </conditionalFormatting>
  <conditionalFormatting sqref="N21">
    <cfRule type="expression" dxfId="65" priority="158">
      <formula>AND(AND(AC18="*",N21=""),$C16&lt;&gt;"SNGL")</formula>
    </cfRule>
  </conditionalFormatting>
  <conditionalFormatting sqref="O7:P7">
    <cfRule type="expression" dxfId="64" priority="213">
      <formula>AND(P5="SPL",O7="")</formula>
    </cfRule>
    <cfRule type="expression" dxfId="63" priority="212">
      <formula>P5&lt;&gt;"SPL"</formula>
    </cfRule>
  </conditionalFormatting>
  <conditionalFormatting sqref="O8:P8">
    <cfRule type="expression" dxfId="62" priority="232">
      <formula>P5&lt;&gt;"SPL"</formula>
    </cfRule>
    <cfRule type="expression" dxfId="61" priority="233">
      <formula>AND(P5="SPL",O8="")</formula>
    </cfRule>
  </conditionalFormatting>
  <conditionalFormatting sqref="O16:P16">
    <cfRule type="expression" dxfId="60" priority="164">
      <formula>P14&lt;&gt;"SPL"</formula>
    </cfRule>
    <cfRule type="expression" dxfId="59" priority="165">
      <formula>AND(P14="SPL",O16="")</formula>
    </cfRule>
  </conditionalFormatting>
  <conditionalFormatting sqref="O17:P17">
    <cfRule type="expression" dxfId="58" priority="185">
      <formula>P14&lt;&gt;"SPL"</formula>
    </cfRule>
    <cfRule type="expression" dxfId="57" priority="186">
      <formula>AND(P14="SPL",O17="")</formula>
    </cfRule>
  </conditionalFormatting>
  <conditionalFormatting sqref="O9:R11">
    <cfRule type="expression" dxfId="56" priority="2">
      <formula>AND(AD19="*",O9="")</formula>
    </cfRule>
  </conditionalFormatting>
  <conditionalFormatting sqref="O12:R12 O18:R21 U19:X19">
    <cfRule type="expression" dxfId="55" priority="1090">
      <formula>AND(#REF!="*",O12="")</formula>
    </cfRule>
  </conditionalFormatting>
  <conditionalFormatting sqref="Q7:R7">
    <cfRule type="expression" dxfId="54" priority="231">
      <formula>AND(OR(Q5&lt;&gt;"NONE",Q5&lt;&gt;""),Q7="")</formula>
    </cfRule>
    <cfRule type="expression" dxfId="53" priority="230">
      <formula>OR(Q5="NONE",Q5="")</formula>
    </cfRule>
  </conditionalFormatting>
  <conditionalFormatting sqref="Q8:R8">
    <cfRule type="expression" dxfId="52" priority="229">
      <formula>AND(Q5&lt;&gt;"NONE",Q8="")</formula>
    </cfRule>
    <cfRule type="expression" dxfId="51" priority="228">
      <formula>OR(Q5="NONE",Q5="")</formula>
    </cfRule>
  </conditionalFormatting>
  <conditionalFormatting sqref="Q16:R16">
    <cfRule type="expression" dxfId="50" priority="184">
      <formula>AND(OR(Q14&lt;&gt;"NONE",Q14&lt;&gt;""),Q16="")</formula>
    </cfRule>
    <cfRule type="expression" dxfId="49" priority="183">
      <formula>OR(Q14="NONE",Q14="")</formula>
    </cfRule>
  </conditionalFormatting>
  <conditionalFormatting sqref="Q17:R17">
    <cfRule type="expression" dxfId="48" priority="182">
      <formula>AND(Q14&lt;&gt;"NONE",Q17="")</formula>
    </cfRule>
    <cfRule type="expression" dxfId="47" priority="181">
      <formula>OR(Q14="NONE",Q14="")</formula>
    </cfRule>
  </conditionalFormatting>
  <conditionalFormatting sqref="S7">
    <cfRule type="expression" dxfId="46" priority="226">
      <formula>S6="L"</formula>
    </cfRule>
  </conditionalFormatting>
  <conditionalFormatting sqref="S16">
    <cfRule type="expression" dxfId="45" priority="179">
      <formula>S15="L"</formula>
    </cfRule>
  </conditionalFormatting>
  <conditionalFormatting sqref="T7">
    <cfRule type="expression" dxfId="44" priority="225">
      <formula>S6="L"</formula>
    </cfRule>
  </conditionalFormatting>
  <conditionalFormatting sqref="T9">
    <cfRule type="expression" dxfId="43" priority="227">
      <formula>AND(Q5="SPL",T9="")</formula>
    </cfRule>
  </conditionalFormatting>
  <conditionalFormatting sqref="T10">
    <cfRule type="expression" dxfId="42" priority="206">
      <formula>AND(AC10="*",T10="")</formula>
    </cfRule>
  </conditionalFormatting>
  <conditionalFormatting sqref="T16">
    <cfRule type="expression" dxfId="41" priority="178">
      <formula>S15="L"</formula>
    </cfRule>
  </conditionalFormatting>
  <conditionalFormatting sqref="T18">
    <cfRule type="expression" dxfId="40" priority="180">
      <formula>AND(Q14="SPL",T18="")</formula>
    </cfRule>
  </conditionalFormatting>
  <conditionalFormatting sqref="T19">
    <cfRule type="expression" dxfId="39" priority="156">
      <formula>AND(AC19="*",T19="")</formula>
    </cfRule>
  </conditionalFormatting>
  <conditionalFormatting sqref="T11:X12">
    <cfRule type="expression" dxfId="38" priority="250">
      <formula>AND(AC11="*",T11="")</formula>
    </cfRule>
  </conditionalFormatting>
  <conditionalFormatting sqref="T20:X21">
    <cfRule type="expression" dxfId="37" priority="203">
      <formula>AND(AC20="*",T20="")</formula>
    </cfRule>
  </conditionalFormatting>
  <conditionalFormatting sqref="U7">
    <cfRule type="expression" dxfId="36" priority="224">
      <formula>S6="L"</formula>
    </cfRule>
  </conditionalFormatting>
  <conditionalFormatting sqref="U16">
    <cfRule type="expression" dxfId="35" priority="177">
      <formula>S15="L"</formula>
    </cfRule>
  </conditionalFormatting>
  <conditionalFormatting sqref="U10:X10">
    <cfRule type="expression" dxfId="34" priority="207">
      <formula>AND(AJ20="*",U10="")</formula>
    </cfRule>
  </conditionalFormatting>
  <conditionalFormatting sqref="V7">
    <cfRule type="expression" dxfId="33" priority="223">
      <formula>AND(X5="SPL",V7="",W5&gt;0)</formula>
    </cfRule>
    <cfRule type="expression" dxfId="32" priority="222">
      <formula>X5&lt;&gt;"SPL"</formula>
    </cfRule>
  </conditionalFormatting>
  <conditionalFormatting sqref="V16">
    <cfRule type="expression" dxfId="31" priority="176">
      <formula>AND(X14="SPL",V16="",W14&gt;0)</formula>
    </cfRule>
    <cfRule type="expression" dxfId="30" priority="175">
      <formula>X14&lt;&gt;"SPL"</formula>
    </cfRule>
  </conditionalFormatting>
  <conditionalFormatting sqref="V8:Z8">
    <cfRule type="expression" dxfId="29" priority="216">
      <formula>$X$17&lt;&gt;"SPL"</formula>
    </cfRule>
  </conditionalFormatting>
  <conditionalFormatting sqref="V17:Z17">
    <cfRule type="expression" dxfId="28" priority="169">
      <formula>$X$17&lt;&gt;"SPL"</formula>
    </cfRule>
  </conditionalFormatting>
  <conditionalFormatting sqref="W7">
    <cfRule type="expression" dxfId="27" priority="221">
      <formula>AND($X5="SPL",W7="",$W5&gt;1)</formula>
    </cfRule>
  </conditionalFormatting>
  <conditionalFormatting sqref="W16">
    <cfRule type="expression" dxfId="26" priority="174">
      <formula>AND($X14="SPL",W16="",$W14&gt;1)</formula>
    </cfRule>
  </conditionalFormatting>
  <conditionalFormatting sqref="W7:Z7">
    <cfRule type="expression" dxfId="25" priority="217">
      <formula>$X5&lt;&gt;"SPL"</formula>
    </cfRule>
  </conditionalFormatting>
  <conditionalFormatting sqref="W16:Z16">
    <cfRule type="expression" dxfId="24" priority="170">
      <formula>$X14&lt;&gt;"SPL"</formula>
    </cfRule>
  </conditionalFormatting>
  <conditionalFormatting sqref="X7">
    <cfRule type="expression" dxfId="23" priority="220">
      <formula>AND($X5="SPL",X7="",$W5&gt;2)</formula>
    </cfRule>
  </conditionalFormatting>
  <conditionalFormatting sqref="X16">
    <cfRule type="expression" dxfId="22" priority="173">
      <formula>AND($X14="SPL",X16="",$W14&gt;2)</formula>
    </cfRule>
  </conditionalFormatting>
  <conditionalFormatting sqref="Y5">
    <cfRule type="expression" dxfId="21" priority="3">
      <formula>AND($S5="L",$Y5="")</formula>
    </cfRule>
  </conditionalFormatting>
  <conditionalFormatting sqref="Y7">
    <cfRule type="expression" dxfId="20" priority="219">
      <formula>AND($X5="SPL",Y7="",$W5&gt;3)</formula>
    </cfRule>
  </conditionalFormatting>
  <conditionalFormatting sqref="Y10:Y12">
    <cfRule type="expression" dxfId="19" priority="215">
      <formula>ISNA(Y10)</formula>
    </cfRule>
    <cfRule type="expression" dxfId="18" priority="214">
      <formula>Y10=0</formula>
    </cfRule>
  </conditionalFormatting>
  <conditionalFormatting sqref="Y14">
    <cfRule type="expression" dxfId="17" priority="163">
      <formula>AND($S14="L",$Y14="")</formula>
    </cfRule>
  </conditionalFormatting>
  <conditionalFormatting sqref="Y16">
    <cfRule type="expression" dxfId="16" priority="172">
      <formula>AND($X14="SPL",Y16="",$W14&gt;3)</formula>
    </cfRule>
  </conditionalFormatting>
  <conditionalFormatting sqref="Y19:Y21">
    <cfRule type="expression" dxfId="15" priority="168">
      <formula>ISNA(Y19)</formula>
    </cfRule>
    <cfRule type="expression" dxfId="14" priority="167">
      <formula>Y19=0</formula>
    </cfRule>
  </conditionalFormatting>
  <conditionalFormatting sqref="Z7">
    <cfRule type="expression" dxfId="13" priority="218">
      <formula>AND($X5="SPL",Z7="",$W5&gt;4)</formula>
    </cfRule>
  </conditionalFormatting>
  <conditionalFormatting sqref="Z16">
    <cfRule type="expression" dxfId="12" priority="171">
      <formula>AND($X14="SPL",Z16="",$W14&gt;4)</formula>
    </cfRule>
  </conditionalFormatting>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68FD-A1DC-4C23-BF50-D55CD13AF2B5}">
  <sheetPr>
    <tabColor theme="9" tint="-0.249977111117893"/>
  </sheetPr>
  <dimension ref="A1:Z39"/>
  <sheetViews>
    <sheetView topLeftCell="A26" workbookViewId="0">
      <selection activeCell="A41" sqref="A1:XFD41"/>
    </sheetView>
  </sheetViews>
  <sheetFormatPr defaultColWidth="3.6328125" defaultRowHeight="12.6" x14ac:dyDescent="0.2"/>
  <cols>
    <col min="1" max="2" width="5.90625" customWidth="1"/>
    <col min="3" max="3" width="7.90625" customWidth="1"/>
    <col min="4" max="32" width="5.90625" customWidth="1"/>
  </cols>
  <sheetData>
    <row r="1" spans="1:26" x14ac:dyDescent="0.2">
      <c r="A1" t="s">
        <v>1259</v>
      </c>
    </row>
    <row r="3" spans="1:26" x14ac:dyDescent="0.2">
      <c r="A3" t="s">
        <v>1260</v>
      </c>
    </row>
    <row r="5" spans="1:26" x14ac:dyDescent="0.2">
      <c r="A5" s="4212" t="s">
        <v>1261</v>
      </c>
      <c r="B5" s="4212"/>
      <c r="C5" s="4212"/>
      <c r="D5" s="4212"/>
      <c r="E5" s="4212"/>
      <c r="F5" s="4212"/>
      <c r="G5" s="4212"/>
      <c r="H5" s="4212"/>
      <c r="I5" s="4212"/>
      <c r="J5" s="4212"/>
      <c r="K5" s="4212"/>
      <c r="L5" s="4212"/>
      <c r="M5" s="4212"/>
      <c r="N5" s="4212"/>
      <c r="O5" s="4212"/>
      <c r="P5" s="4212"/>
    </row>
    <row r="6" spans="1:26" ht="13.8" x14ac:dyDescent="0.2">
      <c r="A6" s="4213" t="s">
        <v>35</v>
      </c>
      <c r="B6" s="4213"/>
      <c r="C6" s="4213"/>
      <c r="D6" s="4213"/>
      <c r="E6" s="4213"/>
      <c r="F6" s="4213"/>
      <c r="G6" s="4213"/>
      <c r="H6" s="4213"/>
      <c r="I6" s="4213"/>
      <c r="J6" s="4213"/>
      <c r="K6" s="4213"/>
      <c r="L6" s="4213"/>
      <c r="M6" s="4213"/>
      <c r="N6" s="4213"/>
      <c r="O6" s="4213"/>
      <c r="P6" s="4213"/>
      <c r="Q6" s="4213"/>
      <c r="R6" s="4213"/>
      <c r="S6" s="4213"/>
      <c r="T6" s="4213"/>
      <c r="U6" s="4213"/>
      <c r="V6" s="4213"/>
      <c r="W6" s="4213"/>
      <c r="X6" s="4213"/>
      <c r="Y6" s="4213"/>
      <c r="Z6" s="4213"/>
    </row>
    <row r="7" spans="1:26" ht="13.8" x14ac:dyDescent="0.2">
      <c r="B7" s="4213" t="s">
        <v>22</v>
      </c>
      <c r="C7" s="4213"/>
      <c r="D7" s="4213"/>
      <c r="E7" s="4214" t="s">
        <v>1262</v>
      </c>
      <c r="F7" s="4214"/>
      <c r="G7" s="4214"/>
      <c r="H7" s="4214"/>
      <c r="I7" s="4214"/>
      <c r="J7" s="4213" t="s">
        <v>1263</v>
      </c>
      <c r="K7" s="4213"/>
      <c r="L7" s="4213"/>
      <c r="M7" s="4213"/>
      <c r="N7" s="4213"/>
      <c r="O7" s="4213" t="s">
        <v>1264</v>
      </c>
      <c r="P7" s="4213"/>
      <c r="Q7" s="4213"/>
      <c r="R7" s="4214" t="s">
        <v>1265</v>
      </c>
      <c r="S7" s="4214"/>
      <c r="T7" s="4214"/>
      <c r="U7" s="4214"/>
      <c r="V7" s="4214"/>
      <c r="W7" s="4214"/>
    </row>
    <row r="8" spans="1:26" s="526" customFormat="1" ht="108.6" x14ac:dyDescent="0.2">
      <c r="A8" s="525" t="s">
        <v>1266</v>
      </c>
      <c r="B8" s="525" t="s">
        <v>1267</v>
      </c>
      <c r="C8" s="525" t="s">
        <v>1268</v>
      </c>
      <c r="D8" s="525" t="s">
        <v>1269</v>
      </c>
      <c r="E8" s="525" t="s">
        <v>1267</v>
      </c>
      <c r="F8" s="525" t="s">
        <v>1270</v>
      </c>
      <c r="G8" s="525" t="s">
        <v>1271</v>
      </c>
      <c r="H8" s="525" t="s">
        <v>1272</v>
      </c>
      <c r="I8" s="525" t="s">
        <v>1273</v>
      </c>
      <c r="J8" s="525" t="s">
        <v>1267</v>
      </c>
      <c r="K8" s="525" t="s">
        <v>1274</v>
      </c>
      <c r="L8" s="525" t="s">
        <v>1275</v>
      </c>
      <c r="M8" s="525" t="s">
        <v>1276</v>
      </c>
      <c r="N8" s="525" t="s">
        <v>1277</v>
      </c>
      <c r="O8" s="525"/>
      <c r="P8" s="525" t="s">
        <v>1278</v>
      </c>
      <c r="Q8" s="525" t="s">
        <v>1279</v>
      </c>
      <c r="R8" s="525" t="s">
        <v>1267</v>
      </c>
      <c r="S8" s="525" t="s">
        <v>1280</v>
      </c>
      <c r="T8" s="525" t="s">
        <v>1281</v>
      </c>
      <c r="U8" s="525" t="s">
        <v>1282</v>
      </c>
      <c r="V8" s="525" t="s">
        <v>27</v>
      </c>
      <c r="W8" s="525" t="s">
        <v>1283</v>
      </c>
    </row>
    <row r="9" spans="1:26" x14ac:dyDescent="0.2">
      <c r="A9" t="s">
        <v>1301</v>
      </c>
      <c r="C9" t="s">
        <v>456</v>
      </c>
      <c r="D9" t="s">
        <v>1302</v>
      </c>
    </row>
    <row r="10" spans="1:26" x14ac:dyDescent="0.2">
      <c r="D10" t="s">
        <v>1269</v>
      </c>
    </row>
    <row r="12" spans="1:26" x14ac:dyDescent="0.2">
      <c r="C12" t="s">
        <v>1308</v>
      </c>
      <c r="E12" t="s">
        <v>1309</v>
      </c>
      <c r="L12" t="s">
        <v>549</v>
      </c>
      <c r="N12" t="s">
        <v>1304</v>
      </c>
      <c r="P12" t="s">
        <v>1305</v>
      </c>
      <c r="R12" t="s">
        <v>93</v>
      </c>
      <c r="T12" t="s">
        <v>1306</v>
      </c>
      <c r="V12" t="s">
        <v>1307</v>
      </c>
    </row>
    <row r="14" spans="1:26" x14ac:dyDescent="0.2">
      <c r="C14" t="s">
        <v>1303</v>
      </c>
      <c r="E14" t="s">
        <v>346</v>
      </c>
      <c r="L14">
        <v>1</v>
      </c>
    </row>
    <row r="15" spans="1:26" x14ac:dyDescent="0.2">
      <c r="E15" t="s">
        <v>1290</v>
      </c>
      <c r="L15">
        <v>0</v>
      </c>
    </row>
    <row r="16" spans="1:26" x14ac:dyDescent="0.2">
      <c r="E16" t="s">
        <v>141</v>
      </c>
      <c r="L16">
        <v>1</v>
      </c>
    </row>
    <row r="17" spans="1:14" x14ac:dyDescent="0.2">
      <c r="E17" t="s">
        <v>1216</v>
      </c>
      <c r="L17">
        <v>0</v>
      </c>
    </row>
    <row r="31" spans="1:14" s="527" customFormat="1" ht="13.8" x14ac:dyDescent="0.25">
      <c r="A31" s="527" t="s">
        <v>22</v>
      </c>
      <c r="C31" s="527" t="s">
        <v>1284</v>
      </c>
      <c r="E31" s="527" t="s">
        <v>1285</v>
      </c>
      <c r="G31" s="527" t="s">
        <v>82</v>
      </c>
      <c r="I31" s="527" t="s">
        <v>1286</v>
      </c>
      <c r="K31" s="527" t="s">
        <v>305</v>
      </c>
      <c r="N31" s="527" t="s">
        <v>24</v>
      </c>
    </row>
    <row r="32" spans="1:14" x14ac:dyDescent="0.2">
      <c r="G32" t="s">
        <v>71</v>
      </c>
      <c r="I32" t="s">
        <v>1287</v>
      </c>
      <c r="K32" t="s">
        <v>1288</v>
      </c>
      <c r="N32" t="s">
        <v>390</v>
      </c>
    </row>
    <row r="33" spans="7:14" x14ac:dyDescent="0.2">
      <c r="G33" s="528" t="s">
        <v>1289</v>
      </c>
      <c r="I33" t="s">
        <v>1290</v>
      </c>
      <c r="K33" t="s">
        <v>1291</v>
      </c>
      <c r="N33" t="s">
        <v>23</v>
      </c>
    </row>
    <row r="34" spans="7:14" x14ac:dyDescent="0.2">
      <c r="K34" t="s">
        <v>1292</v>
      </c>
      <c r="N34" t="s">
        <v>1293</v>
      </c>
    </row>
    <row r="35" spans="7:14" x14ac:dyDescent="0.2">
      <c r="K35" t="s">
        <v>1294</v>
      </c>
      <c r="N35" t="s">
        <v>1295</v>
      </c>
    </row>
    <row r="36" spans="7:14" x14ac:dyDescent="0.2">
      <c r="G36" t="s">
        <v>1296</v>
      </c>
      <c r="K36" t="s">
        <v>1297</v>
      </c>
      <c r="N36" t="s">
        <v>394</v>
      </c>
    </row>
    <row r="37" spans="7:14" x14ac:dyDescent="0.2">
      <c r="G37" s="528" t="s">
        <v>1289</v>
      </c>
      <c r="K37" t="s">
        <v>1298</v>
      </c>
    </row>
    <row r="38" spans="7:14" x14ac:dyDescent="0.2">
      <c r="K38" t="s">
        <v>1299</v>
      </c>
    </row>
    <row r="39" spans="7:14" x14ac:dyDescent="0.2">
      <c r="G39" t="s">
        <v>1300</v>
      </c>
    </row>
  </sheetData>
  <mergeCells count="7">
    <mergeCell ref="A5:P5"/>
    <mergeCell ref="A6:Z6"/>
    <mergeCell ref="B7:D7"/>
    <mergeCell ref="E7:I7"/>
    <mergeCell ref="J7:N7"/>
    <mergeCell ref="O7:Q7"/>
    <mergeCell ref="R7:W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3BA6-E73A-46C7-BA4D-888E4A55785A}">
  <dimension ref="A1:BH166"/>
  <sheetViews>
    <sheetView workbookViewId="0">
      <selection activeCell="D14" sqref="D14"/>
    </sheetView>
  </sheetViews>
  <sheetFormatPr defaultColWidth="7.6328125" defaultRowHeight="12.6" x14ac:dyDescent="0.2"/>
  <cols>
    <col min="1" max="1" width="7.6328125" style="429"/>
    <col min="2" max="2" width="12.08984375" style="430" customWidth="1"/>
    <col min="3" max="3" width="75" style="429" customWidth="1"/>
    <col min="4" max="4" width="24.08984375" style="431" customWidth="1"/>
    <col min="5" max="5" width="7.90625" style="429" customWidth="1"/>
    <col min="6" max="6" width="27.26953125" style="429" customWidth="1"/>
    <col min="7" max="7" width="9.90625" style="453" customWidth="1"/>
    <col min="8" max="9" width="9.90625" style="429" customWidth="1"/>
    <col min="10" max="11" width="11.6328125" style="453" customWidth="1"/>
    <col min="12" max="12" width="8.453125" style="454" customWidth="1"/>
    <col min="13" max="13" width="5.453125" style="429" customWidth="1"/>
    <col min="14" max="14" width="11" style="429" customWidth="1"/>
    <col min="15" max="15" width="9.26953125" style="455" customWidth="1"/>
    <col min="16" max="16" width="9.26953125" style="453" customWidth="1"/>
    <col min="17" max="17" width="4.36328125" style="456" customWidth="1"/>
    <col min="18" max="18" width="7.6328125" style="429"/>
    <col min="19" max="19" width="17.90625" style="471" customWidth="1"/>
    <col min="20" max="20" width="75" style="429" customWidth="1"/>
    <col min="21" max="21" width="24.08984375" style="431" customWidth="1"/>
    <col min="22" max="22" width="7.90625" style="431" customWidth="1"/>
    <col min="23" max="23" width="27.26953125" style="429" customWidth="1"/>
    <col min="24" max="24" width="9.90625" style="453" customWidth="1"/>
    <col min="25" max="26" width="9.90625" style="429" customWidth="1"/>
    <col min="27" max="28" width="11.6328125" style="453" customWidth="1"/>
    <col min="29" max="29" width="8.453125" style="454" customWidth="1"/>
    <col min="30" max="30" width="5.453125" style="429" customWidth="1"/>
    <col min="31" max="31" width="11" style="429" customWidth="1"/>
    <col min="32" max="32" width="9.26953125" style="455" customWidth="1"/>
    <col min="33" max="33" width="9.26953125" style="453" customWidth="1"/>
    <col min="34" max="34" width="7.6328125" style="430"/>
    <col min="35" max="35" width="23" style="431" bestFit="1" customWidth="1"/>
    <col min="36" max="36" width="7.6328125" style="430"/>
    <col min="37" max="37" width="51.36328125" style="442" bestFit="1" customWidth="1"/>
    <col min="38" max="38" width="5.08984375" style="429" bestFit="1" customWidth="1"/>
    <col min="39" max="39" width="37" style="431" bestFit="1" customWidth="1"/>
    <col min="40" max="40" width="7.6328125" style="429"/>
    <col min="41" max="41" width="31.90625" style="431" bestFit="1" customWidth="1"/>
    <col min="42" max="42" width="7.6328125" style="429"/>
    <col min="43" max="43" width="30.08984375" style="431" bestFit="1" customWidth="1"/>
    <col min="44" max="44" width="7.6328125" style="430"/>
    <col min="45" max="45" width="16.90625" style="431" bestFit="1" customWidth="1"/>
    <col min="46" max="46" width="7.6328125" style="429"/>
    <col min="47" max="47" width="33.36328125" style="431" bestFit="1" customWidth="1"/>
    <col min="48" max="48" width="7.6328125" style="429"/>
    <col min="49" max="49" width="44.26953125" style="431" bestFit="1" customWidth="1"/>
    <col min="50" max="50" width="7.6328125" style="429"/>
    <col min="51" max="51" width="41.6328125" style="431" bestFit="1" customWidth="1"/>
    <col min="52" max="52" width="7.6328125" style="448"/>
    <col min="53" max="53" width="5.6328125" style="430" bestFit="1" customWidth="1"/>
    <col min="54" max="54" width="43.08984375" style="431" bestFit="1" customWidth="1"/>
    <col min="55" max="55" width="7.6328125" style="429"/>
    <col min="56" max="56" width="40.453125" style="431" customWidth="1"/>
    <col min="57" max="57" width="7.6328125" style="429"/>
    <col min="58" max="58" width="49.6328125" style="431" customWidth="1"/>
    <col min="59" max="59" width="7.90625" style="429" customWidth="1"/>
    <col min="60" max="60" width="51.90625" style="431" bestFit="1" customWidth="1"/>
    <col min="61" max="16384" width="7.6328125" style="429"/>
  </cols>
  <sheetData>
    <row r="1" spans="1:58" s="417" customFormat="1" ht="23.25" customHeight="1" x14ac:dyDescent="0.2">
      <c r="B1" s="418" t="s">
        <v>547</v>
      </c>
      <c r="C1" s="418"/>
      <c r="D1" s="4218" t="s">
        <v>972</v>
      </c>
      <c r="E1" s="4217" t="s">
        <v>973</v>
      </c>
      <c r="F1" s="4217"/>
      <c r="G1" s="419"/>
      <c r="H1" s="417" t="s">
        <v>974</v>
      </c>
      <c r="I1" s="418"/>
      <c r="J1" s="419"/>
      <c r="K1" s="419"/>
      <c r="L1" s="420"/>
      <c r="M1" s="4219" t="s">
        <v>975</v>
      </c>
      <c r="N1" s="4219"/>
      <c r="O1" s="4220" t="s">
        <v>976</v>
      </c>
      <c r="P1" s="4220"/>
      <c r="Q1" s="421"/>
      <c r="S1" s="422" t="s">
        <v>547</v>
      </c>
      <c r="T1" s="418"/>
      <c r="U1" s="4218" t="s">
        <v>972</v>
      </c>
      <c r="V1" s="4217" t="s">
        <v>973</v>
      </c>
      <c r="W1" s="4217"/>
      <c r="X1" s="419"/>
      <c r="Y1" s="417" t="s">
        <v>974</v>
      </c>
      <c r="Z1" s="418"/>
      <c r="AA1" s="419"/>
      <c r="AB1" s="419"/>
      <c r="AC1" s="420"/>
      <c r="AD1" s="4219" t="s">
        <v>975</v>
      </c>
      <c r="AE1" s="4219"/>
      <c r="AF1" s="4220" t="s">
        <v>976</v>
      </c>
      <c r="AG1" s="4220"/>
      <c r="AH1" s="4217"/>
      <c r="AI1" s="4217"/>
      <c r="AJ1" s="4217"/>
      <c r="AK1" s="4217"/>
      <c r="AL1" s="4217"/>
      <c r="AM1" s="4217"/>
      <c r="AN1" s="4217"/>
      <c r="AO1" s="4217"/>
      <c r="AP1" s="4217"/>
      <c r="AQ1" s="4217"/>
      <c r="AR1" s="4217"/>
      <c r="AS1" s="4217"/>
      <c r="AT1" s="4217"/>
      <c r="AU1" s="4217"/>
      <c r="AV1" s="4217"/>
      <c r="AW1" s="4217"/>
      <c r="AX1" s="4217"/>
      <c r="AY1" s="4217"/>
      <c r="AZ1" s="423"/>
      <c r="BA1" s="4217"/>
      <c r="BB1" s="4217"/>
      <c r="BC1" s="4217"/>
      <c r="BD1" s="4217"/>
      <c r="BE1" s="4217"/>
      <c r="BF1" s="4217"/>
    </row>
    <row r="2" spans="1:58" s="417" customFormat="1" ht="65.400000000000006" customHeight="1" x14ac:dyDescent="0.2">
      <c r="B2" s="417" t="s">
        <v>50</v>
      </c>
      <c r="C2" s="424" t="s">
        <v>977</v>
      </c>
      <c r="D2" s="4218"/>
      <c r="E2" s="418" t="s">
        <v>549</v>
      </c>
      <c r="F2" s="418" t="s">
        <v>50</v>
      </c>
      <c r="G2" s="419" t="s">
        <v>38</v>
      </c>
      <c r="H2" s="418" t="s">
        <v>343</v>
      </c>
      <c r="I2" s="418" t="s">
        <v>93</v>
      </c>
      <c r="J2" s="419" t="s">
        <v>37</v>
      </c>
      <c r="K2" s="419" t="s">
        <v>978</v>
      </c>
      <c r="L2" s="425" t="s">
        <v>979</v>
      </c>
      <c r="M2" s="4219"/>
      <c r="N2" s="4219"/>
      <c r="O2" s="426" t="s">
        <v>980</v>
      </c>
      <c r="P2" s="427" t="s">
        <v>981</v>
      </c>
      <c r="Q2" s="428"/>
      <c r="S2" s="418" t="s">
        <v>50</v>
      </c>
      <c r="T2" s="424" t="s">
        <v>977</v>
      </c>
      <c r="U2" s="4218"/>
      <c r="V2" s="423" t="s">
        <v>549</v>
      </c>
      <c r="W2" s="418" t="s">
        <v>50</v>
      </c>
      <c r="X2" s="419" t="s">
        <v>38</v>
      </c>
      <c r="Y2" s="418" t="s">
        <v>343</v>
      </c>
      <c r="Z2" s="418" t="s">
        <v>93</v>
      </c>
      <c r="AA2" s="419" t="s">
        <v>37</v>
      </c>
      <c r="AB2" s="419" t="s">
        <v>978</v>
      </c>
      <c r="AC2" s="425" t="s">
        <v>979</v>
      </c>
      <c r="AD2" s="4219"/>
      <c r="AE2" s="4219"/>
      <c r="AF2" s="426" t="s">
        <v>980</v>
      </c>
      <c r="AG2" s="427" t="s">
        <v>981</v>
      </c>
      <c r="AH2" s="418"/>
      <c r="AI2" s="418"/>
      <c r="AJ2" s="418"/>
      <c r="AK2" s="418"/>
      <c r="AL2" s="418"/>
      <c r="AM2" s="418"/>
      <c r="AN2" s="418"/>
      <c r="AO2" s="418"/>
      <c r="AP2" s="418"/>
      <c r="AQ2" s="418"/>
      <c r="AR2" s="418"/>
      <c r="AS2" s="418"/>
      <c r="AT2" s="418"/>
      <c r="AU2" s="418"/>
      <c r="AV2" s="418"/>
      <c r="AW2" s="418"/>
      <c r="AX2" s="418"/>
      <c r="AY2" s="418"/>
      <c r="AZ2" s="423"/>
      <c r="BA2" s="418"/>
      <c r="BB2" s="418"/>
      <c r="BC2" s="418"/>
      <c r="BD2" s="418"/>
      <c r="BE2" s="418"/>
      <c r="BF2" s="418"/>
    </row>
    <row r="3" spans="1:58" x14ac:dyDescent="0.2">
      <c r="A3" s="429" t="s">
        <v>22</v>
      </c>
      <c r="B3" s="430" t="s">
        <v>982</v>
      </c>
      <c r="C3" s="429" t="s">
        <v>983</v>
      </c>
      <c r="D3" s="431" t="s">
        <v>984</v>
      </c>
      <c r="E3" s="429" t="s">
        <v>23</v>
      </c>
      <c r="F3" s="432" t="s">
        <v>985</v>
      </c>
      <c r="G3" s="433">
        <v>68</v>
      </c>
      <c r="H3" s="432">
        <v>0.26</v>
      </c>
      <c r="I3" s="432">
        <v>1</v>
      </c>
      <c r="J3" s="434">
        <f>+G3*H3</f>
        <v>17.68</v>
      </c>
      <c r="K3" s="434">
        <f>ROUNDUP(G3*H3*N3,0)</f>
        <v>33</v>
      </c>
      <c r="L3" s="435" t="s">
        <v>986</v>
      </c>
      <c r="M3" s="430" t="s">
        <v>987</v>
      </c>
      <c r="N3" s="430">
        <v>1.85</v>
      </c>
      <c r="O3" s="436">
        <f>+J3/K3</f>
        <v>0.53575757575757577</v>
      </c>
      <c r="P3" s="437">
        <f>+K3-J3</f>
        <v>15.32</v>
      </c>
      <c r="Q3" s="438"/>
      <c r="R3" s="439" t="s">
        <v>988</v>
      </c>
      <c r="S3" s="440" t="s">
        <v>989</v>
      </c>
      <c r="T3" s="439" t="s">
        <v>990</v>
      </c>
      <c r="U3" s="431" t="s">
        <v>991</v>
      </c>
      <c r="V3" s="431" t="s">
        <v>23</v>
      </c>
      <c r="W3" s="432" t="s">
        <v>992</v>
      </c>
      <c r="X3" s="433">
        <v>68</v>
      </c>
      <c r="Y3" s="432">
        <v>0.26</v>
      </c>
      <c r="Z3" s="432">
        <v>1</v>
      </c>
      <c r="AA3" s="434">
        <f>+X3*Y3</f>
        <v>17.68</v>
      </c>
      <c r="AB3" s="434">
        <f>ROUNDUP(X3*Y3*AE3,0)</f>
        <v>33</v>
      </c>
      <c r="AC3" s="435" t="s">
        <v>986</v>
      </c>
      <c r="AD3" s="430" t="s">
        <v>987</v>
      </c>
      <c r="AE3" s="430">
        <v>1.85</v>
      </c>
      <c r="AF3" s="436">
        <f>+AA3/AB3</f>
        <v>0.53575757575757577</v>
      </c>
      <c r="AG3" s="437">
        <f>+AB3-AA3</f>
        <v>15.32</v>
      </c>
      <c r="AH3" s="441"/>
      <c r="AN3" s="443"/>
      <c r="AP3" s="444"/>
      <c r="AR3" s="445"/>
      <c r="AT3" s="430"/>
      <c r="AX3" s="446"/>
      <c r="AY3" s="447"/>
    </row>
    <row r="4" spans="1:58" x14ac:dyDescent="0.2">
      <c r="A4" s="429" t="s">
        <v>22</v>
      </c>
      <c r="B4" s="430" t="s">
        <v>993</v>
      </c>
      <c r="C4" s="429" t="s">
        <v>994</v>
      </c>
      <c r="D4" s="431" t="s">
        <v>995</v>
      </c>
      <c r="E4" s="429" t="s">
        <v>23</v>
      </c>
      <c r="F4" s="449" t="s">
        <v>996</v>
      </c>
      <c r="G4" s="450">
        <v>41.95</v>
      </c>
      <c r="H4" s="432">
        <v>0.26</v>
      </c>
      <c r="I4" s="432">
        <v>1</v>
      </c>
      <c r="J4" s="434">
        <f>+G4*H4</f>
        <v>10.907000000000002</v>
      </c>
      <c r="K4" s="434">
        <f>ROUNDUP(G4*H4*N4,0)</f>
        <v>21</v>
      </c>
      <c r="L4" s="435" t="s">
        <v>986</v>
      </c>
      <c r="M4" s="430" t="s">
        <v>987</v>
      </c>
      <c r="N4" s="430">
        <v>1.85</v>
      </c>
      <c r="O4" s="436">
        <f>+J4/K4</f>
        <v>0.5193809523809525</v>
      </c>
      <c r="P4" s="437">
        <f>+K4-J4</f>
        <v>10.092999999999998</v>
      </c>
      <c r="Q4" s="438"/>
      <c r="R4" s="439" t="s">
        <v>988</v>
      </c>
      <c r="S4" s="440" t="s">
        <v>997</v>
      </c>
      <c r="T4" s="439" t="s">
        <v>998</v>
      </c>
      <c r="U4" s="431" t="s">
        <v>999</v>
      </c>
      <c r="V4" s="431" t="s">
        <v>23</v>
      </c>
      <c r="W4" s="432"/>
      <c r="X4" s="450">
        <v>41.95</v>
      </c>
      <c r="Y4" s="432">
        <v>0.26</v>
      </c>
      <c r="Z4" s="432">
        <v>1</v>
      </c>
      <c r="AA4" s="434">
        <f>+X4*Y4</f>
        <v>10.907000000000002</v>
      </c>
      <c r="AB4" s="434">
        <f>ROUNDUP(X4*Y4*AE4,0)</f>
        <v>21</v>
      </c>
      <c r="AC4" s="435" t="s">
        <v>986</v>
      </c>
      <c r="AD4" s="430" t="s">
        <v>987</v>
      </c>
      <c r="AE4" s="430">
        <v>1.85</v>
      </c>
      <c r="AF4" s="436">
        <f>+AA4/AB4</f>
        <v>0.5193809523809525</v>
      </c>
      <c r="AG4" s="437">
        <f>+AB4-AA4</f>
        <v>10.092999999999998</v>
      </c>
      <c r="AH4" s="441"/>
      <c r="AN4" s="443"/>
      <c r="AP4" s="444"/>
      <c r="AR4" s="451"/>
      <c r="AT4" s="430"/>
      <c r="AX4" s="446"/>
      <c r="AY4" s="447"/>
    </row>
    <row r="5" spans="1:58" x14ac:dyDescent="0.2">
      <c r="A5" s="429" t="s">
        <v>22</v>
      </c>
      <c r="B5" s="430" t="s">
        <v>982</v>
      </c>
      <c r="C5" s="429" t="s">
        <v>1000</v>
      </c>
      <c r="D5" s="431" t="s">
        <v>984</v>
      </c>
      <c r="E5" s="429" t="s">
        <v>23</v>
      </c>
      <c r="F5" s="432" t="s">
        <v>1001</v>
      </c>
      <c r="G5" s="433">
        <v>68</v>
      </c>
      <c r="H5" s="452">
        <v>0.26</v>
      </c>
      <c r="I5" s="452">
        <v>1</v>
      </c>
      <c r="J5" s="434">
        <f>+G5*H5</f>
        <v>17.68</v>
      </c>
      <c r="K5" s="434">
        <f>ROUNDUP(G5*H5*N5,0)</f>
        <v>33</v>
      </c>
      <c r="L5" s="435" t="s">
        <v>986</v>
      </c>
      <c r="M5" s="430" t="s">
        <v>987</v>
      </c>
      <c r="N5" s="430">
        <v>1.85</v>
      </c>
      <c r="O5" s="436">
        <f>+J5/K5</f>
        <v>0.53575757575757577</v>
      </c>
      <c r="P5" s="437">
        <f>+K5-J5</f>
        <v>15.32</v>
      </c>
      <c r="Q5" s="438"/>
      <c r="R5" s="439" t="s">
        <v>1002</v>
      </c>
      <c r="S5" s="440" t="s">
        <v>1003</v>
      </c>
      <c r="T5" s="439" t="s">
        <v>1004</v>
      </c>
      <c r="U5" s="431" t="s">
        <v>1005</v>
      </c>
      <c r="V5" s="431" t="s">
        <v>23</v>
      </c>
      <c r="W5" s="432"/>
      <c r="X5" s="433">
        <v>68</v>
      </c>
      <c r="Y5" s="452">
        <v>0.26</v>
      </c>
      <c r="Z5" s="452">
        <v>1</v>
      </c>
      <c r="AA5" s="434">
        <f>+X5*Y5</f>
        <v>17.68</v>
      </c>
      <c r="AB5" s="434">
        <f>ROUNDUP(X5*Y5*AE5,0)</f>
        <v>33</v>
      </c>
      <c r="AC5" s="435" t="s">
        <v>986</v>
      </c>
      <c r="AD5" s="430" t="s">
        <v>987</v>
      </c>
      <c r="AE5" s="430">
        <v>1.85</v>
      </c>
      <c r="AF5" s="436">
        <f>+AA5/AB5</f>
        <v>0.53575757575757577</v>
      </c>
      <c r="AG5" s="437">
        <f>+AB5-AA5</f>
        <v>15.32</v>
      </c>
      <c r="AH5" s="441"/>
      <c r="AN5" s="443"/>
      <c r="AP5" s="444"/>
      <c r="AR5" s="445"/>
      <c r="AT5" s="430"/>
      <c r="AX5" s="446"/>
      <c r="AY5" s="447"/>
    </row>
    <row r="6" spans="1:58" x14ac:dyDescent="0.2">
      <c r="A6" s="429" t="s">
        <v>22</v>
      </c>
      <c r="B6" s="430" t="s">
        <v>993</v>
      </c>
      <c r="C6" s="429" t="s">
        <v>1006</v>
      </c>
      <c r="D6" s="431" t="s">
        <v>1007</v>
      </c>
      <c r="E6" s="429" t="s">
        <v>23</v>
      </c>
      <c r="F6" s="449" t="s">
        <v>996</v>
      </c>
      <c r="G6" s="450">
        <v>105</v>
      </c>
      <c r="H6" s="432">
        <v>0.26</v>
      </c>
      <c r="I6" s="432">
        <v>1</v>
      </c>
      <c r="J6" s="434">
        <f>+G6*H6</f>
        <v>27.3</v>
      </c>
      <c r="K6" s="434">
        <f>ROUNDUP(G6*H6*N6,0)</f>
        <v>51</v>
      </c>
      <c r="L6" s="435" t="s">
        <v>986</v>
      </c>
      <c r="M6" s="430" t="s">
        <v>987</v>
      </c>
      <c r="N6" s="430">
        <v>1.85</v>
      </c>
      <c r="O6" s="436">
        <f>+J6/K6</f>
        <v>0.53529411764705881</v>
      </c>
      <c r="P6" s="437">
        <f>+K6-J6</f>
        <v>23.7</v>
      </c>
      <c r="Q6" s="438"/>
      <c r="R6" s="439" t="s">
        <v>988</v>
      </c>
      <c r="S6" s="440" t="s">
        <v>1008</v>
      </c>
      <c r="T6" s="439" t="s">
        <v>1009</v>
      </c>
      <c r="U6" s="431" t="s">
        <v>1010</v>
      </c>
      <c r="V6" s="431" t="s">
        <v>23</v>
      </c>
      <c r="W6" s="432"/>
      <c r="X6" s="450">
        <v>105</v>
      </c>
      <c r="Y6" s="432">
        <v>0.26</v>
      </c>
      <c r="Z6" s="432">
        <v>1</v>
      </c>
      <c r="AA6" s="434">
        <f>+X6*Y6</f>
        <v>27.3</v>
      </c>
      <c r="AB6" s="434">
        <f>ROUNDUP(X6*Y6*AE6,0)</f>
        <v>51</v>
      </c>
      <c r="AC6" s="435" t="s">
        <v>986</v>
      </c>
      <c r="AD6" s="430" t="s">
        <v>987</v>
      </c>
      <c r="AE6" s="430">
        <v>1.85</v>
      </c>
      <c r="AF6" s="436">
        <f>+AA6/AB6</f>
        <v>0.53529411764705881</v>
      </c>
      <c r="AG6" s="437">
        <f>+AB6-AA6</f>
        <v>23.7</v>
      </c>
      <c r="AH6" s="441"/>
      <c r="AN6" s="443"/>
      <c r="AP6" s="444"/>
      <c r="AR6" s="451"/>
      <c r="AT6" s="430"/>
      <c r="AX6" s="446"/>
      <c r="AY6" s="447"/>
    </row>
    <row r="7" spans="1:58" x14ac:dyDescent="0.2">
      <c r="B7" s="429"/>
      <c r="M7" s="430" t="s">
        <v>987</v>
      </c>
      <c r="R7" s="439" t="s">
        <v>988</v>
      </c>
      <c r="S7" s="440" t="s">
        <v>1011</v>
      </c>
      <c r="T7" s="439" t="s">
        <v>1012</v>
      </c>
      <c r="U7" s="431" t="s">
        <v>1013</v>
      </c>
      <c r="V7" s="431" t="s">
        <v>23</v>
      </c>
      <c r="AD7" s="430" t="s">
        <v>987</v>
      </c>
      <c r="AH7" s="441"/>
      <c r="AN7" s="443"/>
      <c r="AR7" s="457"/>
      <c r="AT7" s="430"/>
      <c r="AX7" s="446"/>
      <c r="AY7" s="447"/>
    </row>
    <row r="8" spans="1:58" x14ac:dyDescent="0.2">
      <c r="B8" s="429"/>
      <c r="M8" s="430" t="s">
        <v>987</v>
      </c>
      <c r="R8" s="439" t="s">
        <v>988</v>
      </c>
      <c r="S8" s="440" t="s">
        <v>1014</v>
      </c>
      <c r="T8" s="439" t="s">
        <v>1015</v>
      </c>
      <c r="U8" s="431" t="s">
        <v>1016</v>
      </c>
      <c r="V8" s="431" t="s">
        <v>23</v>
      </c>
      <c r="AD8" s="430" t="s">
        <v>987</v>
      </c>
      <c r="AN8" s="443"/>
      <c r="AR8" s="457"/>
      <c r="AT8" s="430"/>
      <c r="AX8" s="446"/>
      <c r="AY8" s="447"/>
    </row>
    <row r="9" spans="1:58" x14ac:dyDescent="0.2">
      <c r="B9" s="429"/>
      <c r="M9" s="430" t="s">
        <v>987</v>
      </c>
      <c r="R9" s="439" t="s">
        <v>988</v>
      </c>
      <c r="S9" s="440" t="s">
        <v>1017</v>
      </c>
      <c r="T9" s="439" t="s">
        <v>1018</v>
      </c>
      <c r="U9" s="431" t="s">
        <v>1019</v>
      </c>
      <c r="V9" s="431" t="s">
        <v>23</v>
      </c>
      <c r="AD9" s="430" t="s">
        <v>987</v>
      </c>
      <c r="AN9" s="443"/>
      <c r="AR9" s="457"/>
      <c r="AX9" s="446"/>
      <c r="AY9" s="447"/>
    </row>
    <row r="10" spans="1:58" x14ac:dyDescent="0.2">
      <c r="B10" s="430" t="s">
        <v>1020</v>
      </c>
      <c r="M10" s="430" t="s">
        <v>987</v>
      </c>
      <c r="R10" s="439" t="s">
        <v>988</v>
      </c>
      <c r="S10" s="521" t="s">
        <v>1248</v>
      </c>
      <c r="T10" s="439" t="s">
        <v>1021</v>
      </c>
      <c r="U10" s="431" t="s">
        <v>1022</v>
      </c>
      <c r="V10" s="431" t="s">
        <v>23</v>
      </c>
      <c r="AD10" s="430" t="s">
        <v>987</v>
      </c>
      <c r="AN10" s="443"/>
      <c r="AR10" s="457"/>
      <c r="AT10" s="430"/>
      <c r="AX10" s="446"/>
      <c r="AY10" s="447"/>
    </row>
    <row r="11" spans="1:58" x14ac:dyDescent="0.2">
      <c r="B11" s="430" t="s">
        <v>1023</v>
      </c>
      <c r="M11" s="430" t="s">
        <v>987</v>
      </c>
      <c r="R11" s="458"/>
      <c r="S11" s="459"/>
      <c r="T11" s="458"/>
      <c r="AD11" s="430" t="s">
        <v>987</v>
      </c>
      <c r="AN11" s="443"/>
      <c r="AR11" s="457"/>
      <c r="AT11" s="430"/>
      <c r="AX11" s="446"/>
      <c r="AY11" s="447"/>
    </row>
    <row r="12" spans="1:58" x14ac:dyDescent="0.2">
      <c r="B12" s="430" t="s">
        <v>1024</v>
      </c>
      <c r="M12" s="430" t="s">
        <v>987</v>
      </c>
      <c r="R12" s="439" t="s">
        <v>988</v>
      </c>
      <c r="S12" s="440" t="s">
        <v>989</v>
      </c>
      <c r="T12" s="439" t="s">
        <v>990</v>
      </c>
      <c r="U12" s="431" t="s">
        <v>1249</v>
      </c>
      <c r="V12" s="431" t="s">
        <v>23</v>
      </c>
      <c r="X12" s="453">
        <v>930.35</v>
      </c>
      <c r="AD12" s="430" t="s">
        <v>987</v>
      </c>
      <c r="AN12" s="443"/>
      <c r="AR12" s="457"/>
      <c r="AT12" s="430"/>
      <c r="AX12" s="446"/>
      <c r="AY12" s="447"/>
    </row>
    <row r="13" spans="1:58" x14ac:dyDescent="0.2">
      <c r="M13" s="430" t="s">
        <v>987</v>
      </c>
      <c r="R13" s="439" t="s">
        <v>988</v>
      </c>
      <c r="S13" s="440" t="s">
        <v>997</v>
      </c>
      <c r="T13" s="439" t="s">
        <v>998</v>
      </c>
      <c r="U13" s="431" t="s">
        <v>1250</v>
      </c>
      <c r="V13" s="431" t="s">
        <v>23</v>
      </c>
      <c r="X13" s="453">
        <v>1048.1500000000001</v>
      </c>
      <c r="AD13" s="430" t="s">
        <v>987</v>
      </c>
      <c r="AN13" s="443"/>
      <c r="AR13" s="457"/>
      <c r="AT13" s="451"/>
      <c r="AX13" s="446"/>
      <c r="AY13" s="447"/>
    </row>
    <row r="14" spans="1:58" x14ac:dyDescent="0.2">
      <c r="M14" s="430" t="s">
        <v>987</v>
      </c>
      <c r="R14" s="439" t="s">
        <v>1002</v>
      </c>
      <c r="S14" s="440" t="s">
        <v>1003</v>
      </c>
      <c r="T14" s="439" t="s">
        <v>1004</v>
      </c>
      <c r="U14" s="431" t="s">
        <v>1251</v>
      </c>
      <c r="V14" s="431" t="s">
        <v>23</v>
      </c>
      <c r="AD14" s="430" t="s">
        <v>987</v>
      </c>
      <c r="AN14" s="443"/>
      <c r="AR14" s="457"/>
      <c r="AT14" s="430"/>
      <c r="AX14" s="446"/>
      <c r="AY14" s="447"/>
    </row>
    <row r="15" spans="1:58" x14ac:dyDescent="0.2">
      <c r="M15" s="430" t="s">
        <v>987</v>
      </c>
      <c r="R15" s="439" t="s">
        <v>988</v>
      </c>
      <c r="S15" s="440" t="s">
        <v>1008</v>
      </c>
      <c r="T15" s="439" t="s">
        <v>1009</v>
      </c>
      <c r="U15" s="431" t="s">
        <v>1252</v>
      </c>
      <c r="V15" s="431" t="s">
        <v>23</v>
      </c>
      <c r="AD15" s="430" t="s">
        <v>987</v>
      </c>
      <c r="AN15" s="443"/>
      <c r="AR15" s="457"/>
      <c r="AX15" s="446"/>
      <c r="AY15" s="447"/>
    </row>
    <row r="16" spans="1:58" x14ac:dyDescent="0.2">
      <c r="M16" s="430" t="s">
        <v>987</v>
      </c>
      <c r="R16" s="439" t="s">
        <v>988</v>
      </c>
      <c r="S16" s="440" t="s">
        <v>1011</v>
      </c>
      <c r="T16" s="439" t="s">
        <v>1012</v>
      </c>
      <c r="U16" s="431" t="s">
        <v>1253</v>
      </c>
      <c r="V16" s="431" t="s">
        <v>23</v>
      </c>
      <c r="AD16" s="430" t="s">
        <v>987</v>
      </c>
      <c r="AN16" s="443"/>
      <c r="AR16" s="457"/>
      <c r="AT16" s="430"/>
      <c r="AX16" s="446"/>
      <c r="AY16" s="447"/>
    </row>
    <row r="17" spans="2:33" s="463" customFormat="1" ht="13.8" x14ac:dyDescent="0.2">
      <c r="B17" s="462"/>
      <c r="D17" s="464"/>
      <c r="G17" s="465"/>
      <c r="J17" s="465"/>
      <c r="K17" s="465"/>
      <c r="L17" s="466"/>
      <c r="M17" s="462" t="s">
        <v>1031</v>
      </c>
      <c r="O17" s="467"/>
      <c r="P17" s="465"/>
      <c r="Q17" s="468"/>
      <c r="R17" s="439" t="s">
        <v>988</v>
      </c>
      <c r="S17" s="440" t="s">
        <v>1014</v>
      </c>
      <c r="T17" s="439" t="s">
        <v>1015</v>
      </c>
      <c r="U17" s="431" t="s">
        <v>1254</v>
      </c>
      <c r="V17" s="431" t="s">
        <v>23</v>
      </c>
      <c r="X17" s="465"/>
      <c r="AA17" s="465"/>
      <c r="AB17" s="465"/>
      <c r="AC17" s="466"/>
      <c r="AD17" s="462" t="s">
        <v>1031</v>
      </c>
      <c r="AF17" s="467"/>
      <c r="AG17" s="465"/>
    </row>
    <row r="18" spans="2:33" s="463" customFormat="1" ht="13.8" x14ac:dyDescent="0.2">
      <c r="B18" s="462"/>
      <c r="D18" s="464"/>
      <c r="G18" s="465"/>
      <c r="J18" s="465"/>
      <c r="K18" s="465"/>
      <c r="L18" s="466"/>
      <c r="M18" s="462"/>
      <c r="O18" s="467"/>
      <c r="P18" s="465"/>
      <c r="Q18" s="468"/>
      <c r="R18" s="439" t="s">
        <v>988</v>
      </c>
      <c r="S18" s="440" t="s">
        <v>1017</v>
      </c>
      <c r="T18" s="439" t="s">
        <v>1018</v>
      </c>
      <c r="U18" s="431" t="s">
        <v>1255</v>
      </c>
      <c r="V18" s="431" t="s">
        <v>23</v>
      </c>
      <c r="X18" s="465"/>
      <c r="AA18" s="465"/>
      <c r="AB18" s="465"/>
      <c r="AC18" s="466"/>
      <c r="AD18" s="462"/>
      <c r="AF18" s="467"/>
      <c r="AG18" s="465"/>
    </row>
    <row r="19" spans="2:33" s="463" customFormat="1" ht="13.8" x14ac:dyDescent="0.2">
      <c r="B19" s="462"/>
      <c r="D19" s="464"/>
      <c r="G19" s="465"/>
      <c r="J19" s="465"/>
      <c r="K19" s="465"/>
      <c r="L19" s="466"/>
      <c r="M19" s="462"/>
      <c r="O19" s="467"/>
      <c r="P19" s="465"/>
      <c r="Q19" s="468"/>
      <c r="R19" s="439" t="s">
        <v>988</v>
      </c>
      <c r="S19" s="521" t="s">
        <v>1248</v>
      </c>
      <c r="T19" s="439" t="s">
        <v>1021</v>
      </c>
      <c r="U19" s="431" t="s">
        <v>1256</v>
      </c>
      <c r="V19" s="431" t="s">
        <v>23</v>
      </c>
      <c r="X19" s="465"/>
      <c r="AA19" s="465"/>
      <c r="AB19" s="465"/>
      <c r="AC19" s="466"/>
      <c r="AD19" s="462"/>
      <c r="AF19" s="467"/>
      <c r="AG19" s="465"/>
    </row>
    <row r="20" spans="2:33" x14ac:dyDescent="0.2">
      <c r="M20" s="430" t="s">
        <v>1031</v>
      </c>
      <c r="R20" s="522"/>
      <c r="S20" s="523"/>
      <c r="T20" s="522"/>
      <c r="U20" s="524"/>
      <c r="V20" s="524"/>
      <c r="AD20" s="430" t="s">
        <v>1031</v>
      </c>
    </row>
    <row r="21" spans="2:33" x14ac:dyDescent="0.2">
      <c r="M21" s="430" t="s">
        <v>1031</v>
      </c>
      <c r="R21" s="522"/>
      <c r="S21" s="523"/>
      <c r="T21" s="522"/>
      <c r="U21" s="524"/>
      <c r="V21" s="524"/>
      <c r="AD21" s="430" t="s">
        <v>1031</v>
      </c>
    </row>
    <row r="22" spans="2:33" x14ac:dyDescent="0.2">
      <c r="R22" s="460" t="s">
        <v>988</v>
      </c>
      <c r="S22" s="461" t="s">
        <v>1025</v>
      </c>
      <c r="T22" s="460" t="s">
        <v>990</v>
      </c>
      <c r="V22" s="431" t="s">
        <v>350</v>
      </c>
    </row>
    <row r="23" spans="2:33" x14ac:dyDescent="0.2">
      <c r="M23" s="430" t="s">
        <v>1031</v>
      </c>
      <c r="R23" s="460" t="s">
        <v>988</v>
      </c>
      <c r="S23" s="461" t="s">
        <v>1026</v>
      </c>
      <c r="T23" s="460" t="s">
        <v>998</v>
      </c>
      <c r="V23" s="431" t="s">
        <v>350</v>
      </c>
      <c r="AD23" s="430" t="s">
        <v>1031</v>
      </c>
    </row>
    <row r="24" spans="2:33" x14ac:dyDescent="0.2">
      <c r="M24" s="430" t="s">
        <v>1031</v>
      </c>
      <c r="R24" s="460" t="s">
        <v>1002</v>
      </c>
      <c r="S24" s="461" t="s">
        <v>1027</v>
      </c>
      <c r="T24" s="460" t="s">
        <v>1004</v>
      </c>
      <c r="V24" s="431" t="s">
        <v>350</v>
      </c>
      <c r="AD24" s="430" t="s">
        <v>1031</v>
      </c>
    </row>
    <row r="25" spans="2:33" x14ac:dyDescent="0.2">
      <c r="M25" s="430" t="s">
        <v>1031</v>
      </c>
      <c r="R25" s="460" t="s">
        <v>988</v>
      </c>
      <c r="S25" s="461" t="s">
        <v>1028</v>
      </c>
      <c r="T25" s="460" t="s">
        <v>1009</v>
      </c>
      <c r="V25" s="431" t="s">
        <v>350</v>
      </c>
      <c r="AD25" s="430" t="s">
        <v>1031</v>
      </c>
    </row>
    <row r="26" spans="2:33" x14ac:dyDescent="0.2">
      <c r="M26" s="430" t="s">
        <v>1031</v>
      </c>
      <c r="R26" s="460" t="s">
        <v>988</v>
      </c>
      <c r="S26" s="461" t="s">
        <v>1029</v>
      </c>
      <c r="T26" s="460" t="s">
        <v>1030</v>
      </c>
      <c r="V26" s="431" t="s">
        <v>350</v>
      </c>
      <c r="AD26" s="430" t="s">
        <v>1031</v>
      </c>
    </row>
    <row r="27" spans="2:33" ht="13.8" x14ac:dyDescent="0.2">
      <c r="M27" s="430" t="s">
        <v>1031</v>
      </c>
      <c r="R27" s="460" t="s">
        <v>988</v>
      </c>
      <c r="S27" s="461" t="s">
        <v>1032</v>
      </c>
      <c r="T27" s="460" t="s">
        <v>1033</v>
      </c>
      <c r="U27" s="464"/>
      <c r="V27" s="431" t="s">
        <v>350</v>
      </c>
      <c r="AD27" s="430" t="s">
        <v>1031</v>
      </c>
    </row>
    <row r="28" spans="2:33" ht="13.8" x14ac:dyDescent="0.2">
      <c r="M28" s="430" t="s">
        <v>1031</v>
      </c>
      <c r="R28" s="460" t="s">
        <v>988</v>
      </c>
      <c r="S28" s="461" t="s">
        <v>1034</v>
      </c>
      <c r="T28" s="460" t="s">
        <v>1035</v>
      </c>
      <c r="U28" s="464"/>
      <c r="V28" s="431" t="s">
        <v>350</v>
      </c>
      <c r="AD28" s="430" t="s">
        <v>1031</v>
      </c>
    </row>
    <row r="29" spans="2:33" ht="13.8" x14ac:dyDescent="0.2">
      <c r="M29" s="430" t="s">
        <v>1031</v>
      </c>
      <c r="R29" s="460" t="s">
        <v>988</v>
      </c>
      <c r="S29" s="461" t="s">
        <v>1036</v>
      </c>
      <c r="T29" s="460" t="s">
        <v>1037</v>
      </c>
      <c r="U29" s="464"/>
      <c r="V29" s="431" t="s">
        <v>350</v>
      </c>
      <c r="AD29" s="430" t="s">
        <v>1031</v>
      </c>
    </row>
    <row r="30" spans="2:33" x14ac:dyDescent="0.2">
      <c r="M30" s="430" t="s">
        <v>1031</v>
      </c>
      <c r="R30" s="460" t="s">
        <v>988</v>
      </c>
      <c r="S30" s="461" t="s">
        <v>1038</v>
      </c>
      <c r="T30" s="460" t="s">
        <v>1012</v>
      </c>
      <c r="V30" s="431" t="s">
        <v>350</v>
      </c>
      <c r="AD30" s="430" t="s">
        <v>1031</v>
      </c>
    </row>
    <row r="31" spans="2:33" x14ac:dyDescent="0.2">
      <c r="M31" s="430" t="s">
        <v>1031</v>
      </c>
      <c r="R31" s="460" t="s">
        <v>988</v>
      </c>
      <c r="S31" s="461" t="s">
        <v>1039</v>
      </c>
      <c r="T31" s="460" t="s">
        <v>1015</v>
      </c>
      <c r="V31" s="431" t="s">
        <v>350</v>
      </c>
      <c r="AD31" s="430" t="s">
        <v>1031</v>
      </c>
    </row>
    <row r="32" spans="2:33" x14ac:dyDescent="0.2">
      <c r="M32" s="430" t="s">
        <v>1053</v>
      </c>
      <c r="R32" s="460" t="s">
        <v>988</v>
      </c>
      <c r="S32" s="461" t="s">
        <v>1040</v>
      </c>
      <c r="T32" s="460" t="s">
        <v>1018</v>
      </c>
      <c r="V32" s="431" t="s">
        <v>350</v>
      </c>
      <c r="AD32" s="430" t="s">
        <v>1053</v>
      </c>
    </row>
    <row r="33" spans="13:30" x14ac:dyDescent="0.2">
      <c r="M33" s="430" t="s">
        <v>1055</v>
      </c>
      <c r="R33" s="460" t="s">
        <v>988</v>
      </c>
      <c r="S33" s="461" t="s">
        <v>1041</v>
      </c>
      <c r="T33" s="460" t="s">
        <v>1021</v>
      </c>
      <c r="V33" s="431" t="s">
        <v>350</v>
      </c>
      <c r="AD33" s="430" t="s">
        <v>1055</v>
      </c>
    </row>
    <row r="34" spans="13:30" x14ac:dyDescent="0.2">
      <c r="M34" s="430" t="s">
        <v>1055</v>
      </c>
      <c r="R34" s="460" t="s">
        <v>988</v>
      </c>
      <c r="S34" s="461" t="s">
        <v>1042</v>
      </c>
      <c r="T34" s="460" t="s">
        <v>1043</v>
      </c>
      <c r="V34" s="431" t="s">
        <v>350</v>
      </c>
      <c r="AD34" s="430" t="s">
        <v>1055</v>
      </c>
    </row>
    <row r="35" spans="13:30" x14ac:dyDescent="0.2">
      <c r="M35" s="430" t="s">
        <v>1055</v>
      </c>
      <c r="R35" s="460" t="s">
        <v>988</v>
      </c>
      <c r="S35" s="461" t="s">
        <v>1044</v>
      </c>
      <c r="T35" s="460" t="s">
        <v>1045</v>
      </c>
      <c r="V35" s="431" t="s">
        <v>350</v>
      </c>
      <c r="AD35" s="430" t="s">
        <v>1055</v>
      </c>
    </row>
    <row r="36" spans="13:30" x14ac:dyDescent="0.2">
      <c r="M36" s="430" t="s">
        <v>1055</v>
      </c>
      <c r="R36" s="460" t="s">
        <v>988</v>
      </c>
      <c r="S36" s="461" t="s">
        <v>1046</v>
      </c>
      <c r="T36" s="460" t="s">
        <v>1047</v>
      </c>
      <c r="V36" s="431" t="s">
        <v>350</v>
      </c>
      <c r="AD36" s="430" t="s">
        <v>1055</v>
      </c>
    </row>
    <row r="37" spans="13:30" x14ac:dyDescent="0.2">
      <c r="M37" s="430" t="s">
        <v>1055</v>
      </c>
      <c r="R37" s="460" t="s">
        <v>988</v>
      </c>
      <c r="S37" s="461" t="s">
        <v>1048</v>
      </c>
      <c r="T37" s="460" t="s">
        <v>1049</v>
      </c>
      <c r="V37" s="431" t="s">
        <v>350</v>
      </c>
      <c r="AD37" s="430" t="s">
        <v>1055</v>
      </c>
    </row>
    <row r="38" spans="13:30" x14ac:dyDescent="0.2">
      <c r="M38" s="430" t="s">
        <v>1055</v>
      </c>
      <c r="S38" s="429"/>
      <c r="W38" s="429" t="s">
        <v>1062</v>
      </c>
      <c r="X38" s="471" t="s">
        <v>1063</v>
      </c>
      <c r="AD38" s="430" t="s">
        <v>1055</v>
      </c>
    </row>
    <row r="39" spans="13:30" x14ac:dyDescent="0.2">
      <c r="M39" s="430" t="s">
        <v>1055</v>
      </c>
      <c r="R39" s="469" t="s">
        <v>988</v>
      </c>
      <c r="S39" s="470" t="s">
        <v>1050</v>
      </c>
      <c r="T39" s="469" t="s">
        <v>990</v>
      </c>
      <c r="V39" s="431" t="s">
        <v>33</v>
      </c>
      <c r="X39" s="471" t="s">
        <v>1065</v>
      </c>
      <c r="AD39" s="430" t="s">
        <v>1055</v>
      </c>
    </row>
    <row r="40" spans="13:30" x14ac:dyDescent="0.2">
      <c r="M40" s="430" t="s">
        <v>1055</v>
      </c>
      <c r="R40" s="469" t="s">
        <v>988</v>
      </c>
      <c r="S40" s="470" t="s">
        <v>1051</v>
      </c>
      <c r="T40" s="469" t="s">
        <v>998</v>
      </c>
      <c r="V40" s="431" t="s">
        <v>33</v>
      </c>
      <c r="X40" s="471" t="s">
        <v>1067</v>
      </c>
      <c r="AD40" s="430" t="s">
        <v>1055</v>
      </c>
    </row>
    <row r="41" spans="13:30" x14ac:dyDescent="0.2">
      <c r="M41" s="430" t="s">
        <v>1055</v>
      </c>
      <c r="R41" s="469" t="s">
        <v>1002</v>
      </c>
      <c r="S41" s="470" t="s">
        <v>1052</v>
      </c>
      <c r="T41" s="469" t="s">
        <v>1004</v>
      </c>
      <c r="V41" s="431" t="s">
        <v>33</v>
      </c>
      <c r="X41" s="471"/>
      <c r="AD41" s="430" t="s">
        <v>1055</v>
      </c>
    </row>
    <row r="42" spans="13:30" x14ac:dyDescent="0.2">
      <c r="M42" s="430" t="s">
        <v>1055</v>
      </c>
      <c r="R42" s="469" t="s">
        <v>988</v>
      </c>
      <c r="S42" s="470" t="s">
        <v>1054</v>
      </c>
      <c r="T42" s="469" t="s">
        <v>1009</v>
      </c>
      <c r="V42" s="431" t="s">
        <v>33</v>
      </c>
      <c r="AD42" s="430" t="s">
        <v>1055</v>
      </c>
    </row>
    <row r="43" spans="13:30" x14ac:dyDescent="0.2">
      <c r="M43" s="430" t="s">
        <v>1055</v>
      </c>
      <c r="R43" s="469" t="s">
        <v>988</v>
      </c>
      <c r="S43" s="470" t="s">
        <v>1056</v>
      </c>
      <c r="T43" s="469" t="s">
        <v>1030</v>
      </c>
      <c r="V43" s="431" t="s">
        <v>33</v>
      </c>
      <c r="AD43" s="430" t="s">
        <v>1055</v>
      </c>
    </row>
    <row r="44" spans="13:30" ht="13.8" x14ac:dyDescent="0.2">
      <c r="M44" s="430" t="s">
        <v>1055</v>
      </c>
      <c r="R44" s="469" t="s">
        <v>988</v>
      </c>
      <c r="S44" s="470" t="s">
        <v>1057</v>
      </c>
      <c r="T44" s="469" t="s">
        <v>1033</v>
      </c>
      <c r="U44" s="464"/>
      <c r="V44" s="431" t="s">
        <v>33</v>
      </c>
      <c r="AD44" s="430" t="s">
        <v>1055</v>
      </c>
    </row>
    <row r="45" spans="13:30" ht="13.8" x14ac:dyDescent="0.2">
      <c r="M45" s="430" t="s">
        <v>1055</v>
      </c>
      <c r="R45" s="469" t="s">
        <v>988</v>
      </c>
      <c r="S45" s="470" t="s">
        <v>1058</v>
      </c>
      <c r="T45" s="469" t="s">
        <v>1035</v>
      </c>
      <c r="U45" s="464"/>
      <c r="V45" s="431" t="s">
        <v>33</v>
      </c>
      <c r="AD45" s="430" t="s">
        <v>1055</v>
      </c>
    </row>
    <row r="46" spans="13:30" ht="13.8" x14ac:dyDescent="0.2">
      <c r="M46" s="430" t="s">
        <v>1055</v>
      </c>
      <c r="R46" s="469" t="s">
        <v>988</v>
      </c>
      <c r="S46" s="470" t="s">
        <v>1059</v>
      </c>
      <c r="T46" s="469" t="s">
        <v>1037</v>
      </c>
      <c r="U46" s="464"/>
      <c r="V46" s="431" t="s">
        <v>33</v>
      </c>
      <c r="AD46" s="430" t="s">
        <v>1055</v>
      </c>
    </row>
    <row r="47" spans="13:30" x14ac:dyDescent="0.2">
      <c r="M47" s="430"/>
      <c r="R47" s="469" t="s">
        <v>988</v>
      </c>
      <c r="S47" s="470" t="s">
        <v>1060</v>
      </c>
      <c r="T47" s="469" t="s">
        <v>1012</v>
      </c>
      <c r="V47" s="431" t="s">
        <v>33</v>
      </c>
      <c r="AD47" s="430"/>
    </row>
    <row r="48" spans="13:30" x14ac:dyDescent="0.2">
      <c r="M48" s="430"/>
      <c r="R48" s="469" t="s">
        <v>988</v>
      </c>
      <c r="S48" s="470" t="s">
        <v>1061</v>
      </c>
      <c r="T48" s="469" t="s">
        <v>1015</v>
      </c>
      <c r="V48" s="431" t="s">
        <v>33</v>
      </c>
      <c r="AD48" s="430"/>
    </row>
    <row r="49" spans="18:50" x14ac:dyDescent="0.2">
      <c r="R49" s="469" t="s">
        <v>988</v>
      </c>
      <c r="S49" s="470" t="s">
        <v>1064</v>
      </c>
      <c r="T49" s="469" t="s">
        <v>1018</v>
      </c>
      <c r="V49" s="431" t="s">
        <v>33</v>
      </c>
      <c r="AD49" s="430"/>
      <c r="AX49" s="446"/>
    </row>
    <row r="50" spans="18:50" x14ac:dyDescent="0.2">
      <c r="R50" s="469" t="s">
        <v>988</v>
      </c>
      <c r="S50" s="470" t="s">
        <v>1066</v>
      </c>
      <c r="T50" s="469" t="s">
        <v>1021</v>
      </c>
      <c r="V50" s="431" t="s">
        <v>33</v>
      </c>
      <c r="AD50" s="430"/>
      <c r="AX50" s="446"/>
    </row>
    <row r="51" spans="18:50" x14ac:dyDescent="0.2">
      <c r="R51" s="469" t="s">
        <v>988</v>
      </c>
      <c r="S51" s="470" t="s">
        <v>1068</v>
      </c>
      <c r="T51" s="469" t="s">
        <v>1043</v>
      </c>
      <c r="V51" s="431" t="s">
        <v>33</v>
      </c>
      <c r="AD51" s="430"/>
      <c r="AX51" s="446"/>
    </row>
    <row r="52" spans="18:50" x14ac:dyDescent="0.2">
      <c r="R52" s="469" t="s">
        <v>988</v>
      </c>
      <c r="S52" s="470" t="s">
        <v>1069</v>
      </c>
      <c r="T52" s="469" t="s">
        <v>1045</v>
      </c>
      <c r="V52" s="431" t="s">
        <v>33</v>
      </c>
      <c r="AD52" s="430"/>
      <c r="AX52" s="446">
        <v>400</v>
      </c>
    </row>
    <row r="53" spans="18:50" x14ac:dyDescent="0.2">
      <c r="R53" s="469" t="s">
        <v>988</v>
      </c>
      <c r="S53" s="470" t="s">
        <v>1070</v>
      </c>
      <c r="T53" s="469" t="s">
        <v>1047</v>
      </c>
      <c r="V53" s="431" t="s">
        <v>33</v>
      </c>
      <c r="AD53" s="430"/>
    </row>
    <row r="54" spans="18:50" x14ac:dyDescent="0.2">
      <c r="R54" s="469" t="s">
        <v>988</v>
      </c>
      <c r="S54" s="470" t="s">
        <v>1071</v>
      </c>
      <c r="T54" s="469" t="s">
        <v>1049</v>
      </c>
      <c r="V54" s="431" t="s">
        <v>33</v>
      </c>
      <c r="AD54" s="430"/>
    </row>
    <row r="55" spans="18:50" x14ac:dyDescent="0.2">
      <c r="AD55" s="430"/>
    </row>
    <row r="56" spans="18:50" x14ac:dyDescent="0.2">
      <c r="AD56" s="430"/>
    </row>
    <row r="57" spans="18:50" x14ac:dyDescent="0.2">
      <c r="R57" s="460" t="s">
        <v>1072</v>
      </c>
      <c r="S57" s="461" t="s">
        <v>1073</v>
      </c>
      <c r="T57" s="460" t="s">
        <v>1074</v>
      </c>
      <c r="V57" s="431" t="s">
        <v>350</v>
      </c>
      <c r="AD57" s="430"/>
    </row>
    <row r="58" spans="18:50" x14ac:dyDescent="0.2">
      <c r="R58" s="460" t="s">
        <v>1072</v>
      </c>
      <c r="S58" s="461" t="s">
        <v>1075</v>
      </c>
      <c r="T58" s="460" t="s">
        <v>1076</v>
      </c>
      <c r="V58" s="431" t="s">
        <v>350</v>
      </c>
      <c r="AD58" s="430"/>
    </row>
    <row r="59" spans="18:50" x14ac:dyDescent="0.2">
      <c r="R59" s="460" t="s">
        <v>1077</v>
      </c>
      <c r="S59" s="461" t="s">
        <v>1078</v>
      </c>
      <c r="T59" s="460" t="s">
        <v>1079</v>
      </c>
      <c r="V59" s="431" t="s">
        <v>350</v>
      </c>
      <c r="AD59" s="430"/>
    </row>
    <row r="60" spans="18:50" x14ac:dyDescent="0.2">
      <c r="R60" s="460" t="s">
        <v>1072</v>
      </c>
      <c r="S60" s="461" t="s">
        <v>1080</v>
      </c>
      <c r="T60" s="460" t="s">
        <v>1081</v>
      </c>
      <c r="V60" s="431" t="s">
        <v>350</v>
      </c>
      <c r="AD60" s="430"/>
      <c r="AJ60" s="474"/>
      <c r="AK60" s="475" t="s">
        <v>1102</v>
      </c>
    </row>
    <row r="61" spans="18:50" x14ac:dyDescent="0.2">
      <c r="R61" s="460" t="s">
        <v>1072</v>
      </c>
      <c r="S61" s="461" t="s">
        <v>1082</v>
      </c>
      <c r="T61" s="460" t="s">
        <v>1083</v>
      </c>
      <c r="V61" s="431" t="s">
        <v>350</v>
      </c>
      <c r="AD61" s="430"/>
      <c r="AJ61" s="474"/>
      <c r="AK61" s="475"/>
    </row>
    <row r="62" spans="18:50" ht="13.8" x14ac:dyDescent="0.2">
      <c r="R62" s="460" t="s">
        <v>1072</v>
      </c>
      <c r="S62" s="461" t="s">
        <v>1084</v>
      </c>
      <c r="T62" s="460" t="s">
        <v>1085</v>
      </c>
      <c r="U62" s="464"/>
      <c r="V62" s="431" t="s">
        <v>350</v>
      </c>
      <c r="AD62" s="430"/>
      <c r="AJ62" s="474"/>
      <c r="AK62" s="475"/>
    </row>
    <row r="63" spans="18:50" ht="13.8" x14ac:dyDescent="0.2">
      <c r="R63" s="460" t="s">
        <v>1072</v>
      </c>
      <c r="S63" s="461" t="s">
        <v>1086</v>
      </c>
      <c r="T63" s="460" t="s">
        <v>1087</v>
      </c>
      <c r="U63" s="464"/>
      <c r="V63" s="431" t="s">
        <v>350</v>
      </c>
      <c r="AD63" s="430"/>
      <c r="AJ63" s="474"/>
      <c r="AK63" s="475"/>
    </row>
    <row r="64" spans="18:50" ht="13.8" x14ac:dyDescent="0.2">
      <c r="R64" s="472" t="s">
        <v>1072</v>
      </c>
      <c r="S64" s="473" t="s">
        <v>1088</v>
      </c>
      <c r="T64" s="472" t="s">
        <v>1089</v>
      </c>
      <c r="U64" s="464"/>
      <c r="V64" s="431" t="s">
        <v>350</v>
      </c>
      <c r="AD64" s="430"/>
      <c r="AJ64" s="474"/>
      <c r="AK64" s="475"/>
    </row>
    <row r="65" spans="18:22" x14ac:dyDescent="0.2">
      <c r="R65" s="460" t="s">
        <v>1072</v>
      </c>
      <c r="S65" s="461" t="s">
        <v>1090</v>
      </c>
      <c r="T65" s="460" t="s">
        <v>1091</v>
      </c>
      <c r="V65" s="431" t="s">
        <v>350</v>
      </c>
    </row>
    <row r="66" spans="18:22" x14ac:dyDescent="0.2">
      <c r="R66" s="460" t="s">
        <v>1072</v>
      </c>
      <c r="S66" s="461" t="s">
        <v>1092</v>
      </c>
      <c r="T66" s="460" t="s">
        <v>1093</v>
      </c>
      <c r="V66" s="431" t="s">
        <v>350</v>
      </c>
    </row>
    <row r="67" spans="18:22" x14ac:dyDescent="0.2">
      <c r="R67" s="460" t="s">
        <v>1072</v>
      </c>
      <c r="S67" s="461" t="s">
        <v>1094</v>
      </c>
      <c r="T67" s="460" t="s">
        <v>1095</v>
      </c>
      <c r="V67" s="431" t="s">
        <v>350</v>
      </c>
    </row>
    <row r="68" spans="18:22" x14ac:dyDescent="0.2">
      <c r="R68" s="460" t="s">
        <v>1072</v>
      </c>
      <c r="S68" s="461" t="s">
        <v>1096</v>
      </c>
      <c r="T68" s="460" t="s">
        <v>1097</v>
      </c>
      <c r="V68" s="431" t="s">
        <v>350</v>
      </c>
    </row>
    <row r="69" spans="18:22" x14ac:dyDescent="0.2">
      <c r="R69" s="460" t="s">
        <v>1072</v>
      </c>
      <c r="S69" s="461" t="s">
        <v>1098</v>
      </c>
      <c r="T69" s="460" t="s">
        <v>1099</v>
      </c>
      <c r="V69" s="431" t="s">
        <v>350</v>
      </c>
    </row>
    <row r="70" spans="18:22" x14ac:dyDescent="0.2">
      <c r="R70" s="460" t="s">
        <v>1072</v>
      </c>
      <c r="S70" s="461" t="s">
        <v>1100</v>
      </c>
      <c r="T70" s="460" t="s">
        <v>1101</v>
      </c>
      <c r="V70" s="431" t="s">
        <v>350</v>
      </c>
    </row>
    <row r="71" spans="18:22" x14ac:dyDescent="0.2">
      <c r="R71" s="460" t="s">
        <v>1072</v>
      </c>
      <c r="S71" s="461" t="s">
        <v>1103</v>
      </c>
      <c r="T71" s="460" t="s">
        <v>1104</v>
      </c>
      <c r="V71" s="431" t="s">
        <v>350</v>
      </c>
    </row>
    <row r="72" spans="18:22" x14ac:dyDescent="0.2">
      <c r="R72" s="460" t="s">
        <v>1072</v>
      </c>
      <c r="S72" s="461" t="s">
        <v>1105</v>
      </c>
      <c r="T72" s="460" t="s">
        <v>1106</v>
      </c>
      <c r="V72" s="431" t="s">
        <v>350</v>
      </c>
    </row>
    <row r="74" spans="18:22" x14ac:dyDescent="0.2">
      <c r="R74" s="476" t="s">
        <v>1072</v>
      </c>
      <c r="S74" s="477" t="s">
        <v>1107</v>
      </c>
      <c r="T74" s="476" t="s">
        <v>1074</v>
      </c>
      <c r="V74" s="431" t="s">
        <v>33</v>
      </c>
    </row>
    <row r="75" spans="18:22" x14ac:dyDescent="0.2">
      <c r="R75" s="476" t="s">
        <v>1072</v>
      </c>
      <c r="S75" s="477" t="s">
        <v>1108</v>
      </c>
      <c r="T75" s="476" t="s">
        <v>1076</v>
      </c>
      <c r="V75" s="431" t="s">
        <v>33</v>
      </c>
    </row>
    <row r="76" spans="18:22" x14ac:dyDescent="0.2">
      <c r="R76" s="476" t="s">
        <v>1077</v>
      </c>
      <c r="S76" s="477" t="s">
        <v>1109</v>
      </c>
      <c r="T76" s="476" t="s">
        <v>1079</v>
      </c>
      <c r="V76" s="431" t="s">
        <v>33</v>
      </c>
    </row>
    <row r="77" spans="18:22" x14ac:dyDescent="0.2">
      <c r="R77" s="476" t="s">
        <v>1072</v>
      </c>
      <c r="S77" s="477" t="s">
        <v>1110</v>
      </c>
      <c r="T77" s="476" t="s">
        <v>1081</v>
      </c>
      <c r="V77" s="431" t="s">
        <v>33</v>
      </c>
    </row>
    <row r="78" spans="18:22" x14ac:dyDescent="0.2">
      <c r="R78" s="476" t="s">
        <v>1072</v>
      </c>
      <c r="S78" s="477" t="s">
        <v>1111</v>
      </c>
      <c r="T78" s="476" t="s">
        <v>1083</v>
      </c>
      <c r="V78" s="431" t="s">
        <v>33</v>
      </c>
    </row>
    <row r="79" spans="18:22" ht="13.8" x14ac:dyDescent="0.2">
      <c r="R79" s="476" t="s">
        <v>1072</v>
      </c>
      <c r="S79" s="477" t="s">
        <v>1112</v>
      </c>
      <c r="T79" s="476" t="s">
        <v>1085</v>
      </c>
      <c r="U79" s="464"/>
      <c r="V79" s="431" t="s">
        <v>33</v>
      </c>
    </row>
    <row r="80" spans="18:22" ht="13.8" x14ac:dyDescent="0.2">
      <c r="R80" s="476" t="s">
        <v>1072</v>
      </c>
      <c r="S80" s="477" t="s">
        <v>1113</v>
      </c>
      <c r="T80" s="476" t="s">
        <v>1087</v>
      </c>
      <c r="U80" s="464"/>
      <c r="V80" s="431" t="s">
        <v>33</v>
      </c>
    </row>
    <row r="81" spans="18:22" ht="13.8" x14ac:dyDescent="0.2">
      <c r="R81" s="478" t="s">
        <v>1072</v>
      </c>
      <c r="S81" s="479" t="s">
        <v>1114</v>
      </c>
      <c r="T81" s="478" t="s">
        <v>1089</v>
      </c>
      <c r="U81" s="464"/>
      <c r="V81" s="431" t="s">
        <v>33</v>
      </c>
    </row>
    <row r="82" spans="18:22" x14ac:dyDescent="0.2">
      <c r="R82" s="476" t="s">
        <v>1072</v>
      </c>
      <c r="S82" s="477" t="s">
        <v>1115</v>
      </c>
      <c r="T82" s="476" t="s">
        <v>1091</v>
      </c>
      <c r="V82" s="431" t="s">
        <v>33</v>
      </c>
    </row>
    <row r="83" spans="18:22" x14ac:dyDescent="0.2">
      <c r="R83" s="476" t="s">
        <v>1072</v>
      </c>
      <c r="S83" s="477" t="s">
        <v>1116</v>
      </c>
      <c r="T83" s="476" t="s">
        <v>1093</v>
      </c>
      <c r="V83" s="431" t="s">
        <v>33</v>
      </c>
    </row>
    <row r="84" spans="18:22" x14ac:dyDescent="0.2">
      <c r="R84" s="476" t="s">
        <v>1072</v>
      </c>
      <c r="S84" s="477" t="s">
        <v>1117</v>
      </c>
      <c r="T84" s="476" t="s">
        <v>1095</v>
      </c>
      <c r="V84" s="431" t="s">
        <v>33</v>
      </c>
    </row>
    <row r="85" spans="18:22" x14ac:dyDescent="0.2">
      <c r="R85" s="476" t="s">
        <v>1072</v>
      </c>
      <c r="S85" s="477" t="s">
        <v>1118</v>
      </c>
      <c r="T85" s="476" t="s">
        <v>1097</v>
      </c>
      <c r="V85" s="431" t="s">
        <v>33</v>
      </c>
    </row>
    <row r="86" spans="18:22" x14ac:dyDescent="0.2">
      <c r="R86" s="476" t="s">
        <v>1072</v>
      </c>
      <c r="S86" s="477" t="s">
        <v>1119</v>
      </c>
      <c r="T86" s="476" t="s">
        <v>1099</v>
      </c>
      <c r="V86" s="431" t="s">
        <v>33</v>
      </c>
    </row>
    <row r="87" spans="18:22" x14ac:dyDescent="0.2">
      <c r="R87" s="476" t="s">
        <v>1072</v>
      </c>
      <c r="S87" s="477" t="s">
        <v>1120</v>
      </c>
      <c r="T87" s="476" t="s">
        <v>1101</v>
      </c>
      <c r="V87" s="431" t="s">
        <v>33</v>
      </c>
    </row>
    <row r="88" spans="18:22" x14ac:dyDescent="0.2">
      <c r="R88" s="476" t="s">
        <v>1072</v>
      </c>
      <c r="S88" s="477" t="s">
        <v>1121</v>
      </c>
      <c r="T88" s="476" t="s">
        <v>1104</v>
      </c>
      <c r="V88" s="431" t="s">
        <v>33</v>
      </c>
    </row>
    <row r="89" spans="18:22" x14ac:dyDescent="0.2">
      <c r="R89" s="476" t="s">
        <v>1072</v>
      </c>
      <c r="S89" s="477" t="s">
        <v>1122</v>
      </c>
      <c r="T89" s="476" t="s">
        <v>1106</v>
      </c>
      <c r="V89" s="431" t="s">
        <v>33</v>
      </c>
    </row>
    <row r="91" spans="18:22" x14ac:dyDescent="0.2">
      <c r="R91" s="439" t="s">
        <v>1123</v>
      </c>
      <c r="S91" s="440" t="s">
        <v>1124</v>
      </c>
      <c r="T91" s="439" t="s">
        <v>1125</v>
      </c>
      <c r="V91" s="431" t="s">
        <v>23</v>
      </c>
    </row>
    <row r="92" spans="18:22" x14ac:dyDescent="0.2">
      <c r="R92" s="439" t="s">
        <v>1123</v>
      </c>
      <c r="S92" s="440" t="s">
        <v>1126</v>
      </c>
      <c r="T92" s="439" t="s">
        <v>1127</v>
      </c>
      <c r="V92" s="431" t="s">
        <v>23</v>
      </c>
    </row>
    <row r="93" spans="18:22" x14ac:dyDescent="0.2">
      <c r="R93" s="439" t="s">
        <v>1128</v>
      </c>
      <c r="S93" s="440" t="s">
        <v>1129</v>
      </c>
      <c r="T93" s="439" t="s">
        <v>1130</v>
      </c>
      <c r="V93" s="431" t="s">
        <v>23</v>
      </c>
    </row>
    <row r="94" spans="18:22" x14ac:dyDescent="0.2">
      <c r="R94" s="439" t="s">
        <v>1123</v>
      </c>
      <c r="S94" s="440" t="s">
        <v>1131</v>
      </c>
      <c r="T94" s="439" t="s">
        <v>1132</v>
      </c>
      <c r="V94" s="431" t="s">
        <v>23</v>
      </c>
    </row>
    <row r="95" spans="18:22" x14ac:dyDescent="0.2">
      <c r="R95" s="439" t="s">
        <v>1123</v>
      </c>
      <c r="S95" s="440" t="s">
        <v>1133</v>
      </c>
      <c r="T95" s="439" t="s">
        <v>1134</v>
      </c>
      <c r="V95" s="431" t="s">
        <v>23</v>
      </c>
    </row>
    <row r="96" spans="18:22" x14ac:dyDescent="0.2">
      <c r="R96" s="439" t="s">
        <v>1123</v>
      </c>
      <c r="S96" s="440" t="s">
        <v>1135</v>
      </c>
      <c r="T96" s="439" t="s">
        <v>1136</v>
      </c>
      <c r="V96" s="431" t="s">
        <v>23</v>
      </c>
    </row>
    <row r="97" spans="18:22" x14ac:dyDescent="0.2">
      <c r="R97" s="439" t="s">
        <v>1123</v>
      </c>
      <c r="S97" s="440" t="s">
        <v>1137</v>
      </c>
      <c r="T97" s="439" t="s">
        <v>1138</v>
      </c>
      <c r="V97" s="431" t="s">
        <v>23</v>
      </c>
    </row>
    <row r="98" spans="18:22" x14ac:dyDescent="0.2">
      <c r="R98" s="480" t="s">
        <v>1123</v>
      </c>
      <c r="S98" s="481" t="s">
        <v>1139</v>
      </c>
      <c r="T98" s="480" t="s">
        <v>1140</v>
      </c>
      <c r="V98" s="431" t="s">
        <v>23</v>
      </c>
    </row>
    <row r="99" spans="18:22" x14ac:dyDescent="0.2">
      <c r="R99" s="439" t="s">
        <v>1123</v>
      </c>
      <c r="S99" s="440" t="s">
        <v>1141</v>
      </c>
      <c r="T99" s="439" t="s">
        <v>1142</v>
      </c>
      <c r="V99" s="431" t="s">
        <v>23</v>
      </c>
    </row>
    <row r="100" spans="18:22" x14ac:dyDescent="0.2">
      <c r="R100" s="439" t="s">
        <v>1123</v>
      </c>
      <c r="S100" s="440" t="s">
        <v>1143</v>
      </c>
      <c r="T100" s="439" t="s">
        <v>1144</v>
      </c>
      <c r="V100" s="431" t="s">
        <v>23</v>
      </c>
    </row>
    <row r="102" spans="18:22" x14ac:dyDescent="0.2">
      <c r="R102" s="460" t="s">
        <v>1123</v>
      </c>
      <c r="S102" s="461" t="s">
        <v>1145</v>
      </c>
      <c r="T102" s="460" t="s">
        <v>1146</v>
      </c>
      <c r="V102" s="431" t="s">
        <v>350</v>
      </c>
    </row>
    <row r="103" spans="18:22" x14ac:dyDescent="0.2">
      <c r="R103" s="460" t="s">
        <v>1123</v>
      </c>
      <c r="S103" s="461" t="s">
        <v>1147</v>
      </c>
      <c r="T103" s="460" t="s">
        <v>1148</v>
      </c>
      <c r="V103" s="431" t="s">
        <v>350</v>
      </c>
    </row>
    <row r="104" spans="18:22" x14ac:dyDescent="0.2">
      <c r="R104" s="460" t="s">
        <v>1128</v>
      </c>
      <c r="S104" s="461" t="s">
        <v>1149</v>
      </c>
      <c r="T104" s="460" t="s">
        <v>1150</v>
      </c>
      <c r="V104" s="431" t="s">
        <v>350</v>
      </c>
    </row>
    <row r="105" spans="18:22" x14ac:dyDescent="0.2">
      <c r="R105" s="460" t="s">
        <v>1123</v>
      </c>
      <c r="S105" s="461" t="s">
        <v>1151</v>
      </c>
      <c r="T105" s="460" t="s">
        <v>1152</v>
      </c>
      <c r="V105" s="431" t="s">
        <v>350</v>
      </c>
    </row>
    <row r="106" spans="18:22" x14ac:dyDescent="0.2">
      <c r="R106" s="460" t="s">
        <v>1123</v>
      </c>
      <c r="S106" s="461" t="s">
        <v>1153</v>
      </c>
      <c r="T106" s="460" t="s">
        <v>1154</v>
      </c>
      <c r="V106" s="431" t="s">
        <v>350</v>
      </c>
    </row>
    <row r="107" spans="18:22" ht="13.8" x14ac:dyDescent="0.2">
      <c r="R107" s="460" t="s">
        <v>1123</v>
      </c>
      <c r="S107" s="461" t="s">
        <v>1155</v>
      </c>
      <c r="T107" s="460" t="s">
        <v>1156</v>
      </c>
      <c r="U107" s="464"/>
      <c r="V107" s="431" t="s">
        <v>350</v>
      </c>
    </row>
    <row r="108" spans="18:22" ht="13.8" x14ac:dyDescent="0.2">
      <c r="R108" s="460" t="s">
        <v>1123</v>
      </c>
      <c r="S108" s="461" t="s">
        <v>1157</v>
      </c>
      <c r="T108" s="460" t="s">
        <v>1158</v>
      </c>
      <c r="U108" s="464"/>
      <c r="V108" s="431" t="s">
        <v>350</v>
      </c>
    </row>
    <row r="109" spans="18:22" ht="13.8" x14ac:dyDescent="0.2">
      <c r="R109" s="472" t="s">
        <v>1123</v>
      </c>
      <c r="S109" s="473" t="s">
        <v>1159</v>
      </c>
      <c r="T109" s="472" t="s">
        <v>1160</v>
      </c>
      <c r="U109" s="464"/>
      <c r="V109" s="431" t="s">
        <v>350</v>
      </c>
    </row>
    <row r="110" spans="18:22" x14ac:dyDescent="0.2">
      <c r="R110" s="460" t="s">
        <v>1123</v>
      </c>
      <c r="S110" s="461" t="s">
        <v>1161</v>
      </c>
      <c r="T110" s="460" t="s">
        <v>1162</v>
      </c>
      <c r="V110" s="431" t="s">
        <v>350</v>
      </c>
    </row>
    <row r="111" spans="18:22" x14ac:dyDescent="0.2">
      <c r="R111" s="460" t="s">
        <v>1123</v>
      </c>
      <c r="S111" s="461" t="s">
        <v>1163</v>
      </c>
      <c r="T111" s="460" t="s">
        <v>1164</v>
      </c>
      <c r="V111" s="431" t="s">
        <v>350</v>
      </c>
    </row>
    <row r="112" spans="18:22" x14ac:dyDescent="0.2">
      <c r="R112" s="460" t="s">
        <v>1123</v>
      </c>
      <c r="S112" s="461" t="s">
        <v>1165</v>
      </c>
      <c r="T112" s="460" t="s">
        <v>1166</v>
      </c>
      <c r="V112" s="431" t="s">
        <v>350</v>
      </c>
    </row>
    <row r="113" spans="18:37" x14ac:dyDescent="0.2">
      <c r="R113" s="460" t="s">
        <v>1123</v>
      </c>
      <c r="S113" s="461" t="s">
        <v>1167</v>
      </c>
      <c r="T113" s="460" t="s">
        <v>1168</v>
      </c>
      <c r="V113" s="431" t="s">
        <v>350</v>
      </c>
      <c r="AD113" s="430"/>
      <c r="AJ113" s="474"/>
      <c r="AK113" s="475"/>
    </row>
    <row r="114" spans="18:37" x14ac:dyDescent="0.2">
      <c r="R114" s="460" t="s">
        <v>1123</v>
      </c>
      <c r="S114" s="461" t="s">
        <v>1169</v>
      </c>
      <c r="T114" s="460" t="s">
        <v>1170</v>
      </c>
      <c r="V114" s="431" t="s">
        <v>350</v>
      </c>
      <c r="AD114" s="430"/>
      <c r="AJ114" s="474"/>
      <c r="AK114" s="475"/>
    </row>
    <row r="115" spans="18:37" x14ac:dyDescent="0.2">
      <c r="R115" s="460" t="s">
        <v>1123</v>
      </c>
      <c r="S115" s="461" t="s">
        <v>1171</v>
      </c>
      <c r="T115" s="460" t="s">
        <v>1172</v>
      </c>
      <c r="V115" s="431" t="s">
        <v>350</v>
      </c>
      <c r="AD115" s="430"/>
      <c r="AJ115" s="474"/>
      <c r="AK115" s="475"/>
    </row>
    <row r="116" spans="18:37" x14ac:dyDescent="0.2">
      <c r="R116" s="460" t="s">
        <v>1123</v>
      </c>
      <c r="S116" s="461" t="s">
        <v>1173</v>
      </c>
      <c r="T116" s="460" t="s">
        <v>1174</v>
      </c>
      <c r="V116" s="431" t="s">
        <v>350</v>
      </c>
      <c r="W116" s="485"/>
      <c r="X116" s="487"/>
      <c r="Y116" s="485"/>
      <c r="Z116" s="485"/>
      <c r="AA116" s="487"/>
      <c r="AB116" s="487"/>
      <c r="AC116" s="488"/>
      <c r="AD116" s="484"/>
      <c r="AE116" s="485"/>
      <c r="AF116" s="489"/>
      <c r="AG116" s="487"/>
      <c r="AJ116" s="430" t="s">
        <v>1185</v>
      </c>
    </row>
    <row r="117" spans="18:37" x14ac:dyDescent="0.2">
      <c r="R117" s="472" t="s">
        <v>1123</v>
      </c>
      <c r="S117" s="473" t="s">
        <v>1175</v>
      </c>
      <c r="T117" s="472" t="s">
        <v>1176</v>
      </c>
      <c r="V117" s="431" t="s">
        <v>350</v>
      </c>
      <c r="W117" s="485"/>
      <c r="X117" s="487"/>
      <c r="Y117" s="485"/>
      <c r="Z117" s="485"/>
      <c r="AA117" s="487"/>
      <c r="AB117" s="487"/>
      <c r="AC117" s="488"/>
      <c r="AD117" s="484"/>
      <c r="AE117" s="485"/>
      <c r="AF117" s="489"/>
      <c r="AG117" s="487"/>
      <c r="AJ117" s="430" t="s">
        <v>485</v>
      </c>
    </row>
    <row r="118" spans="18:37" x14ac:dyDescent="0.2">
      <c r="R118" s="482" t="s">
        <v>1123</v>
      </c>
      <c r="S118" s="483" t="s">
        <v>1177</v>
      </c>
      <c r="T118" s="482" t="s">
        <v>1142</v>
      </c>
      <c r="V118" s="431" t="s">
        <v>350</v>
      </c>
      <c r="W118" s="485"/>
      <c r="X118" s="487"/>
      <c r="Y118" s="485"/>
      <c r="Z118" s="485"/>
      <c r="AA118" s="487"/>
      <c r="AB118" s="487"/>
      <c r="AC118" s="488"/>
      <c r="AD118" s="484"/>
      <c r="AE118" s="485"/>
      <c r="AF118" s="489"/>
      <c r="AG118" s="487"/>
      <c r="AJ118" s="430" t="s">
        <v>1188</v>
      </c>
      <c r="AK118" s="442" t="s">
        <v>1189</v>
      </c>
    </row>
    <row r="119" spans="18:37" x14ac:dyDescent="0.2">
      <c r="R119" s="482" t="s">
        <v>1123</v>
      </c>
      <c r="S119" s="483" t="s">
        <v>1178</v>
      </c>
      <c r="T119" s="482" t="s">
        <v>1144</v>
      </c>
      <c r="V119" s="431" t="s">
        <v>350</v>
      </c>
      <c r="W119" s="485"/>
      <c r="X119" s="487"/>
      <c r="Y119" s="485"/>
      <c r="Z119" s="485"/>
      <c r="AA119" s="487"/>
      <c r="AB119" s="487"/>
      <c r="AC119" s="488"/>
      <c r="AD119" s="485"/>
      <c r="AE119" s="485"/>
      <c r="AF119" s="489"/>
      <c r="AG119" s="487"/>
      <c r="AJ119" s="430" t="s">
        <v>1191</v>
      </c>
    </row>
    <row r="120" spans="18:37" x14ac:dyDescent="0.2">
      <c r="W120" s="485"/>
      <c r="X120" s="487"/>
      <c r="Y120" s="485"/>
      <c r="Z120" s="485"/>
      <c r="AA120" s="487"/>
      <c r="AB120" s="487"/>
      <c r="AC120" s="488"/>
      <c r="AD120" s="485"/>
      <c r="AE120" s="485"/>
      <c r="AF120" s="489"/>
      <c r="AG120" s="487"/>
      <c r="AJ120" s="430" t="s">
        <v>1193</v>
      </c>
    </row>
    <row r="121" spans="18:37" x14ac:dyDescent="0.2">
      <c r="R121" s="476" t="s">
        <v>1123</v>
      </c>
      <c r="S121" s="477" t="s">
        <v>1179</v>
      </c>
      <c r="T121" s="476" t="s">
        <v>1146</v>
      </c>
      <c r="V121" s="431" t="s">
        <v>33</v>
      </c>
      <c r="W121" s="485"/>
      <c r="X121" s="487"/>
      <c r="Y121" s="485"/>
      <c r="Z121" s="485"/>
      <c r="AA121" s="487"/>
      <c r="AB121" s="487"/>
      <c r="AC121" s="488"/>
      <c r="AD121" s="485"/>
      <c r="AE121" s="485"/>
      <c r="AF121" s="489"/>
      <c r="AG121" s="487"/>
      <c r="AJ121" s="430" t="s">
        <v>1195</v>
      </c>
    </row>
    <row r="122" spans="18:37" x14ac:dyDescent="0.2">
      <c r="R122" s="476" t="s">
        <v>1123</v>
      </c>
      <c r="S122" s="477" t="s">
        <v>1180</v>
      </c>
      <c r="T122" s="476" t="s">
        <v>1148</v>
      </c>
      <c r="V122" s="431" t="s">
        <v>33</v>
      </c>
      <c r="W122" s="485"/>
      <c r="X122" s="487"/>
      <c r="Y122" s="485"/>
      <c r="Z122" s="485"/>
      <c r="AA122" s="487"/>
      <c r="AB122" s="487"/>
      <c r="AC122" s="488"/>
      <c r="AD122" s="485"/>
      <c r="AE122" s="485"/>
      <c r="AF122" s="489"/>
      <c r="AG122" s="487"/>
      <c r="AJ122" s="430" t="s">
        <v>1197</v>
      </c>
    </row>
    <row r="123" spans="18:37" x14ac:dyDescent="0.2">
      <c r="R123" s="476" t="s">
        <v>1128</v>
      </c>
      <c r="S123" s="477" t="s">
        <v>1181</v>
      </c>
      <c r="T123" s="476" t="s">
        <v>1150</v>
      </c>
      <c r="V123" s="431" t="s">
        <v>33</v>
      </c>
      <c r="W123" s="485"/>
      <c r="X123" s="487"/>
      <c r="Y123" s="485"/>
      <c r="Z123" s="485"/>
      <c r="AA123" s="487"/>
      <c r="AB123" s="487"/>
      <c r="AC123" s="488"/>
      <c r="AD123" s="485"/>
      <c r="AE123" s="485"/>
      <c r="AF123" s="489"/>
      <c r="AG123" s="487"/>
      <c r="AJ123" s="430" t="s">
        <v>488</v>
      </c>
      <c r="AK123" s="442" t="s">
        <v>1189</v>
      </c>
    </row>
    <row r="124" spans="18:37" x14ac:dyDescent="0.2">
      <c r="R124" s="476" t="s">
        <v>1123</v>
      </c>
      <c r="S124" s="477" t="s">
        <v>1182</v>
      </c>
      <c r="T124" s="476" t="s">
        <v>1152</v>
      </c>
      <c r="V124" s="431" t="s">
        <v>33</v>
      </c>
      <c r="W124" s="485"/>
      <c r="X124" s="487"/>
      <c r="Y124" s="485"/>
      <c r="Z124" s="485"/>
      <c r="AA124" s="487"/>
      <c r="AB124" s="487"/>
      <c r="AC124" s="488"/>
      <c r="AD124" s="485"/>
      <c r="AE124" s="485"/>
      <c r="AF124" s="489"/>
      <c r="AG124" s="487"/>
      <c r="AJ124" s="430" t="s">
        <v>1200</v>
      </c>
      <c r="AK124" s="442" t="s">
        <v>1189</v>
      </c>
    </row>
    <row r="125" spans="18:37" x14ac:dyDescent="0.2">
      <c r="R125" s="476" t="s">
        <v>1123</v>
      </c>
      <c r="S125" s="477" t="s">
        <v>1183</v>
      </c>
      <c r="T125" s="476" t="s">
        <v>1154</v>
      </c>
      <c r="V125" s="431" t="s">
        <v>33</v>
      </c>
      <c r="W125" s="485"/>
      <c r="X125" s="487"/>
      <c r="Y125" s="485"/>
      <c r="Z125" s="485"/>
      <c r="AA125" s="487"/>
      <c r="AB125" s="487"/>
      <c r="AC125" s="488"/>
      <c r="AD125" s="485"/>
      <c r="AE125" s="485"/>
      <c r="AF125" s="489"/>
      <c r="AG125" s="487"/>
      <c r="AJ125" s="430" t="s">
        <v>1202</v>
      </c>
    </row>
    <row r="126" spans="18:37" ht="13.8" x14ac:dyDescent="0.2">
      <c r="R126" s="476" t="s">
        <v>1123</v>
      </c>
      <c r="S126" s="477" t="s">
        <v>1184</v>
      </c>
      <c r="T126" s="476" t="s">
        <v>1156</v>
      </c>
      <c r="U126" s="464"/>
      <c r="V126" s="431" t="s">
        <v>33</v>
      </c>
      <c r="W126" s="485"/>
      <c r="X126" s="487"/>
      <c r="Y126" s="485"/>
      <c r="Z126" s="485"/>
      <c r="AA126" s="487"/>
      <c r="AB126" s="487"/>
      <c r="AC126" s="488"/>
      <c r="AD126" s="485"/>
      <c r="AE126" s="485"/>
      <c r="AF126" s="489"/>
      <c r="AG126" s="487"/>
      <c r="AJ126" s="430" t="s">
        <v>1204</v>
      </c>
    </row>
    <row r="127" spans="18:37" ht="13.8" x14ac:dyDescent="0.2">
      <c r="R127" s="476" t="s">
        <v>1123</v>
      </c>
      <c r="S127" s="477" t="s">
        <v>1186</v>
      </c>
      <c r="T127" s="476" t="s">
        <v>1158</v>
      </c>
      <c r="U127" s="464"/>
      <c r="V127" s="431" t="s">
        <v>33</v>
      </c>
      <c r="W127" s="485"/>
      <c r="X127" s="487"/>
      <c r="Y127" s="485"/>
      <c r="Z127" s="485"/>
      <c r="AA127" s="487"/>
      <c r="AB127" s="487"/>
      <c r="AC127" s="488"/>
      <c r="AD127" s="485"/>
      <c r="AE127" s="485"/>
      <c r="AF127" s="489"/>
      <c r="AG127" s="487"/>
      <c r="AJ127" s="430" t="s">
        <v>141</v>
      </c>
    </row>
    <row r="128" spans="18:37" ht="13.8" x14ac:dyDescent="0.2">
      <c r="R128" s="476" t="s">
        <v>1123</v>
      </c>
      <c r="S128" s="477" t="s">
        <v>1187</v>
      </c>
      <c r="T128" s="476" t="s">
        <v>1160</v>
      </c>
      <c r="U128" s="464"/>
      <c r="V128" s="431" t="s">
        <v>33</v>
      </c>
      <c r="W128" s="485"/>
      <c r="X128" s="487"/>
      <c r="Y128" s="485"/>
      <c r="Z128" s="485"/>
      <c r="AA128" s="487"/>
      <c r="AB128" s="487"/>
      <c r="AC128" s="488"/>
      <c r="AD128" s="485"/>
      <c r="AE128" s="485"/>
      <c r="AF128" s="489"/>
      <c r="AG128" s="487"/>
      <c r="AJ128" s="430" t="s">
        <v>1207</v>
      </c>
    </row>
    <row r="129" spans="18:37" x14ac:dyDescent="0.2">
      <c r="R129" s="476" t="s">
        <v>1123</v>
      </c>
      <c r="S129" s="477" t="s">
        <v>1190</v>
      </c>
      <c r="T129" s="476" t="s">
        <v>1162</v>
      </c>
      <c r="V129" s="431" t="s">
        <v>33</v>
      </c>
      <c r="W129" s="485"/>
      <c r="X129" s="487"/>
      <c r="Y129" s="485"/>
      <c r="Z129" s="485"/>
      <c r="AA129" s="487"/>
      <c r="AB129" s="487"/>
      <c r="AC129" s="488"/>
      <c r="AD129" s="485"/>
      <c r="AE129" s="485"/>
      <c r="AF129" s="489"/>
      <c r="AG129" s="487"/>
      <c r="AJ129" s="430" t="s">
        <v>1208</v>
      </c>
    </row>
    <row r="130" spans="18:37" x14ac:dyDescent="0.2">
      <c r="R130" s="476" t="s">
        <v>1123</v>
      </c>
      <c r="S130" s="477" t="s">
        <v>1192</v>
      </c>
      <c r="T130" s="476" t="s">
        <v>1164</v>
      </c>
      <c r="V130" s="431" t="s">
        <v>33</v>
      </c>
      <c r="W130" s="485"/>
      <c r="X130" s="487"/>
      <c r="Y130" s="485"/>
      <c r="Z130" s="485"/>
      <c r="AA130" s="487"/>
      <c r="AB130" s="487"/>
      <c r="AC130" s="488"/>
      <c r="AD130" s="485"/>
      <c r="AE130" s="485"/>
      <c r="AF130" s="489"/>
      <c r="AG130" s="487"/>
      <c r="AJ130" s="430" t="s">
        <v>1209</v>
      </c>
    </row>
    <row r="131" spans="18:37" x14ac:dyDescent="0.2">
      <c r="R131" s="476" t="s">
        <v>1123</v>
      </c>
      <c r="S131" s="477" t="s">
        <v>1194</v>
      </c>
      <c r="T131" s="476" t="s">
        <v>1166</v>
      </c>
      <c r="V131" s="431" t="s">
        <v>33</v>
      </c>
      <c r="W131" s="485"/>
      <c r="X131" s="487"/>
      <c r="Y131" s="485"/>
      <c r="Z131" s="485"/>
      <c r="AA131" s="487"/>
      <c r="AB131" s="487"/>
      <c r="AC131" s="488"/>
      <c r="AD131" s="485"/>
      <c r="AE131" s="485"/>
      <c r="AF131" s="489"/>
      <c r="AG131" s="487"/>
      <c r="AJ131" s="430" t="s">
        <v>1210</v>
      </c>
    </row>
    <row r="132" spans="18:37" x14ac:dyDescent="0.2">
      <c r="R132" s="476" t="s">
        <v>1123</v>
      </c>
      <c r="S132" s="477" t="s">
        <v>1196</v>
      </c>
      <c r="T132" s="476" t="s">
        <v>1168</v>
      </c>
      <c r="V132" s="431" t="s">
        <v>33</v>
      </c>
      <c r="W132" s="485"/>
      <c r="X132" s="487"/>
      <c r="Y132" s="485"/>
      <c r="Z132" s="485"/>
      <c r="AA132" s="487"/>
      <c r="AB132" s="487"/>
      <c r="AC132" s="488"/>
      <c r="AD132" s="485"/>
      <c r="AE132" s="485"/>
      <c r="AF132" s="489"/>
      <c r="AG132" s="487"/>
      <c r="AJ132" s="430" t="s">
        <v>1211</v>
      </c>
    </row>
    <row r="133" spans="18:37" x14ac:dyDescent="0.2">
      <c r="R133" s="476" t="s">
        <v>1123</v>
      </c>
      <c r="S133" s="477" t="s">
        <v>1198</v>
      </c>
      <c r="T133" s="476" t="s">
        <v>1170</v>
      </c>
      <c r="V133" s="431" t="s">
        <v>33</v>
      </c>
      <c r="W133" s="485"/>
      <c r="X133" s="487"/>
      <c r="Y133" s="485"/>
      <c r="Z133" s="485"/>
      <c r="AA133" s="487"/>
      <c r="AB133" s="487"/>
      <c r="AC133" s="488"/>
      <c r="AD133" s="485"/>
      <c r="AE133" s="485"/>
      <c r="AF133" s="489"/>
      <c r="AG133" s="487"/>
      <c r="AJ133" s="430" t="s">
        <v>1212</v>
      </c>
    </row>
    <row r="134" spans="18:37" x14ac:dyDescent="0.2">
      <c r="R134" s="476" t="s">
        <v>1123</v>
      </c>
      <c r="S134" s="477" t="s">
        <v>1199</v>
      </c>
      <c r="T134" s="476" t="s">
        <v>1172</v>
      </c>
      <c r="V134" s="431" t="s">
        <v>33</v>
      </c>
      <c r="W134" s="485"/>
      <c r="X134" s="487"/>
      <c r="Y134" s="485"/>
      <c r="Z134" s="485"/>
      <c r="AA134" s="487"/>
      <c r="AB134" s="487"/>
      <c r="AC134" s="488"/>
      <c r="AD134" s="485"/>
      <c r="AE134" s="485"/>
      <c r="AF134" s="489"/>
      <c r="AG134" s="487"/>
      <c r="AJ134" s="430" t="s">
        <v>1213</v>
      </c>
    </row>
    <row r="135" spans="18:37" x14ac:dyDescent="0.2">
      <c r="R135" s="476" t="s">
        <v>1123</v>
      </c>
      <c r="S135" s="477" t="s">
        <v>1201</v>
      </c>
      <c r="T135" s="476" t="s">
        <v>1174</v>
      </c>
      <c r="V135" s="431" t="s">
        <v>33</v>
      </c>
      <c r="W135" s="485"/>
      <c r="X135" s="487"/>
      <c r="Y135" s="485"/>
      <c r="Z135" s="485"/>
      <c r="AA135" s="487"/>
      <c r="AB135" s="487"/>
      <c r="AC135" s="488"/>
      <c r="AD135" s="485"/>
      <c r="AE135" s="485"/>
      <c r="AF135" s="489"/>
      <c r="AG135" s="487"/>
      <c r="AJ135" s="430" t="s">
        <v>1202</v>
      </c>
    </row>
    <row r="136" spans="18:37" x14ac:dyDescent="0.2">
      <c r="R136" s="476" t="s">
        <v>1123</v>
      </c>
      <c r="S136" s="477" t="s">
        <v>1203</v>
      </c>
      <c r="T136" s="476" t="s">
        <v>1176</v>
      </c>
      <c r="V136" s="431" t="s">
        <v>33</v>
      </c>
      <c r="W136" s="485"/>
      <c r="X136" s="487"/>
      <c r="Y136" s="485"/>
      <c r="Z136" s="485"/>
      <c r="AA136" s="487"/>
      <c r="AB136" s="487"/>
      <c r="AC136" s="488"/>
      <c r="AD136" s="485"/>
      <c r="AE136" s="485"/>
      <c r="AF136" s="489"/>
      <c r="AG136" s="487"/>
      <c r="AJ136" s="430" t="s">
        <v>1214</v>
      </c>
      <c r="AK136" s="442" t="s">
        <v>1189</v>
      </c>
    </row>
    <row r="137" spans="18:37" x14ac:dyDescent="0.2">
      <c r="R137" s="476" t="s">
        <v>1123</v>
      </c>
      <c r="S137" s="477" t="s">
        <v>1205</v>
      </c>
      <c r="T137" s="476" t="s">
        <v>1142</v>
      </c>
      <c r="V137" s="431" t="s">
        <v>33</v>
      </c>
      <c r="W137" s="485"/>
      <c r="X137" s="487"/>
      <c r="Y137" s="485"/>
      <c r="Z137" s="485"/>
      <c r="AA137" s="487"/>
      <c r="AB137" s="487"/>
      <c r="AC137" s="488"/>
      <c r="AD137" s="485"/>
      <c r="AE137" s="485"/>
      <c r="AF137" s="489"/>
      <c r="AG137" s="487"/>
      <c r="AJ137" s="430" t="s">
        <v>1215</v>
      </c>
      <c r="AK137" s="442" t="s">
        <v>1189</v>
      </c>
    </row>
    <row r="138" spans="18:37" x14ac:dyDescent="0.2">
      <c r="R138" s="476" t="s">
        <v>1123</v>
      </c>
      <c r="S138" s="477" t="s">
        <v>1206</v>
      </c>
      <c r="T138" s="476" t="s">
        <v>1144</v>
      </c>
      <c r="V138" s="431" t="s">
        <v>33</v>
      </c>
      <c r="W138" s="485"/>
      <c r="X138" s="487"/>
      <c r="Y138" s="485"/>
      <c r="Z138" s="485"/>
      <c r="AA138" s="487"/>
      <c r="AB138" s="487"/>
      <c r="AC138" s="488"/>
      <c r="AD138" s="485"/>
      <c r="AE138" s="485"/>
      <c r="AF138" s="489"/>
      <c r="AG138" s="487"/>
      <c r="AJ138" s="430" t="s">
        <v>1216</v>
      </c>
      <c r="AK138" s="442" t="s">
        <v>1189</v>
      </c>
    </row>
    <row r="139" spans="18:37" x14ac:dyDescent="0.2">
      <c r="S139" s="490"/>
      <c r="T139" s="485"/>
      <c r="U139" s="486"/>
      <c r="V139" s="486"/>
      <c r="W139" s="485"/>
      <c r="X139" s="487"/>
      <c r="Y139" s="485"/>
      <c r="Z139" s="485"/>
      <c r="AA139" s="487"/>
      <c r="AB139" s="487"/>
      <c r="AC139" s="488"/>
      <c r="AD139" s="485"/>
      <c r="AE139" s="485"/>
      <c r="AF139" s="489"/>
      <c r="AG139" s="487"/>
      <c r="AJ139" s="430" t="s">
        <v>1217</v>
      </c>
      <c r="AK139" s="442" t="s">
        <v>1189</v>
      </c>
    </row>
    <row r="140" spans="18:37" x14ac:dyDescent="0.2">
      <c r="S140" s="490"/>
      <c r="T140" s="485"/>
      <c r="U140" s="486"/>
      <c r="V140" s="486"/>
      <c r="W140" s="485"/>
      <c r="X140" s="487"/>
      <c r="Y140" s="485"/>
      <c r="Z140" s="485"/>
      <c r="AA140" s="487"/>
      <c r="AB140" s="487"/>
      <c r="AC140" s="488"/>
      <c r="AD140" s="485"/>
      <c r="AE140" s="485"/>
      <c r="AF140" s="489"/>
      <c r="AG140" s="487"/>
      <c r="AJ140" s="430" t="s">
        <v>1218</v>
      </c>
      <c r="AK140" s="442" t="s">
        <v>1189</v>
      </c>
    </row>
    <row r="141" spans="18:37" x14ac:dyDescent="0.2">
      <c r="S141" s="490"/>
      <c r="T141" s="485"/>
      <c r="U141" s="486"/>
      <c r="V141" s="486"/>
      <c r="W141" s="485"/>
      <c r="X141" s="487"/>
      <c r="Y141" s="485"/>
      <c r="Z141" s="485"/>
      <c r="AA141" s="487"/>
      <c r="AB141" s="487"/>
      <c r="AC141" s="488"/>
      <c r="AD141" s="485"/>
      <c r="AE141" s="485"/>
      <c r="AF141" s="489"/>
      <c r="AG141" s="487"/>
      <c r="AJ141" s="430" t="s">
        <v>1219</v>
      </c>
      <c r="AK141" s="442" t="s">
        <v>1189</v>
      </c>
    </row>
    <row r="142" spans="18:37" x14ac:dyDescent="0.2">
      <c r="S142" s="490"/>
      <c r="T142" s="485"/>
      <c r="U142" s="486"/>
      <c r="V142" s="486"/>
      <c r="W142" s="485"/>
      <c r="X142" s="487"/>
      <c r="Y142" s="485"/>
      <c r="Z142" s="485"/>
      <c r="AA142" s="487"/>
      <c r="AB142" s="487"/>
      <c r="AC142" s="488"/>
      <c r="AD142" s="485"/>
      <c r="AE142" s="485"/>
      <c r="AF142" s="489"/>
      <c r="AG142" s="487"/>
      <c r="AJ142" s="430" t="s">
        <v>1202</v>
      </c>
    </row>
    <row r="143" spans="18:37" x14ac:dyDescent="0.2">
      <c r="S143" s="490"/>
      <c r="T143" s="485"/>
      <c r="U143" s="486"/>
      <c r="V143" s="486"/>
      <c r="AJ143" s="430">
        <v>478</v>
      </c>
    </row>
    <row r="144" spans="18:37" x14ac:dyDescent="0.2">
      <c r="S144" s="490"/>
      <c r="T144" s="485"/>
      <c r="U144" s="486"/>
      <c r="V144" s="486"/>
      <c r="AJ144" s="430" t="s">
        <v>1220</v>
      </c>
    </row>
    <row r="145" spans="36:37" x14ac:dyDescent="0.2">
      <c r="AJ145" s="430">
        <v>234</v>
      </c>
    </row>
    <row r="146" spans="36:37" x14ac:dyDescent="0.2">
      <c r="AJ146" s="430" t="s">
        <v>1221</v>
      </c>
    </row>
    <row r="147" spans="36:37" x14ac:dyDescent="0.2">
      <c r="AJ147" s="430" t="s">
        <v>1222</v>
      </c>
    </row>
    <row r="148" spans="36:37" x14ac:dyDescent="0.2">
      <c r="AJ148" s="430" t="s">
        <v>1223</v>
      </c>
      <c r="AK148" s="442" t="s">
        <v>1189</v>
      </c>
    </row>
    <row r="149" spans="36:37" x14ac:dyDescent="0.2">
      <c r="AJ149" s="430" t="s">
        <v>1224</v>
      </c>
      <c r="AK149" s="442" t="s">
        <v>1189</v>
      </c>
    </row>
    <row r="150" spans="36:37" x14ac:dyDescent="0.2">
      <c r="AJ150" s="430" t="s">
        <v>1225</v>
      </c>
      <c r="AK150" s="442" t="s">
        <v>1189</v>
      </c>
    </row>
    <row r="151" spans="36:37" x14ac:dyDescent="0.2">
      <c r="AJ151" s="430" t="s">
        <v>1226</v>
      </c>
    </row>
    <row r="152" spans="36:37" x14ac:dyDescent="0.2">
      <c r="AJ152" s="430" t="s">
        <v>1227</v>
      </c>
      <c r="AK152" s="442" t="s">
        <v>1189</v>
      </c>
    </row>
    <row r="153" spans="36:37" x14ac:dyDescent="0.2">
      <c r="AJ153" s="430" t="s">
        <v>1202</v>
      </c>
    </row>
    <row r="154" spans="36:37" x14ac:dyDescent="0.2">
      <c r="AJ154" s="430" t="s">
        <v>1228</v>
      </c>
      <c r="AK154" s="442" t="s">
        <v>1189</v>
      </c>
    </row>
    <row r="155" spans="36:37" x14ac:dyDescent="0.2">
      <c r="AJ155" s="430" t="s">
        <v>1229</v>
      </c>
    </row>
    <row r="156" spans="36:37" x14ac:dyDescent="0.2">
      <c r="AJ156" s="430" t="s">
        <v>1230</v>
      </c>
      <c r="AK156" s="442" t="s">
        <v>1189</v>
      </c>
    </row>
    <row r="157" spans="36:37" x14ac:dyDescent="0.2">
      <c r="AJ157" s="430" t="s">
        <v>1231</v>
      </c>
      <c r="AK157" s="442" t="s">
        <v>1189</v>
      </c>
    </row>
    <row r="158" spans="36:37" x14ac:dyDescent="0.2">
      <c r="AJ158" s="430" t="s">
        <v>1232</v>
      </c>
      <c r="AK158" s="442" t="s">
        <v>1189</v>
      </c>
    </row>
    <row r="159" spans="36:37" x14ac:dyDescent="0.2">
      <c r="AJ159" s="430" t="s">
        <v>1233</v>
      </c>
      <c r="AK159" s="442" t="s">
        <v>1189</v>
      </c>
    </row>
    <row r="160" spans="36:37" x14ac:dyDescent="0.2">
      <c r="AJ160" s="430" t="s">
        <v>1202</v>
      </c>
    </row>
    <row r="161" spans="36:36" x14ac:dyDescent="0.2">
      <c r="AJ161" s="430" t="s">
        <v>966</v>
      </c>
    </row>
    <row r="162" spans="36:36" x14ac:dyDescent="0.2">
      <c r="AJ162" s="430" t="s">
        <v>1234</v>
      </c>
    </row>
    <row r="163" spans="36:36" x14ac:dyDescent="0.2">
      <c r="AJ163" s="430" t="s">
        <v>1235</v>
      </c>
    </row>
    <row r="164" spans="36:36" x14ac:dyDescent="0.2">
      <c r="AJ164" s="430" t="s">
        <v>1236</v>
      </c>
    </row>
    <row r="165" spans="36:36" x14ac:dyDescent="0.2">
      <c r="AJ165" s="430" t="s">
        <v>1237</v>
      </c>
    </row>
    <row r="166" spans="36:36" x14ac:dyDescent="0.2">
      <c r="AJ166" s="430" t="s">
        <v>1238</v>
      </c>
    </row>
  </sheetData>
  <mergeCells count="20">
    <mergeCell ref="BC1:BD1"/>
    <mergeCell ref="BE1:BF1"/>
    <mergeCell ref="AP1:AQ1"/>
    <mergeCell ref="AR1:AS1"/>
    <mergeCell ref="AT1:AU1"/>
    <mergeCell ref="AV1:AW1"/>
    <mergeCell ref="AX1:AY1"/>
    <mergeCell ref="BA1:BB1"/>
    <mergeCell ref="AN1:AO1"/>
    <mergeCell ref="D1:D2"/>
    <mergeCell ref="E1:F1"/>
    <mergeCell ref="M1:N2"/>
    <mergeCell ref="O1:P1"/>
    <mergeCell ref="U1:U2"/>
    <mergeCell ref="V1:W1"/>
    <mergeCell ref="AD1:AE2"/>
    <mergeCell ref="AF1:AG1"/>
    <mergeCell ref="AH1:AI1"/>
    <mergeCell ref="AJ1:AK1"/>
    <mergeCell ref="AL1:AM1"/>
  </mergeCells>
  <conditionalFormatting sqref="F3:F4">
    <cfRule type="expression" dxfId="11" priority="6">
      <formula>$AB$1="OFF"</formula>
    </cfRule>
  </conditionalFormatting>
  <conditionalFormatting sqref="F5">
    <cfRule type="expression" dxfId="10" priority="4">
      <formula>$AA$1="OFF"</formula>
    </cfRule>
  </conditionalFormatting>
  <conditionalFormatting sqref="F6">
    <cfRule type="expression" dxfId="9" priority="5">
      <formula>$AB$1="OFF"</formula>
    </cfRule>
  </conditionalFormatting>
  <conditionalFormatting sqref="W3:W4">
    <cfRule type="expression" dxfId="8" priority="3">
      <formula>$AB$1="OFF"</formula>
    </cfRule>
  </conditionalFormatting>
  <conditionalFormatting sqref="W5">
    <cfRule type="expression" dxfId="7" priority="1">
      <formula>$AA$1="OFF"</formula>
    </cfRule>
  </conditionalFormatting>
  <conditionalFormatting sqref="W6">
    <cfRule type="expression" dxfId="6" priority="2">
      <formula>$AB$1="OFF"</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7F12-5A7F-44F9-848E-54531E6558F1}">
  <dimension ref="A1"/>
  <sheetViews>
    <sheetView workbookViewId="0"/>
  </sheetViews>
  <sheetFormatPr defaultRowHeight="12.6" x14ac:dyDescent="0.2"/>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DE61-C418-4AEE-B884-9E86E1DA8048}">
  <dimension ref="A1:AP50"/>
  <sheetViews>
    <sheetView topLeftCell="A9" workbookViewId="0">
      <selection sqref="A1:XFD1048576"/>
    </sheetView>
  </sheetViews>
  <sheetFormatPr defaultRowHeight="14.4" x14ac:dyDescent="0.3"/>
  <cols>
    <col min="1" max="41" width="5.08984375" customWidth="1"/>
    <col min="42" max="42" width="5.08984375" style="263" bestFit="1" customWidth="1"/>
    <col min="43" max="44" width="4.90625" customWidth="1"/>
    <col min="45" max="47" width="1.90625" customWidth="1"/>
  </cols>
  <sheetData>
    <row r="1" spans="1:42" ht="15" customHeight="1" x14ac:dyDescent="0.3">
      <c r="A1" s="4221" t="s">
        <v>432</v>
      </c>
      <c r="B1" s="4221"/>
      <c r="C1" s="4221"/>
      <c r="D1" s="4221"/>
      <c r="E1" s="4221"/>
      <c r="F1" s="4221"/>
      <c r="G1" s="4221"/>
      <c r="H1" s="4221"/>
      <c r="I1" s="491"/>
      <c r="J1" s="491"/>
      <c r="K1" s="491"/>
      <c r="L1" s="405" t="s">
        <v>433</v>
      </c>
      <c r="M1" s="491"/>
      <c r="N1" s="491"/>
      <c r="O1" s="491"/>
      <c r="P1" s="491"/>
      <c r="Q1" s="4221" t="s">
        <v>960</v>
      </c>
      <c r="R1" s="4221"/>
      <c r="S1" s="4221"/>
      <c r="T1" s="4221"/>
      <c r="U1" s="4221"/>
      <c r="V1" s="4221"/>
      <c r="W1" s="4221"/>
      <c r="X1" s="4221"/>
      <c r="Y1" s="4221"/>
      <c r="Z1" s="4221"/>
      <c r="AA1" s="4221"/>
      <c r="AB1" s="4221"/>
      <c r="AC1" s="4221"/>
      <c r="AD1" s="4221"/>
      <c r="AE1" s="406"/>
      <c r="AF1" s="406"/>
      <c r="AG1" s="407" t="s">
        <v>961</v>
      </c>
      <c r="AH1" s="408" t="s">
        <v>440</v>
      </c>
      <c r="AI1" s="406"/>
      <c r="AJ1" s="406"/>
      <c r="AK1" s="406"/>
      <c r="AL1" s="406"/>
      <c r="AN1" s="4222" t="s">
        <v>443</v>
      </c>
      <c r="AO1" s="4222"/>
    </row>
    <row r="2" spans="1:42" ht="15" customHeight="1" x14ac:dyDescent="0.3">
      <c r="A2" s="4221"/>
      <c r="B2" s="4221"/>
      <c r="C2" s="4221"/>
      <c r="D2" s="4221"/>
      <c r="E2" s="4221"/>
      <c r="F2" s="4221"/>
      <c r="G2" s="4221"/>
      <c r="H2" s="4221"/>
      <c r="I2" s="491"/>
      <c r="J2" s="491"/>
      <c r="K2" s="491"/>
      <c r="L2" s="405" t="s">
        <v>435</v>
      </c>
      <c r="M2" s="491"/>
      <c r="N2" s="491"/>
      <c r="O2" s="491"/>
      <c r="P2" s="491"/>
      <c r="Q2" s="4221"/>
      <c r="R2" s="4221"/>
      <c r="S2" s="4221"/>
      <c r="T2" s="4221"/>
      <c r="U2" s="4221"/>
      <c r="V2" s="4221"/>
      <c r="W2" s="4221"/>
      <c r="X2" s="4221"/>
      <c r="Y2" s="4221"/>
      <c r="Z2" s="4221"/>
      <c r="AA2" s="4221"/>
      <c r="AB2" s="4221"/>
      <c r="AC2" s="4221"/>
      <c r="AD2" s="4221"/>
      <c r="AE2" s="406"/>
      <c r="AF2" s="406"/>
      <c r="AG2" s="407" t="s">
        <v>962</v>
      </c>
      <c r="AH2" s="410"/>
      <c r="AI2" s="406"/>
      <c r="AJ2" s="406"/>
      <c r="AK2" s="406"/>
      <c r="AL2" s="406"/>
      <c r="AN2" s="4223"/>
      <c r="AO2" s="4223"/>
    </row>
    <row r="3" spans="1:42" ht="15.75" customHeight="1" x14ac:dyDescent="0.3">
      <c r="A3" s="412" t="s">
        <v>454</v>
      </c>
      <c r="B3" s="413"/>
      <c r="C3" s="414"/>
      <c r="D3" s="415"/>
      <c r="E3" s="415"/>
      <c r="F3" s="415"/>
      <c r="G3" s="415"/>
      <c r="H3" s="415"/>
      <c r="I3" s="415"/>
      <c r="J3" s="415"/>
      <c r="K3" s="415"/>
      <c r="L3" s="415"/>
      <c r="M3" s="415"/>
      <c r="N3" s="415"/>
      <c r="O3" s="415"/>
      <c r="P3" s="415"/>
      <c r="Q3" s="415"/>
      <c r="R3" s="415"/>
      <c r="S3" s="415"/>
      <c r="T3" s="415"/>
      <c r="U3" s="415"/>
      <c r="V3" s="415"/>
      <c r="W3" s="415"/>
      <c r="X3" s="415"/>
      <c r="Y3" s="415"/>
      <c r="Z3" s="415"/>
      <c r="AA3" s="415"/>
      <c r="AB3" s="415"/>
      <c r="AC3" s="415"/>
      <c r="AD3" s="415"/>
      <c r="AE3" s="415"/>
      <c r="AF3" s="415"/>
      <c r="AG3" s="415"/>
      <c r="AH3" s="415"/>
      <c r="AI3" s="415"/>
      <c r="AJ3" s="415"/>
      <c r="AK3" s="415"/>
      <c r="AL3" s="415"/>
      <c r="AM3" s="415"/>
      <c r="AN3" s="416"/>
      <c r="AO3" s="382"/>
    </row>
    <row r="4" spans="1:42" s="292" customFormat="1" ht="17.25" customHeight="1" x14ac:dyDescent="0.2">
      <c r="A4" s="492"/>
      <c r="B4" s="493"/>
      <c r="C4" s="493"/>
      <c r="D4" s="493"/>
      <c r="E4" s="493"/>
      <c r="F4" s="493"/>
      <c r="G4" s="493"/>
      <c r="H4" s="493"/>
      <c r="I4" s="493"/>
      <c r="J4" s="493"/>
      <c r="K4" s="493"/>
      <c r="L4" s="493"/>
      <c r="M4" s="493"/>
      <c r="N4" s="493"/>
      <c r="O4" s="493"/>
      <c r="P4" s="493"/>
      <c r="Q4" s="493"/>
      <c r="R4" s="493"/>
      <c r="S4" s="493"/>
      <c r="T4" s="493"/>
      <c r="U4" s="493"/>
      <c r="V4" s="493"/>
      <c r="W4" s="493"/>
      <c r="X4" s="493"/>
      <c r="Y4" s="493"/>
      <c r="Z4" s="493"/>
      <c r="AA4" s="493"/>
      <c r="AB4" s="493"/>
      <c r="AC4" s="493"/>
      <c r="AD4" s="493"/>
      <c r="AE4" s="493"/>
      <c r="AF4" s="493"/>
      <c r="AG4" s="493"/>
      <c r="AH4" s="493"/>
      <c r="AI4" s="493"/>
      <c r="AJ4" s="493"/>
      <c r="AK4" s="493"/>
      <c r="AL4" s="493"/>
      <c r="AM4" s="493"/>
      <c r="AN4" s="493"/>
      <c r="AO4" s="494"/>
      <c r="AP4" s="291"/>
    </row>
    <row r="5" spans="1:42" s="306" customFormat="1" ht="17.25" customHeight="1" x14ac:dyDescent="0.2">
      <c r="A5" s="495"/>
      <c r="B5"/>
      <c r="C5"/>
      <c r="D5"/>
      <c r="E5"/>
      <c r="F5"/>
      <c r="G5"/>
      <c r="H5"/>
      <c r="I5"/>
      <c r="J5"/>
      <c r="K5"/>
      <c r="L5"/>
      <c r="M5"/>
      <c r="N5"/>
      <c r="O5"/>
      <c r="P5"/>
      <c r="Q5"/>
      <c r="R5"/>
      <c r="S5"/>
      <c r="T5"/>
      <c r="U5"/>
      <c r="V5"/>
      <c r="W5"/>
      <c r="X5"/>
      <c r="Y5"/>
      <c r="Z5"/>
      <c r="AA5"/>
      <c r="AB5"/>
      <c r="AC5"/>
      <c r="AD5"/>
      <c r="AE5"/>
      <c r="AF5"/>
      <c r="AG5"/>
      <c r="AH5"/>
      <c r="AI5"/>
      <c r="AJ5"/>
      <c r="AK5"/>
      <c r="AL5"/>
      <c r="AM5"/>
      <c r="AN5"/>
      <c r="AO5" s="400"/>
      <c r="AP5" s="305"/>
    </row>
    <row r="6" spans="1:42" s="319" customFormat="1" ht="17.25" customHeight="1" x14ac:dyDescent="0.2">
      <c r="A6" s="495"/>
      <c r="B6"/>
      <c r="C6"/>
      <c r="D6"/>
      <c r="E6"/>
      <c r="F6"/>
      <c r="G6"/>
      <c r="H6"/>
      <c r="I6"/>
      <c r="J6"/>
      <c r="K6"/>
      <c r="L6"/>
      <c r="M6"/>
      <c r="N6"/>
      <c r="O6"/>
      <c r="P6"/>
      <c r="Q6"/>
      <c r="R6"/>
      <c r="S6"/>
      <c r="T6"/>
      <c r="U6"/>
      <c r="V6"/>
      <c r="W6"/>
      <c r="X6"/>
      <c r="Y6"/>
      <c r="Z6"/>
      <c r="AA6"/>
      <c r="AB6"/>
      <c r="AC6"/>
      <c r="AD6"/>
      <c r="AE6"/>
      <c r="AF6"/>
      <c r="AG6"/>
      <c r="AH6"/>
      <c r="AI6"/>
      <c r="AJ6"/>
      <c r="AK6"/>
      <c r="AL6"/>
      <c r="AM6"/>
      <c r="AN6"/>
      <c r="AO6" s="400"/>
      <c r="AP6" s="318"/>
    </row>
    <row r="7" spans="1:42" ht="17.25" customHeight="1" x14ac:dyDescent="0.2">
      <c r="A7" s="495"/>
      <c r="AO7" s="400"/>
      <c r="AP7" s="324"/>
    </row>
    <row r="8" spans="1:42" ht="17.25" customHeight="1" x14ac:dyDescent="0.3">
      <c r="A8" s="495"/>
      <c r="AO8" s="400"/>
    </row>
    <row r="9" spans="1:42" ht="17.25" customHeight="1" x14ac:dyDescent="0.3">
      <c r="A9" s="495"/>
      <c r="AO9" s="400"/>
      <c r="AP9" s="263" t="e">
        <v>#N/A</v>
      </c>
    </row>
    <row r="10" spans="1:42" ht="17.25" customHeight="1" x14ac:dyDescent="0.3">
      <c r="A10" s="495"/>
      <c r="AO10" s="400"/>
      <c r="AP10" s="263" t="e">
        <v>#N/A</v>
      </c>
    </row>
    <row r="11" spans="1:42" ht="17.25" customHeight="1" x14ac:dyDescent="0.3">
      <c r="A11" s="495"/>
      <c r="AO11" s="400"/>
      <c r="AP11" s="263" t="e">
        <v>#N/A</v>
      </c>
    </row>
    <row r="18" spans="3:42" ht="17.25" customHeight="1" x14ac:dyDescent="0.3">
      <c r="AO18" s="400"/>
      <c r="AP18" s="263" t="e">
        <v>#N/A</v>
      </c>
    </row>
    <row r="19" spans="3:42" ht="17.25" customHeight="1" x14ac:dyDescent="0.3">
      <c r="AO19" s="400"/>
      <c r="AP19" s="263" t="e">
        <v>#N/A</v>
      </c>
    </row>
    <row r="20" spans="3:42" ht="17.25" customHeight="1" x14ac:dyDescent="0.3">
      <c r="AO20" s="400"/>
      <c r="AP20" s="263" t="e">
        <v>#N/A</v>
      </c>
    </row>
    <row r="21" spans="3:42" ht="17.25" customHeight="1" x14ac:dyDescent="0.3">
      <c r="D21" s="85"/>
      <c r="E21" s="85"/>
      <c r="F21" s="85"/>
      <c r="AO21" s="400"/>
    </row>
    <row r="22" spans="3:42" s="292" customFormat="1" ht="17.25" customHeight="1" x14ac:dyDescent="0.3">
      <c r="C22" s="496"/>
      <c r="D22" s="496"/>
      <c r="E22" s="496"/>
      <c r="F22" s="496"/>
      <c r="G22"/>
      <c r="H22"/>
      <c r="I22"/>
      <c r="J22"/>
      <c r="K22"/>
      <c r="L22"/>
      <c r="M22"/>
      <c r="N22"/>
      <c r="O22"/>
      <c r="P22"/>
      <c r="Q22"/>
      <c r="R22"/>
      <c r="S22"/>
      <c r="T22"/>
      <c r="U22"/>
      <c r="V22"/>
      <c r="W22"/>
      <c r="X22"/>
      <c r="Y22"/>
      <c r="Z22"/>
      <c r="AA22"/>
      <c r="AB22"/>
      <c r="AC22"/>
      <c r="AD22"/>
      <c r="AE22"/>
      <c r="AF22"/>
      <c r="AG22"/>
      <c r="AH22"/>
      <c r="AI22"/>
      <c r="AJ22"/>
      <c r="AK22"/>
      <c r="AL22"/>
      <c r="AM22"/>
      <c r="AN22"/>
      <c r="AO22" s="400"/>
      <c r="AP22" s="291"/>
    </row>
    <row r="23" spans="3:42" s="306" customFormat="1" ht="17.25" customHeight="1" x14ac:dyDescent="0.2">
      <c r="C23" s="4224" t="s">
        <v>493</v>
      </c>
      <c r="D23" s="4224"/>
      <c r="E23" s="4224"/>
      <c r="F23" s="4224"/>
      <c r="G23"/>
      <c r="H23"/>
      <c r="I23" s="4224" t="s">
        <v>493</v>
      </c>
      <c r="J23" s="4224"/>
      <c r="K23" s="4224"/>
      <c r="L23" s="4224"/>
      <c r="M23"/>
      <c r="N23"/>
      <c r="O23"/>
      <c r="P23" s="4224" t="s">
        <v>493</v>
      </c>
      <c r="Q23" s="4224"/>
      <c r="R23" s="4224"/>
      <c r="S23" s="4224"/>
      <c r="T23"/>
      <c r="U23"/>
      <c r="V23"/>
      <c r="W23" s="4224" t="s">
        <v>493</v>
      </c>
      <c r="X23" s="4224"/>
      <c r="Y23" s="4224"/>
      <c r="Z23" s="4224"/>
      <c r="AA23"/>
      <c r="AB23"/>
      <c r="AC23"/>
      <c r="AD23" s="4224" t="s">
        <v>493</v>
      </c>
      <c r="AE23" s="4224"/>
      <c r="AF23" s="4224"/>
      <c r="AG23" s="4224"/>
      <c r="AH23"/>
      <c r="AI23"/>
      <c r="AJ23" s="4224" t="s">
        <v>493</v>
      </c>
      <c r="AK23" s="4224"/>
      <c r="AL23" s="4224"/>
      <c r="AM23" s="4224"/>
      <c r="AN23"/>
      <c r="AO23" s="400"/>
      <c r="AP23" s="305"/>
    </row>
    <row r="24" spans="3:42" s="319" customFormat="1" ht="17.25" customHeight="1" x14ac:dyDescent="0.3">
      <c r="C24" s="4226"/>
      <c r="D24" s="4226"/>
      <c r="E24" s="4226"/>
      <c r="F24" s="4226"/>
      <c r="G24" s="85"/>
      <c r="H24" s="85"/>
      <c r="I24" s="4226"/>
      <c r="J24" s="4226"/>
      <c r="K24" s="4226"/>
      <c r="L24" s="4226"/>
      <c r="M24" s="85"/>
      <c r="N24" s="85"/>
      <c r="O24" s="85"/>
      <c r="P24" s="4226"/>
      <c r="Q24" s="4226"/>
      <c r="R24" s="4226"/>
      <c r="S24" s="4226"/>
      <c r="T24" s="85"/>
      <c r="U24" s="85"/>
      <c r="V24" s="85"/>
      <c r="W24" s="4226"/>
      <c r="X24" s="4226"/>
      <c r="Y24" s="4226"/>
      <c r="Z24" s="4226"/>
      <c r="AA24" s="85"/>
      <c r="AB24" s="85"/>
      <c r="AC24" s="85"/>
      <c r="AD24" s="4226"/>
      <c r="AE24" s="4226"/>
      <c r="AF24" s="4226"/>
      <c r="AG24" s="4226"/>
      <c r="AH24" s="85"/>
      <c r="AI24" s="85"/>
      <c r="AJ24" s="4226"/>
      <c r="AK24" s="4226"/>
      <c r="AL24" s="4226"/>
      <c r="AM24" s="4226"/>
      <c r="AN24" s="85"/>
      <c r="AO24" s="497"/>
      <c r="AP24" s="318"/>
    </row>
    <row r="25" spans="3:42" ht="17.25" customHeight="1" x14ac:dyDescent="0.2">
      <c r="C25" t="s">
        <v>1239</v>
      </c>
      <c r="I25" t="s">
        <v>1239</v>
      </c>
      <c r="P25" t="s">
        <v>1239</v>
      </c>
      <c r="W25" t="s">
        <v>1239</v>
      </c>
      <c r="AD25" t="s">
        <v>1239</v>
      </c>
      <c r="AJ25" t="s">
        <v>1239</v>
      </c>
      <c r="AO25" s="400"/>
      <c r="AP25" s="324"/>
    </row>
    <row r="26" spans="3:42" s="498" customFormat="1" ht="17.25" customHeight="1" x14ac:dyDescent="0.2">
      <c r="C26" s="4225"/>
      <c r="D26" s="4225"/>
      <c r="E26" s="4225"/>
      <c r="F26" s="4225"/>
      <c r="I26" s="4225"/>
      <c r="J26" s="4225"/>
      <c r="K26" s="4225"/>
      <c r="L26" s="4225"/>
      <c r="P26" s="4225"/>
      <c r="Q26" s="4225"/>
      <c r="R26" s="4225"/>
      <c r="S26" s="4225"/>
      <c r="W26" s="4225"/>
      <c r="X26" s="4225"/>
      <c r="Y26" s="4225"/>
      <c r="Z26" s="4225"/>
      <c r="AD26" s="4225"/>
      <c r="AE26" s="4225"/>
      <c r="AF26" s="4225"/>
      <c r="AG26" s="4225"/>
      <c r="AJ26" s="4225"/>
      <c r="AK26" s="4225"/>
      <c r="AL26" s="4225"/>
      <c r="AM26" s="4225"/>
      <c r="AO26" s="499"/>
      <c r="AP26" s="500"/>
    </row>
    <row r="27" spans="3:42" s="501" customFormat="1" ht="17.25" customHeight="1" x14ac:dyDescent="0.2">
      <c r="C27" s="4228" t="str">
        <f>IF(OR(LEFT(C26,3)="(P)",LEFT(C26,3)="(B)"),"Cutout Size","Exposed Glass Size")</f>
        <v>Exposed Glass Size</v>
      </c>
      <c r="D27" s="4228"/>
      <c r="E27" s="4228"/>
      <c r="F27" s="4228"/>
      <c r="I27" s="4228" t="str">
        <f>IF(OR(LEFT(I26,3)="(P)",LEFT(I26,3)="(B)"),"Cutout Size","Exposed Glass Size")</f>
        <v>Exposed Glass Size</v>
      </c>
      <c r="J27" s="4228"/>
      <c r="K27" s="4228"/>
      <c r="L27" s="4228"/>
      <c r="P27" s="4228" t="str">
        <f>IF(OR(LEFT(P26,3)="(P)",LEFT(P26,3)="(B)"),"Cutout Size","Exposed Glass Size")</f>
        <v>Exposed Glass Size</v>
      </c>
      <c r="Q27" s="4228"/>
      <c r="R27" s="4228"/>
      <c r="S27" s="4228"/>
      <c r="W27" s="4228" t="str">
        <f>IF(OR(LEFT(W26,3)="(P)",LEFT(W26,3)="(B)"),"Cutout Size","Exposed Glass Size")</f>
        <v>Exposed Glass Size</v>
      </c>
      <c r="X27" s="4228"/>
      <c r="Y27" s="4228"/>
      <c r="Z27" s="4228"/>
      <c r="AD27" s="4228" t="str">
        <f>IF(OR(LEFT(AD26,3)="(P)",LEFT(AD26,3)="(B)"),"Cutout Size","Exposed Glass Size")</f>
        <v>Exposed Glass Size</v>
      </c>
      <c r="AE27" s="4228"/>
      <c r="AF27" s="4228"/>
      <c r="AG27" s="4228"/>
      <c r="AJ27" s="4228" t="str">
        <f>IF(OR(LEFT(AJ26,3)="(P)",LEFT(AJ26,3)="(B)"),"Cutout Size","Exposed Glass Size")</f>
        <v>Exposed Glass Size</v>
      </c>
      <c r="AK27" s="4228"/>
      <c r="AL27" s="4228"/>
      <c r="AM27" s="4228"/>
      <c r="AO27" s="502"/>
      <c r="AP27" s="503"/>
    </row>
    <row r="28" spans="3:42" ht="17.25" customHeight="1" x14ac:dyDescent="0.3">
      <c r="C28" t="s">
        <v>1240</v>
      </c>
      <c r="I28" t="s">
        <v>1240</v>
      </c>
      <c r="P28" t="s">
        <v>1240</v>
      </c>
      <c r="W28" t="s">
        <v>1240</v>
      </c>
      <c r="AD28" t="s">
        <v>1240</v>
      </c>
      <c r="AO28" s="400"/>
      <c r="AP28" s="263" t="e">
        <v>#N/A</v>
      </c>
    </row>
    <row r="29" spans="3:42" s="504" customFormat="1" ht="17.25" customHeight="1" x14ac:dyDescent="0.3">
      <c r="C29" s="4227"/>
      <c r="D29" s="4227"/>
      <c r="E29" s="4227"/>
      <c r="F29" s="4227"/>
      <c r="I29" s="4227"/>
      <c r="J29" s="4227"/>
      <c r="K29" s="4227"/>
      <c r="L29" s="4227"/>
      <c r="P29" s="4227"/>
      <c r="Q29" s="4227"/>
      <c r="R29" s="4227"/>
      <c r="S29" s="4227"/>
      <c r="W29" s="4227"/>
      <c r="X29" s="4227"/>
      <c r="Y29" s="4227"/>
      <c r="Z29" s="4227"/>
      <c r="AD29" s="4227"/>
      <c r="AE29" s="4227"/>
      <c r="AF29" s="4227"/>
      <c r="AG29" s="4227"/>
      <c r="AJ29" s="4227"/>
      <c r="AK29" s="4227"/>
      <c r="AL29" s="4227"/>
      <c r="AM29" s="4227"/>
      <c r="AO29" s="505"/>
      <c r="AP29" s="506" t="e">
        <v>#N/A</v>
      </c>
    </row>
    <row r="30" spans="3:42" ht="17.25" customHeight="1" x14ac:dyDescent="0.3">
      <c r="C30" t="s">
        <v>1241</v>
      </c>
      <c r="I30" t="s">
        <v>1241</v>
      </c>
      <c r="P30" t="s">
        <v>1241</v>
      </c>
      <c r="W30" t="s">
        <v>1241</v>
      </c>
      <c r="AD30" t="s">
        <v>1241</v>
      </c>
      <c r="AJ30" t="s">
        <v>1241</v>
      </c>
      <c r="AO30" s="400"/>
      <c r="AP30" s="263" t="e">
        <v>#N/A</v>
      </c>
    </row>
    <row r="31" spans="3:42" ht="17.25" customHeight="1" x14ac:dyDescent="0.3">
      <c r="C31" s="4224" t="s">
        <v>481</v>
      </c>
      <c r="D31" s="4224"/>
      <c r="E31" s="4227"/>
      <c r="F31" s="4227"/>
      <c r="I31" s="4224" t="s">
        <v>481</v>
      </c>
      <c r="J31" s="4224"/>
      <c r="K31" s="4227"/>
      <c r="L31" s="4227"/>
      <c r="P31" s="4224" t="s">
        <v>481</v>
      </c>
      <c r="Q31" s="4224"/>
      <c r="R31" s="4227"/>
      <c r="S31" s="4227"/>
      <c r="W31" s="4224" t="s">
        <v>481</v>
      </c>
      <c r="X31" s="4224"/>
      <c r="Y31" s="4227"/>
      <c r="Z31" s="4227"/>
      <c r="AD31" s="4224" t="s">
        <v>481</v>
      </c>
      <c r="AE31" s="4224"/>
      <c r="AF31" s="4227"/>
      <c r="AG31" s="4227"/>
      <c r="AJ31" s="4224" t="s">
        <v>481</v>
      </c>
      <c r="AK31" s="4224"/>
      <c r="AL31" s="4227"/>
      <c r="AM31" s="4227"/>
      <c r="AO31" s="400"/>
    </row>
    <row r="32" spans="3:42" s="292" customFormat="1" ht="17.25" customHeight="1" x14ac:dyDescent="0.3">
      <c r="C32" s="4224" t="s">
        <v>1242</v>
      </c>
      <c r="D32" s="4224"/>
      <c r="E32" s="4227"/>
      <c r="F32" s="4227"/>
      <c r="G32"/>
      <c r="H32"/>
      <c r="I32" s="4224" t="s">
        <v>1242</v>
      </c>
      <c r="J32" s="4224"/>
      <c r="K32" s="4227"/>
      <c r="L32" s="4227"/>
      <c r="M32"/>
      <c r="N32"/>
      <c r="O32"/>
      <c r="P32" s="4224" t="s">
        <v>1242</v>
      </c>
      <c r="Q32" s="4224"/>
      <c r="R32" s="4227"/>
      <c r="S32" s="4227"/>
      <c r="T32"/>
      <c r="U32"/>
      <c r="V32"/>
      <c r="W32" s="4224" t="s">
        <v>1242</v>
      </c>
      <c r="X32" s="4224"/>
      <c r="Y32" s="4227"/>
      <c r="Z32" s="4227"/>
      <c r="AA32"/>
      <c r="AB32"/>
      <c r="AC32"/>
      <c r="AD32" s="4224" t="s">
        <v>1242</v>
      </c>
      <c r="AE32" s="4224"/>
      <c r="AF32" s="4227"/>
      <c r="AG32" s="4227"/>
      <c r="AH32"/>
      <c r="AI32"/>
      <c r="AJ32" s="4224" t="s">
        <v>1242</v>
      </c>
      <c r="AK32" s="4224"/>
      <c r="AL32" s="4227"/>
      <c r="AM32" s="4227"/>
      <c r="AN32"/>
      <c r="AO32" s="400"/>
      <c r="AP32" s="291"/>
    </row>
    <row r="33" spans="3:42" s="306" customFormat="1" ht="17.25" customHeight="1" x14ac:dyDescent="0.3">
      <c r="C33" s="4224" t="s">
        <v>1243</v>
      </c>
      <c r="D33" s="4224"/>
      <c r="E33" s="4227"/>
      <c r="F33" s="4227"/>
      <c r="G33"/>
      <c r="H33"/>
      <c r="I33" s="4224" t="s">
        <v>1243</v>
      </c>
      <c r="J33" s="4224"/>
      <c r="K33" s="4227"/>
      <c r="L33" s="4227"/>
      <c r="M33"/>
      <c r="N33"/>
      <c r="O33"/>
      <c r="P33" s="4224" t="s">
        <v>1243</v>
      </c>
      <c r="Q33" s="4224"/>
      <c r="R33" s="4227"/>
      <c r="S33" s="4227"/>
      <c r="T33"/>
      <c r="U33"/>
      <c r="V33"/>
      <c r="W33" s="4224" t="s">
        <v>1243</v>
      </c>
      <c r="X33" s="4224"/>
      <c r="Y33" s="4227"/>
      <c r="Z33" s="4227"/>
      <c r="AA33"/>
      <c r="AB33"/>
      <c r="AC33"/>
      <c r="AD33" s="4224" t="s">
        <v>1243</v>
      </c>
      <c r="AE33" s="4224"/>
      <c r="AF33" s="4227"/>
      <c r="AG33" s="4227"/>
      <c r="AH33"/>
      <c r="AI33"/>
      <c r="AJ33" s="4224" t="s">
        <v>1243</v>
      </c>
      <c r="AK33" s="4224"/>
      <c r="AL33" s="4227"/>
      <c r="AM33" s="4227"/>
      <c r="AN33"/>
      <c r="AO33" s="400"/>
      <c r="AP33" s="305"/>
    </row>
    <row r="34" spans="3:42" s="319" customFormat="1" ht="17.25" customHeight="1" x14ac:dyDescent="0.3">
      <c r="C34" s="4224" t="s">
        <v>1244</v>
      </c>
      <c r="D34" s="4224"/>
      <c r="E34" s="4227"/>
      <c r="F34" s="4227"/>
      <c r="G34"/>
      <c r="H34"/>
      <c r="I34" s="4224" t="s">
        <v>1244</v>
      </c>
      <c r="J34" s="4224"/>
      <c r="K34" s="4227"/>
      <c r="L34" s="4227"/>
      <c r="M34"/>
      <c r="N34"/>
      <c r="O34"/>
      <c r="P34" s="4224" t="s">
        <v>1244</v>
      </c>
      <c r="Q34" s="4224"/>
      <c r="R34" s="4227"/>
      <c r="S34" s="4227"/>
      <c r="T34"/>
      <c r="U34"/>
      <c r="V34"/>
      <c r="W34" s="4224" t="s">
        <v>1244</v>
      </c>
      <c r="X34" s="4224"/>
      <c r="Y34" s="4227"/>
      <c r="Z34" s="4227"/>
      <c r="AA34"/>
      <c r="AB34"/>
      <c r="AC34"/>
      <c r="AD34" s="4224" t="s">
        <v>1244</v>
      </c>
      <c r="AE34" s="4224"/>
      <c r="AF34" s="4227"/>
      <c r="AG34" s="4227"/>
      <c r="AH34"/>
      <c r="AI34"/>
      <c r="AJ34" s="4224" t="s">
        <v>1244</v>
      </c>
      <c r="AK34" s="4224"/>
      <c r="AL34" s="4227"/>
      <c r="AM34" s="4227"/>
      <c r="AN34"/>
      <c r="AO34" s="400"/>
      <c r="AP34" s="318"/>
    </row>
    <row r="35" spans="3:42" ht="17.25" customHeight="1" x14ac:dyDescent="0.3">
      <c r="C35" s="4224" t="s">
        <v>1245</v>
      </c>
      <c r="D35" s="4224"/>
      <c r="E35" s="4227"/>
      <c r="F35" s="4227"/>
      <c r="I35" s="4224" t="s">
        <v>1245</v>
      </c>
      <c r="J35" s="4224"/>
      <c r="K35" s="4227"/>
      <c r="L35" s="4227"/>
      <c r="P35" s="4224" t="s">
        <v>1245</v>
      </c>
      <c r="Q35" s="4224"/>
      <c r="R35" s="4227"/>
      <c r="S35" s="4227"/>
      <c r="W35" s="4224" t="s">
        <v>1245</v>
      </c>
      <c r="X35" s="4224"/>
      <c r="Y35" s="4227"/>
      <c r="Z35" s="4227"/>
      <c r="AD35" s="4224" t="s">
        <v>1245</v>
      </c>
      <c r="AE35" s="4224"/>
      <c r="AF35" s="4227"/>
      <c r="AG35" s="4227"/>
      <c r="AJ35" s="4224" t="s">
        <v>1245</v>
      </c>
      <c r="AK35" s="4224"/>
      <c r="AL35" s="4227"/>
      <c r="AM35" s="4227"/>
      <c r="AO35" s="400"/>
      <c r="AP35" s="324"/>
    </row>
    <row r="36" spans="3:42" ht="17.25" customHeight="1" x14ac:dyDescent="0.3">
      <c r="C36" s="4224" t="s">
        <v>483</v>
      </c>
      <c r="D36" s="4224"/>
      <c r="E36" s="4227"/>
      <c r="F36" s="4227"/>
      <c r="I36" s="4224" t="s">
        <v>483</v>
      </c>
      <c r="J36" s="4224"/>
      <c r="K36" s="4227"/>
      <c r="L36" s="4227"/>
      <c r="P36" s="4224" t="s">
        <v>483</v>
      </c>
      <c r="Q36" s="4224"/>
      <c r="R36" s="4227"/>
      <c r="S36" s="4227"/>
      <c r="W36" s="4224" t="s">
        <v>483</v>
      </c>
      <c r="X36" s="4224"/>
      <c r="Y36" s="4227"/>
      <c r="Z36" s="4227"/>
      <c r="AD36" s="4224" t="s">
        <v>483</v>
      </c>
      <c r="AE36" s="4224"/>
      <c r="AF36" s="4227"/>
      <c r="AG36" s="4227"/>
      <c r="AJ36" s="4224" t="s">
        <v>483</v>
      </c>
      <c r="AK36" s="4224"/>
      <c r="AL36" s="4227"/>
      <c r="AM36" s="4227"/>
      <c r="AO36" s="400"/>
    </row>
    <row r="37" spans="3:42" ht="17.25" customHeight="1" x14ac:dyDescent="0.3">
      <c r="C37" s="4224" t="s">
        <v>479</v>
      </c>
      <c r="D37" s="4224"/>
      <c r="E37" s="4227"/>
      <c r="F37" s="4227"/>
      <c r="I37" s="4224" t="s">
        <v>479</v>
      </c>
      <c r="J37" s="4224"/>
      <c r="K37" s="4227"/>
      <c r="L37" s="4227"/>
      <c r="P37" s="4224" t="s">
        <v>479</v>
      </c>
      <c r="Q37" s="4224"/>
      <c r="R37" s="4227"/>
      <c r="S37" s="4227"/>
      <c r="W37" s="4224" t="s">
        <v>479</v>
      </c>
      <c r="X37" s="4224"/>
      <c r="Y37" s="4227"/>
      <c r="Z37" s="4227"/>
      <c r="AD37" s="4224" t="s">
        <v>479</v>
      </c>
      <c r="AE37" s="4224"/>
      <c r="AF37" s="4227"/>
      <c r="AG37" s="4227"/>
      <c r="AJ37" s="4224" t="s">
        <v>479</v>
      </c>
      <c r="AK37" s="4224"/>
      <c r="AL37" s="4227"/>
      <c r="AM37" s="4227"/>
      <c r="AO37" s="400"/>
      <c r="AP37" s="263" t="e">
        <v>#N/A</v>
      </c>
    </row>
    <row r="38" spans="3:42" ht="17.25" customHeight="1" x14ac:dyDescent="0.3">
      <c r="C38" s="4230" t="s">
        <v>1246</v>
      </c>
      <c r="D38" s="4230"/>
      <c r="E38" s="4230"/>
      <c r="F38" s="4230"/>
      <c r="I38" s="4230" t="s">
        <v>1246</v>
      </c>
      <c r="J38" s="4230"/>
      <c r="K38" s="4230"/>
      <c r="L38" s="4230"/>
      <c r="P38" s="4230" t="s">
        <v>1246</v>
      </c>
      <c r="Q38" s="4230"/>
      <c r="R38" s="4230"/>
      <c r="S38" s="4230"/>
      <c r="W38" s="4230" t="s">
        <v>1246</v>
      </c>
      <c r="X38" s="4230"/>
      <c r="Y38" s="4230"/>
      <c r="Z38" s="4230"/>
      <c r="AD38" s="4230" t="s">
        <v>1246</v>
      </c>
      <c r="AE38" s="4230"/>
      <c r="AF38" s="4230"/>
      <c r="AG38" s="4230"/>
      <c r="AJ38" s="4230" t="s">
        <v>1246</v>
      </c>
      <c r="AK38" s="4230"/>
      <c r="AL38" s="4230"/>
      <c r="AM38" s="4230"/>
      <c r="AO38" s="400"/>
      <c r="AP38" s="263" t="e">
        <v>#N/A</v>
      </c>
    </row>
    <row r="39" spans="3:42" ht="17.25" customHeight="1" x14ac:dyDescent="0.3">
      <c r="C39" s="4229" t="s">
        <v>1247</v>
      </c>
      <c r="D39" s="4229"/>
      <c r="E39" s="4229"/>
      <c r="F39" s="4229"/>
      <c r="I39" s="4229" t="s">
        <v>1247</v>
      </c>
      <c r="J39" s="4229"/>
      <c r="K39" s="4229"/>
      <c r="L39" s="4229"/>
      <c r="P39" s="4229" t="s">
        <v>1247</v>
      </c>
      <c r="Q39" s="4229"/>
      <c r="R39" s="4229"/>
      <c r="S39" s="4229"/>
      <c r="W39" s="4229" t="s">
        <v>1247</v>
      </c>
      <c r="X39" s="4229"/>
      <c r="Y39" s="4229"/>
      <c r="Z39" s="4229"/>
      <c r="AD39" s="4229" t="s">
        <v>1247</v>
      </c>
      <c r="AE39" s="4229"/>
      <c r="AF39" s="4229"/>
      <c r="AG39" s="4229"/>
      <c r="AJ39" s="4229" t="s">
        <v>1247</v>
      </c>
      <c r="AK39" s="4229"/>
      <c r="AL39" s="4229"/>
      <c r="AM39" s="4229"/>
      <c r="AO39" s="400"/>
      <c r="AP39" s="263" t="e">
        <v>#N/A</v>
      </c>
    </row>
    <row r="40" spans="3:42" ht="17.25" customHeight="1" x14ac:dyDescent="0.3">
      <c r="AO40" s="400"/>
    </row>
    <row r="41" spans="3:42" s="292" customFormat="1" ht="17.25" customHeight="1" x14ac:dyDescent="0.25">
      <c r="C41" s="508"/>
      <c r="D41" s="509"/>
      <c r="E41" s="509"/>
      <c r="F41" s="510"/>
      <c r="G41" s="507"/>
      <c r="H41" s="507"/>
      <c r="I41" s="508"/>
      <c r="J41" s="509"/>
      <c r="K41" s="509"/>
      <c r="L41" s="510"/>
      <c r="M41" s="507"/>
      <c r="N41" s="507"/>
      <c r="O41" s="507"/>
      <c r="P41" s="508"/>
      <c r="Q41" s="509"/>
      <c r="R41" s="509"/>
      <c r="S41" s="510"/>
      <c r="T41" s="507"/>
      <c r="U41" s="507"/>
      <c r="V41" s="507"/>
      <c r="W41" s="508"/>
      <c r="X41" s="509"/>
      <c r="Y41" s="509"/>
      <c r="Z41" s="510"/>
      <c r="AA41" s="507"/>
      <c r="AB41" s="507"/>
      <c r="AC41" s="507"/>
      <c r="AD41" s="508"/>
      <c r="AE41" s="509"/>
      <c r="AF41" s="509"/>
      <c r="AG41" s="510"/>
      <c r="AH41" s="507"/>
      <c r="AI41" s="507"/>
      <c r="AJ41" s="508"/>
      <c r="AK41" s="509"/>
      <c r="AL41" s="509"/>
      <c r="AM41" s="510"/>
      <c r="AN41" s="507"/>
      <c r="AO41" s="511"/>
      <c r="AP41" s="291"/>
    </row>
    <row r="42" spans="3:42" s="516" customFormat="1" ht="17.25" customHeight="1" x14ac:dyDescent="0.25">
      <c r="C42" s="512"/>
      <c r="D42" s="513"/>
      <c r="E42" s="513"/>
      <c r="F42" s="514"/>
      <c r="G42" s="507"/>
      <c r="H42" s="507"/>
      <c r="I42" s="512"/>
      <c r="J42" s="513"/>
      <c r="K42" s="513"/>
      <c r="L42" s="514"/>
      <c r="M42" s="507"/>
      <c r="N42" s="507"/>
      <c r="O42" s="507"/>
      <c r="P42" s="512"/>
      <c r="Q42" s="513"/>
      <c r="R42" s="513"/>
      <c r="S42" s="514"/>
      <c r="T42" s="507"/>
      <c r="U42" s="507"/>
      <c r="V42" s="507"/>
      <c r="W42" s="512"/>
      <c r="X42" s="513"/>
      <c r="Y42" s="513"/>
      <c r="Z42" s="514"/>
      <c r="AA42" s="507"/>
      <c r="AB42" s="507"/>
      <c r="AC42" s="507"/>
      <c r="AD42" s="512"/>
      <c r="AE42" s="513"/>
      <c r="AF42" s="513"/>
      <c r="AG42" s="514"/>
      <c r="AH42" s="507"/>
      <c r="AI42" s="507"/>
      <c r="AJ42" s="512"/>
      <c r="AK42" s="513"/>
      <c r="AL42" s="513"/>
      <c r="AM42" s="514"/>
      <c r="AN42" s="507"/>
      <c r="AO42" s="511"/>
      <c r="AP42" s="515"/>
    </row>
    <row r="43" spans="3:42" s="518" customFormat="1" ht="17.25" customHeight="1" x14ac:dyDescent="0.25">
      <c r="C43" s="508"/>
      <c r="D43" s="509"/>
      <c r="E43" s="509"/>
      <c r="F43" s="510"/>
      <c r="G43" s="507"/>
      <c r="H43" s="507"/>
      <c r="I43" s="508"/>
      <c r="J43" s="509"/>
      <c r="K43" s="509"/>
      <c r="L43" s="510"/>
      <c r="M43" s="507"/>
      <c r="N43" s="507"/>
      <c r="O43" s="507"/>
      <c r="P43" s="508"/>
      <c r="Q43" s="509"/>
      <c r="R43" s="509"/>
      <c r="S43" s="510"/>
      <c r="T43" s="507"/>
      <c r="U43" s="507"/>
      <c r="V43" s="507"/>
      <c r="W43" s="508"/>
      <c r="X43" s="509"/>
      <c r="Y43" s="509"/>
      <c r="Z43" s="510"/>
      <c r="AA43" s="507"/>
      <c r="AB43" s="507"/>
      <c r="AC43" s="507"/>
      <c r="AD43" s="508"/>
      <c r="AE43" s="509"/>
      <c r="AF43" s="509"/>
      <c r="AG43" s="510"/>
      <c r="AH43" s="507"/>
      <c r="AI43" s="507"/>
      <c r="AJ43" s="508"/>
      <c r="AK43" s="509"/>
      <c r="AL43" s="509"/>
      <c r="AM43" s="510"/>
      <c r="AN43" s="507"/>
      <c r="AO43" s="511"/>
      <c r="AP43" s="517"/>
    </row>
    <row r="44" spans="3:42" s="507" customFormat="1" ht="17.25" customHeight="1" x14ac:dyDescent="0.25">
      <c r="C44" s="512"/>
      <c r="D44" s="513"/>
      <c r="E44" s="513"/>
      <c r="F44" s="514"/>
      <c r="I44" s="512"/>
      <c r="J44" s="513"/>
      <c r="K44" s="513"/>
      <c r="L44" s="514"/>
      <c r="P44" s="512"/>
      <c r="Q44" s="513"/>
      <c r="R44" s="513"/>
      <c r="S44" s="514"/>
      <c r="W44" s="512"/>
      <c r="X44" s="513"/>
      <c r="Y44" s="513"/>
      <c r="Z44" s="514"/>
      <c r="AD44" s="512"/>
      <c r="AE44" s="513"/>
      <c r="AF44" s="513"/>
      <c r="AG44" s="514"/>
      <c r="AJ44" s="512"/>
      <c r="AK44" s="513"/>
      <c r="AL44" s="513"/>
      <c r="AM44" s="514"/>
      <c r="AO44" s="511"/>
      <c r="AP44" s="519"/>
    </row>
    <row r="45" spans="3:42" s="507" customFormat="1" ht="17.25" customHeight="1" x14ac:dyDescent="0.25">
      <c r="C45" s="508"/>
      <c r="D45" s="509"/>
      <c r="E45" s="509"/>
      <c r="F45" s="510"/>
      <c r="I45" s="508"/>
      <c r="J45" s="509"/>
      <c r="K45" s="509"/>
      <c r="L45" s="510"/>
      <c r="P45" s="508"/>
      <c r="Q45" s="509"/>
      <c r="R45" s="509"/>
      <c r="S45" s="510"/>
      <c r="W45" s="508"/>
      <c r="X45" s="509"/>
      <c r="Y45" s="509"/>
      <c r="Z45" s="510"/>
      <c r="AD45" s="508"/>
      <c r="AE45" s="509"/>
      <c r="AF45" s="509"/>
      <c r="AG45" s="510"/>
      <c r="AJ45" s="508"/>
      <c r="AK45" s="509"/>
      <c r="AL45" s="509"/>
      <c r="AM45" s="510"/>
      <c r="AO45" s="511"/>
      <c r="AP45" s="520"/>
    </row>
    <row r="46" spans="3:42" s="507" customFormat="1" ht="17.25" customHeight="1" x14ac:dyDescent="0.25">
      <c r="C46" s="512"/>
      <c r="D46" s="513"/>
      <c r="E46" s="513"/>
      <c r="F46" s="514"/>
      <c r="I46" s="512"/>
      <c r="J46" s="513"/>
      <c r="K46" s="513"/>
      <c r="L46" s="514"/>
      <c r="P46" s="512"/>
      <c r="Q46" s="513"/>
      <c r="R46" s="513"/>
      <c r="S46" s="514"/>
      <c r="W46" s="512"/>
      <c r="X46" s="513"/>
      <c r="Y46" s="513"/>
      <c r="Z46" s="514"/>
      <c r="AD46" s="512"/>
      <c r="AE46" s="513"/>
      <c r="AF46" s="513"/>
      <c r="AG46" s="514"/>
      <c r="AJ46" s="512"/>
      <c r="AK46" s="513"/>
      <c r="AL46" s="513"/>
      <c r="AM46" s="514"/>
      <c r="AO46" s="511"/>
      <c r="AP46" s="520" t="e">
        <v>#N/A</v>
      </c>
    </row>
    <row r="47" spans="3:42" s="507" customFormat="1" ht="17.25" customHeight="1" x14ac:dyDescent="0.25">
      <c r="C47" s="508"/>
      <c r="D47" s="509"/>
      <c r="E47" s="509"/>
      <c r="F47" s="510"/>
      <c r="I47" s="508"/>
      <c r="J47" s="509"/>
      <c r="K47" s="509"/>
      <c r="L47" s="510"/>
      <c r="P47" s="508"/>
      <c r="Q47" s="509"/>
      <c r="R47" s="509"/>
      <c r="S47" s="510"/>
      <c r="W47" s="508"/>
      <c r="X47" s="509"/>
      <c r="Y47" s="509"/>
      <c r="Z47" s="510"/>
      <c r="AD47" s="508"/>
      <c r="AE47" s="509"/>
      <c r="AF47" s="509"/>
      <c r="AG47" s="510"/>
      <c r="AJ47" s="508"/>
      <c r="AK47" s="509"/>
      <c r="AL47" s="509"/>
      <c r="AM47" s="510"/>
      <c r="AO47" s="511"/>
      <c r="AP47" s="520" t="e">
        <v>#N/A</v>
      </c>
    </row>
    <row r="48" spans="3:42" s="507" customFormat="1" ht="17.25" customHeight="1" x14ac:dyDescent="0.25">
      <c r="C48" s="512"/>
      <c r="D48" s="513"/>
      <c r="E48" s="513"/>
      <c r="F48" s="514"/>
      <c r="I48" s="512"/>
      <c r="J48" s="513"/>
      <c r="K48" s="513"/>
      <c r="L48" s="514"/>
      <c r="P48" s="512"/>
      <c r="Q48" s="513"/>
      <c r="R48" s="513"/>
      <c r="S48" s="514"/>
      <c r="W48" s="512"/>
      <c r="X48" s="513"/>
      <c r="Y48" s="513"/>
      <c r="Z48" s="514"/>
      <c r="AD48" s="512"/>
      <c r="AE48" s="513"/>
      <c r="AF48" s="513"/>
      <c r="AG48" s="514"/>
      <c r="AJ48" s="512"/>
      <c r="AK48" s="513"/>
      <c r="AL48" s="513"/>
      <c r="AM48" s="514"/>
      <c r="AO48" s="511"/>
      <c r="AP48" s="520" t="e">
        <v>#N/A</v>
      </c>
    </row>
    <row r="50" spans="40:40" ht="17.25" customHeight="1" x14ac:dyDescent="0.3">
      <c r="AN50" s="79" t="s">
        <v>546</v>
      </c>
    </row>
  </sheetData>
  <mergeCells count="130">
    <mergeCell ref="C39:F39"/>
    <mergeCell ref="I39:L39"/>
    <mergeCell ref="P39:S39"/>
    <mergeCell ref="W39:Z39"/>
    <mergeCell ref="AD39:AG39"/>
    <mergeCell ref="AJ39:AM39"/>
    <mergeCell ref="C38:F38"/>
    <mergeCell ref="I38:L38"/>
    <mergeCell ref="P38:S38"/>
    <mergeCell ref="W38:Z38"/>
    <mergeCell ref="AD38:AG38"/>
    <mergeCell ref="AJ38:AM38"/>
    <mergeCell ref="W37:X37"/>
    <mergeCell ref="Y37:Z37"/>
    <mergeCell ref="AD37:AE37"/>
    <mergeCell ref="AF37:AG37"/>
    <mergeCell ref="AJ37:AK37"/>
    <mergeCell ref="AL37:AM37"/>
    <mergeCell ref="C37:D37"/>
    <mergeCell ref="E37:F37"/>
    <mergeCell ref="I37:J37"/>
    <mergeCell ref="K37:L37"/>
    <mergeCell ref="P37:Q37"/>
    <mergeCell ref="R37:S37"/>
    <mergeCell ref="W36:X36"/>
    <mergeCell ref="Y36:Z36"/>
    <mergeCell ref="AD36:AE36"/>
    <mergeCell ref="AF36:AG36"/>
    <mergeCell ref="AJ36:AK36"/>
    <mergeCell ref="AL36:AM36"/>
    <mergeCell ref="C36:D36"/>
    <mergeCell ref="E36:F36"/>
    <mergeCell ref="I36:J36"/>
    <mergeCell ref="K36:L36"/>
    <mergeCell ref="P36:Q36"/>
    <mergeCell ref="R36:S36"/>
    <mergeCell ref="W35:X35"/>
    <mergeCell ref="Y35:Z35"/>
    <mergeCell ref="AD35:AE35"/>
    <mergeCell ref="AF35:AG35"/>
    <mergeCell ref="AJ35:AK35"/>
    <mergeCell ref="AL35:AM35"/>
    <mergeCell ref="C35:D35"/>
    <mergeCell ref="E35:F35"/>
    <mergeCell ref="I35:J35"/>
    <mergeCell ref="K35:L35"/>
    <mergeCell ref="P35:Q35"/>
    <mergeCell ref="R35:S35"/>
    <mergeCell ref="W34:X34"/>
    <mergeCell ref="Y34:Z34"/>
    <mergeCell ref="AD34:AE34"/>
    <mergeCell ref="AF34:AG34"/>
    <mergeCell ref="AJ34:AK34"/>
    <mergeCell ref="AL34:AM34"/>
    <mergeCell ref="C34:D34"/>
    <mergeCell ref="E34:F34"/>
    <mergeCell ref="I34:J34"/>
    <mergeCell ref="K34:L34"/>
    <mergeCell ref="P34:Q34"/>
    <mergeCell ref="R34:S34"/>
    <mergeCell ref="W33:X33"/>
    <mergeCell ref="Y33:Z33"/>
    <mergeCell ref="AD33:AE33"/>
    <mergeCell ref="AF33:AG33"/>
    <mergeCell ref="AJ33:AK33"/>
    <mergeCell ref="AL33:AM33"/>
    <mergeCell ref="C33:D33"/>
    <mergeCell ref="E33:F33"/>
    <mergeCell ref="I33:J33"/>
    <mergeCell ref="K33:L33"/>
    <mergeCell ref="P33:Q33"/>
    <mergeCell ref="R33:S33"/>
    <mergeCell ref="W32:X32"/>
    <mergeCell ref="Y32:Z32"/>
    <mergeCell ref="AD32:AE32"/>
    <mergeCell ref="AF32:AG32"/>
    <mergeCell ref="AJ32:AK32"/>
    <mergeCell ref="AL32:AM32"/>
    <mergeCell ref="C32:D32"/>
    <mergeCell ref="E32:F32"/>
    <mergeCell ref="I32:J32"/>
    <mergeCell ref="K32:L32"/>
    <mergeCell ref="P32:Q32"/>
    <mergeCell ref="R32:S32"/>
    <mergeCell ref="W31:X31"/>
    <mergeCell ref="Y31:Z31"/>
    <mergeCell ref="AD31:AE31"/>
    <mergeCell ref="AF31:AG31"/>
    <mergeCell ref="AJ31:AK31"/>
    <mergeCell ref="AL31:AM31"/>
    <mergeCell ref="C31:D31"/>
    <mergeCell ref="E31:F31"/>
    <mergeCell ref="I31:J31"/>
    <mergeCell ref="K31:L31"/>
    <mergeCell ref="P31:Q31"/>
    <mergeCell ref="R31:S31"/>
    <mergeCell ref="C29:F29"/>
    <mergeCell ref="I29:L29"/>
    <mergeCell ref="P29:S29"/>
    <mergeCell ref="W29:Z29"/>
    <mergeCell ref="AD29:AG29"/>
    <mergeCell ref="AJ29:AM29"/>
    <mergeCell ref="C27:F27"/>
    <mergeCell ref="I27:L27"/>
    <mergeCell ref="P27:S27"/>
    <mergeCell ref="W27:Z27"/>
    <mergeCell ref="AD27:AG27"/>
    <mergeCell ref="AJ27:AM27"/>
    <mergeCell ref="C26:F26"/>
    <mergeCell ref="I26:L26"/>
    <mergeCell ref="P26:S26"/>
    <mergeCell ref="W26:Z26"/>
    <mergeCell ref="AD26:AG26"/>
    <mergeCell ref="AJ26:AM26"/>
    <mergeCell ref="C24:F24"/>
    <mergeCell ref="I24:L24"/>
    <mergeCell ref="P24:S24"/>
    <mergeCell ref="W24:Z24"/>
    <mergeCell ref="AD24:AG24"/>
    <mergeCell ref="AJ24:AM24"/>
    <mergeCell ref="A1:H2"/>
    <mergeCell ref="Q1:AD2"/>
    <mergeCell ref="AN1:AO1"/>
    <mergeCell ref="AN2:AO2"/>
    <mergeCell ref="C23:F23"/>
    <mergeCell ref="I23:L23"/>
    <mergeCell ref="P23:S23"/>
    <mergeCell ref="W23:Z23"/>
    <mergeCell ref="AD23:AG23"/>
    <mergeCell ref="AJ23:AM23"/>
  </mergeCells>
  <conditionalFormatting sqref="C27:F27">
    <cfRule type="expression" dxfId="5" priority="6">
      <formula>C26=""</formula>
    </cfRule>
  </conditionalFormatting>
  <conditionalFormatting sqref="I27:L27">
    <cfRule type="expression" dxfId="4" priority="5">
      <formula>I26=""</formula>
    </cfRule>
  </conditionalFormatting>
  <conditionalFormatting sqref="P27:S27">
    <cfRule type="expression" dxfId="3" priority="4">
      <formula>P26=""</formula>
    </cfRule>
  </conditionalFormatting>
  <conditionalFormatting sqref="W27:Z27">
    <cfRule type="expression" dxfId="2" priority="3">
      <formula>W26=""</formula>
    </cfRule>
  </conditionalFormatting>
  <conditionalFormatting sqref="AD27:AG27">
    <cfRule type="expression" dxfId="1" priority="2">
      <formula>AD26=""</formula>
    </cfRule>
  </conditionalFormatting>
  <conditionalFormatting sqref="AJ27:AM27">
    <cfRule type="expression" dxfId="0" priority="1">
      <formula>AJ26=""</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147E15862D9E47BFD69DFDE6AD4E23" ma:contentTypeVersion="13" ma:contentTypeDescription="Create a new document." ma:contentTypeScope="" ma:versionID="9af48123eb8319dcf09a62f48bf662a4">
  <xsd:schema xmlns:xsd="http://www.w3.org/2001/XMLSchema" xmlns:xs="http://www.w3.org/2001/XMLSchema" xmlns:p="http://schemas.microsoft.com/office/2006/metadata/properties" xmlns:ns2="2270d4be-6baf-47ca-8f57-1da756c1cf5e" xmlns:ns3="b4b51179-86cb-4ca1-9cf3-6d9ccd4fcf52" targetNamespace="http://schemas.microsoft.com/office/2006/metadata/properties" ma:root="true" ma:fieldsID="9816c2f95460aac00487c02ea60d197a" ns2:_="" ns3:_="">
    <xsd:import namespace="2270d4be-6baf-47ca-8f57-1da756c1cf5e"/>
    <xsd:import namespace="b4b51179-86cb-4ca1-9cf3-6d9ccd4fcf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70d4be-6baf-47ca-8f57-1da756c1cf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6cdb70e-335d-49fc-a55a-763829695dce"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b51179-86cb-4ca1-9cf3-6d9ccd4fcf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33e526d-e14f-4762-8e02-86c39bfad224}" ma:internalName="TaxCatchAll" ma:showField="CatchAllData" ma:web="b4b51179-86cb-4ca1-9cf3-6d9ccd4fcf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4b51179-86cb-4ca1-9cf3-6d9ccd4fcf52" xsi:nil="true"/>
    <lcf76f155ced4ddcb4097134ff3c332f xmlns="2270d4be-6baf-47ca-8f57-1da756c1cf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137A03-4C33-4ACC-9067-26D0D48F38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70d4be-6baf-47ca-8f57-1da756c1cf5e"/>
    <ds:schemaRef ds:uri="b4b51179-86cb-4ca1-9cf3-6d9ccd4fcf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CBF055-598E-481A-AD10-F859E4CA2775}">
  <ds:schemaRefs>
    <ds:schemaRef ds:uri="http://schemas.microsoft.com/sharepoint/v3/contenttype/forms"/>
  </ds:schemaRefs>
</ds:datastoreItem>
</file>

<file path=customXml/itemProps3.xml><?xml version="1.0" encoding="utf-8"?>
<ds:datastoreItem xmlns:ds="http://schemas.openxmlformats.org/officeDocument/2006/customXml" ds:itemID="{E27C4497-A06A-4E8A-B374-2A5D9D6A779A}">
  <ds:schemaRefs>
    <ds:schemaRef ds:uri="http://www.w3.org/XML/1998/namespace"/>
    <ds:schemaRef ds:uri="http://purl.org/dc/terms/"/>
    <ds:schemaRef ds:uri="2270d4be-6baf-47ca-8f57-1da756c1cf5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b4b51179-86cb-4ca1-9cf3-6d9ccd4fcf52"/>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Sheet1</vt:lpstr>
      <vt:lpstr>ORDER PRO REF</vt:lpstr>
      <vt:lpstr>Sheet3</vt:lpstr>
      <vt:lpstr>DESCRIPTORS</vt:lpstr>
      <vt:lpstr>CUSTOMER</vt:lpstr>
      <vt:lpstr>HMD $ LUP</vt:lpstr>
      <vt:lpstr>HMF $ LUP</vt:lpstr>
      <vt:lpstr>NDC PRICE $</vt:lpstr>
      <vt:lpstr>PIONEER $</vt:lpstr>
      <vt:lpstr>HMD GROUP</vt:lpstr>
      <vt:lpstr>HMD LUP</vt:lpstr>
      <vt:lpstr>HMD OPT</vt:lpstr>
      <vt:lpstr>HMF LUP</vt:lpstr>
      <vt:lpstr>HMF OPT</vt:lpstr>
      <vt:lpstr>ACC LUP</vt:lpstr>
      <vt:lpstr>accessories</vt:lpstr>
      <vt:lpstr>HD LUP</vt:lpstr>
      <vt:lpstr>HD OPT</vt:lpstr>
      <vt:lpstr>HDW TABLE</vt:lpstr>
      <vt:lpstr>Sheet2</vt:lpstr>
      <vt:lpstr>elev</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President</dc:creator>
  <cp:lastModifiedBy>Paul Weymer</cp:lastModifiedBy>
  <cp:lastPrinted>2026-04-06T23:16:14Z</cp:lastPrinted>
  <dcterms:created xsi:type="dcterms:W3CDTF">2019-04-05T19:30:51Z</dcterms:created>
  <dcterms:modified xsi:type="dcterms:W3CDTF">2026-04-07T16:29:27Z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0x0101001E147E15862D9E47BFD69DFDE6AD4E23</vt:lpwstr>
  </property>
  <property fmtid="{D5CDD505-2E9C-101B-9397-08002B2CF9AE}" pid="3" name="MediaServiceImageTags">
    <vt:lpwstr/>
  </property>
</Properties>
</file>