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8C8AB255-1B4F-4D0C-B700-87E7567A34B3}" xr6:coauthVersionLast="47" xr6:coauthVersionMax="47" xr10:uidLastSave="{00000000-0000-0000-0000-000000000000}"/>
  <bookViews>
    <workbookView xWindow="-110" yWindow="-110" windowWidth="19420" windowHeight="11500" tabRatio="618" firstSheet="3"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26" l="1"/>
  <c r="D5" i="26"/>
  <c r="E5" i="26" s="1"/>
  <c r="F5" i="26" s="1"/>
  <c r="G5" i="26" s="1"/>
  <c r="CH401" i="3" l="1"/>
  <c r="CH55" i="3"/>
  <c r="CG55" i="3"/>
  <c r="CF55" i="3"/>
  <c r="I72" i="1" l="1"/>
  <c r="I71" i="1"/>
  <c r="I70" i="1"/>
  <c r="CH237" i="3" l="1"/>
  <c r="CH419"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GD439" i="24" s="1"/>
  <c r="F439" i="24"/>
  <c r="B440" i="24"/>
  <c r="C440" i="24"/>
  <c r="D440" i="24"/>
  <c r="E440" i="24"/>
  <c r="N440" i="24" s="1"/>
  <c r="F440" i="24"/>
  <c r="B441" i="24"/>
  <c r="C441" i="24"/>
  <c r="D441" i="24"/>
  <c r="E441" i="24"/>
  <c r="N441" i="24" s="1"/>
  <c r="GC441" i="24" s="1"/>
  <c r="F441" i="24"/>
  <c r="B442" i="24"/>
  <c r="C442" i="24"/>
  <c r="D442" i="24"/>
  <c r="E442" i="24"/>
  <c r="N442" i="24" s="1"/>
  <c r="F442" i="24"/>
  <c r="B443" i="24"/>
  <c r="C443" i="24"/>
  <c r="D443" i="24"/>
  <c r="E443" i="24"/>
  <c r="N443" i="24" s="1"/>
  <c r="GC443" i="24" s="1"/>
  <c r="F443" i="24"/>
  <c r="B444" i="24"/>
  <c r="C444" i="24"/>
  <c r="D444" i="24"/>
  <c r="E444" i="24"/>
  <c r="N444" i="24" s="1"/>
  <c r="GC444" i="24" s="1"/>
  <c r="F444" i="24"/>
  <c r="B445" i="24"/>
  <c r="C445" i="24"/>
  <c r="D445" i="24"/>
  <c r="E445" i="24"/>
  <c r="N445" i="24" s="1"/>
  <c r="F445" i="24"/>
  <c r="B446" i="24"/>
  <c r="C446" i="24"/>
  <c r="D446" i="24"/>
  <c r="E446" i="24"/>
  <c r="N446" i="24" s="1"/>
  <c r="GC446" i="24" s="1"/>
  <c r="F446" i="24"/>
  <c r="B447" i="24"/>
  <c r="C447" i="24"/>
  <c r="D447" i="24"/>
  <c r="E447" i="24"/>
  <c r="N447" i="24" s="1"/>
  <c r="GC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H460" i="3"/>
  <c r="CG460" i="3"/>
  <c r="CF460" i="3"/>
  <c r="CE460" i="3"/>
  <c r="CD460" i="3"/>
  <c r="CC460" i="3"/>
  <c r="CB460" i="3"/>
  <c r="AD460" i="3"/>
  <c r="AC460" i="3"/>
  <c r="AB460" i="3"/>
  <c r="AA460" i="3"/>
  <c r="Z460" i="3"/>
  <c r="Y460" i="3"/>
  <c r="X460" i="3"/>
  <c r="CH459" i="3"/>
  <c r="CG459" i="3"/>
  <c r="CF459" i="3"/>
  <c r="CE459" i="3"/>
  <c r="CD459" i="3"/>
  <c r="CC459" i="3"/>
  <c r="CB459" i="3"/>
  <c r="CH458" i="3"/>
  <c r="CG458" i="3"/>
  <c r="CF458" i="3"/>
  <c r="CE458" i="3"/>
  <c r="CD458" i="3"/>
  <c r="CC458" i="3"/>
  <c r="CB458" i="3"/>
  <c r="V458" i="3"/>
  <c r="T458" i="3"/>
  <c r="S458" i="3"/>
  <c r="R458" i="3"/>
  <c r="O458" i="3"/>
  <c r="W458" i="3" s="1"/>
  <c r="N458" i="3"/>
  <c r="M458" i="3"/>
  <c r="U458" i="3" s="1"/>
  <c r="L458" i="3"/>
  <c r="K458" i="3"/>
  <c r="J458" i="3"/>
  <c r="I458" i="3"/>
  <c r="Q458" i="3" s="1"/>
  <c r="CH457" i="3"/>
  <c r="CG457" i="3"/>
  <c r="CF457" i="3"/>
  <c r="CE457" i="3"/>
  <c r="CD457" i="3"/>
  <c r="CC457" i="3"/>
  <c r="CB457" i="3"/>
  <c r="N457" i="3"/>
  <c r="V457" i="3" s="1"/>
  <c r="M457" i="3"/>
  <c r="U457" i="3" s="1"/>
  <c r="CH456" i="3"/>
  <c r="CG456" i="3"/>
  <c r="CF456" i="3"/>
  <c r="CE456" i="3"/>
  <c r="CD456" i="3"/>
  <c r="AH456" i="3"/>
  <c r="AG456" i="3"/>
  <c r="CH455" i="3"/>
  <c r="CD455" i="3"/>
  <c r="CF455" i="3" s="1"/>
  <c r="CG455" i="3" s="1"/>
  <c r="W455" i="3"/>
  <c r="V455" i="3"/>
  <c r="U455" i="3"/>
  <c r="T455" i="3"/>
  <c r="S455" i="3"/>
  <c r="R455" i="3"/>
  <c r="Q455" i="3"/>
  <c r="O455" i="3"/>
  <c r="N455" i="3"/>
  <c r="M455" i="3"/>
  <c r="L455" i="3"/>
  <c r="K455" i="3"/>
  <c r="J455" i="3"/>
  <c r="I455" i="3"/>
  <c r="CH454" i="3"/>
  <c r="CG454" i="3"/>
  <c r="CF454" i="3"/>
  <c r="CE454" i="3"/>
  <c r="CD454" i="3"/>
  <c r="T454" i="3"/>
  <c r="T456" i="3" s="1"/>
  <c r="S454" i="3"/>
  <c r="S456" i="3" s="1"/>
  <c r="R454" i="3"/>
  <c r="R456" i="3" s="1"/>
  <c r="J454" i="3"/>
  <c r="J456" i="3" s="1"/>
  <c r="CH453" i="3"/>
  <c r="CG453" i="3"/>
  <c r="CF453" i="3"/>
  <c r="CE453" i="3"/>
  <c r="CD453" i="3"/>
  <c r="W453" i="3"/>
  <c r="W454" i="3" s="1"/>
  <c r="W456" i="3" s="1"/>
  <c r="V453" i="3"/>
  <c r="V454" i="3" s="1"/>
  <c r="V456" i="3" s="1"/>
  <c r="U453" i="3"/>
  <c r="U454" i="3" s="1"/>
  <c r="U456" i="3" s="1"/>
  <c r="T453" i="3"/>
  <c r="S453" i="3"/>
  <c r="R453" i="3"/>
  <c r="Q453" i="3"/>
  <c r="Q454" i="3" s="1"/>
  <c r="Q456" i="3" s="1"/>
  <c r="O453" i="3"/>
  <c r="O454" i="3" s="1"/>
  <c r="O456" i="3" s="1"/>
  <c r="N453" i="3"/>
  <c r="N454" i="3" s="1"/>
  <c r="N456" i="3" s="1"/>
  <c r="M453" i="3"/>
  <c r="M454" i="3" s="1"/>
  <c r="M456" i="3" s="1"/>
  <c r="L453" i="3"/>
  <c r="L454" i="3" s="1"/>
  <c r="L456" i="3" s="1"/>
  <c r="K453" i="3"/>
  <c r="K454" i="3" s="1"/>
  <c r="K456" i="3" s="1"/>
  <c r="J453" i="3"/>
  <c r="I453" i="3"/>
  <c r="I454" i="3" s="1"/>
  <c r="I456" i="3" s="1"/>
  <c r="CD452" i="3"/>
  <c r="O452" i="3"/>
  <c r="W452" i="3" s="1"/>
  <c r="N452" i="3"/>
  <c r="V452" i="3" s="1"/>
  <c r="M452" i="3"/>
  <c r="U452" i="3" s="1"/>
  <c r="L452" i="3"/>
  <c r="T452" i="3" s="1"/>
  <c r="K452" i="3"/>
  <c r="S452" i="3" s="1"/>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I447" i="3"/>
  <c r="Q447" i="3" s="1"/>
  <c r="CH446" i="3"/>
  <c r="CD446" i="3"/>
  <c r="CG446" i="3" s="1"/>
  <c r="CC446" i="3"/>
  <c r="M446" i="3"/>
  <c r="U446" i="3" s="1"/>
  <c r="L446" i="3"/>
  <c r="T446" i="3" s="1"/>
  <c r="V445" i="3"/>
  <c r="O445" i="3"/>
  <c r="O457" i="3" s="1"/>
  <c r="W457" i="3" s="1"/>
  <c r="N445" i="3"/>
  <c r="N447" i="3" s="1"/>
  <c r="V447" i="3" s="1"/>
  <c r="M445" i="3"/>
  <c r="U445" i="3" s="1"/>
  <c r="L445" i="3"/>
  <c r="T445" i="3" s="1"/>
  <c r="K445" i="3"/>
  <c r="K446" i="3" s="1"/>
  <c r="S446" i="3" s="1"/>
  <c r="J445" i="3"/>
  <c r="J446" i="3" s="1"/>
  <c r="R446" i="3" s="1"/>
  <c r="I445" i="3"/>
  <c r="I446" i="3" s="1"/>
  <c r="Q446" i="3" s="1"/>
  <c r="CH443" i="3"/>
  <c r="CH452" i="3" s="1"/>
  <c r="CG443" i="3"/>
  <c r="CG452" i="3" s="1"/>
  <c r="CF443" i="3"/>
  <c r="CF452" i="3" s="1"/>
  <c r="CE443" i="3"/>
  <c r="CE452" i="3" s="1"/>
  <c r="CD443" i="3"/>
  <c r="CC443" i="3"/>
  <c r="CB443" i="3"/>
  <c r="AD443" i="3"/>
  <c r="AD444" i="3" s="1"/>
  <c r="AC443" i="3"/>
  <c r="AC444" i="3" s="1"/>
  <c r="AB443" i="3"/>
  <c r="AB444" i="3" s="1"/>
  <c r="AA443" i="3"/>
  <c r="AA444" i="3" s="1"/>
  <c r="Z443" i="3"/>
  <c r="Z444" i="3" s="1"/>
  <c r="Y443" i="3"/>
  <c r="Y444" i="3" s="1"/>
  <c r="X443" i="3"/>
  <c r="X444" i="3" s="1"/>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X6" i="26"/>
  <c r="N446" i="3" l="1"/>
  <c r="V446" i="3" s="1"/>
  <c r="J442" i="3"/>
  <c r="R442" i="3" s="1"/>
  <c r="M447" i="3"/>
  <c r="U447" i="3" s="1"/>
  <c r="GC449" i="24"/>
  <c r="W445" i="3"/>
  <c r="O447" i="3"/>
  <c r="W447" i="3" s="1"/>
  <c r="GC448" i="24"/>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55" i="3"/>
  <c r="K442" i="3"/>
  <c r="CE446" i="3"/>
  <c r="CF446" i="3"/>
  <c r="V5" i="26"/>
  <c r="W5" i="26" s="1"/>
  <c r="S442" i="3" l="1"/>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I138" i="3"/>
  <c r="J138" i="3" s="1"/>
  <c r="K138" i="3" s="1"/>
  <c r="L138" i="3" s="1"/>
  <c r="M138" i="3" s="1"/>
  <c r="N138" i="3" s="1"/>
  <c r="O138"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c r="V403" i="3" s="1"/>
  <c r="V404" i="3" s="1"/>
  <c r="M404" i="3" l="1"/>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I139" i="3"/>
  <c r="J139" i="3" s="1"/>
  <c r="K139" i="3" s="1"/>
  <c r="L139" i="3" s="1"/>
  <c r="M139" i="3" s="1"/>
  <c r="N139" i="3" s="1"/>
  <c r="O139"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9" i="3"/>
  <c r="BU138" i="3"/>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U138" i="3"/>
  <c r="CG83" i="3"/>
  <c r="CH83" i="3"/>
  <c r="CD92" i="3"/>
  <c r="DR84" i="3"/>
  <c r="DQ84" i="3"/>
  <c r="DP84" i="3"/>
  <c r="DO84" i="3"/>
  <c r="DN84" i="3"/>
  <c r="DM84" i="3"/>
  <c r="DH81" i="24"/>
  <c r="R138" i="3"/>
  <c r="S138" i="3"/>
  <c r="R139" i="3"/>
  <c r="T138" i="3"/>
  <c r="S139" i="3"/>
  <c r="W138" i="3"/>
  <c r="V139" i="3"/>
  <c r="V138" i="3"/>
  <c r="W139" i="3"/>
  <c r="U139" i="3"/>
  <c r="T139" i="3"/>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5" i="3"/>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138" i="3"/>
  <c r="Q139"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CH210" i="3" s="1"/>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DQ191" i="3"/>
  <c r="DP191" i="3"/>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4" i="24"/>
  <c r="E224" i="24"/>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DN198" i="3"/>
  <c r="DL198" i="3"/>
  <c r="DR197" i="3"/>
  <c r="CH197" i="3" s="1"/>
  <c r="DN197" i="3"/>
  <c r="DL197" i="3"/>
  <c r="DR196" i="3"/>
  <c r="CH196" i="3" s="1"/>
  <c r="DN196" i="3"/>
  <c r="DL196" i="3"/>
  <c r="DR195" i="3"/>
  <c r="DN195" i="3"/>
  <c r="CD195" i="3" s="1"/>
  <c r="DL195" i="3"/>
  <c r="DR194" i="3"/>
  <c r="CH194" i="3" s="1"/>
  <c r="DN194" i="3"/>
  <c r="DL194" i="3"/>
  <c r="DR193" i="3"/>
  <c r="DN193" i="3"/>
  <c r="DR189" i="3"/>
  <c r="DN189" i="3"/>
  <c r="DL189" i="3"/>
  <c r="DR188" i="3"/>
  <c r="DN188" i="3"/>
  <c r="DL188" i="3"/>
  <c r="DR187" i="3"/>
  <c r="CH187" i="3" s="1"/>
  <c r="DN187" i="3"/>
  <c r="DL187" i="3"/>
  <c r="DR186" i="3"/>
  <c r="CH186" i="3" s="1"/>
  <c r="DN186" i="3"/>
  <c r="DL186" i="3"/>
  <c r="DR185" i="3"/>
  <c r="CH185" i="3" s="1"/>
  <c r="DN185" i="3"/>
  <c r="DL185" i="3"/>
  <c r="DR184" i="3"/>
  <c r="CH184" i="3" s="1"/>
  <c r="DN184" i="3"/>
  <c r="DL184" i="3"/>
  <c r="DR183" i="3"/>
  <c r="CH183" i="3" s="1"/>
  <c r="DN183" i="3"/>
  <c r="DL183" i="3"/>
  <c r="BN183" i="3" s="1"/>
  <c r="DR206" i="3"/>
  <c r="DN206" i="3"/>
  <c r="DL206" i="3"/>
  <c r="DR205" i="3"/>
  <c r="CH205" i="3" s="1"/>
  <c r="DN205" i="3"/>
  <c r="DL205" i="3"/>
  <c r="DR204" i="3"/>
  <c r="CH204" i="3" s="1"/>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D187" i="3"/>
  <c r="CD186" i="3"/>
  <c r="CD185" i="3"/>
  <c r="CD184" i="3"/>
  <c r="CD183" i="3"/>
  <c r="CB183"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36" i="24"/>
  <c r="N235" i="24"/>
  <c r="N234" i="24"/>
  <c r="N233" i="24"/>
  <c r="N232" i="24"/>
  <c r="N231" i="24"/>
  <c r="N230" i="24"/>
  <c r="N229" i="24"/>
  <c r="N228" i="24"/>
  <c r="N227" i="24"/>
  <c r="N226" i="24"/>
  <c r="N225" i="24"/>
  <c r="N224"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CG210" i="3" s="1"/>
  <c r="DP210" i="3"/>
  <c r="CF210" i="3" s="1"/>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DP195" i="3"/>
  <c r="CF195" i="3" s="1"/>
  <c r="DP198" i="3"/>
  <c r="DP196" i="3"/>
  <c r="CF196" i="3" s="1"/>
  <c r="DP197" i="3"/>
  <c r="CF197" i="3" s="1"/>
  <c r="DP205" i="3"/>
  <c r="CF205" i="3" s="1"/>
  <c r="DP206" i="3"/>
  <c r="DP203" i="3"/>
  <c r="DP204" i="3"/>
  <c r="CF204" i="3" s="1"/>
  <c r="DM204" i="3"/>
  <c r="DM205" i="3"/>
  <c r="DM203" i="3"/>
  <c r="CC203" i="3" s="1"/>
  <c r="DM206" i="3"/>
  <c r="DO176" i="3" l="1"/>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CH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CG198" i="3" s="1"/>
  <c r="DQ194" i="3"/>
  <c r="CG194" i="3" s="1"/>
  <c r="DQ195" i="3"/>
  <c r="CG195" i="3" s="1"/>
  <c r="DQ196" i="3"/>
  <c r="CG196" i="3" s="1"/>
  <c r="DQ197" i="3"/>
  <c r="CG197" i="3" s="1"/>
  <c r="DQ199" i="3"/>
  <c r="DQ198" i="3"/>
  <c r="DO163" i="3"/>
  <c r="DO165" i="3"/>
  <c r="DO164" i="3"/>
  <c r="DO158" i="3"/>
  <c r="CE158" i="3" s="1"/>
  <c r="DO161" i="3"/>
  <c r="CE161" i="3" s="1"/>
  <c r="DO162" i="3"/>
  <c r="DO204" i="3"/>
  <c r="DO206" i="3"/>
  <c r="DO205" i="3"/>
  <c r="DO203" i="3"/>
  <c r="CE203" i="3" s="1"/>
  <c r="DQ206" i="3"/>
  <c r="DQ205" i="3"/>
  <c r="CG205" i="3" s="1"/>
  <c r="DQ204" i="3"/>
  <c r="CG204" i="3" s="1"/>
  <c r="DQ203" i="3"/>
  <c r="CG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DQ186" i="3"/>
  <c r="CG186" i="3" s="1"/>
  <c r="DQ187" i="3"/>
  <c r="CG187" i="3" s="1"/>
  <c r="DQ177" i="3"/>
  <c r="CG177" i="3" s="1"/>
  <c r="DQ178" i="3"/>
  <c r="CG178" i="3" s="1"/>
  <c r="DQ179" i="3"/>
  <c r="CG179" i="3" s="1"/>
  <c r="DQ180" i="3"/>
  <c r="CG180" i="3" s="1"/>
  <c r="DQ174" i="3"/>
  <c r="CG174" i="3" s="1"/>
  <c r="CH203" i="3" l="1"/>
  <c r="CF203" i="3"/>
  <c r="CH193" i="3"/>
  <c r="CH198" i="3" s="1"/>
  <c r="CF193" i="3"/>
  <c r="CF198" i="3" s="1"/>
  <c r="CE188" i="3"/>
  <c r="CF188" i="3" s="1"/>
  <c r="CG188" i="3" s="1"/>
  <c r="CH188" i="3" s="1"/>
  <c r="CE198"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DL231" i="3"/>
  <c r="CB231" i="3" s="1"/>
  <c r="BU231" i="3"/>
  <c r="DR230" i="3"/>
  <c r="CH230" i="3" s="1"/>
  <c r="DL230" i="3"/>
  <c r="CB230" i="3" s="1"/>
  <c r="BU230" i="3"/>
  <c r="DR229" i="3"/>
  <c r="CH229" i="3" s="1"/>
  <c r="DL229" i="3"/>
  <c r="CB229" i="3" s="1"/>
  <c r="BU229" i="3"/>
  <c r="DR228" i="3"/>
  <c r="DL228" i="3"/>
  <c r="CB228" i="3" s="1"/>
  <c r="BU228" i="3"/>
  <c r="DR227" i="3"/>
  <c r="CH227" i="3" s="1"/>
  <c r="DL227" i="3"/>
  <c r="CB227" i="3" s="1"/>
  <c r="BU227" i="3"/>
  <c r="DR226" i="3"/>
  <c r="CH226" i="3" s="1"/>
  <c r="DL226" i="3"/>
  <c r="CB226" i="3" s="1"/>
  <c r="BU226" i="3"/>
  <c r="DR225" i="3"/>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DL223" i="3"/>
  <c r="CB223" i="3" s="1"/>
  <c r="DM223" i="3"/>
  <c r="CC223" i="3" s="1"/>
  <c r="DN223" i="3"/>
  <c r="CD223" i="3" s="1"/>
  <c r="DO223" i="3"/>
  <c r="CE223" i="3" s="1"/>
  <c r="DP223" i="3"/>
  <c r="CF223" i="3" s="1"/>
  <c r="DQ223" i="3"/>
  <c r="CG223" i="3" s="1"/>
  <c r="DR223" i="3"/>
  <c r="CH223" i="3" s="1"/>
  <c r="CB210" i="3"/>
  <c r="CC210" i="3"/>
  <c r="CD210" i="3"/>
  <c r="CE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0" i="24"/>
  <c r="GD453" i="24"/>
  <c r="GF442" i="24"/>
  <c r="GD458" i="24"/>
  <c r="GE445" i="24"/>
  <c r="GD445" i="24"/>
  <c r="GE452" i="24"/>
  <c r="GE450" i="24"/>
  <c r="GC442" i="24"/>
  <c r="GD442" i="24"/>
  <c r="GF455" i="24"/>
  <c r="GD456" i="24"/>
  <c r="GC455" i="24"/>
  <c r="GE458" i="24"/>
  <c r="GE457" i="24"/>
  <c r="GF457" i="24"/>
  <c r="GC452" i="24"/>
  <c r="GD451" i="24"/>
  <c r="GC454" i="24"/>
  <c r="GF456" i="24"/>
  <c r="GC440" i="24"/>
  <c r="GF453" i="24"/>
  <c r="GC457" i="24"/>
  <c r="GF454" i="24"/>
  <c r="GF451" i="24"/>
  <c r="GD455" i="24"/>
  <c r="GE440" i="24"/>
  <c r="GD452" i="24"/>
  <c r="GF440" i="24"/>
  <c r="GE451" i="24"/>
  <c r="GF459" i="24"/>
  <c r="GC458" i="24"/>
  <c r="GC450" i="24"/>
  <c r="GE456" i="24"/>
  <c r="GD440" i="24"/>
  <c r="GC445" i="24"/>
  <c r="GD454" i="24"/>
  <c r="GE455" i="24"/>
  <c r="GE442" i="24"/>
  <c r="GC453" i="24"/>
  <c r="GE453" i="24"/>
  <c r="GC459" i="24"/>
  <c r="GE459" i="24"/>
  <c r="GF452" i="24"/>
  <c r="GC456" i="24"/>
  <c r="GF445" i="24"/>
  <c r="GD457" i="24"/>
  <c r="GF450" i="24"/>
  <c r="GE454" i="24"/>
  <c r="GF458" i="24"/>
  <c r="GD459"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DP231" i="3"/>
  <c r="DP232" i="3"/>
  <c r="CF232" i="3" s="1"/>
  <c r="CH228" i="3" l="1"/>
  <c r="CF228" i="3"/>
  <c r="DO225" i="3"/>
  <c r="CE225" i="3" s="1"/>
  <c r="DO227" i="3"/>
  <c r="CE227" i="3" s="1"/>
  <c r="DQ233" i="3"/>
  <c r="CG233" i="3" s="1"/>
  <c r="DQ231" i="3"/>
  <c r="CG231" i="3" s="1"/>
  <c r="DQ232" i="3"/>
  <c r="CG232" i="3" s="1"/>
  <c r="CH225" i="3" l="1"/>
  <c r="CF225" i="3"/>
  <c r="DO231" i="3"/>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CH231" i="3" l="1"/>
  <c r="CF231" i="3"/>
  <c r="GB40" i="24"/>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<sst xmlns="http://schemas.openxmlformats.org/spreadsheetml/2006/main" count="10320" uniqueCount="2094">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</sst>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2017</v>
      </c>
      <c r="B74" s="211" t="s">
        <v>2018</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2019</v>
      </c>
      <c r="S74" s="83"/>
    </row>
    <row r="75" spans="1:35" x14ac:dyDescent="0.35">
      <c r="A75" s="211" t="s">
        <v>2020</v>
      </c>
      <c r="B75" s="211" t="s">
        <v>2021</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2022</v>
      </c>
      <c r="B76" s="211" t="s">
        <v>2023</v>
      </c>
      <c r="C76" s="211">
        <v>0</v>
      </c>
      <c r="D76" s="211">
        <v>0</v>
      </c>
      <c r="E76" s="211">
        <v>0</v>
      </c>
      <c r="F76" s="211">
        <v>0</v>
      </c>
      <c r="G76" s="211">
        <v>0</v>
      </c>
      <c r="H76" s="211">
        <v>0</v>
      </c>
      <c r="I76" s="211">
        <v>0</v>
      </c>
      <c r="J76" s="14"/>
      <c r="K76" s="33" t="s">
        <v>318</v>
      </c>
      <c r="L76" s="33" t="s">
        <v>418</v>
      </c>
      <c r="M76" s="211" t="s">
        <v>320</v>
      </c>
      <c r="N76" s="33">
        <v>0</v>
      </c>
      <c r="O76" s="211" t="s">
        <v>1990</v>
      </c>
      <c r="P76" s="41" t="s">
        <v>29</v>
      </c>
      <c r="Q76" s="41" t="s">
        <v>29</v>
      </c>
      <c r="R76" s="79"/>
      <c r="S76" s="83">
        <v>1</v>
      </c>
    </row>
    <row r="77" spans="1:35" x14ac:dyDescent="0.35">
      <c r="A77" s="1" t="s">
        <v>2024</v>
      </c>
      <c r="B77" s="49" t="s">
        <v>2025</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2026</v>
      </c>
      <c r="B78" s="49" t="s">
        <v>2027</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2028</v>
      </c>
      <c r="B79" s="49" t="s">
        <v>2029</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2030</v>
      </c>
      <c r="B80" s="356" t="s">
        <v>2031</v>
      </c>
      <c r="C80" s="1">
        <v>0</v>
      </c>
      <c r="D80" s="1">
        <v>0</v>
      </c>
      <c r="E80" s="1">
        <v>0</v>
      </c>
      <c r="F80" s="1">
        <v>0</v>
      </c>
      <c r="G80" s="1">
        <v>0</v>
      </c>
      <c r="H80" s="1">
        <v>0</v>
      </c>
      <c r="I80" s="1">
        <v>0</v>
      </c>
      <c r="J80" s="14"/>
      <c r="K80" s="33" t="s">
        <v>318</v>
      </c>
      <c r="L80" s="33" t="s">
        <v>418</v>
      </c>
      <c r="M80" s="211" t="s">
        <v>320</v>
      </c>
      <c r="N80" s="33">
        <v>0</v>
      </c>
      <c r="O80" s="211" t="s">
        <v>1990</v>
      </c>
      <c r="P80" s="41" t="s">
        <v>29</v>
      </c>
      <c r="Q80" s="41" t="s">
        <v>29</v>
      </c>
      <c r="R80" s="79"/>
      <c r="S80" s="83">
        <v>1</v>
      </c>
    </row>
    <row r="81" spans="1:35" x14ac:dyDescent="0.35">
      <c r="A81" s="211" t="s">
        <v>2032</v>
      </c>
      <c r="B81" s="356" t="s">
        <v>2033</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2034</v>
      </c>
      <c r="B84" s="356" t="s">
        <v>2021</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2035</v>
      </c>
      <c r="B85" s="356" t="s">
        <v>2036</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2037</v>
      </c>
      <c r="B86" s="356" t="s">
        <v>368</v>
      </c>
      <c r="C86" s="1">
        <v>0</v>
      </c>
      <c r="D86" s="1">
        <v>0</v>
      </c>
      <c r="E86" s="1">
        <v>0</v>
      </c>
      <c r="F86" s="1">
        <v>0</v>
      </c>
      <c r="G86" s="1">
        <v>0</v>
      </c>
      <c r="H86" s="1">
        <v>0</v>
      </c>
      <c r="I86" s="1">
        <v>0</v>
      </c>
      <c r="K86" s="33" t="s">
        <v>318</v>
      </c>
      <c r="L86" s="33" t="s">
        <v>418</v>
      </c>
      <c r="M86" s="211" t="s">
        <v>320</v>
      </c>
      <c r="N86" s="33">
        <v>0</v>
      </c>
      <c r="O86" s="211" t="s">
        <v>1990</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1990</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70" zoomScaleNormal="70" workbookViewId="0">
      <pane xSplit="8" ySplit="6" topLeftCell="CF125"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3" t="s">
        <v>556</v>
      </c>
      <c r="B2" s="413"/>
      <c r="C2" s="413"/>
      <c r="D2" s="413"/>
      <c r="E2" s="413"/>
      <c r="F2" s="413"/>
      <c r="G2" s="413"/>
      <c r="H2" s="110"/>
      <c r="I2" s="414" t="s">
        <v>557</v>
      </c>
      <c r="J2" s="414"/>
      <c r="K2" s="414"/>
      <c r="L2" s="414"/>
      <c r="M2" s="414"/>
      <c r="N2" s="414"/>
      <c r="O2" s="414"/>
      <c r="P2" s="414"/>
      <c r="Q2" s="414"/>
      <c r="R2" s="414"/>
      <c r="S2" s="414"/>
      <c r="T2" s="414"/>
      <c r="U2" s="414"/>
      <c r="V2" s="414"/>
      <c r="W2" s="414"/>
      <c r="X2" s="414"/>
      <c r="Y2" s="414"/>
      <c r="Z2" s="414"/>
      <c r="AA2" s="414"/>
      <c r="AB2" s="414"/>
      <c r="AC2" s="414"/>
      <c r="AD2" s="414"/>
      <c r="AE2" s="414"/>
      <c r="AF2" s="414"/>
      <c r="AG2" s="414"/>
      <c r="AH2" s="414"/>
      <c r="AI2" s="415" t="s">
        <v>558</v>
      </c>
      <c r="AJ2" s="415"/>
      <c r="AK2" s="415"/>
      <c r="AL2" s="415"/>
      <c r="AM2" s="416" t="s">
        <v>559</v>
      </c>
      <c r="AN2" s="416"/>
      <c r="AO2" s="416"/>
      <c r="AP2" s="416"/>
      <c r="AQ2" s="416"/>
      <c r="AR2" s="416"/>
      <c r="AS2" s="417" t="s">
        <v>560</v>
      </c>
      <c r="AT2" s="417"/>
      <c r="AU2" s="417"/>
      <c r="AV2" s="412" t="s">
        <v>561</v>
      </c>
      <c r="AW2" s="412"/>
      <c r="AX2" s="412"/>
      <c r="AY2" s="418" t="s">
        <v>562</v>
      </c>
      <c r="AZ2" s="418"/>
      <c r="BA2" s="418"/>
      <c r="BB2" s="418"/>
      <c r="BC2" s="418"/>
      <c r="BD2" s="418"/>
      <c r="BE2" s="418"/>
      <c r="BF2" s="418"/>
      <c r="BG2" s="418"/>
      <c r="BH2" s="420" t="s">
        <v>563</v>
      </c>
      <c r="BI2" s="420"/>
      <c r="BJ2" s="420"/>
      <c r="BK2" s="420"/>
      <c r="BL2" s="422"/>
      <c r="BM2" s="422"/>
      <c r="BN2" s="422"/>
      <c r="BO2" s="414" t="s">
        <v>564</v>
      </c>
      <c r="BP2" s="414"/>
      <c r="BQ2" s="414"/>
      <c r="BR2" s="414"/>
      <c r="BS2" s="414"/>
      <c r="BT2" s="414"/>
      <c r="BU2" s="418" t="s">
        <v>565</v>
      </c>
      <c r="BV2" s="418"/>
      <c r="BW2" s="418"/>
      <c r="BX2" s="418"/>
      <c r="BY2" s="418"/>
      <c r="BZ2" s="418"/>
      <c r="CA2" s="418"/>
      <c r="CB2" s="419" t="s">
        <v>566</v>
      </c>
      <c r="CC2" s="419"/>
      <c r="CD2" s="419"/>
      <c r="CE2" s="419"/>
      <c r="CF2" s="419"/>
      <c r="CG2" s="419"/>
      <c r="CH2" s="419"/>
      <c r="CI2" s="416" t="s">
        <v>567</v>
      </c>
      <c r="CJ2" s="416"/>
      <c r="CK2" s="416"/>
      <c r="CL2" s="416"/>
      <c r="CM2" s="416"/>
      <c r="CN2" s="416"/>
      <c r="CO2" s="416"/>
      <c r="CP2" s="422" t="s">
        <v>568</v>
      </c>
      <c r="CQ2" s="422"/>
      <c r="CR2" s="422"/>
      <c r="CS2" s="422"/>
      <c r="CT2" s="422"/>
      <c r="CU2" s="422"/>
      <c r="CV2" s="422"/>
      <c r="CW2" s="424" t="s">
        <v>569</v>
      </c>
      <c r="CX2" s="424"/>
      <c r="CY2" s="424"/>
      <c r="CZ2" s="424"/>
      <c r="DA2" s="424"/>
      <c r="DB2" s="424"/>
      <c r="DC2" s="424"/>
      <c r="DD2" s="426" t="s">
        <v>570</v>
      </c>
      <c r="DE2" s="426"/>
      <c r="DF2" s="426"/>
      <c r="DG2" s="426"/>
      <c r="DH2" s="426"/>
      <c r="DI2" s="426"/>
      <c r="DJ2" s="426"/>
      <c r="DK2" s="77" t="s">
        <v>17</v>
      </c>
      <c r="DL2" s="413" t="s">
        <v>571</v>
      </c>
      <c r="DM2" s="413"/>
      <c r="DN2" s="413"/>
      <c r="DO2" s="413"/>
      <c r="DP2" s="413"/>
      <c r="DQ2" s="413"/>
      <c r="DR2" s="41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25" t="s">
        <v>619</v>
      </c>
      <c r="CX3" s="425"/>
      <c r="CY3" s="425"/>
      <c r="CZ3" s="425"/>
      <c r="DA3" s="425"/>
      <c r="DB3" s="425"/>
      <c r="DC3" s="425"/>
      <c r="DD3" s="427" t="s">
        <v>620</v>
      </c>
      <c r="DE3" s="427"/>
      <c r="DF3" s="427"/>
      <c r="DG3" s="427"/>
      <c r="DH3" s="427"/>
      <c r="DI3" s="427"/>
      <c r="DJ3" s="427"/>
      <c r="DK3" s="78"/>
      <c r="DL3" s="421" t="s">
        <v>621</v>
      </c>
      <c r="DM3" s="421"/>
      <c r="DN3" s="421"/>
      <c r="DO3" s="421"/>
      <c r="DP3" s="421"/>
      <c r="DQ3" s="421"/>
      <c r="DR3" s="421"/>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3"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3"/>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39"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6" t="s">
        <v>1013</v>
      </c>
      <c r="B138" s="6" t="s">
        <v>740</v>
      </c>
      <c r="C138" s="6" t="s">
        <v>655</v>
      </c>
      <c r="D138" s="6" t="s">
        <v>741</v>
      </c>
      <c r="E138" s="6" t="s">
        <v>971</v>
      </c>
      <c r="F138" s="6" t="s">
        <v>442</v>
      </c>
      <c r="G138" s="48" t="s">
        <v>1014</v>
      </c>
      <c r="H138" s="48" t="s">
        <v>994</v>
      </c>
      <c r="I138" s="102">
        <f>I140</f>
        <v>742.19033123142719</v>
      </c>
      <c r="J138" s="102">
        <f>I138</f>
        <v>742.19033123142719</v>
      </c>
      <c r="K138" s="102">
        <f t="shared" ref="K138:O138" si="124">J138</f>
        <v>742.19033123142719</v>
      </c>
      <c r="L138" s="102">
        <f t="shared" si="124"/>
        <v>742.19033123142719</v>
      </c>
      <c r="M138" s="102">
        <f t="shared" si="124"/>
        <v>742.19033123142719</v>
      </c>
      <c r="N138" s="102">
        <f t="shared" si="124"/>
        <v>742.19033123142719</v>
      </c>
      <c r="O138" s="102">
        <f t="shared" si="124"/>
        <v>742.19033123142719</v>
      </c>
      <c r="P138" s="94">
        <v>0</v>
      </c>
      <c r="Q138" s="102">
        <f t="shared" ref="Q138:W140" si="125">I138*0.05</f>
        <v>37.109516561571361</v>
      </c>
      <c r="R138" s="102">
        <f t="shared" si="125"/>
        <v>37.109516561571361</v>
      </c>
      <c r="S138" s="102">
        <f t="shared" si="125"/>
        <v>37.109516561571361</v>
      </c>
      <c r="T138" s="102">
        <f t="shared" si="125"/>
        <v>37.109516561571361</v>
      </c>
      <c r="U138" s="102">
        <f t="shared" si="125"/>
        <v>37.109516561571361</v>
      </c>
      <c r="V138" s="102">
        <f t="shared" si="125"/>
        <v>37.109516561571361</v>
      </c>
      <c r="W138" s="102">
        <f t="shared" si="125"/>
        <v>37.109516561571361</v>
      </c>
      <c r="X138" s="102">
        <v>0</v>
      </c>
      <c r="Y138" s="102">
        <v>0</v>
      </c>
      <c r="Z138" s="102">
        <v>0</v>
      </c>
      <c r="AA138" s="102">
        <v>0</v>
      </c>
      <c r="AB138" s="102">
        <v>0</v>
      </c>
      <c r="AC138" s="102">
        <v>0</v>
      </c>
      <c r="AD138" s="102">
        <v>0</v>
      </c>
      <c r="AE138" s="186">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4"/>
      <c r="BB138" s="28"/>
      <c r="BC138" s="28"/>
      <c r="BD138" s="28"/>
      <c r="BE138" s="28"/>
      <c r="BF138" s="28"/>
      <c r="BG138" s="28"/>
      <c r="BH138" s="106"/>
      <c r="BI138" s="106"/>
      <c r="BJ138" s="106"/>
      <c r="BK138" s="106"/>
      <c r="BL138" s="137"/>
      <c r="BM138" s="123"/>
      <c r="BN138" s="139">
        <v>0</v>
      </c>
      <c r="BO138" s="94"/>
      <c r="BP138" s="94"/>
      <c r="BQ138" s="94"/>
      <c r="BR138" s="94"/>
      <c r="BS138" s="94"/>
      <c r="BT138" s="94"/>
      <c r="BU138" s="28">
        <f t="shared" si="123"/>
        <v>0</v>
      </c>
      <c r="BV138" s="28"/>
      <c r="BW138" s="28"/>
      <c r="BX138" s="28"/>
      <c r="BY138" s="28"/>
      <c r="BZ138" s="28"/>
      <c r="CA138" s="28"/>
      <c r="CB138" s="99">
        <v>0</v>
      </c>
      <c r="CC138" s="99"/>
      <c r="CD138" s="99"/>
      <c r="CE138" s="99"/>
      <c r="CF138" s="99"/>
      <c r="CG138" s="99"/>
      <c r="CH138" s="99"/>
      <c r="CI138" s="175"/>
      <c r="CJ138" s="175"/>
      <c r="CK138" s="175"/>
      <c r="CL138" s="175"/>
      <c r="CM138" s="175"/>
      <c r="CN138" s="175"/>
      <c r="CO138" s="175"/>
      <c r="CP138" s="176"/>
      <c r="CQ138" s="176"/>
      <c r="CR138" s="176"/>
      <c r="CS138" s="176"/>
      <c r="CT138" s="176"/>
      <c r="CU138" s="176"/>
      <c r="CV138" s="176"/>
      <c r="CW138" s="167"/>
      <c r="CX138" s="168"/>
      <c r="CY138" s="168"/>
      <c r="CZ138" s="168"/>
      <c r="DA138" s="168"/>
      <c r="DB138" s="168"/>
      <c r="DC138" s="168"/>
      <c r="DD138" s="172"/>
      <c r="DE138" s="172"/>
      <c r="DF138" s="172"/>
      <c r="DG138" s="172"/>
      <c r="DH138" s="172"/>
      <c r="DI138" s="172"/>
      <c r="DJ138" s="172"/>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5" t="s">
        <v>1015</v>
      </c>
      <c r="B139" s="5" t="s">
        <v>740</v>
      </c>
      <c r="C139" s="5" t="s">
        <v>655</v>
      </c>
      <c r="D139" s="5" t="s">
        <v>741</v>
      </c>
      <c r="E139" s="5" t="s">
        <v>971</v>
      </c>
      <c r="F139" s="5" t="s">
        <v>446</v>
      </c>
      <c r="G139" s="47" t="s">
        <v>1016</v>
      </c>
      <c r="H139" s="47" t="s">
        <v>997</v>
      </c>
      <c r="I139" s="101" t="e">
        <f>#REF!</f>
        <v>#REF!</v>
      </c>
      <c r="J139" s="101" t="e">
        <f>I139</f>
        <v>#REF!</v>
      </c>
      <c r="K139" s="101" t="e">
        <f t="shared" ref="K139:O139" si="126">J139</f>
        <v>#REF!</v>
      </c>
      <c r="L139" s="101" t="e">
        <f t="shared" si="126"/>
        <v>#REF!</v>
      </c>
      <c r="M139" s="101" t="e">
        <f t="shared" si="126"/>
        <v>#REF!</v>
      </c>
      <c r="N139" s="101" t="e">
        <f t="shared" si="126"/>
        <v>#REF!</v>
      </c>
      <c r="O139" s="101" t="e">
        <f t="shared" si="126"/>
        <v>#REF!</v>
      </c>
      <c r="P139" s="94">
        <v>0</v>
      </c>
      <c r="Q139" s="101" t="e">
        <f t="shared" si="125"/>
        <v>#REF!</v>
      </c>
      <c r="R139" s="101" t="e">
        <f t="shared" si="125"/>
        <v>#REF!</v>
      </c>
      <c r="S139" s="101" t="e">
        <f t="shared" si="125"/>
        <v>#REF!</v>
      </c>
      <c r="T139" s="101" t="e">
        <f t="shared" si="125"/>
        <v>#REF!</v>
      </c>
      <c r="U139" s="101" t="e">
        <f t="shared" si="125"/>
        <v>#REF!</v>
      </c>
      <c r="V139" s="101" t="e">
        <f t="shared" si="125"/>
        <v>#REF!</v>
      </c>
      <c r="W139" s="101" t="e">
        <f t="shared" si="125"/>
        <v>#REF!</v>
      </c>
      <c r="X139" s="101">
        <v>0</v>
      </c>
      <c r="Y139" s="101">
        <v>0</v>
      </c>
      <c r="Z139" s="101">
        <v>0</v>
      </c>
      <c r="AA139" s="101">
        <v>0</v>
      </c>
      <c r="AB139" s="101">
        <v>0</v>
      </c>
      <c r="AC139" s="101">
        <v>0</v>
      </c>
      <c r="AD139" s="101">
        <v>0</v>
      </c>
      <c r="AE139" s="186">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f t="shared" si="123"/>
        <v>0</v>
      </c>
      <c r="BV139" s="27"/>
      <c r="BW139" s="27"/>
      <c r="BX139" s="27"/>
      <c r="BY139" s="27"/>
      <c r="BZ139" s="27"/>
      <c r="CA139" s="27"/>
      <c r="CB139" s="97">
        <v>0</v>
      </c>
      <c r="CC139" s="99"/>
      <c r="CD139" s="99"/>
      <c r="CE139" s="99"/>
      <c r="CF139" s="99"/>
      <c r="CG139" s="99"/>
      <c r="CH139" s="99"/>
      <c r="CI139" s="173"/>
      <c r="CJ139" s="173"/>
      <c r="CK139" s="173"/>
      <c r="CL139" s="173"/>
      <c r="CM139" s="173"/>
      <c r="CN139" s="173"/>
      <c r="CO139" s="173"/>
      <c r="CP139" s="174"/>
      <c r="CQ139" s="174"/>
      <c r="CR139" s="174"/>
      <c r="CS139" s="174"/>
      <c r="CT139" s="174"/>
      <c r="CU139" s="174"/>
      <c r="CV139" s="174"/>
      <c r="CW139" s="165"/>
      <c r="CX139" s="166"/>
      <c r="CY139" s="166"/>
      <c r="CZ139" s="166"/>
      <c r="DA139" s="166"/>
      <c r="DB139" s="166"/>
      <c r="DC139" s="166"/>
      <c r="DD139" s="171"/>
      <c r="DE139" s="171"/>
      <c r="DF139" s="171"/>
      <c r="DG139" s="171"/>
      <c r="DH139" s="171"/>
      <c r="DI139" s="171"/>
      <c r="DJ139" s="171"/>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7">12.8/(50*365*0.9/10^6)/1.05</f>
        <v>742.19033123142719</v>
      </c>
      <c r="K140" s="102">
        <f t="shared" si="127"/>
        <v>742.19033123142719</v>
      </c>
      <c r="L140" s="102">
        <f t="shared" si="127"/>
        <v>742.19033123142719</v>
      </c>
      <c r="M140" s="102">
        <f t="shared" si="127"/>
        <v>742.19033123142719</v>
      </c>
      <c r="N140" s="102">
        <f t="shared" si="127"/>
        <v>742.19033123142719</v>
      </c>
      <c r="O140" s="102">
        <f t="shared" si="127"/>
        <v>742.19033123142719</v>
      </c>
      <c r="P140" s="94">
        <v>0</v>
      </c>
      <c r="Q140" s="102">
        <f t="shared" si="125"/>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6">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4"/>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5"/>
      <c r="CJ140" s="175"/>
      <c r="CK140" s="175"/>
      <c r="CL140" s="175"/>
      <c r="CM140" s="175"/>
      <c r="CN140" s="175"/>
      <c r="CO140" s="175"/>
      <c r="CP140" s="176"/>
      <c r="CQ140" s="176"/>
      <c r="CR140" s="176"/>
      <c r="CS140" s="176"/>
      <c r="CT140" s="176"/>
      <c r="CU140" s="176"/>
      <c r="CV140" s="176"/>
      <c r="CW140" s="167"/>
      <c r="CX140" s="168"/>
      <c r="CY140" s="168"/>
      <c r="CZ140" s="168"/>
      <c r="DA140" s="168"/>
      <c r="DB140" s="168"/>
      <c r="DC140" s="168"/>
      <c r="DD140" s="172"/>
      <c r="DE140" s="172"/>
      <c r="DF140" s="172"/>
      <c r="DG140" s="172"/>
      <c r="DH140" s="172"/>
      <c r="DI140" s="172"/>
      <c r="DJ140" s="172"/>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6">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3"/>
      <c r="CJ141" s="173"/>
      <c r="CK141" s="173"/>
      <c r="CL141" s="173"/>
      <c r="CM141" s="173"/>
      <c r="CN141" s="173"/>
      <c r="CO141" s="173"/>
      <c r="CP141" s="174"/>
      <c r="CQ141" s="174"/>
      <c r="CR141" s="174"/>
      <c r="CS141" s="174"/>
      <c r="CT141" s="174"/>
      <c r="CU141" s="174"/>
      <c r="CV141" s="174"/>
      <c r="CW141" s="165"/>
      <c r="CX141" s="166"/>
      <c r="CY141" s="166"/>
      <c r="CZ141" s="166"/>
      <c r="DA141" s="166"/>
      <c r="DB141" s="166"/>
      <c r="DC141" s="166"/>
      <c r="DD141" s="171"/>
      <c r="DE141" s="171"/>
      <c r="DF141" s="171"/>
      <c r="DG141" s="171"/>
      <c r="DH141" s="171"/>
      <c r="DI141" s="171"/>
      <c r="DJ141" s="171"/>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6">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4"/>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5"/>
      <c r="CJ142" s="175"/>
      <c r="CK142" s="175"/>
      <c r="CL142" s="175"/>
      <c r="CM142" s="175"/>
      <c r="CN142" s="175"/>
      <c r="CO142" s="175"/>
      <c r="CP142" s="176"/>
      <c r="CQ142" s="176"/>
      <c r="CR142" s="176"/>
      <c r="CS142" s="176"/>
      <c r="CT142" s="176"/>
      <c r="CU142" s="176"/>
      <c r="CV142" s="176"/>
      <c r="CW142" s="167"/>
      <c r="CX142" s="168"/>
      <c r="CY142" s="168"/>
      <c r="CZ142" s="168"/>
      <c r="DA142" s="168"/>
      <c r="DB142" s="168"/>
      <c r="DC142" s="168"/>
      <c r="DD142" s="172"/>
      <c r="DE142" s="172"/>
      <c r="DF142" s="172"/>
      <c r="DG142" s="172"/>
      <c r="DH142" s="172"/>
      <c r="DI142" s="172"/>
      <c r="DJ142" s="172"/>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6">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185"/>
      <c r="CI143" s="173"/>
      <c r="CJ143" s="173"/>
      <c r="CK143" s="173"/>
      <c r="CL143" s="173"/>
      <c r="CM143" s="173"/>
      <c r="CN143" s="173"/>
      <c r="CO143" s="173"/>
      <c r="CP143" s="174"/>
      <c r="CQ143" s="174"/>
      <c r="CR143" s="174"/>
      <c r="CS143" s="174"/>
      <c r="CT143" s="174"/>
      <c r="CU143" s="174"/>
      <c r="CV143" s="174"/>
      <c r="CW143" s="165"/>
      <c r="CX143" s="166"/>
      <c r="CY143" s="166"/>
      <c r="CZ143" s="166"/>
      <c r="DA143" s="166"/>
      <c r="DB143" s="166"/>
      <c r="DC143" s="166"/>
      <c r="DD143" s="171"/>
      <c r="DE143" s="171"/>
      <c r="DF143" s="171"/>
      <c r="DG143" s="171"/>
      <c r="DH143" s="171"/>
      <c r="DI143" s="171"/>
      <c r="DJ143" s="171"/>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8">I144*0.05</f>
        <v>49.21052631578948</v>
      </c>
      <c r="R144" s="101">
        <f t="shared" ref="R144" si="129">J144*0.05</f>
        <v>49.21052631578948</v>
      </c>
      <c r="S144" s="101">
        <f t="shared" ref="S144" si="130">K144*0.05</f>
        <v>49.21052631578948</v>
      </c>
      <c r="T144" s="101">
        <f t="shared" ref="T144" si="131">L144*0.05</f>
        <v>49.21052631578948</v>
      </c>
      <c r="U144" s="101">
        <f t="shared" ref="U144" si="132">M144*0.05</f>
        <v>49.21052631578948</v>
      </c>
      <c r="V144" s="101">
        <f t="shared" ref="V144" si="133">N144*0.05</f>
        <v>49.21052631578948</v>
      </c>
      <c r="W144" s="101">
        <f t="shared" ref="W144" si="134">O144*0.05</f>
        <v>49.21052631578948</v>
      </c>
      <c r="X144" s="101">
        <v>0</v>
      </c>
      <c r="Y144" s="101">
        <v>0</v>
      </c>
      <c r="Z144" s="101">
        <v>0</v>
      </c>
      <c r="AA144" s="101">
        <v>0</v>
      </c>
      <c r="AB144" s="101">
        <v>0</v>
      </c>
      <c r="AC144" s="101">
        <v>0</v>
      </c>
      <c r="AD144" s="101">
        <v>0</v>
      </c>
      <c r="AE144" s="186">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80" t="s">
        <v>1012</v>
      </c>
      <c r="DL144" s="129"/>
      <c r="DM144" s="129"/>
      <c r="DN144" s="129"/>
      <c r="DO144" s="129"/>
      <c r="DP144" s="129"/>
      <c r="DQ144" s="129"/>
      <c r="DR144" s="129"/>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6">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5">DL145</f>
        <v>2.1199999999999997</v>
      </c>
      <c r="CC145" s="99">
        <f t="shared" si="135"/>
        <v>2.21</v>
      </c>
      <c r="CD145" s="99">
        <f t="shared" si="135"/>
        <v>2.2599999999999998</v>
      </c>
      <c r="CE145" s="99">
        <f t="shared" si="135"/>
        <v>2.2799999999999998</v>
      </c>
      <c r="CF145" s="99">
        <f t="shared" si="135"/>
        <v>2.2899999999999996</v>
      </c>
      <c r="CG145" s="99">
        <f t="shared" si="135"/>
        <v>2.2899999999999996</v>
      </c>
      <c r="CH145" s="99">
        <f>DR145</f>
        <v>2.2799999999999998</v>
      </c>
      <c r="CI145" s="175"/>
      <c r="CJ145" s="175"/>
      <c r="CK145" s="175"/>
      <c r="CL145" s="175"/>
      <c r="CM145" s="175"/>
      <c r="CN145" s="175"/>
      <c r="CO145" s="175"/>
      <c r="CP145" s="176"/>
      <c r="CQ145" s="176"/>
      <c r="CR145" s="176"/>
      <c r="CS145" s="176"/>
      <c r="CT145" s="176"/>
      <c r="CU145" s="176"/>
      <c r="CV145" s="176"/>
      <c r="CW145" s="167"/>
      <c r="CX145" s="168"/>
      <c r="CY145" s="168"/>
      <c r="CZ145" s="168"/>
      <c r="DA145" s="168"/>
      <c r="DB145" s="168"/>
      <c r="DC145" s="168"/>
      <c r="DD145" s="172"/>
      <c r="DE145" s="172"/>
      <c r="DF145" s="172"/>
      <c r="DG145" s="172"/>
      <c r="DH145" s="172"/>
      <c r="DI145" s="172"/>
      <c r="DJ145" s="172"/>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6">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5"/>
        <v>2.2599999999999998</v>
      </c>
      <c r="CE146" s="97">
        <f t="shared" si="135"/>
        <v>2.2799999999999998</v>
      </c>
      <c r="CF146" s="97">
        <f t="shared" si="135"/>
        <v>2.2899999999999996</v>
      </c>
      <c r="CG146" s="97">
        <f t="shared" si="135"/>
        <v>2.2899999999999996</v>
      </c>
      <c r="CH146" s="97">
        <f t="shared" si="135"/>
        <v>2.2799999999999998</v>
      </c>
      <c r="CI146" s="173"/>
      <c r="CJ146" s="173"/>
      <c r="CK146" s="173"/>
      <c r="CL146" s="173"/>
      <c r="CM146" s="173"/>
      <c r="CN146" s="173"/>
      <c r="CO146" s="173"/>
      <c r="CP146" s="174"/>
      <c r="CQ146" s="174"/>
      <c r="CR146" s="174"/>
      <c r="CS146" s="174"/>
      <c r="CT146" s="174"/>
      <c r="CU146" s="174"/>
      <c r="CV146" s="174"/>
      <c r="CW146" s="165"/>
      <c r="CX146" s="166"/>
      <c r="CY146" s="166"/>
      <c r="CZ146" s="166"/>
      <c r="DA146" s="166"/>
      <c r="DB146" s="166"/>
      <c r="DC146" s="166"/>
      <c r="DD146" s="171"/>
      <c r="DE146" s="171"/>
      <c r="DF146" s="171"/>
      <c r="DG146" s="171"/>
      <c r="DH146" s="171"/>
      <c r="DI146" s="171"/>
      <c r="DJ146" s="171"/>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6">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6">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6">DL147</f>
        <v>9.26</v>
      </c>
      <c r="CC147" s="99">
        <f t="shared" si="136"/>
        <v>9.66</v>
      </c>
      <c r="CD147" s="99">
        <f t="shared" si="135"/>
        <v>9.8699999999999992</v>
      </c>
      <c r="CE147" s="99">
        <f t="shared" si="135"/>
        <v>9.99</v>
      </c>
      <c r="CF147" s="99">
        <f t="shared" si="135"/>
        <v>10.029999999999999</v>
      </c>
      <c r="CG147" s="99">
        <f t="shared" si="135"/>
        <v>10.02</v>
      </c>
      <c r="CH147" s="99">
        <f t="shared" si="135"/>
        <v>9.98</v>
      </c>
      <c r="CI147" s="175"/>
      <c r="CJ147" s="175"/>
      <c r="CK147" s="175"/>
      <c r="CL147" s="175"/>
      <c r="CM147" s="175"/>
      <c r="CN147" s="175"/>
      <c r="CO147" s="175"/>
      <c r="CP147" s="176"/>
      <c r="CQ147" s="176"/>
      <c r="CR147" s="176"/>
      <c r="CS147" s="176"/>
      <c r="CT147" s="176"/>
      <c r="CU147" s="176"/>
      <c r="CV147" s="176"/>
      <c r="CW147" s="167"/>
      <c r="CX147" s="168"/>
      <c r="CY147" s="168"/>
      <c r="CZ147" s="168"/>
      <c r="DA147" s="168"/>
      <c r="DB147" s="168"/>
      <c r="DC147" s="168"/>
      <c r="DD147" s="172"/>
      <c r="DE147" s="172"/>
      <c r="DF147" s="172"/>
      <c r="DG147" s="172"/>
      <c r="DH147" s="172"/>
      <c r="DI147" s="172"/>
      <c r="DJ147" s="172"/>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6">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6"/>
        <v>9.26</v>
      </c>
      <c r="CC148" s="97">
        <f t="shared" si="136"/>
        <v>9.66</v>
      </c>
      <c r="CD148" s="97">
        <f t="shared" si="135"/>
        <v>9.8699999999999992</v>
      </c>
      <c r="CE148" s="97">
        <f t="shared" si="135"/>
        <v>9.99</v>
      </c>
      <c r="CF148" s="97">
        <f t="shared" si="135"/>
        <v>10.029999999999999</v>
      </c>
      <c r="CG148" s="97">
        <f t="shared" si="135"/>
        <v>10.02</v>
      </c>
      <c r="CH148" s="97">
        <f t="shared" si="135"/>
        <v>9.98</v>
      </c>
      <c r="CI148" s="173"/>
      <c r="CJ148" s="173"/>
      <c r="CK148" s="173"/>
      <c r="CL148" s="173"/>
      <c r="CM148" s="173"/>
      <c r="CN148" s="173"/>
      <c r="CO148" s="173"/>
      <c r="CP148" s="174"/>
      <c r="CQ148" s="174"/>
      <c r="CR148" s="174"/>
      <c r="CS148" s="174"/>
      <c r="CT148" s="174"/>
      <c r="CU148" s="174"/>
      <c r="CV148" s="174"/>
      <c r="CW148" s="165"/>
      <c r="CX148" s="166"/>
      <c r="CY148" s="166"/>
      <c r="CZ148" s="166"/>
      <c r="DA148" s="166"/>
      <c r="DB148" s="166"/>
      <c r="DC148" s="166"/>
      <c r="DD148" s="171"/>
      <c r="DE148" s="171"/>
      <c r="DF148" s="171"/>
      <c r="DG148" s="171"/>
      <c r="DH148" s="171"/>
      <c r="DI148" s="171"/>
      <c r="DJ148" s="171"/>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4"/>
      <c r="BM149" s="122"/>
      <c r="BN149" s="138">
        <v>1.7</v>
      </c>
      <c r="BO149" s="93">
        <v>0.3</v>
      </c>
      <c r="BP149" s="93">
        <v>0.6</v>
      </c>
      <c r="BQ149" s="93">
        <v>0.8</v>
      </c>
      <c r="BR149" s="93"/>
      <c r="BS149" s="93"/>
      <c r="BT149" s="93"/>
      <c r="BU149" s="27">
        <f t="shared" ref="BU149" si="137">IF(BL149=1,BN149,0)</f>
        <v>0</v>
      </c>
      <c r="BV149" s="27"/>
      <c r="BW149" s="27"/>
      <c r="BX149" s="27"/>
      <c r="BY149" s="27"/>
      <c r="BZ149" s="27"/>
      <c r="CA149" s="27"/>
      <c r="CB149" s="97">
        <f t="shared" ref="CB149" si="138">DL149</f>
        <v>9.26</v>
      </c>
      <c r="CC149" s="97">
        <f t="shared" ref="CC149" si="139">DM149</f>
        <v>9.66</v>
      </c>
      <c r="CD149" s="97">
        <f t="shared" ref="CD149" si="140">DN149</f>
        <v>9.8699999999999992</v>
      </c>
      <c r="CE149" s="97">
        <f t="shared" ref="CE149" si="141">DO149</f>
        <v>9.99</v>
      </c>
      <c r="CF149" s="97">
        <f t="shared" ref="CF149" si="142">DP149</f>
        <v>10.029999999999999</v>
      </c>
      <c r="CG149" s="97">
        <f t="shared" ref="CG149" si="143">DQ149</f>
        <v>10.02</v>
      </c>
      <c r="CH149" s="97">
        <f t="shared" ref="CH149" si="144">DR149</f>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0</v>
      </c>
      <c r="BO150" s="138">
        <v>0</v>
      </c>
      <c r="BP150" s="138">
        <v>0</v>
      </c>
      <c r="BQ150" s="138">
        <v>0</v>
      </c>
      <c r="BR150" s="93"/>
      <c r="BS150" s="93"/>
      <c r="BT150" s="93"/>
      <c r="BU150" s="27">
        <f t="shared" ref="BU150" si="145">IF(BL150=1,BN150,0)</f>
        <v>0</v>
      </c>
      <c r="BV150" s="27"/>
      <c r="BW150" s="27"/>
      <c r="BX150" s="27"/>
      <c r="BY150" s="27"/>
      <c r="BZ150" s="27"/>
      <c r="CA150" s="27"/>
      <c r="CB150" s="97">
        <f t="shared" ref="CB150" si="146">DL150</f>
        <v>9.26</v>
      </c>
      <c r="CC150" s="97">
        <f t="shared" ref="CC150" si="147">DM150</f>
        <v>9.66</v>
      </c>
      <c r="CD150" s="97">
        <f t="shared" ref="CD150" si="148">DN150</f>
        <v>9.8699999999999992</v>
      </c>
      <c r="CE150" s="97">
        <f t="shared" ref="CE150" si="149">DO150</f>
        <v>9.99</v>
      </c>
      <c r="CF150" s="97">
        <f t="shared" ref="CF150" si="150">DP150</f>
        <v>10.029999999999999</v>
      </c>
      <c r="CG150" s="97">
        <f t="shared" ref="CG150" si="151">DQ150</f>
        <v>10.02</v>
      </c>
      <c r="CH150" s="97">
        <f t="shared" ref="CH150" si="152">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6">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4"/>
      <c r="BM151" s="123"/>
      <c r="BN151" s="139">
        <v>0.04</v>
      </c>
      <c r="BO151" s="94">
        <v>0.01</v>
      </c>
      <c r="BP151" s="94">
        <v>0.01</v>
      </c>
      <c r="BQ151" s="94">
        <v>0.02</v>
      </c>
      <c r="BR151" s="94"/>
      <c r="BS151" s="94"/>
      <c r="BT151" s="94"/>
      <c r="BU151" s="28">
        <f t="shared" si="95"/>
        <v>0</v>
      </c>
      <c r="BV151" s="28"/>
      <c r="BW151" s="28"/>
      <c r="BX151" s="28"/>
      <c r="BY151" s="28"/>
      <c r="BZ151" s="28"/>
      <c r="CA151" s="28"/>
      <c r="CB151" s="99">
        <f t="shared" si="136"/>
        <v>9.26</v>
      </c>
      <c r="CC151" s="99">
        <f t="shared" si="136"/>
        <v>9.66</v>
      </c>
      <c r="CD151" s="99">
        <f t="shared" si="135"/>
        <v>9.8699999999999992</v>
      </c>
      <c r="CE151" s="99">
        <f t="shared" si="135"/>
        <v>9.99</v>
      </c>
      <c r="CF151" s="99">
        <f t="shared" si="135"/>
        <v>10.029999999999999</v>
      </c>
      <c r="CG151" s="99">
        <f t="shared" si="135"/>
        <v>10.02</v>
      </c>
      <c r="CH151" s="99">
        <f t="shared" si="135"/>
        <v>9.98</v>
      </c>
      <c r="CI151" s="175"/>
      <c r="CJ151" s="175"/>
      <c r="CK151" s="175"/>
      <c r="CL151" s="175"/>
      <c r="CM151" s="175"/>
      <c r="CN151" s="175"/>
      <c r="CO151" s="175"/>
      <c r="CP151" s="176"/>
      <c r="CQ151" s="176"/>
      <c r="CR151" s="176"/>
      <c r="CS151" s="176"/>
      <c r="CT151" s="176"/>
      <c r="CU151" s="176"/>
      <c r="CV151" s="176"/>
      <c r="CW151" s="167"/>
      <c r="CX151" s="168"/>
      <c r="CY151" s="168"/>
      <c r="CZ151" s="168"/>
      <c r="DA151" s="168"/>
      <c r="DB151" s="168"/>
      <c r="DC151" s="168"/>
      <c r="DD151" s="172"/>
      <c r="DE151" s="172"/>
      <c r="DF151" s="172"/>
      <c r="DG151" s="172"/>
      <c r="DH151" s="172"/>
      <c r="DI151" s="172"/>
      <c r="DJ151" s="172"/>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6">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4"/>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3"/>
      <c r="CJ152" s="173"/>
      <c r="CK152" s="173"/>
      <c r="CL152" s="173"/>
      <c r="CM152" s="173"/>
      <c r="CN152" s="173"/>
      <c r="CO152" s="173"/>
      <c r="CP152" s="174"/>
      <c r="CQ152" s="174"/>
      <c r="CR152" s="174"/>
      <c r="CS152" s="174"/>
      <c r="CT152" s="174"/>
      <c r="CU152" s="174"/>
      <c r="CV152" s="174"/>
      <c r="CW152" s="165"/>
      <c r="CX152" s="166"/>
      <c r="CY152" s="166"/>
      <c r="CZ152" s="166"/>
      <c r="DA152" s="166"/>
      <c r="DB152" s="166"/>
      <c r="DC152" s="166"/>
      <c r="DD152" s="171"/>
      <c r="DE152" s="171"/>
      <c r="DF152" s="171"/>
      <c r="DG152" s="171"/>
      <c r="DH152" s="171"/>
      <c r="DI152" s="171"/>
      <c r="DJ152" s="171"/>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6">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182" si="153">DQ153</f>
        <v>10.02</v>
      </c>
      <c r="CH153" s="99">
        <f>DR153</f>
        <v>9.98</v>
      </c>
      <c r="CI153" s="175"/>
      <c r="CJ153" s="175"/>
      <c r="CK153" s="175"/>
      <c r="CL153" s="175"/>
      <c r="CM153" s="175"/>
      <c r="CN153" s="175"/>
      <c r="CO153" s="175"/>
      <c r="CP153" s="176"/>
      <c r="CQ153" s="176"/>
      <c r="CR153" s="176"/>
      <c r="CS153" s="176"/>
      <c r="CT153" s="176"/>
      <c r="CU153" s="176"/>
      <c r="CV153" s="176"/>
      <c r="CW153" s="167"/>
      <c r="CX153" s="168"/>
      <c r="CY153" s="168"/>
      <c r="CZ153" s="168"/>
      <c r="DA153" s="168"/>
      <c r="DB153" s="168"/>
      <c r="DC153" s="168"/>
      <c r="DD153" s="172"/>
      <c r="DE153" s="172"/>
      <c r="DF153" s="172"/>
      <c r="DG153" s="172"/>
      <c r="DH153" s="172"/>
      <c r="DI153" s="172"/>
      <c r="DJ153" s="172"/>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6">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3"/>
        <v>10.02</v>
      </c>
      <c r="CH154" s="97">
        <f t="shared" si="153"/>
        <v>9.98</v>
      </c>
      <c r="CI154" s="173"/>
      <c r="CJ154" s="173"/>
      <c r="CK154" s="173"/>
      <c r="CL154" s="173"/>
      <c r="CM154" s="173"/>
      <c r="CN154" s="173"/>
      <c r="CO154" s="173"/>
      <c r="CP154" s="174"/>
      <c r="CQ154" s="174"/>
      <c r="CR154" s="174"/>
      <c r="CS154" s="174"/>
      <c r="CT154" s="174"/>
      <c r="CU154" s="174"/>
      <c r="CV154" s="174"/>
      <c r="CW154" s="165"/>
      <c r="CX154" s="166"/>
      <c r="CY154" s="166"/>
      <c r="CZ154" s="166"/>
      <c r="DA154" s="166"/>
      <c r="DB154" s="166"/>
      <c r="DC154" s="166"/>
      <c r="DD154" s="171"/>
      <c r="DE154" s="171"/>
      <c r="DF154" s="171"/>
      <c r="DG154" s="171"/>
      <c r="DH154" s="171"/>
      <c r="DI154" s="171"/>
      <c r="DJ154" s="171"/>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6">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4"/>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3"/>
        <v>10.02</v>
      </c>
      <c r="CH155" s="99">
        <f t="shared" si="153"/>
        <v>9.98</v>
      </c>
      <c r="CI155" s="175"/>
      <c r="CJ155" s="175"/>
      <c r="CK155" s="175"/>
      <c r="CL155" s="175"/>
      <c r="CM155" s="175"/>
      <c r="CN155" s="175"/>
      <c r="CO155" s="175"/>
      <c r="CP155" s="176"/>
      <c r="CQ155" s="176"/>
      <c r="CR155" s="176"/>
      <c r="CS155" s="176"/>
      <c r="CT155" s="176"/>
      <c r="CU155" s="176"/>
      <c r="CV155" s="176"/>
      <c r="CW155" s="167"/>
      <c r="CX155" s="168"/>
      <c r="CY155" s="168"/>
      <c r="CZ155" s="168"/>
      <c r="DA155" s="168"/>
      <c r="DB155" s="168"/>
      <c r="DC155" s="168"/>
      <c r="DD155" s="172"/>
      <c r="DE155" s="172"/>
      <c r="DF155" s="172"/>
      <c r="DG155" s="172"/>
      <c r="DH155" s="172"/>
      <c r="DI155" s="172"/>
      <c r="DJ155" s="172"/>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6">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4"/>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3"/>
        <v>10.02</v>
      </c>
      <c r="CH156" s="97">
        <f t="shared" si="153"/>
        <v>9.98</v>
      </c>
      <c r="CI156" s="173"/>
      <c r="CJ156" s="173"/>
      <c r="CK156" s="173"/>
      <c r="CL156" s="173"/>
      <c r="CM156" s="173"/>
      <c r="CN156" s="173"/>
      <c r="CO156" s="173"/>
      <c r="CP156" s="174"/>
      <c r="CQ156" s="174"/>
      <c r="CR156" s="174"/>
      <c r="CS156" s="174"/>
      <c r="CT156" s="174"/>
      <c r="CU156" s="174"/>
      <c r="CV156" s="174"/>
      <c r="CW156" s="165"/>
      <c r="CX156" s="166"/>
      <c r="CY156" s="166"/>
      <c r="CZ156" s="166"/>
      <c r="DA156" s="166"/>
      <c r="DB156" s="166"/>
      <c r="DC156" s="166"/>
      <c r="DD156" s="171"/>
      <c r="DE156" s="171"/>
      <c r="DF156" s="171"/>
      <c r="DG156" s="171"/>
      <c r="DH156" s="171"/>
      <c r="DI156" s="171"/>
      <c r="DJ156" s="171"/>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6">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4"/>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3"/>
        <v>10.02</v>
      </c>
      <c r="CH157" s="99">
        <f t="shared" si="153"/>
        <v>9.98</v>
      </c>
      <c r="CI157" s="175"/>
      <c r="CJ157" s="175"/>
      <c r="CK157" s="175"/>
      <c r="CL157" s="175"/>
      <c r="CM157" s="175"/>
      <c r="CN157" s="175"/>
      <c r="CO157" s="175"/>
      <c r="CP157" s="176"/>
      <c r="CQ157" s="176"/>
      <c r="CR157" s="176"/>
      <c r="CS157" s="176"/>
      <c r="CT157" s="176"/>
      <c r="CU157" s="176"/>
      <c r="CV157" s="176"/>
      <c r="CW157" s="167"/>
      <c r="CX157" s="168"/>
      <c r="CY157" s="168"/>
      <c r="CZ157" s="168"/>
      <c r="DA157" s="168"/>
      <c r="DB157" s="168"/>
      <c r="DC157" s="168"/>
      <c r="DD157" s="172"/>
      <c r="DE157" s="172"/>
      <c r="DF157" s="172"/>
      <c r="DG157" s="172"/>
      <c r="DH157" s="172"/>
      <c r="DI157" s="172"/>
      <c r="DJ157" s="172"/>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6">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6">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4">DL158</f>
        <v>0.92</v>
      </c>
      <c r="CC158" s="97">
        <f t="shared" si="154"/>
        <v>0.95</v>
      </c>
      <c r="CD158" s="97">
        <f t="shared" si="154"/>
        <v>0.98</v>
      </c>
      <c r="CE158" s="97">
        <f t="shared" si="154"/>
        <v>0.99</v>
      </c>
      <c r="CF158" s="97">
        <f t="shared" si="154"/>
        <v>0.99</v>
      </c>
      <c r="CG158" s="97">
        <f t="shared" si="153"/>
        <v>0.99</v>
      </c>
      <c r="CH158" s="97">
        <f t="shared" si="153"/>
        <v>0.99</v>
      </c>
      <c r="CI158" s="173"/>
      <c r="CJ158" s="173"/>
      <c r="CK158" s="173"/>
      <c r="CL158" s="173"/>
      <c r="CM158" s="173"/>
      <c r="CN158" s="173"/>
      <c r="CO158" s="173"/>
      <c r="CP158" s="174"/>
      <c r="CQ158" s="174"/>
      <c r="CR158" s="174"/>
      <c r="CS158" s="174"/>
      <c r="CT158" s="174"/>
      <c r="CU158" s="174"/>
      <c r="CV158" s="174"/>
      <c r="CW158" s="165"/>
      <c r="CX158" s="166"/>
      <c r="CY158" s="166"/>
      <c r="CZ158" s="166"/>
      <c r="DA158" s="166"/>
      <c r="DB158" s="166"/>
      <c r="DC158" s="166"/>
      <c r="DD158" s="171"/>
      <c r="DE158" s="171"/>
      <c r="DF158" s="171"/>
      <c r="DG158" s="171"/>
      <c r="DH158" s="171"/>
      <c r="DI158" s="171"/>
      <c r="DJ158" s="171"/>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6">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5">IF(BL159=1,BN159,0)</f>
        <v>0</v>
      </c>
      <c r="BV159" s="28"/>
      <c r="BW159" s="28"/>
      <c r="BX159" s="28"/>
      <c r="BY159" s="28"/>
      <c r="BZ159" s="28"/>
      <c r="CA159" s="28"/>
      <c r="CB159" s="99">
        <f t="shared" ref="CB159" si="156">DL159</f>
        <v>0.92</v>
      </c>
      <c r="CC159" s="99">
        <f t="shared" ref="CC159" si="157">DM159</f>
        <v>0.95</v>
      </c>
      <c r="CD159" s="99">
        <f t="shared" ref="CD159" si="158">DN159</f>
        <v>0.98</v>
      </c>
      <c r="CE159" s="99">
        <f t="shared" ref="CE159" si="159">DO159</f>
        <v>0.99</v>
      </c>
      <c r="CF159" s="99">
        <f t="shared" ref="CF159" si="160">DP159</f>
        <v>0.99</v>
      </c>
      <c r="CG159" s="99">
        <f t="shared" ref="CG159" si="161">DQ159</f>
        <v>0.99</v>
      </c>
      <c r="CH159" s="99">
        <f t="shared" ref="CH159" si="162">DR159</f>
        <v>0.99</v>
      </c>
      <c r="CI159" s="175"/>
      <c r="CJ159" s="175"/>
      <c r="CK159" s="175"/>
      <c r="CL159" s="175"/>
      <c r="CM159" s="175"/>
      <c r="CN159" s="175"/>
      <c r="CO159" s="175"/>
      <c r="CP159" s="176"/>
      <c r="CQ159" s="176"/>
      <c r="CR159" s="176"/>
      <c r="CS159" s="176"/>
      <c r="CT159" s="176"/>
      <c r="CU159" s="176"/>
      <c r="CV159" s="176"/>
      <c r="CW159" s="167"/>
      <c r="CX159" s="168"/>
      <c r="CY159" s="168"/>
      <c r="CZ159" s="168"/>
      <c r="DA159" s="168"/>
      <c r="DB159" s="168"/>
      <c r="DC159" s="168"/>
      <c r="DD159" s="172"/>
      <c r="DE159" s="172"/>
      <c r="DF159" s="172"/>
      <c r="DG159" s="172"/>
      <c r="DH159" s="172"/>
      <c r="DI159" s="172"/>
      <c r="DJ159" s="172"/>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4"/>
        <v>0.92</v>
      </c>
      <c r="CC160" s="99">
        <f t="shared" si="154"/>
        <v>0.95</v>
      </c>
      <c r="CD160" s="99">
        <f t="shared" si="154"/>
        <v>0.98</v>
      </c>
      <c r="CE160" s="99">
        <f t="shared" si="154"/>
        <v>0.99</v>
      </c>
      <c r="CF160" s="99">
        <f t="shared" si="154"/>
        <v>0.99</v>
      </c>
      <c r="CG160" s="99">
        <f t="shared" si="153"/>
        <v>0.99</v>
      </c>
      <c r="CH160" s="99">
        <f t="shared" si="153"/>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4"/>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4"/>
        <v>0.92</v>
      </c>
      <c r="CC161" s="99">
        <f t="shared" si="154"/>
        <v>0.95</v>
      </c>
      <c r="CD161" s="99">
        <f t="shared" si="154"/>
        <v>0.98</v>
      </c>
      <c r="CE161" s="99">
        <f t="shared" si="154"/>
        <v>0.99</v>
      </c>
      <c r="CF161" s="99">
        <f t="shared" si="154"/>
        <v>0.99</v>
      </c>
      <c r="CG161" s="99">
        <f t="shared" si="153"/>
        <v>0.99</v>
      </c>
      <c r="CH161" s="99">
        <f t="shared" si="153"/>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6">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4"/>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3"/>
        <v>0.99</v>
      </c>
      <c r="CH162" s="97">
        <f t="shared" si="153"/>
        <v>0.99</v>
      </c>
      <c r="CI162" s="173"/>
      <c r="CJ162" s="173"/>
      <c r="CK162" s="173"/>
      <c r="CL162" s="173"/>
      <c r="CM162" s="173"/>
      <c r="CN162" s="173"/>
      <c r="CO162" s="173"/>
      <c r="CP162" s="174"/>
      <c r="CQ162" s="174"/>
      <c r="CR162" s="174"/>
      <c r="CS162" s="174"/>
      <c r="CT162" s="174"/>
      <c r="CU162" s="174"/>
      <c r="CV162" s="174"/>
      <c r="CW162" s="165"/>
      <c r="CX162" s="166"/>
      <c r="CY162" s="166"/>
      <c r="CZ162" s="166"/>
      <c r="DA162" s="166"/>
      <c r="DB162" s="166"/>
      <c r="DC162" s="166"/>
      <c r="DD162" s="171"/>
      <c r="DE162" s="171"/>
      <c r="DF162" s="171"/>
      <c r="DG162" s="171"/>
      <c r="DH162" s="171"/>
      <c r="DI162" s="171"/>
      <c r="DJ162" s="171"/>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6">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4"/>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3"/>
        <v>0.99</v>
      </c>
      <c r="CH163" s="99">
        <f t="shared" si="153"/>
        <v>0.99</v>
      </c>
      <c r="CI163" s="175"/>
      <c r="CJ163" s="175"/>
      <c r="CK163" s="175"/>
      <c r="CL163" s="175"/>
      <c r="CM163" s="175"/>
      <c r="CN163" s="175"/>
      <c r="CO163" s="175"/>
      <c r="CP163" s="176"/>
      <c r="CQ163" s="176"/>
      <c r="CR163" s="176"/>
      <c r="CS163" s="176"/>
      <c r="CT163" s="176"/>
      <c r="CU163" s="176"/>
      <c r="CV163" s="176"/>
      <c r="CW163" s="167"/>
      <c r="CX163" s="168"/>
      <c r="CY163" s="168"/>
      <c r="CZ163" s="168"/>
      <c r="DA163" s="168"/>
      <c r="DB163" s="168"/>
      <c r="DC163" s="168"/>
      <c r="DD163" s="172"/>
      <c r="DE163" s="172"/>
      <c r="DF163" s="172"/>
      <c r="DG163" s="172"/>
      <c r="DH163" s="172"/>
      <c r="DI163" s="172"/>
      <c r="DJ163" s="172"/>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6">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4"/>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3"/>
        <v>0.99</v>
      </c>
      <c r="CG164" s="97">
        <f t="shared" si="153"/>
        <v>0.99</v>
      </c>
      <c r="CH164" s="97">
        <f t="shared" si="153"/>
        <v>0.99</v>
      </c>
      <c r="CI164" s="173"/>
      <c r="CJ164" s="173"/>
      <c r="CK164" s="173"/>
      <c r="CL164" s="173"/>
      <c r="CM164" s="173"/>
      <c r="CN164" s="173"/>
      <c r="CO164" s="173"/>
      <c r="CP164" s="174"/>
      <c r="CQ164" s="174"/>
      <c r="CR164" s="174"/>
      <c r="CS164" s="174"/>
      <c r="CT164" s="174"/>
      <c r="CU164" s="174"/>
      <c r="CV164" s="174"/>
      <c r="CW164" s="165"/>
      <c r="CX164" s="166"/>
      <c r="CY164" s="166"/>
      <c r="CZ164" s="166"/>
      <c r="DA164" s="166"/>
      <c r="DB164" s="166"/>
      <c r="DC164" s="166"/>
      <c r="DD164" s="171"/>
      <c r="DE164" s="171"/>
      <c r="DF164" s="171"/>
      <c r="DG164" s="171"/>
      <c r="DH164" s="171"/>
      <c r="DI164" s="171"/>
      <c r="DJ164" s="171"/>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6">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4"/>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3"/>
        <v>0.99</v>
      </c>
      <c r="CH165" s="99">
        <f t="shared" si="153"/>
        <v>0.99</v>
      </c>
      <c r="CI165" s="175"/>
      <c r="CJ165" s="175"/>
      <c r="CK165" s="175"/>
      <c r="CL165" s="175"/>
      <c r="CM165" s="175"/>
      <c r="CN165" s="175"/>
      <c r="CO165" s="175"/>
      <c r="CP165" s="176"/>
      <c r="CQ165" s="176"/>
      <c r="CR165" s="176"/>
      <c r="CS165" s="176"/>
      <c r="CT165" s="176"/>
      <c r="CU165" s="176"/>
      <c r="CV165" s="176"/>
      <c r="CW165" s="167"/>
      <c r="CX165" s="168"/>
      <c r="CY165" s="168"/>
      <c r="CZ165" s="168"/>
      <c r="DA165" s="168"/>
      <c r="DB165" s="168"/>
      <c r="DC165" s="168"/>
      <c r="DD165" s="172"/>
      <c r="DE165" s="172"/>
      <c r="DF165" s="172"/>
      <c r="DG165" s="172"/>
      <c r="DH165" s="172"/>
      <c r="DI165" s="172"/>
      <c r="DJ165" s="172"/>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6">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3">DL166</f>
        <v>132.67999999999998</v>
      </c>
      <c r="CC166" s="97">
        <f t="shared" si="163"/>
        <v>138.38999999999999</v>
      </c>
      <c r="CD166" s="97">
        <f t="shared" si="163"/>
        <v>141.48999999999998</v>
      </c>
      <c r="CE166" s="97">
        <f t="shared" si="163"/>
        <v>143.14999999999998</v>
      </c>
      <c r="CF166" s="97">
        <f t="shared" si="163"/>
        <v>143.79</v>
      </c>
      <c r="CG166" s="97">
        <f t="shared" si="153"/>
        <v>143.63999999999999</v>
      </c>
      <c r="CH166" s="97">
        <f t="shared" si="153"/>
        <v>143</v>
      </c>
      <c r="CI166" s="173"/>
      <c r="CJ166" s="173"/>
      <c r="CK166" s="173"/>
      <c r="CL166" s="173"/>
      <c r="CM166" s="173"/>
      <c r="CN166" s="173"/>
      <c r="CO166" s="173"/>
      <c r="CP166" s="174"/>
      <c r="CQ166" s="174"/>
      <c r="CR166" s="174"/>
      <c r="CS166" s="174"/>
      <c r="CT166" s="174"/>
      <c r="CU166" s="174"/>
      <c r="CV166" s="174"/>
      <c r="CW166" s="165"/>
      <c r="CX166" s="166"/>
      <c r="CY166" s="166"/>
      <c r="CZ166" s="166"/>
      <c r="DA166" s="166"/>
      <c r="DB166" s="166"/>
      <c r="DC166" s="166"/>
      <c r="DD166" s="171"/>
      <c r="DE166" s="171"/>
      <c r="DF166" s="171"/>
      <c r="DG166" s="171"/>
      <c r="DH166" s="171"/>
      <c r="DI166" s="171"/>
      <c r="DJ166" s="171"/>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6">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4"/>
      <c r="BM167" s="123"/>
      <c r="BN167" s="139">
        <v>40</v>
      </c>
      <c r="BO167" s="94">
        <v>25</v>
      </c>
      <c r="BP167" s="94">
        <v>15</v>
      </c>
      <c r="BQ167" s="94"/>
      <c r="BR167" s="94"/>
      <c r="BS167" s="94"/>
      <c r="BT167" s="94"/>
      <c r="BU167" s="28">
        <f t="shared" si="95"/>
        <v>0</v>
      </c>
      <c r="BV167" s="28"/>
      <c r="BW167" s="28"/>
      <c r="BX167" s="28"/>
      <c r="BY167" s="28"/>
      <c r="BZ167" s="28"/>
      <c r="CA167" s="28"/>
      <c r="CB167" s="99">
        <f t="shared" si="163"/>
        <v>132.67999999999998</v>
      </c>
      <c r="CC167" s="99">
        <f t="shared" si="163"/>
        <v>138.38999999999999</v>
      </c>
      <c r="CD167" s="99">
        <f t="shared" si="163"/>
        <v>141.48999999999998</v>
      </c>
      <c r="CE167" s="99">
        <f t="shared" si="163"/>
        <v>143.14999999999998</v>
      </c>
      <c r="CF167" s="99">
        <f t="shared" si="163"/>
        <v>143.79</v>
      </c>
      <c r="CG167" s="99">
        <f t="shared" si="153"/>
        <v>143.63999999999999</v>
      </c>
      <c r="CH167" s="99">
        <f t="shared" si="153"/>
        <v>143</v>
      </c>
      <c r="CI167" s="175"/>
      <c r="CJ167" s="175"/>
      <c r="CK167" s="175"/>
      <c r="CL167" s="175"/>
      <c r="CM167" s="175"/>
      <c r="CN167" s="175"/>
      <c r="CO167" s="175"/>
      <c r="CP167" s="176"/>
      <c r="CQ167" s="176"/>
      <c r="CR167" s="176"/>
      <c r="CS167" s="176"/>
      <c r="CT167" s="176"/>
      <c r="CU167" s="176"/>
      <c r="CV167" s="176"/>
      <c r="CW167" s="167"/>
      <c r="CX167" s="168"/>
      <c r="CY167" s="168"/>
      <c r="CZ167" s="168"/>
      <c r="DA167" s="168"/>
      <c r="DB167" s="168"/>
      <c r="DC167" s="168"/>
      <c r="DD167" s="172"/>
      <c r="DE167" s="172"/>
      <c r="DF167" s="172"/>
      <c r="DG167" s="172"/>
      <c r="DH167" s="172"/>
      <c r="DI167" s="172"/>
      <c r="DJ167" s="172"/>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ref="BU168" si="164">IF(BL168=1,BN168,0)</f>
        <v>0</v>
      </c>
      <c r="BV168" s="28"/>
      <c r="BW168" s="28"/>
      <c r="BX168" s="28"/>
      <c r="BY168" s="28"/>
      <c r="BZ168" s="28"/>
      <c r="CA168" s="28"/>
      <c r="CB168" s="99">
        <f t="shared" ref="CB168" si="165">DL168</f>
        <v>132.67999999999998</v>
      </c>
      <c r="CC168" s="99">
        <f t="shared" ref="CC168" si="166">DM168</f>
        <v>138.38999999999999</v>
      </c>
      <c r="CD168" s="99">
        <f t="shared" ref="CD168" si="167">DN168</f>
        <v>141.48999999999998</v>
      </c>
      <c r="CE168" s="99">
        <f t="shared" ref="CE168" si="168">DO168</f>
        <v>143.14999999999998</v>
      </c>
      <c r="CF168" s="99">
        <f t="shared" ref="CF168" si="169">DP168</f>
        <v>143.79</v>
      </c>
      <c r="CG168" s="99">
        <f t="shared" ref="CG168" si="170">DQ168</f>
        <v>143.63999999999999</v>
      </c>
      <c r="CH168" s="99">
        <f t="shared" ref="CH168" si="171">DR168</f>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0</v>
      </c>
      <c r="BO169" s="94">
        <v>0</v>
      </c>
      <c r="BP169" s="94">
        <v>0</v>
      </c>
      <c r="BQ169" s="94">
        <v>0</v>
      </c>
      <c r="BR169" s="94"/>
      <c r="BS169" s="94"/>
      <c r="BT169" s="94"/>
      <c r="BU169" s="28">
        <f t="shared" ref="BU169" si="172">IF(BL169=1,BN169,0)</f>
        <v>0</v>
      </c>
      <c r="BV169" s="28"/>
      <c r="BW169" s="28"/>
      <c r="BX169" s="28"/>
      <c r="BY169" s="28"/>
      <c r="BZ169" s="28"/>
      <c r="CA169" s="28"/>
      <c r="CB169" s="99">
        <f t="shared" ref="CB169" si="173">DL169</f>
        <v>132.67999999999998</v>
      </c>
      <c r="CC169" s="99">
        <f t="shared" ref="CC169" si="174">DM169</f>
        <v>138.38999999999999</v>
      </c>
      <c r="CD169" s="99">
        <f t="shared" ref="CD169" si="175">DN169</f>
        <v>141.48999999999998</v>
      </c>
      <c r="CE169" s="99">
        <f t="shared" ref="CE169" si="176">DO169</f>
        <v>143.14999999999998</v>
      </c>
      <c r="CF169" s="99">
        <f t="shared" ref="CF169" si="177">DP169</f>
        <v>143.79</v>
      </c>
      <c r="CG169" s="99">
        <f t="shared" ref="CG169" si="178">DQ169</f>
        <v>143.63999999999999</v>
      </c>
      <c r="CH169" s="99">
        <f t="shared" ref="CH169" si="179">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6">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3"/>
        <v>143.63999999999999</v>
      </c>
      <c r="CH170" s="97">
        <f t="shared" si="153"/>
        <v>143</v>
      </c>
      <c r="CI170" s="173"/>
      <c r="CJ170" s="173"/>
      <c r="CK170" s="173"/>
      <c r="CL170" s="173"/>
      <c r="CM170" s="173"/>
      <c r="CN170" s="173"/>
      <c r="CO170" s="173"/>
      <c r="CP170" s="174"/>
      <c r="CQ170" s="174"/>
      <c r="CR170" s="174"/>
      <c r="CS170" s="174"/>
      <c r="CT170" s="174"/>
      <c r="CU170" s="174"/>
      <c r="CV170" s="174"/>
      <c r="CW170" s="165"/>
      <c r="CX170" s="166"/>
      <c r="CY170" s="166"/>
      <c r="CZ170" s="166"/>
      <c r="DA170" s="166"/>
      <c r="DB170" s="166"/>
      <c r="DC170" s="166"/>
      <c r="DD170" s="171"/>
      <c r="DE170" s="171"/>
      <c r="DF170" s="171"/>
      <c r="DG170" s="171"/>
      <c r="DH170" s="171"/>
      <c r="DI170" s="171"/>
      <c r="DJ170" s="171"/>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6">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3"/>
        <v>143</v>
      </c>
      <c r="CI171" s="175"/>
      <c r="CJ171" s="175"/>
      <c r="CK171" s="175"/>
      <c r="CL171" s="175"/>
      <c r="CM171" s="175"/>
      <c r="CN171" s="175"/>
      <c r="CO171" s="175"/>
      <c r="CP171" s="176"/>
      <c r="CQ171" s="176"/>
      <c r="CR171" s="176"/>
      <c r="CS171" s="176"/>
      <c r="CT171" s="176"/>
      <c r="CU171" s="176"/>
      <c r="CV171" s="176"/>
      <c r="CW171" s="167"/>
      <c r="CX171" s="168"/>
      <c r="CY171" s="168"/>
      <c r="CZ171" s="168"/>
      <c r="DA171" s="168"/>
      <c r="DB171" s="168"/>
      <c r="DC171" s="168"/>
      <c r="DD171" s="172"/>
      <c r="DE171" s="172"/>
      <c r="DF171" s="172"/>
      <c r="DG171" s="172"/>
      <c r="DH171" s="172"/>
      <c r="DI171" s="172"/>
      <c r="DJ171" s="172"/>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6">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3"/>
        <v>143.63999999999999</v>
      </c>
      <c r="CH172" s="97">
        <f t="shared" si="153"/>
        <v>143</v>
      </c>
      <c r="CI172" s="173"/>
      <c r="CJ172" s="173"/>
      <c r="CK172" s="173"/>
      <c r="CL172" s="173"/>
      <c r="CM172" s="173"/>
      <c r="CN172" s="173"/>
      <c r="CO172" s="173"/>
      <c r="CP172" s="174"/>
      <c r="CQ172" s="174"/>
      <c r="CR172" s="174"/>
      <c r="CS172" s="174"/>
      <c r="CT172" s="174"/>
      <c r="CU172" s="174"/>
      <c r="CV172" s="174"/>
      <c r="CW172" s="165"/>
      <c r="CX172" s="166"/>
      <c r="CY172" s="166"/>
      <c r="CZ172" s="166"/>
      <c r="DA172" s="166"/>
      <c r="DB172" s="166"/>
      <c r="DC172" s="166"/>
      <c r="DD172" s="171"/>
      <c r="DE172" s="171"/>
      <c r="DF172" s="171"/>
      <c r="DG172" s="171"/>
      <c r="DH172" s="171"/>
      <c r="DI172" s="171"/>
      <c r="DJ172" s="171"/>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6">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5">
        <v>1</v>
      </c>
      <c r="CC173" s="99">
        <v>5</v>
      </c>
      <c r="CD173" s="99">
        <v>10</v>
      </c>
      <c r="CE173" s="99">
        <v>50</v>
      </c>
      <c r="CF173" s="99">
        <v>150</v>
      </c>
      <c r="CG173" s="99">
        <f t="shared" si="153"/>
        <v>143.63999999999999</v>
      </c>
      <c r="CH173" s="99">
        <f t="shared" si="153"/>
        <v>143</v>
      </c>
      <c r="CI173" s="175"/>
      <c r="CJ173" s="175"/>
      <c r="CK173" s="175"/>
      <c r="CL173" s="175"/>
      <c r="CM173" s="175"/>
      <c r="CN173" s="175"/>
      <c r="CO173" s="175"/>
      <c r="CP173" s="176"/>
      <c r="CQ173" s="176"/>
      <c r="CR173" s="176"/>
      <c r="CS173" s="176"/>
      <c r="CT173" s="176"/>
      <c r="CU173" s="176"/>
      <c r="CV173" s="176"/>
      <c r="CW173" s="167"/>
      <c r="CX173" s="168"/>
      <c r="CY173" s="168"/>
      <c r="CZ173" s="168"/>
      <c r="DA173" s="168"/>
      <c r="DB173" s="168"/>
      <c r="DC173" s="168"/>
      <c r="DD173" s="172"/>
      <c r="DE173" s="172"/>
      <c r="DF173" s="172"/>
      <c r="DG173" s="172"/>
      <c r="DH173" s="172"/>
      <c r="DI173" s="172"/>
      <c r="DJ173" s="172"/>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6">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80">DL174</f>
        <v>8.0399999999999991</v>
      </c>
      <c r="CC174" s="97">
        <f t="shared" si="180"/>
        <v>8.379999999999999</v>
      </c>
      <c r="CD174" s="97">
        <f t="shared" si="180"/>
        <v>8.57</v>
      </c>
      <c r="CE174" s="97">
        <f t="shared" si="180"/>
        <v>8.67</v>
      </c>
      <c r="CF174" s="97">
        <f t="shared" si="180"/>
        <v>8.7099999999999991</v>
      </c>
      <c r="CG174" s="97">
        <f t="shared" si="153"/>
        <v>8.6999999999999993</v>
      </c>
      <c r="CH174" s="97">
        <f t="shared" si="153"/>
        <v>8.66</v>
      </c>
      <c r="CI174" s="173"/>
      <c r="CJ174" s="173"/>
      <c r="CK174" s="173"/>
      <c r="CL174" s="173"/>
      <c r="CM174" s="173"/>
      <c r="CN174" s="173"/>
      <c r="CO174" s="173"/>
      <c r="CP174" s="174"/>
      <c r="CQ174" s="174"/>
      <c r="CR174" s="174"/>
      <c r="CS174" s="174"/>
      <c r="CT174" s="174"/>
      <c r="CU174" s="174"/>
      <c r="CV174" s="174"/>
      <c r="CW174" s="165"/>
      <c r="CX174" s="166"/>
      <c r="CY174" s="166"/>
      <c r="CZ174" s="166"/>
      <c r="DA174" s="166"/>
      <c r="DB174" s="166"/>
      <c r="DC174" s="166"/>
      <c r="DD174" s="171"/>
      <c r="DE174" s="171"/>
      <c r="DF174" s="171"/>
      <c r="DG174" s="171"/>
      <c r="DH174" s="171"/>
      <c r="DI174" s="171"/>
      <c r="DJ174" s="171"/>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81">IF(BL175=1,BN175,0)</f>
        <v>0</v>
      </c>
      <c r="BV175" s="27"/>
      <c r="BW175" s="27"/>
      <c r="BX175" s="27"/>
      <c r="BY175" s="27"/>
      <c r="BZ175" s="27"/>
      <c r="CA175" s="27"/>
      <c r="CB175" s="97">
        <f t="shared" ref="CB175" si="182">DL175</f>
        <v>8.0399999999999991</v>
      </c>
      <c r="CC175" s="97">
        <f t="shared" ref="CC175" si="183">DM175</f>
        <v>8.379999999999999</v>
      </c>
      <c r="CD175" s="97">
        <f t="shared" ref="CD175" si="184">DN175</f>
        <v>8.57</v>
      </c>
      <c r="CE175" s="97">
        <f t="shared" ref="CE175" si="185">DO175</f>
        <v>8.67</v>
      </c>
      <c r="CF175" s="97">
        <f t="shared" ref="CF175" si="186">DP175</f>
        <v>8.7099999999999991</v>
      </c>
      <c r="CG175" s="97">
        <f t="shared" ref="CG175" si="187">DQ175</f>
        <v>8.6999999999999993</v>
      </c>
      <c r="CH175" s="97">
        <f t="shared" ref="CH175" si="188">DR175</f>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9">IF(BL176=1,BN176,0)</f>
        <v>0</v>
      </c>
      <c r="BV176" s="27"/>
      <c r="BW176" s="27"/>
      <c r="BX176" s="27"/>
      <c r="BY176" s="27"/>
      <c r="BZ176" s="27"/>
      <c r="CA176" s="27"/>
      <c r="CB176" s="97">
        <f t="shared" ref="CB176" si="190">DL176</f>
        <v>8.0399999999999991</v>
      </c>
      <c r="CC176" s="97">
        <f t="shared" ref="CC176" si="191">DM176</f>
        <v>8.379999999999999</v>
      </c>
      <c r="CD176" s="97">
        <f t="shared" ref="CD176" si="192">DN176</f>
        <v>8.57</v>
      </c>
      <c r="CE176" s="97">
        <f t="shared" ref="CE176" si="193">DO176</f>
        <v>8.67</v>
      </c>
      <c r="CF176" s="97">
        <f t="shared" ref="CF176" si="194">DP176</f>
        <v>8.7099999999999991</v>
      </c>
      <c r="CG176" s="97">
        <f t="shared" ref="CG176" si="195">DQ176</f>
        <v>8.6999999999999993</v>
      </c>
      <c r="CH176" s="97">
        <f t="shared" ref="CH176" si="196">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6">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3"/>
        <v>8.6999999999999993</v>
      </c>
      <c r="CH177" s="99">
        <f t="shared" si="153"/>
        <v>8.66</v>
      </c>
      <c r="CI177" s="175"/>
      <c r="CJ177" s="175"/>
      <c r="CK177" s="175"/>
      <c r="CL177" s="175"/>
      <c r="CM177" s="175"/>
      <c r="CN177" s="175"/>
      <c r="CO177" s="175"/>
      <c r="CP177" s="176"/>
      <c r="CQ177" s="176"/>
      <c r="CR177" s="176"/>
      <c r="CS177" s="176"/>
      <c r="CT177" s="176"/>
      <c r="CU177" s="176"/>
      <c r="CV177" s="176"/>
      <c r="CW177" s="167"/>
      <c r="CX177" s="168"/>
      <c r="CY177" s="168"/>
      <c r="CZ177" s="168"/>
      <c r="DA177" s="168"/>
      <c r="DB177" s="168"/>
      <c r="DC177" s="168"/>
      <c r="DD177" s="172"/>
      <c r="DE177" s="172"/>
      <c r="DF177" s="172"/>
      <c r="DG177" s="172"/>
      <c r="DH177" s="172"/>
      <c r="DI177" s="172"/>
      <c r="DJ177" s="172"/>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6">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3"/>
        <v>8.6999999999999993</v>
      </c>
      <c r="CH178" s="97">
        <f t="shared" si="153"/>
        <v>8.66</v>
      </c>
      <c r="CI178" s="173"/>
      <c r="CJ178" s="173"/>
      <c r="CK178" s="173"/>
      <c r="CL178" s="173"/>
      <c r="CM178" s="173"/>
      <c r="CN178" s="173"/>
      <c r="CO178" s="173"/>
      <c r="CP178" s="174"/>
      <c r="CQ178" s="174"/>
      <c r="CR178" s="174"/>
      <c r="CS178" s="174"/>
      <c r="CT178" s="174"/>
      <c r="CU178" s="174"/>
      <c r="CV178" s="174"/>
      <c r="CW178" s="165"/>
      <c r="CX178" s="166"/>
      <c r="CY178" s="166"/>
      <c r="CZ178" s="166"/>
      <c r="DA178" s="166"/>
      <c r="DB178" s="166"/>
      <c r="DC178" s="166"/>
      <c r="DD178" s="171"/>
      <c r="DE178" s="171"/>
      <c r="DF178" s="171"/>
      <c r="DG178" s="171"/>
      <c r="DH178" s="171"/>
      <c r="DI178" s="171"/>
      <c r="DJ178" s="171"/>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6">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3"/>
        <v>8.6999999999999993</v>
      </c>
      <c r="CH179" s="99">
        <f t="shared" si="153"/>
        <v>8.66</v>
      </c>
      <c r="CI179" s="175"/>
      <c r="CJ179" s="175"/>
      <c r="CK179" s="175"/>
      <c r="CL179" s="175"/>
      <c r="CM179" s="175"/>
      <c r="CN179" s="175"/>
      <c r="CO179" s="175"/>
      <c r="CP179" s="176"/>
      <c r="CQ179" s="176"/>
      <c r="CR179" s="176"/>
      <c r="CS179" s="176"/>
      <c r="CT179" s="176"/>
      <c r="CU179" s="176"/>
      <c r="CV179" s="176"/>
      <c r="CW179" s="167"/>
      <c r="CX179" s="168"/>
      <c r="CY179" s="168"/>
      <c r="CZ179" s="168"/>
      <c r="DA179" s="168"/>
      <c r="DB179" s="168"/>
      <c r="DC179" s="168"/>
      <c r="DD179" s="172"/>
      <c r="DE179" s="172"/>
      <c r="DF179" s="172"/>
      <c r="DG179" s="172"/>
      <c r="DH179" s="172"/>
      <c r="DI179" s="172"/>
      <c r="DJ179" s="172"/>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6">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3"/>
        <v>8.6999999999999993</v>
      </c>
      <c r="CH180" s="97">
        <f t="shared" si="153"/>
        <v>8.66</v>
      </c>
      <c r="CI180" s="173"/>
      <c r="CJ180" s="173"/>
      <c r="CK180" s="173"/>
      <c r="CL180" s="173"/>
      <c r="CM180" s="173"/>
      <c r="CN180" s="173"/>
      <c r="CO180" s="173"/>
      <c r="CP180" s="174"/>
      <c r="CQ180" s="174"/>
      <c r="CR180" s="174"/>
      <c r="CS180" s="174"/>
      <c r="CT180" s="174"/>
      <c r="CU180" s="174"/>
      <c r="CV180" s="174"/>
      <c r="CW180" s="165"/>
      <c r="CX180" s="166"/>
      <c r="CY180" s="166"/>
      <c r="CZ180" s="166"/>
      <c r="DA180" s="166"/>
      <c r="DB180" s="166"/>
      <c r="DC180" s="166"/>
      <c r="DD180" s="171"/>
      <c r="DE180" s="171"/>
      <c r="DF180" s="171"/>
      <c r="DG180" s="171"/>
      <c r="DH180" s="171"/>
      <c r="DI180" s="171"/>
      <c r="DJ180" s="171"/>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6">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5"/>
      <c r="CJ181" s="175"/>
      <c r="CK181" s="175"/>
      <c r="CL181" s="175"/>
      <c r="CM181" s="175"/>
      <c r="CN181" s="175"/>
      <c r="CO181" s="175"/>
      <c r="CP181" s="176"/>
      <c r="CQ181" s="176"/>
      <c r="CR181" s="176"/>
      <c r="CS181" s="176"/>
      <c r="CT181" s="176"/>
      <c r="CU181" s="176"/>
      <c r="CV181" s="176"/>
      <c r="CW181" s="167"/>
      <c r="CX181" s="168"/>
      <c r="CY181" s="168"/>
      <c r="CZ181" s="168"/>
      <c r="DA181" s="168"/>
      <c r="DB181" s="168"/>
      <c r="DC181" s="168"/>
      <c r="DD181" s="172"/>
      <c r="DE181" s="172"/>
      <c r="DF181" s="172"/>
      <c r="DG181" s="172"/>
      <c r="DH181" s="172"/>
      <c r="DI181" s="172"/>
      <c r="DJ181" s="172"/>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6">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5" si="197">DM182</f>
        <v>730.9</v>
      </c>
      <c r="CD182" s="97">
        <f t="shared" si="197"/>
        <v>747.24</v>
      </c>
      <c r="CE182" s="97">
        <f t="shared" si="197"/>
        <v>756</v>
      </c>
      <c r="CF182" s="97">
        <f t="shared" si="197"/>
        <v>759.43</v>
      </c>
      <c r="CG182" s="97">
        <f t="shared" si="197"/>
        <v>758.59</v>
      </c>
      <c r="CH182" s="97">
        <f t="shared" si="153"/>
        <v>755.24</v>
      </c>
      <c r="CI182" s="173"/>
      <c r="CJ182" s="173"/>
      <c r="CK182" s="173"/>
      <c r="CL182" s="173"/>
      <c r="CM182" s="173"/>
      <c r="CN182" s="173"/>
      <c r="CO182" s="173"/>
      <c r="CP182" s="174"/>
      <c r="CQ182" s="174"/>
      <c r="CR182" s="174"/>
      <c r="CS182" s="174"/>
      <c r="CT182" s="174"/>
      <c r="CU182" s="174"/>
      <c r="CV182" s="174"/>
      <c r="CW182" s="165"/>
      <c r="CX182" s="166"/>
      <c r="CY182" s="166"/>
      <c r="CZ182" s="166"/>
      <c r="DA182" s="166"/>
      <c r="DB182" s="166"/>
      <c r="DC182" s="166"/>
      <c r="DD182" s="171"/>
      <c r="DE182" s="171"/>
      <c r="DF182" s="171"/>
      <c r="DG182" s="171"/>
      <c r="DH182" s="171"/>
      <c r="DI182" s="171"/>
      <c r="DJ182" s="171"/>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6">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8">IF(BL183=1,BN183,0)</f>
        <v>0</v>
      </c>
      <c r="BV183" s="28"/>
      <c r="BW183" s="28"/>
      <c r="BX183" s="28"/>
      <c r="BY183" s="28"/>
      <c r="BZ183" s="28"/>
      <c r="CA183" s="28"/>
      <c r="CB183" s="99">
        <f>DL183</f>
        <v>279.19</v>
      </c>
      <c r="CC183" s="99">
        <f t="shared" ref="CC183:CE183" si="199">DM183</f>
        <v>291.20999999999998</v>
      </c>
      <c r="CD183" s="99">
        <f t="shared" si="199"/>
        <v>297.71999999999997</v>
      </c>
      <c r="CE183" s="99">
        <f t="shared" si="199"/>
        <v>301.20999999999998</v>
      </c>
      <c r="CF183" s="99">
        <f t="shared" si="197"/>
        <v>302.57</v>
      </c>
      <c r="CG183" s="99">
        <f t="shared" si="197"/>
        <v>302.24</v>
      </c>
      <c r="CH183" s="99">
        <f t="shared" ref="CH183:CH185" si="200">DR183</f>
        <v>300.90999999999997</v>
      </c>
      <c r="CI183" s="175"/>
      <c r="CJ183" s="175"/>
      <c r="CK183" s="175"/>
      <c r="CL183" s="175"/>
      <c r="CM183" s="175"/>
      <c r="CN183" s="175"/>
      <c r="CO183" s="175"/>
      <c r="CP183" s="176"/>
      <c r="CQ183" s="176"/>
      <c r="CR183" s="176"/>
      <c r="CS183" s="176"/>
      <c r="CT183" s="176"/>
      <c r="CU183" s="176"/>
      <c r="CV183" s="176"/>
      <c r="CW183" s="167"/>
      <c r="CX183" s="168"/>
      <c r="CY183" s="168"/>
      <c r="CZ183" s="168"/>
      <c r="DA183" s="168"/>
      <c r="DB183" s="168"/>
      <c r="DC183" s="168"/>
      <c r="DD183" s="172"/>
      <c r="DE183" s="172"/>
      <c r="DF183" s="172"/>
      <c r="DG183" s="172"/>
      <c r="DH183" s="172"/>
      <c r="DI183" s="172"/>
      <c r="DJ183" s="172"/>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6">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8"/>
        <v>0</v>
      </c>
      <c r="BV184" s="27"/>
      <c r="BW184" s="27"/>
      <c r="BX184" s="27"/>
      <c r="BY184" s="27"/>
      <c r="BZ184" s="27"/>
      <c r="CA184" s="27"/>
      <c r="CB184" s="97"/>
      <c r="CC184" s="97">
        <v>210</v>
      </c>
      <c r="CD184" s="97">
        <f t="shared" ref="CD184:CH187" si="201">DN184</f>
        <v>297.71999999999997</v>
      </c>
      <c r="CE184" s="97">
        <f t="shared" si="201"/>
        <v>301.20999999999998</v>
      </c>
      <c r="CF184" s="97">
        <f t="shared" si="197"/>
        <v>302.57</v>
      </c>
      <c r="CG184" s="97">
        <f t="shared" si="197"/>
        <v>302.24</v>
      </c>
      <c r="CH184" s="97">
        <f t="shared" si="200"/>
        <v>300.90999999999997</v>
      </c>
      <c r="CI184" s="173"/>
      <c r="CJ184" s="173"/>
      <c r="CK184" s="173"/>
      <c r="CL184" s="173"/>
      <c r="CM184" s="173"/>
      <c r="CN184" s="173"/>
      <c r="CO184" s="173"/>
      <c r="CP184" s="174"/>
      <c r="CQ184" s="174"/>
      <c r="CR184" s="174"/>
      <c r="CS184" s="174"/>
      <c r="CT184" s="174"/>
      <c r="CU184" s="174"/>
      <c r="CV184" s="174"/>
      <c r="CW184" s="165"/>
      <c r="CX184" s="166"/>
      <c r="CY184" s="166"/>
      <c r="CZ184" s="166"/>
      <c r="DA184" s="166"/>
      <c r="DB184" s="166"/>
      <c r="DC184" s="166"/>
      <c r="DD184" s="171"/>
      <c r="DE184" s="171"/>
      <c r="DF184" s="171"/>
      <c r="DG184" s="171"/>
      <c r="DH184" s="171"/>
      <c r="DI184" s="171"/>
      <c r="DJ184" s="171"/>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6">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8"/>
        <v>0</v>
      </c>
      <c r="BV185" s="28"/>
      <c r="BW185" s="28"/>
      <c r="BX185" s="28"/>
      <c r="BY185" s="28"/>
      <c r="BZ185" s="28"/>
      <c r="CA185" s="28"/>
      <c r="CB185" s="99">
        <v>120</v>
      </c>
      <c r="CC185" s="99">
        <v>210</v>
      </c>
      <c r="CD185" s="99">
        <f t="shared" si="201"/>
        <v>297.71999999999997</v>
      </c>
      <c r="CE185" s="99">
        <f t="shared" si="201"/>
        <v>301.20999999999998</v>
      </c>
      <c r="CF185" s="99">
        <f t="shared" si="197"/>
        <v>302.57</v>
      </c>
      <c r="CG185" s="99">
        <f t="shared" si="197"/>
        <v>302.24</v>
      </c>
      <c r="CH185" s="99">
        <f t="shared" si="200"/>
        <v>300.90999999999997</v>
      </c>
      <c r="CI185" s="175"/>
      <c r="CJ185" s="175"/>
      <c r="CK185" s="175"/>
      <c r="CL185" s="175"/>
      <c r="CM185" s="175"/>
      <c r="CN185" s="175"/>
      <c r="CO185" s="175"/>
      <c r="CP185" s="176"/>
      <c r="CQ185" s="176"/>
      <c r="CR185" s="176"/>
      <c r="CS185" s="176"/>
      <c r="CT185" s="176"/>
      <c r="CU185" s="176"/>
      <c r="CV185" s="176"/>
      <c r="CW185" s="167"/>
      <c r="CX185" s="168"/>
      <c r="CY185" s="168"/>
      <c r="CZ185" s="168"/>
      <c r="DA185" s="168"/>
      <c r="DB185" s="168"/>
      <c r="DC185" s="168"/>
      <c r="DD185" s="172"/>
      <c r="DE185" s="172"/>
      <c r="DF185" s="172"/>
      <c r="DG185" s="172"/>
      <c r="DH185" s="172"/>
      <c r="DI185" s="172"/>
      <c r="DJ185" s="172"/>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6">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8"/>
        <v>0</v>
      </c>
      <c r="BV186" s="27"/>
      <c r="BW186" s="27"/>
      <c r="BX186" s="27"/>
      <c r="BY186" s="27"/>
      <c r="BZ186" s="27"/>
      <c r="CA186" s="27"/>
      <c r="CB186" s="97"/>
      <c r="CC186" s="97">
        <v>210</v>
      </c>
      <c r="CD186" s="97">
        <f t="shared" si="201"/>
        <v>297.71999999999997</v>
      </c>
      <c r="CE186" s="97">
        <f t="shared" si="201"/>
        <v>301.20999999999998</v>
      </c>
      <c r="CF186" s="97">
        <f t="shared" si="201"/>
        <v>302.57</v>
      </c>
      <c r="CG186" s="97">
        <f t="shared" si="201"/>
        <v>302.24</v>
      </c>
      <c r="CH186" s="97">
        <f t="shared" si="201"/>
        <v>300.90999999999997</v>
      </c>
      <c r="CI186" s="173"/>
      <c r="CJ186" s="173"/>
      <c r="CK186" s="173"/>
      <c r="CL186" s="173"/>
      <c r="CM186" s="173"/>
      <c r="CN186" s="173"/>
      <c r="CO186" s="173"/>
      <c r="CP186" s="174"/>
      <c r="CQ186" s="174"/>
      <c r="CR186" s="174"/>
      <c r="CS186" s="174"/>
      <c r="CT186" s="174"/>
      <c r="CU186" s="174"/>
      <c r="CV186" s="174"/>
      <c r="CW186" s="165"/>
      <c r="CX186" s="166"/>
      <c r="CY186" s="166"/>
      <c r="CZ186" s="166"/>
      <c r="DA186" s="166"/>
      <c r="DB186" s="166"/>
      <c r="DC186" s="166"/>
      <c r="DD186" s="171"/>
      <c r="DE186" s="171"/>
      <c r="DF186" s="171"/>
      <c r="DG186" s="171"/>
      <c r="DH186" s="171"/>
      <c r="DI186" s="171"/>
      <c r="DJ186" s="171"/>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6">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8"/>
        <v>0</v>
      </c>
      <c r="BV187" s="28"/>
      <c r="BW187" s="28"/>
      <c r="BX187" s="28"/>
      <c r="BY187" s="28"/>
      <c r="BZ187" s="28"/>
      <c r="CA187" s="28"/>
      <c r="CB187" s="99"/>
      <c r="CC187" s="99">
        <v>210</v>
      </c>
      <c r="CD187" s="99">
        <f t="shared" si="201"/>
        <v>297.71999999999997</v>
      </c>
      <c r="CE187" s="99">
        <f t="shared" si="201"/>
        <v>301.20999999999998</v>
      </c>
      <c r="CF187" s="99">
        <f t="shared" si="201"/>
        <v>302.57</v>
      </c>
      <c r="CG187" s="99">
        <f t="shared" si="201"/>
        <v>302.24</v>
      </c>
      <c r="CH187" s="99">
        <f t="shared" si="201"/>
        <v>300.90999999999997</v>
      </c>
      <c r="CI187" s="175"/>
      <c r="CJ187" s="175"/>
      <c r="CK187" s="175"/>
      <c r="CL187" s="175"/>
      <c r="CM187" s="175"/>
      <c r="CN187" s="175"/>
      <c r="CO187" s="175"/>
      <c r="CP187" s="176"/>
      <c r="CQ187" s="176"/>
      <c r="CR187" s="176"/>
      <c r="CS187" s="176"/>
      <c r="CT187" s="176"/>
      <c r="CU187" s="176"/>
      <c r="CV187" s="176"/>
      <c r="CW187" s="167"/>
      <c r="CX187" s="168"/>
      <c r="CY187" s="168"/>
      <c r="CZ187" s="168"/>
      <c r="DA187" s="168"/>
      <c r="DB187" s="168"/>
      <c r="DC187" s="168"/>
      <c r="DD187" s="172"/>
      <c r="DE187" s="172"/>
      <c r="DF187" s="172"/>
      <c r="DG187" s="172"/>
      <c r="DH187" s="172"/>
      <c r="DI187" s="172"/>
      <c r="DJ187" s="172"/>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6">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8"/>
        <v>0</v>
      </c>
      <c r="BV188" s="27"/>
      <c r="BW188" s="27"/>
      <c r="BX188" s="27"/>
      <c r="BY188" s="27"/>
      <c r="BZ188" s="27"/>
      <c r="CA188" s="27"/>
      <c r="CB188" s="97">
        <v>55</v>
      </c>
      <c r="CC188" s="97">
        <v>210</v>
      </c>
      <c r="CD188" s="97">
        <f>0.3*CD183</f>
        <v>89.315999999999988</v>
      </c>
      <c r="CE188" s="97">
        <f>0.4*CE183</f>
        <v>120.48399999999999</v>
      </c>
      <c r="CF188" s="97">
        <f>CE188</f>
        <v>120.48399999999999</v>
      </c>
      <c r="CG188" s="97">
        <f t="shared" ref="CG188:CH188" si="202">CF188</f>
        <v>120.48399999999999</v>
      </c>
      <c r="CH188" s="97">
        <f t="shared" si="202"/>
        <v>120.48399999999999</v>
      </c>
      <c r="CI188" s="173"/>
      <c r="CJ188" s="173"/>
      <c r="CK188" s="173"/>
      <c r="CL188" s="173"/>
      <c r="CM188" s="173"/>
      <c r="CN188" s="173"/>
      <c r="CO188" s="173"/>
      <c r="CP188" s="174"/>
      <c r="CQ188" s="174"/>
      <c r="CR188" s="174"/>
      <c r="CS188" s="174"/>
      <c r="CT188" s="174"/>
      <c r="CU188" s="174"/>
      <c r="CV188" s="174"/>
      <c r="CW188" s="165"/>
      <c r="CX188" s="166"/>
      <c r="CY188" s="166"/>
      <c r="CZ188" s="166"/>
      <c r="DA188" s="166"/>
      <c r="DB188" s="166"/>
      <c r="DC188" s="166"/>
      <c r="DD188" s="171"/>
      <c r="DE188" s="171"/>
      <c r="DF188" s="171"/>
      <c r="DG188" s="171"/>
      <c r="DH188" s="171"/>
      <c r="DI188" s="171"/>
      <c r="DJ188" s="171"/>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6">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8"/>
        <v>0</v>
      </c>
      <c r="BV189" s="28"/>
      <c r="BW189" s="28"/>
      <c r="BX189" s="28"/>
      <c r="BY189" s="28"/>
      <c r="BZ189" s="28"/>
      <c r="CA189" s="28"/>
      <c r="CB189" s="99"/>
      <c r="CC189" s="99"/>
      <c r="CD189" s="99">
        <v>50</v>
      </c>
      <c r="CE189" s="99">
        <f t="shared" ref="CE189" si="203">DO189</f>
        <v>301.20999999999998</v>
      </c>
      <c r="CF189" s="99">
        <v>400</v>
      </c>
      <c r="CG189" s="99">
        <v>800</v>
      </c>
      <c r="CH189" s="99">
        <v>1000</v>
      </c>
      <c r="CI189" s="175"/>
      <c r="CJ189" s="175"/>
      <c r="CK189" s="175"/>
      <c r="CL189" s="175"/>
      <c r="CM189" s="175"/>
      <c r="CN189" s="175"/>
      <c r="CO189" s="175"/>
      <c r="CP189" s="176"/>
      <c r="CQ189" s="176"/>
      <c r="CR189" s="176"/>
      <c r="CS189" s="176"/>
      <c r="CT189" s="176"/>
      <c r="CU189" s="176"/>
      <c r="CV189" s="176"/>
      <c r="CW189" s="167"/>
      <c r="CX189" s="168"/>
      <c r="CY189" s="168"/>
      <c r="CZ189" s="168"/>
      <c r="DA189" s="168"/>
      <c r="DB189" s="168"/>
      <c r="DC189" s="168"/>
      <c r="DD189" s="172"/>
      <c r="DE189" s="172"/>
      <c r="DF189" s="172"/>
      <c r="DG189" s="172"/>
      <c r="DH189" s="172"/>
      <c r="DI189" s="172"/>
      <c r="DJ189" s="172"/>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6">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8"/>
        <v>0</v>
      </c>
      <c r="BV190" s="27"/>
      <c r="BW190" s="27"/>
      <c r="BX190" s="27"/>
      <c r="BY190" s="27"/>
      <c r="BZ190" s="27"/>
      <c r="CA190" s="27"/>
      <c r="CB190" s="97">
        <f t="shared" ref="CB190:CE190" si="204">DL190</f>
        <v>0.4</v>
      </c>
      <c r="CC190" s="97">
        <f t="shared" si="204"/>
        <v>0.42</v>
      </c>
      <c r="CD190" s="97">
        <f t="shared" si="204"/>
        <v>0.43</v>
      </c>
      <c r="CE190" s="97">
        <f t="shared" si="204"/>
        <v>0.44</v>
      </c>
      <c r="CF190" s="97">
        <v>400</v>
      </c>
      <c r="CG190" s="97">
        <v>800</v>
      </c>
      <c r="CH190" s="97">
        <v>1000</v>
      </c>
      <c r="CI190" s="173"/>
      <c r="CJ190" s="173"/>
      <c r="CK190" s="173"/>
      <c r="CL190" s="173"/>
      <c r="CM190" s="173"/>
      <c r="CN190" s="173"/>
      <c r="CO190" s="173"/>
      <c r="CP190" s="174"/>
      <c r="CQ190" s="174"/>
      <c r="CR190" s="174"/>
      <c r="CS190" s="174"/>
      <c r="CT190" s="174"/>
      <c r="CU190" s="174"/>
      <c r="CV190" s="174"/>
      <c r="CW190" s="165"/>
      <c r="CX190" s="166"/>
      <c r="CY190" s="166"/>
      <c r="CZ190" s="166"/>
      <c r="DA190" s="166"/>
      <c r="DB190" s="166"/>
      <c r="DC190" s="166"/>
      <c r="DD190" s="171"/>
      <c r="DE190" s="171"/>
      <c r="DF190" s="171"/>
      <c r="DG190" s="171"/>
      <c r="DH190" s="171"/>
      <c r="DI190" s="171"/>
      <c r="DJ190" s="171"/>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5">IF(BL191=1,BN191,0)</f>
        <v>0</v>
      </c>
      <c r="BV191" s="27"/>
      <c r="BW191" s="27"/>
      <c r="BX191" s="27"/>
      <c r="BY191" s="27"/>
      <c r="BZ191" s="27"/>
      <c r="CA191" s="27"/>
      <c r="CB191" s="97"/>
      <c r="CC191" s="97"/>
      <c r="CD191" s="97">
        <f>0.1*DN191</f>
        <v>4.3000000000000003E-2</v>
      </c>
      <c r="CE191" s="97">
        <f>0.2*DO191</f>
        <v>8.8000000000000009E-2</v>
      </c>
      <c r="CF191" s="342"/>
      <c r="CG191" s="342"/>
      <c r="CH191" s="342"/>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1029</v>
      </c>
      <c r="E192" s="5" t="s">
        <v>1133</v>
      </c>
      <c r="F192" s="327" t="s">
        <v>499</v>
      </c>
      <c r="G192" s="47" t="s">
        <v>1139</v>
      </c>
      <c r="H192" s="47" t="s">
        <v>659</v>
      </c>
      <c r="I192" s="329">
        <v>0</v>
      </c>
      <c r="J192" s="329">
        <v>0</v>
      </c>
      <c r="K192" s="329">
        <v>0</v>
      </c>
      <c r="L192" s="329">
        <v>0</v>
      </c>
      <c r="M192" s="329">
        <v>0</v>
      </c>
      <c r="N192" s="329">
        <v>0</v>
      </c>
      <c r="O192" s="329">
        <v>0</v>
      </c>
      <c r="P192" s="330"/>
      <c r="Q192" s="329">
        <v>0</v>
      </c>
      <c r="R192" s="329">
        <v>0</v>
      </c>
      <c r="S192" s="329">
        <v>0</v>
      </c>
      <c r="T192" s="329">
        <v>0</v>
      </c>
      <c r="U192" s="329">
        <v>0</v>
      </c>
      <c r="V192" s="329">
        <v>0</v>
      </c>
      <c r="W192" s="329">
        <v>0</v>
      </c>
      <c r="X192" s="329">
        <v>0</v>
      </c>
      <c r="Y192" s="329">
        <v>0</v>
      </c>
      <c r="Z192" s="329">
        <v>0</v>
      </c>
      <c r="AA192" s="329">
        <v>0</v>
      </c>
      <c r="AB192" s="329">
        <v>0</v>
      </c>
      <c r="AC192" s="329">
        <v>0</v>
      </c>
      <c r="AD192" s="329">
        <v>0</v>
      </c>
      <c r="AE192" s="186">
        <v>0.08</v>
      </c>
      <c r="AF192" s="330">
        <v>0</v>
      </c>
      <c r="AG192" s="330">
        <v>30</v>
      </c>
      <c r="AH192" s="330">
        <v>30</v>
      </c>
      <c r="AI192" s="331">
        <v>1</v>
      </c>
      <c r="AJ192" s="331" t="s">
        <v>660</v>
      </c>
      <c r="AK192" s="331" t="s">
        <v>745</v>
      </c>
      <c r="AL192" s="331"/>
      <c r="AM192" s="332"/>
      <c r="AN192" s="332"/>
      <c r="AO192" s="332"/>
      <c r="AP192" s="332"/>
      <c r="AQ192" s="332"/>
      <c r="AR192" s="332"/>
      <c r="AS192" s="333"/>
      <c r="AT192" s="333"/>
      <c r="AU192" s="333"/>
      <c r="AV192" s="334"/>
      <c r="AW192" s="334"/>
      <c r="AX192" s="334"/>
      <c r="AY192" s="335" t="s">
        <v>662</v>
      </c>
      <c r="AZ192" s="335"/>
      <c r="BA192" s="336"/>
      <c r="BB192" s="337"/>
      <c r="BC192" s="337"/>
      <c r="BD192" s="337"/>
      <c r="BE192" s="337"/>
      <c r="BF192" s="337"/>
      <c r="BG192" s="337"/>
      <c r="BH192" s="338"/>
      <c r="BI192" s="338"/>
      <c r="BJ192" s="338"/>
      <c r="BK192" s="338"/>
      <c r="BL192" s="339"/>
      <c r="BM192" s="340"/>
      <c r="BN192" s="341">
        <v>0</v>
      </c>
      <c r="BO192" s="330"/>
      <c r="BP192" s="330"/>
      <c r="BQ192" s="330"/>
      <c r="BR192" s="330"/>
      <c r="BS192" s="330"/>
      <c r="BT192" s="330"/>
      <c r="BU192" s="335">
        <v>0</v>
      </c>
      <c r="BV192" s="335"/>
      <c r="BW192" s="335"/>
      <c r="BX192" s="335"/>
      <c r="BY192" s="335"/>
      <c r="BZ192" s="335"/>
      <c r="CA192" s="335"/>
      <c r="CB192" s="342"/>
      <c r="CC192" s="342"/>
      <c r="CD192" s="342"/>
      <c r="CE192" s="342"/>
      <c r="CF192" s="342"/>
      <c r="CG192" s="342"/>
      <c r="CH192" s="342"/>
      <c r="CI192" s="335"/>
      <c r="CJ192" s="335"/>
      <c r="CK192" s="335"/>
      <c r="CL192" s="335"/>
      <c r="CM192" s="335"/>
      <c r="CN192" s="335"/>
      <c r="CO192" s="335"/>
      <c r="CP192" s="343"/>
      <c r="CQ192" s="343"/>
      <c r="CR192" s="343"/>
      <c r="CS192" s="343"/>
      <c r="CT192" s="343"/>
      <c r="CU192" s="343"/>
      <c r="CV192" s="343"/>
      <c r="CW192" s="344"/>
      <c r="CX192" s="345"/>
      <c r="CY192" s="345"/>
      <c r="CZ192" s="345"/>
      <c r="DA192" s="345"/>
      <c r="DB192" s="345"/>
      <c r="DC192" s="345"/>
      <c r="DD192" s="345"/>
      <c r="DE192" s="345"/>
      <c r="DF192" s="345"/>
      <c r="DG192" s="345"/>
      <c r="DH192" s="345"/>
      <c r="DI192" s="345"/>
      <c r="DJ192" s="345"/>
      <c r="DK192" s="289" t="s">
        <v>452</v>
      </c>
      <c r="DL192" s="344">
        <v>0</v>
      </c>
      <c r="DM192" s="344">
        <v>0</v>
      </c>
      <c r="DN192" s="344">
        <v>0</v>
      </c>
      <c r="DO192" s="344">
        <v>0</v>
      </c>
      <c r="DP192" s="344">
        <v>0</v>
      </c>
      <c r="DQ192" s="344">
        <v>0</v>
      </c>
      <c r="DR192" s="344">
        <v>0</v>
      </c>
      <c r="DS192" s="346"/>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69">
        <v>0</v>
      </c>
      <c r="Q193" s="253">
        <f>0.2*I193</f>
        <v>1.8780000000000001</v>
      </c>
      <c r="R193" s="253">
        <f t="shared" ref="R193:W200" si="206">0.2*J193</f>
        <v>2.0780000000000003</v>
      </c>
      <c r="S193" s="253">
        <f t="shared" si="206"/>
        <v>2.278</v>
      </c>
      <c r="T193" s="253">
        <f t="shared" si="206"/>
        <v>2.4780000000000002</v>
      </c>
      <c r="U193" s="253">
        <f t="shared" si="206"/>
        <v>2.6780000000000004</v>
      </c>
      <c r="V193" s="253">
        <f t="shared" si="206"/>
        <v>2.8780000000000001</v>
      </c>
      <c r="W193" s="253">
        <f t="shared" si="206"/>
        <v>3.0780000000000003</v>
      </c>
      <c r="X193" s="102">
        <v>0</v>
      </c>
      <c r="Y193" s="102">
        <v>0</v>
      </c>
      <c r="Z193" s="102">
        <v>0</v>
      </c>
      <c r="AA193" s="102">
        <v>0</v>
      </c>
      <c r="AB193" s="102">
        <v>0</v>
      </c>
      <c r="AC193" s="102">
        <v>0</v>
      </c>
      <c r="AD193" s="102">
        <v>0</v>
      </c>
      <c r="AE193" s="186">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7">IF(BL193=1,BN193,0)</f>
        <v>0</v>
      </c>
      <c r="BV193" s="28"/>
      <c r="BW193" s="28"/>
      <c r="BX193" s="28"/>
      <c r="BY193" s="28"/>
      <c r="BZ193" s="28"/>
      <c r="CA193" s="28"/>
      <c r="CB193" s="99">
        <f t="shared" ref="CB193:CH197" si="208">DL193</f>
        <v>567.02</v>
      </c>
      <c r="CC193" s="99">
        <f t="shared" si="208"/>
        <v>567.02</v>
      </c>
      <c r="CD193" s="99">
        <f t="shared" si="208"/>
        <v>567.02</v>
      </c>
      <c r="CE193" s="99">
        <f t="shared" si="208"/>
        <v>567.02</v>
      </c>
      <c r="CF193" s="389">
        <f>(CE193+CH193)/2</f>
        <v>289.13767350000001</v>
      </c>
      <c r="CG193" s="389">
        <f>DQ193*0.5</f>
        <v>283.51</v>
      </c>
      <c r="CH193" s="389">
        <f>(CE193-(DR193-(DR193*0.01))*(0.97))/2</f>
        <v>11.255347000000029</v>
      </c>
      <c r="CI193" s="175"/>
      <c r="CJ193" s="175"/>
      <c r="CK193" s="175"/>
      <c r="CL193" s="175"/>
      <c r="CM193" s="175"/>
      <c r="CN193" s="175"/>
      <c r="CO193" s="175"/>
      <c r="CP193" s="176"/>
      <c r="CQ193" s="176"/>
      <c r="CR193" s="176"/>
      <c r="CS193" s="176"/>
      <c r="CT193" s="176"/>
      <c r="CU193" s="176"/>
      <c r="CV193" s="176"/>
      <c r="CW193" s="167"/>
      <c r="CX193" s="168"/>
      <c r="CY193" s="168"/>
      <c r="CZ193" s="168"/>
      <c r="DA193" s="168"/>
      <c r="DB193" s="168"/>
      <c r="DC193" s="168"/>
      <c r="DD193" s="172"/>
      <c r="DE193" s="172"/>
      <c r="DF193" s="172"/>
      <c r="DG193" s="172"/>
      <c r="DH193" s="172"/>
      <c r="DI193" s="172"/>
      <c r="DJ193" s="172"/>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8"/>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09">J193*1.05</f>
        <v>10.909500000000001</v>
      </c>
      <c r="K194" s="101">
        <f t="shared" si="209"/>
        <v>11.9595</v>
      </c>
      <c r="L194" s="101">
        <f t="shared" si="209"/>
        <v>13.009500000000001</v>
      </c>
      <c r="M194" s="101">
        <f t="shared" si="209"/>
        <v>14.059500000000002</v>
      </c>
      <c r="N194" s="101">
        <f t="shared" si="209"/>
        <v>15.109500000000001</v>
      </c>
      <c r="O194" s="101">
        <f t="shared" si="209"/>
        <v>16.159500000000001</v>
      </c>
      <c r="P194" s="269">
        <v>0</v>
      </c>
      <c r="Q194" s="253">
        <f t="shared" ref="Q194:Q200" si="210">0.2*I194</f>
        <v>1.9719000000000002</v>
      </c>
      <c r="R194" s="253">
        <f t="shared" si="206"/>
        <v>2.1819000000000002</v>
      </c>
      <c r="S194" s="253">
        <f t="shared" si="206"/>
        <v>2.3919000000000001</v>
      </c>
      <c r="T194" s="253">
        <f t="shared" si="206"/>
        <v>2.6019000000000005</v>
      </c>
      <c r="U194" s="253">
        <f t="shared" si="206"/>
        <v>2.8119000000000005</v>
      </c>
      <c r="V194" s="253">
        <f t="shared" si="206"/>
        <v>3.0219000000000005</v>
      </c>
      <c r="W194" s="253">
        <f t="shared" si="206"/>
        <v>3.2319000000000004</v>
      </c>
      <c r="X194" s="101">
        <v>0</v>
      </c>
      <c r="Y194" s="101">
        <v>0</v>
      </c>
      <c r="Z194" s="101">
        <v>0</v>
      </c>
      <c r="AA194" s="101">
        <v>0</v>
      </c>
      <c r="AB194" s="101">
        <v>0</v>
      </c>
      <c r="AC194" s="101">
        <v>0</v>
      </c>
      <c r="AD194" s="101">
        <v>0</v>
      </c>
      <c r="AE194" s="186">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7"/>
        <v>0</v>
      </c>
      <c r="BV194" s="27"/>
      <c r="BW194" s="27"/>
      <c r="BX194" s="27"/>
      <c r="BY194" s="27"/>
      <c r="BZ194" s="27"/>
      <c r="CA194" s="27"/>
      <c r="CB194" s="97"/>
      <c r="CC194" s="185">
        <f t="shared" si="208"/>
        <v>567.02</v>
      </c>
      <c r="CD194" s="97">
        <f t="shared" si="208"/>
        <v>567.02</v>
      </c>
      <c r="CE194" s="97">
        <f t="shared" si="208"/>
        <v>567.02</v>
      </c>
      <c r="CF194" s="97">
        <f t="shared" si="208"/>
        <v>567.02</v>
      </c>
      <c r="CG194" s="97">
        <f t="shared" si="208"/>
        <v>567.02</v>
      </c>
      <c r="CH194" s="97">
        <f t="shared" si="208"/>
        <v>567.02</v>
      </c>
      <c r="CI194" s="173"/>
      <c r="CJ194" s="173"/>
      <c r="CK194" s="173"/>
      <c r="CL194" s="173"/>
      <c r="CM194" s="173"/>
      <c r="CN194" s="173"/>
      <c r="CO194" s="173"/>
      <c r="CP194" s="174"/>
      <c r="CQ194" s="174"/>
      <c r="CR194" s="174"/>
      <c r="CS194" s="174"/>
      <c r="CT194" s="174"/>
      <c r="CU194" s="174"/>
      <c r="CV194" s="174"/>
      <c r="CW194" s="165"/>
      <c r="CX194" s="166"/>
      <c r="CY194" s="166"/>
      <c r="CZ194" s="166"/>
      <c r="DA194" s="166"/>
      <c r="DB194" s="166"/>
      <c r="DC194" s="166"/>
      <c r="DD194" s="171"/>
      <c r="DE194" s="171"/>
      <c r="DF194" s="171"/>
      <c r="DG194" s="171"/>
      <c r="DH194" s="171"/>
      <c r="DI194" s="171"/>
      <c r="DJ194" s="171"/>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69">
        <v>0</v>
      </c>
      <c r="Q195" s="253">
        <f t="shared" si="210"/>
        <v>2.3559999999999999</v>
      </c>
      <c r="R195" s="253">
        <f t="shared" si="206"/>
        <v>2.556</v>
      </c>
      <c r="S195" s="253">
        <f t="shared" si="206"/>
        <v>2.7560000000000002</v>
      </c>
      <c r="T195" s="253">
        <f t="shared" si="206"/>
        <v>2.956</v>
      </c>
      <c r="U195" s="253">
        <f t="shared" si="206"/>
        <v>3.1560000000000001</v>
      </c>
      <c r="V195" s="253">
        <f t="shared" si="206"/>
        <v>3.3560000000000003</v>
      </c>
      <c r="W195" s="253">
        <f t="shared" si="206"/>
        <v>3.5560000000000005</v>
      </c>
      <c r="X195" s="102">
        <v>0</v>
      </c>
      <c r="Y195" s="102">
        <v>0</v>
      </c>
      <c r="Z195" s="102">
        <v>0</v>
      </c>
      <c r="AA195" s="102">
        <v>0</v>
      </c>
      <c r="AB195" s="102">
        <v>0</v>
      </c>
      <c r="AC195" s="102">
        <v>0</v>
      </c>
      <c r="AD195" s="102">
        <v>0</v>
      </c>
      <c r="AE195" s="186">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7"/>
        <v>0</v>
      </c>
      <c r="BV195" s="28"/>
      <c r="BW195" s="28"/>
      <c r="BX195" s="28"/>
      <c r="BY195" s="28"/>
      <c r="BZ195" s="28"/>
      <c r="CA195" s="28"/>
      <c r="CB195" s="99"/>
      <c r="CC195" s="185">
        <f t="shared" si="208"/>
        <v>567.02</v>
      </c>
      <c r="CD195" s="185">
        <f t="shared" ref="CD195" si="211">DN195</f>
        <v>567.02</v>
      </c>
      <c r="CE195" s="185">
        <f t="shared" ref="CE195" si="212">DO195</f>
        <v>567.02</v>
      </c>
      <c r="CF195" s="185">
        <f t="shared" si="208"/>
        <v>567.02</v>
      </c>
      <c r="CG195" s="185">
        <f t="shared" si="208"/>
        <v>567.02</v>
      </c>
      <c r="CH195" s="389">
        <f>(CE195-(DR195-(DR195*0.01))*(0.97))/2</f>
        <v>11.255347000000029</v>
      </c>
      <c r="CI195" s="175"/>
      <c r="CJ195" s="175"/>
      <c r="CK195" s="175"/>
      <c r="CL195" s="175"/>
      <c r="CM195" s="175"/>
      <c r="CN195" s="175"/>
      <c r="CO195" s="175"/>
      <c r="CP195" s="176"/>
      <c r="CQ195" s="176"/>
      <c r="CR195" s="176"/>
      <c r="CS195" s="176"/>
      <c r="CT195" s="176"/>
      <c r="CU195" s="176"/>
      <c r="CV195" s="176"/>
      <c r="CW195" s="167"/>
      <c r="CX195" s="168"/>
      <c r="CY195" s="168"/>
      <c r="CZ195" s="168"/>
      <c r="DA195" s="168"/>
      <c r="DB195" s="168"/>
      <c r="DC195" s="168"/>
      <c r="DD195" s="172"/>
      <c r="DE195" s="172"/>
      <c r="DF195" s="172"/>
      <c r="DG195" s="172"/>
      <c r="DH195" s="172"/>
      <c r="DI195" s="172"/>
      <c r="DJ195" s="172"/>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3">J195*1.05</f>
        <v>13.419</v>
      </c>
      <c r="K196" s="101">
        <f t="shared" si="213"/>
        <v>14.468999999999999</v>
      </c>
      <c r="L196" s="101">
        <f t="shared" si="213"/>
        <v>15.519</v>
      </c>
      <c r="M196" s="101">
        <f t="shared" si="213"/>
        <v>16.568999999999999</v>
      </c>
      <c r="N196" s="101">
        <f t="shared" si="213"/>
        <v>17.619000000000003</v>
      </c>
      <c r="O196" s="101">
        <f t="shared" si="213"/>
        <v>18.669</v>
      </c>
      <c r="P196" s="269">
        <v>0</v>
      </c>
      <c r="Q196" s="253">
        <f t="shared" si="210"/>
        <v>2.4738000000000002</v>
      </c>
      <c r="R196" s="253">
        <f t="shared" si="206"/>
        <v>2.6838000000000002</v>
      </c>
      <c r="S196" s="253">
        <f t="shared" si="206"/>
        <v>2.8938000000000001</v>
      </c>
      <c r="T196" s="253">
        <f t="shared" si="206"/>
        <v>3.1038000000000001</v>
      </c>
      <c r="U196" s="253">
        <f t="shared" si="206"/>
        <v>3.3138000000000001</v>
      </c>
      <c r="V196" s="253">
        <f t="shared" si="206"/>
        <v>3.5238000000000009</v>
      </c>
      <c r="W196" s="253">
        <f t="shared" si="206"/>
        <v>3.7338000000000005</v>
      </c>
      <c r="X196" s="101">
        <v>0</v>
      </c>
      <c r="Y196" s="101">
        <v>0</v>
      </c>
      <c r="Z196" s="101">
        <v>0</v>
      </c>
      <c r="AA196" s="101">
        <v>0</v>
      </c>
      <c r="AB196" s="101">
        <v>0</v>
      </c>
      <c r="AC196" s="101">
        <v>0</v>
      </c>
      <c r="AD196" s="101">
        <v>0</v>
      </c>
      <c r="AE196" s="186">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7"/>
        <v>0</v>
      </c>
      <c r="BV196" s="27"/>
      <c r="BW196" s="27"/>
      <c r="BX196" s="27"/>
      <c r="BY196" s="27"/>
      <c r="BZ196" s="27"/>
      <c r="CA196" s="27"/>
      <c r="CB196" s="97"/>
      <c r="CC196" s="185">
        <f t="shared" si="208"/>
        <v>567.02</v>
      </c>
      <c r="CD196" s="97">
        <f t="shared" si="208"/>
        <v>567.02</v>
      </c>
      <c r="CE196" s="97">
        <f t="shared" si="208"/>
        <v>567.02</v>
      </c>
      <c r="CF196" s="97">
        <f t="shared" si="208"/>
        <v>567.02</v>
      </c>
      <c r="CG196" s="97">
        <f t="shared" si="208"/>
        <v>567.02</v>
      </c>
      <c r="CH196" s="97">
        <f t="shared" si="208"/>
        <v>567.02</v>
      </c>
      <c r="CI196" s="173"/>
      <c r="CJ196" s="173"/>
      <c r="CK196" s="173"/>
      <c r="CL196" s="173"/>
      <c r="CM196" s="173"/>
      <c r="CN196" s="173"/>
      <c r="CO196" s="173"/>
      <c r="CP196" s="174"/>
      <c r="CQ196" s="174"/>
      <c r="CR196" s="174"/>
      <c r="CS196" s="174"/>
      <c r="CT196" s="174"/>
      <c r="CU196" s="174"/>
      <c r="CV196" s="174"/>
      <c r="CW196" s="165"/>
      <c r="CX196" s="166"/>
      <c r="CY196" s="166"/>
      <c r="CZ196" s="166"/>
      <c r="DA196" s="166"/>
      <c r="DB196" s="166"/>
      <c r="DC196" s="166"/>
      <c r="DD196" s="171"/>
      <c r="DE196" s="171"/>
      <c r="DF196" s="171"/>
      <c r="DG196" s="171"/>
      <c r="DH196" s="171"/>
      <c r="DI196" s="171"/>
      <c r="DJ196" s="171"/>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4">J195*1.01</f>
        <v>12.9078</v>
      </c>
      <c r="K197" s="102">
        <f t="shared" si="214"/>
        <v>13.9178</v>
      </c>
      <c r="L197" s="102">
        <f t="shared" si="214"/>
        <v>14.9278</v>
      </c>
      <c r="M197" s="102">
        <f t="shared" si="214"/>
        <v>15.937799999999999</v>
      </c>
      <c r="N197" s="102">
        <f t="shared" si="214"/>
        <v>16.947800000000001</v>
      </c>
      <c r="O197" s="102">
        <f t="shared" si="214"/>
        <v>17.957800000000002</v>
      </c>
      <c r="P197" s="269">
        <v>0</v>
      </c>
      <c r="Q197" s="253">
        <f t="shared" si="210"/>
        <v>2.3795600000000001</v>
      </c>
      <c r="R197" s="253">
        <f t="shared" si="206"/>
        <v>2.5815600000000001</v>
      </c>
      <c r="S197" s="253">
        <f t="shared" si="206"/>
        <v>2.78356</v>
      </c>
      <c r="T197" s="253">
        <f t="shared" si="206"/>
        <v>2.98556</v>
      </c>
      <c r="U197" s="253">
        <f t="shared" si="206"/>
        <v>3.1875599999999999</v>
      </c>
      <c r="V197" s="253">
        <f t="shared" si="206"/>
        <v>3.3895600000000004</v>
      </c>
      <c r="W197" s="253">
        <f t="shared" si="206"/>
        <v>3.5915600000000008</v>
      </c>
      <c r="X197" s="102">
        <v>0</v>
      </c>
      <c r="Y197" s="102">
        <v>0</v>
      </c>
      <c r="Z197" s="102">
        <v>0</v>
      </c>
      <c r="AA197" s="102">
        <v>0</v>
      </c>
      <c r="AB197" s="102">
        <v>0</v>
      </c>
      <c r="AC197" s="102">
        <v>0</v>
      </c>
      <c r="AD197" s="102">
        <v>0</v>
      </c>
      <c r="AE197" s="186">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7"/>
        <v>0</v>
      </c>
      <c r="BV197" s="28"/>
      <c r="BW197" s="28"/>
      <c r="BX197" s="28"/>
      <c r="BY197" s="28"/>
      <c r="BZ197" s="28"/>
      <c r="CA197" s="28"/>
      <c r="CB197" s="99"/>
      <c r="CC197" s="185">
        <f t="shared" si="208"/>
        <v>567.02</v>
      </c>
      <c r="CD197" s="99">
        <f t="shared" si="208"/>
        <v>567.02</v>
      </c>
      <c r="CE197" s="99">
        <f t="shared" si="208"/>
        <v>567.02</v>
      </c>
      <c r="CF197" s="99">
        <f t="shared" si="208"/>
        <v>567.02</v>
      </c>
      <c r="CG197" s="99">
        <f t="shared" si="208"/>
        <v>567.02</v>
      </c>
      <c r="CH197" s="99">
        <f t="shared" si="208"/>
        <v>567.02</v>
      </c>
      <c r="CI197" s="175"/>
      <c r="CJ197" s="175"/>
      <c r="CK197" s="175"/>
      <c r="CL197" s="175"/>
      <c r="CM197" s="175"/>
      <c r="CN197" s="175"/>
      <c r="CO197" s="175"/>
      <c r="CP197" s="176"/>
      <c r="CQ197" s="176"/>
      <c r="CR197" s="176"/>
      <c r="CS197" s="176"/>
      <c r="CT197" s="176"/>
      <c r="CU197" s="176"/>
      <c r="CV197" s="176"/>
      <c r="CW197" s="167"/>
      <c r="CX197" s="168"/>
      <c r="CY197" s="168"/>
      <c r="CZ197" s="168"/>
      <c r="DA197" s="168"/>
      <c r="DB197" s="168"/>
      <c r="DC197" s="168"/>
      <c r="DD197" s="172"/>
      <c r="DE197" s="172"/>
      <c r="DF197" s="172"/>
      <c r="DG197" s="172"/>
      <c r="DH197" s="172"/>
      <c r="DI197" s="172"/>
      <c r="DJ197" s="172"/>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69">
        <v>0</v>
      </c>
      <c r="Q198" s="253">
        <f t="shared" si="210"/>
        <v>2.8580000000000001</v>
      </c>
      <c r="R198" s="253">
        <f t="shared" si="206"/>
        <v>2.8580000000000001</v>
      </c>
      <c r="S198" s="253">
        <f t="shared" si="206"/>
        <v>2.8580000000000001</v>
      </c>
      <c r="T198" s="253">
        <f t="shared" si="206"/>
        <v>2.8580000000000001</v>
      </c>
      <c r="U198" s="253">
        <f t="shared" si="206"/>
        <v>2.8580000000000001</v>
      </c>
      <c r="V198" s="253">
        <f t="shared" si="206"/>
        <v>2.8580000000000001</v>
      </c>
      <c r="W198" s="253">
        <f t="shared" si="206"/>
        <v>2.8580000000000001</v>
      </c>
      <c r="X198" s="101">
        <v>0</v>
      </c>
      <c r="Y198" s="101">
        <v>0</v>
      </c>
      <c r="Z198" s="101">
        <v>0</v>
      </c>
      <c r="AA198" s="101">
        <v>0</v>
      </c>
      <c r="AB198" s="101">
        <v>0</v>
      </c>
      <c r="AC198" s="101">
        <v>0</v>
      </c>
      <c r="AD198" s="101">
        <v>0</v>
      </c>
      <c r="AE198" s="186">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7"/>
        <v>0</v>
      </c>
      <c r="BV198" s="27"/>
      <c r="BW198" s="27"/>
      <c r="BX198" s="27"/>
      <c r="BY198" s="27"/>
      <c r="BZ198" s="27"/>
      <c r="CA198" s="27"/>
      <c r="CB198" s="97">
        <v>30</v>
      </c>
      <c r="CC198" s="97">
        <v>150</v>
      </c>
      <c r="CD198" s="97">
        <f>0.2*CD193</f>
        <v>113.404</v>
      </c>
      <c r="CE198" s="97">
        <f>0.3*CE193</f>
        <v>170.10599999999999</v>
      </c>
      <c r="CF198" s="97">
        <f t="shared" ref="CF198:CH198" si="215">0.3*CF193</f>
        <v>86.741302050000002</v>
      </c>
      <c r="CG198" s="97">
        <f t="shared" si="215"/>
        <v>85.052999999999997</v>
      </c>
      <c r="CH198" s="97">
        <f t="shared" si="215"/>
        <v>3.3766041000000087</v>
      </c>
      <c r="CI198" s="173">
        <f>CB198*AI198*0.9</f>
        <v>5.2380000000000004</v>
      </c>
      <c r="CJ198" s="173"/>
      <c r="CK198" s="173"/>
      <c r="CL198" s="173"/>
      <c r="CM198" s="173"/>
      <c r="CN198" s="173"/>
      <c r="CO198" s="173"/>
      <c r="CP198" s="174"/>
      <c r="CQ198" s="174"/>
      <c r="CR198" s="174"/>
      <c r="CS198" s="174"/>
      <c r="CT198" s="174"/>
      <c r="CU198" s="174"/>
      <c r="CV198" s="174"/>
      <c r="CW198" s="165"/>
      <c r="CX198" s="166"/>
      <c r="CY198" s="166"/>
      <c r="CZ198" s="166"/>
      <c r="DA198" s="166"/>
      <c r="DB198" s="166"/>
      <c r="DC198" s="166"/>
      <c r="DD198" s="171"/>
      <c r="DE198" s="171"/>
      <c r="DF198" s="171"/>
      <c r="DG198" s="171"/>
      <c r="DH198" s="171"/>
      <c r="DI198" s="171"/>
      <c r="DJ198" s="171"/>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16">J200*1.05</f>
        <v>28.602</v>
      </c>
      <c r="K199" s="102">
        <f t="shared" si="216"/>
        <v>29.652000000000001</v>
      </c>
      <c r="L199" s="102">
        <f t="shared" si="216"/>
        <v>30.701999999999998</v>
      </c>
      <c r="M199" s="102">
        <f t="shared" si="216"/>
        <v>31.751999999999999</v>
      </c>
      <c r="N199" s="102">
        <f t="shared" si="216"/>
        <v>32.802</v>
      </c>
      <c r="O199" s="102">
        <f t="shared" si="216"/>
        <v>33.852000000000004</v>
      </c>
      <c r="P199" s="269">
        <v>0</v>
      </c>
      <c r="Q199" s="253">
        <f t="shared" si="210"/>
        <v>5.5104000000000006</v>
      </c>
      <c r="R199" s="253">
        <f t="shared" si="206"/>
        <v>5.7204000000000006</v>
      </c>
      <c r="S199" s="253">
        <f t="shared" si="206"/>
        <v>5.9304000000000006</v>
      </c>
      <c r="T199" s="253">
        <f t="shared" si="206"/>
        <v>6.1403999999999996</v>
      </c>
      <c r="U199" s="253">
        <f t="shared" si="206"/>
        <v>6.3504000000000005</v>
      </c>
      <c r="V199" s="253">
        <f t="shared" si="206"/>
        <v>6.5604000000000005</v>
      </c>
      <c r="W199" s="253">
        <f t="shared" si="206"/>
        <v>6.7704000000000013</v>
      </c>
      <c r="X199" s="102">
        <v>0</v>
      </c>
      <c r="Y199" s="102">
        <v>0</v>
      </c>
      <c r="Z199" s="102">
        <v>0</v>
      </c>
      <c r="AA199" s="102">
        <v>0</v>
      </c>
      <c r="AB199" s="102">
        <v>0</v>
      </c>
      <c r="AC199" s="102">
        <v>0</v>
      </c>
      <c r="AD199" s="102">
        <v>0</v>
      </c>
      <c r="AE199" s="186">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7"/>
        <v>0</v>
      </c>
      <c r="BV199" s="28"/>
      <c r="BW199" s="28"/>
      <c r="BX199" s="28"/>
      <c r="BY199" s="28"/>
      <c r="BZ199" s="28"/>
      <c r="CA199" s="28"/>
      <c r="CB199" s="99"/>
      <c r="CC199" s="99"/>
      <c r="CD199" s="99">
        <v>100</v>
      </c>
      <c r="CE199" s="99">
        <v>200</v>
      </c>
      <c r="CF199" s="99">
        <v>200</v>
      </c>
      <c r="CG199" s="99">
        <v>200</v>
      </c>
      <c r="CH199" s="99">
        <v>200</v>
      </c>
      <c r="CI199" s="175"/>
      <c r="CJ199" s="175"/>
      <c r="CK199" s="175"/>
      <c r="CL199" s="175"/>
      <c r="CM199" s="175"/>
      <c r="CN199" s="175"/>
      <c r="CO199" s="175"/>
      <c r="CP199" s="176"/>
      <c r="CQ199" s="176"/>
      <c r="CR199" s="176"/>
      <c r="CS199" s="176"/>
      <c r="CT199" s="176"/>
      <c r="CU199" s="176"/>
      <c r="CV199" s="176"/>
      <c r="CW199" s="167"/>
      <c r="CX199" s="168"/>
      <c r="CY199" s="168"/>
      <c r="CZ199" s="168"/>
      <c r="DA199" s="168"/>
      <c r="DB199" s="168"/>
      <c r="DC199" s="168"/>
      <c r="DD199" s="172"/>
      <c r="DE199" s="172"/>
      <c r="DF199" s="172"/>
      <c r="DG199" s="172"/>
      <c r="DH199" s="172"/>
      <c r="DI199" s="172"/>
      <c r="DJ199" s="172"/>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69">
        <v>0</v>
      </c>
      <c r="Q200" s="253">
        <f t="shared" si="210"/>
        <v>5.2480000000000002</v>
      </c>
      <c r="R200" s="253">
        <f t="shared" si="206"/>
        <v>5.4480000000000004</v>
      </c>
      <c r="S200" s="253">
        <f t="shared" si="206"/>
        <v>5.6479999999999997</v>
      </c>
      <c r="T200" s="253">
        <f t="shared" si="206"/>
        <v>5.8479999999999999</v>
      </c>
      <c r="U200" s="253">
        <f t="shared" si="206"/>
        <v>6.048</v>
      </c>
      <c r="V200" s="253">
        <f t="shared" si="206"/>
        <v>6.2480000000000002</v>
      </c>
      <c r="W200" s="253">
        <f t="shared" si="206"/>
        <v>6.4480000000000004</v>
      </c>
      <c r="X200" s="101">
        <v>0</v>
      </c>
      <c r="Y200" s="101">
        <v>0</v>
      </c>
      <c r="Z200" s="101">
        <v>0</v>
      </c>
      <c r="AA200" s="101">
        <v>0</v>
      </c>
      <c r="AB200" s="101">
        <v>0</v>
      </c>
      <c r="AC200" s="101">
        <v>0</v>
      </c>
      <c r="AD200" s="101">
        <v>0</v>
      </c>
      <c r="AE200" s="186">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17">IF(BL200=1,BN200,0)</f>
        <v>0</v>
      </c>
      <c r="BV200" s="27"/>
      <c r="BW200" s="27"/>
      <c r="BX200" s="27"/>
      <c r="BY200" s="27"/>
      <c r="BZ200" s="27"/>
      <c r="CA200" s="27"/>
      <c r="CB200" s="97"/>
      <c r="CC200" s="97"/>
      <c r="CD200" s="97">
        <v>100</v>
      </c>
      <c r="CE200" s="97">
        <v>200</v>
      </c>
      <c r="CF200" s="97">
        <v>200</v>
      </c>
      <c r="CG200" s="97">
        <v>200</v>
      </c>
      <c r="CH200" s="97">
        <v>200</v>
      </c>
      <c r="CI200" s="173"/>
      <c r="CJ200" s="173"/>
      <c r="CK200" s="173"/>
      <c r="CL200" s="173"/>
      <c r="CM200" s="173"/>
      <c r="CN200" s="173"/>
      <c r="CO200" s="173"/>
      <c r="CP200" s="174"/>
      <c r="CQ200" s="174"/>
      <c r="CR200" s="174"/>
      <c r="CS200" s="174"/>
      <c r="CT200" s="174"/>
      <c r="CU200" s="174"/>
      <c r="CV200" s="174"/>
      <c r="CW200" s="165"/>
      <c r="CX200" s="166"/>
      <c r="CY200" s="166"/>
      <c r="CZ200" s="166"/>
      <c r="DA200" s="166"/>
      <c r="DB200" s="166"/>
      <c r="DC200" s="166"/>
      <c r="DD200" s="171"/>
      <c r="DE200" s="171"/>
      <c r="DF200" s="171"/>
      <c r="DG200" s="171"/>
      <c r="DH200" s="171"/>
      <c r="DI200" s="171"/>
      <c r="DJ200" s="171"/>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s="347" customFormat="1" x14ac:dyDescent="0.35">
      <c r="A201" s="327" t="s">
        <v>1158</v>
      </c>
      <c r="B201" s="327" t="s">
        <v>1141</v>
      </c>
      <c r="C201" s="327" t="s">
        <v>655</v>
      </c>
      <c r="D201" s="327" t="s">
        <v>1029</v>
      </c>
      <c r="E201" s="327" t="s">
        <v>1142</v>
      </c>
      <c r="F201" s="327" t="s">
        <v>499</v>
      </c>
      <c r="G201" s="328" t="s">
        <v>1159</v>
      </c>
      <c r="H201" s="328" t="s">
        <v>659</v>
      </c>
      <c r="I201" s="329">
        <v>0</v>
      </c>
      <c r="J201" s="329">
        <v>0</v>
      </c>
      <c r="K201" s="329">
        <v>0</v>
      </c>
      <c r="L201" s="329">
        <v>0</v>
      </c>
      <c r="M201" s="329">
        <v>0</v>
      </c>
      <c r="N201" s="329">
        <v>0</v>
      </c>
      <c r="O201" s="329">
        <v>0</v>
      </c>
      <c r="P201" s="330"/>
      <c r="Q201" s="329">
        <v>0</v>
      </c>
      <c r="R201" s="329">
        <v>0</v>
      </c>
      <c r="S201" s="329">
        <v>0</v>
      </c>
      <c r="T201" s="329">
        <v>0</v>
      </c>
      <c r="U201" s="329">
        <v>0</v>
      </c>
      <c r="V201" s="329">
        <v>0</v>
      </c>
      <c r="W201" s="329">
        <v>0</v>
      </c>
      <c r="X201" s="329">
        <v>0</v>
      </c>
      <c r="Y201" s="329">
        <v>0</v>
      </c>
      <c r="Z201" s="329">
        <v>0</v>
      </c>
      <c r="AA201" s="329">
        <v>0</v>
      </c>
      <c r="AB201" s="329">
        <v>0</v>
      </c>
      <c r="AC201" s="329">
        <v>0</v>
      </c>
      <c r="AD201" s="329">
        <v>0</v>
      </c>
      <c r="AE201" s="186">
        <v>0.08</v>
      </c>
      <c r="AF201" s="330">
        <v>0</v>
      </c>
      <c r="AG201" s="330">
        <v>30</v>
      </c>
      <c r="AH201" s="330">
        <v>30</v>
      </c>
      <c r="AI201" s="331">
        <v>1</v>
      </c>
      <c r="AJ201" s="331" t="s">
        <v>660</v>
      </c>
      <c r="AK201" s="331" t="s">
        <v>745</v>
      </c>
      <c r="AL201" s="331"/>
      <c r="AM201" s="332"/>
      <c r="AN201" s="332"/>
      <c r="AO201" s="332"/>
      <c r="AP201" s="332"/>
      <c r="AQ201" s="332"/>
      <c r="AR201" s="332"/>
      <c r="AS201" s="333"/>
      <c r="AT201" s="333"/>
      <c r="AU201" s="333"/>
      <c r="AV201" s="334"/>
      <c r="AW201" s="334"/>
      <c r="AX201" s="334"/>
      <c r="AY201" s="335" t="s">
        <v>662</v>
      </c>
      <c r="AZ201" s="335"/>
      <c r="BA201" s="336"/>
      <c r="BB201" s="337"/>
      <c r="BC201" s="337"/>
      <c r="BD201" s="337"/>
      <c r="BE201" s="337"/>
      <c r="BF201" s="337"/>
      <c r="BG201" s="337"/>
      <c r="BH201" s="338"/>
      <c r="BI201" s="338"/>
      <c r="BJ201" s="338"/>
      <c r="BK201" s="338"/>
      <c r="BL201" s="339"/>
      <c r="BM201" s="340"/>
      <c r="BN201" s="341">
        <v>0</v>
      </c>
      <c r="BO201" s="330"/>
      <c r="BP201" s="330"/>
      <c r="BQ201" s="330"/>
      <c r="BR201" s="330"/>
      <c r="BS201" s="330"/>
      <c r="BT201" s="330"/>
      <c r="BU201" s="335">
        <v>0</v>
      </c>
      <c r="BV201" s="335"/>
      <c r="BW201" s="335"/>
      <c r="BX201" s="335"/>
      <c r="BY201" s="335"/>
      <c r="BZ201" s="335"/>
      <c r="CA201" s="335"/>
      <c r="CB201" s="342">
        <v>0</v>
      </c>
      <c r="CC201" s="342">
        <v>0</v>
      </c>
      <c r="CD201" s="342"/>
      <c r="CE201" s="342"/>
      <c r="CF201" s="342"/>
      <c r="CG201" s="342"/>
      <c r="CH201" s="342"/>
      <c r="CI201" s="335"/>
      <c r="CJ201" s="335"/>
      <c r="CK201" s="335"/>
      <c r="CL201" s="335"/>
      <c r="CM201" s="335"/>
      <c r="CN201" s="335"/>
      <c r="CO201" s="335"/>
      <c r="CP201" s="343">
        <v>0</v>
      </c>
      <c r="CQ201" s="343">
        <v>0</v>
      </c>
      <c r="CR201" s="343">
        <v>0</v>
      </c>
      <c r="CS201" s="343">
        <v>0</v>
      </c>
      <c r="CT201" s="343">
        <v>0</v>
      </c>
      <c r="CU201" s="343">
        <v>0</v>
      </c>
      <c r="CV201" s="343">
        <v>0</v>
      </c>
      <c r="CW201" s="344"/>
      <c r="CX201" s="345"/>
      <c r="CY201" s="345"/>
      <c r="CZ201" s="345"/>
      <c r="DA201" s="345"/>
      <c r="DB201" s="345"/>
      <c r="DC201" s="345"/>
      <c r="DD201" s="345"/>
      <c r="DE201" s="345"/>
      <c r="DF201" s="345"/>
      <c r="DG201" s="345"/>
      <c r="DH201" s="345"/>
      <c r="DI201" s="345"/>
      <c r="DJ201" s="345"/>
      <c r="DK201" s="289" t="s">
        <v>452</v>
      </c>
      <c r="DL201" s="344">
        <v>0</v>
      </c>
      <c r="DM201" s="344">
        <v>0</v>
      </c>
      <c r="DN201" s="344">
        <v>0</v>
      </c>
      <c r="DO201" s="344">
        <v>0</v>
      </c>
      <c r="DP201" s="344">
        <v>0</v>
      </c>
      <c r="DQ201" s="344">
        <v>0</v>
      </c>
      <c r="DR201" s="344">
        <v>0</v>
      </c>
      <c r="DS201" s="346"/>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7" customFormat="1" x14ac:dyDescent="0.35">
      <c r="A202" s="327" t="s">
        <v>1160</v>
      </c>
      <c r="B202" s="327" t="s">
        <v>1141</v>
      </c>
      <c r="C202" s="327" t="s">
        <v>655</v>
      </c>
      <c r="D202" s="327" t="s">
        <v>1029</v>
      </c>
      <c r="E202" s="327" t="s">
        <v>1142</v>
      </c>
      <c r="F202" s="327" t="s">
        <v>547</v>
      </c>
      <c r="G202" s="328" t="s">
        <v>1161</v>
      </c>
      <c r="H202" s="328" t="s">
        <v>1162</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6">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18">IF(BL203=1,BN203,0)</f>
        <v>0</v>
      </c>
      <c r="BV203" s="28"/>
      <c r="BW203" s="28"/>
      <c r="BX203" s="28"/>
      <c r="BY203" s="28"/>
      <c r="BZ203" s="28"/>
      <c r="CA203" s="28"/>
      <c r="CB203" s="99">
        <f t="shared" ref="CB203" si="219">DL203</f>
        <v>1006.95</v>
      </c>
      <c r="CC203" s="99">
        <f t="shared" ref="CC203:CE203" si="220">DM203</f>
        <v>1006.95</v>
      </c>
      <c r="CD203" s="99">
        <f t="shared" si="220"/>
        <v>1006.95</v>
      </c>
      <c r="CE203" s="99">
        <f t="shared" si="220"/>
        <v>1006.95</v>
      </c>
      <c r="CF203" s="389">
        <f>(CE203+CH203)/2</f>
        <v>542.99778749999996</v>
      </c>
      <c r="CG203" s="389">
        <f>DQ203*0.375</f>
        <v>377.60625000000005</v>
      </c>
      <c r="CH203" s="389">
        <f>CE203-(CE203-(CE203*0.05))*(0.97)</f>
        <v>79.045574999999985</v>
      </c>
      <c r="CI203" s="175"/>
      <c r="CJ203" s="175"/>
      <c r="CK203" s="175"/>
      <c r="CL203" s="175"/>
      <c r="CM203" s="175"/>
      <c r="CN203" s="175"/>
      <c r="CO203" s="175"/>
      <c r="CP203" s="176"/>
      <c r="CQ203" s="176"/>
      <c r="CR203" s="176"/>
      <c r="CS203" s="176"/>
      <c r="CT203" s="176"/>
      <c r="CU203" s="176"/>
      <c r="CV203" s="176"/>
      <c r="CW203" s="167"/>
      <c r="CX203" s="168"/>
      <c r="CY203" s="168"/>
      <c r="CZ203" s="168"/>
      <c r="DA203" s="168"/>
      <c r="DB203" s="168"/>
      <c r="DC203" s="168"/>
      <c r="DD203" s="172"/>
      <c r="DE203" s="172"/>
      <c r="DF203" s="172"/>
      <c r="DG203" s="172"/>
      <c r="DH203" s="172"/>
      <c r="DI203" s="172"/>
      <c r="DJ203" s="172"/>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8"/>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21">J203*1.05</f>
        <v>69.814499999999995</v>
      </c>
      <c r="K204" s="101">
        <f t="shared" si="221"/>
        <v>70.864499999999992</v>
      </c>
      <c r="L204" s="101">
        <f t="shared" si="221"/>
        <v>71.914500000000004</v>
      </c>
      <c r="M204" s="101">
        <f t="shared" si="221"/>
        <v>72.964500000000001</v>
      </c>
      <c r="N204" s="101">
        <f t="shared" si="221"/>
        <v>74.014499999999998</v>
      </c>
      <c r="O204" s="101">
        <f t="shared" si="221"/>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6">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18"/>
        <v>0</v>
      </c>
      <c r="BV204" s="27"/>
      <c r="BW204" s="27"/>
      <c r="BX204" s="27"/>
      <c r="BY204" s="27"/>
      <c r="BZ204" s="27"/>
      <c r="CA204" s="27"/>
      <c r="CB204" s="97"/>
      <c r="CC204" s="97">
        <v>50</v>
      </c>
      <c r="CD204" s="97">
        <v>200</v>
      </c>
      <c r="CE204" s="97">
        <v>250</v>
      </c>
      <c r="CF204" s="97">
        <f t="shared" ref="CF204:CH205" si="222">DP204</f>
        <v>1006.95</v>
      </c>
      <c r="CG204" s="97">
        <f t="shared" si="222"/>
        <v>1006.95</v>
      </c>
      <c r="CH204" s="97">
        <f t="shared" si="222"/>
        <v>1006.95</v>
      </c>
      <c r="CI204" s="173"/>
      <c r="CJ204" s="173"/>
      <c r="CK204" s="173"/>
      <c r="CL204" s="173"/>
      <c r="CM204" s="173"/>
      <c r="CN204" s="173"/>
      <c r="CO204" s="173"/>
      <c r="CP204" s="174"/>
      <c r="CQ204" s="174"/>
      <c r="CR204" s="174"/>
      <c r="CS204" s="174"/>
      <c r="CT204" s="174"/>
      <c r="CU204" s="174"/>
      <c r="CV204" s="174"/>
      <c r="CW204" s="165"/>
      <c r="CX204" s="166"/>
      <c r="CY204" s="166"/>
      <c r="CZ204" s="166"/>
      <c r="DA204" s="166"/>
      <c r="DB204" s="166"/>
      <c r="DC204" s="166"/>
      <c r="DD204" s="171"/>
      <c r="DE204" s="171"/>
      <c r="DF204" s="171"/>
      <c r="DG204" s="171"/>
      <c r="DH204" s="171"/>
      <c r="DI204" s="171"/>
      <c r="DJ204" s="171"/>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23">J203*1.01</f>
        <v>67.154899999999998</v>
      </c>
      <c r="K205" s="102">
        <f t="shared" si="223"/>
        <v>68.164899999999989</v>
      </c>
      <c r="L205" s="102">
        <f t="shared" si="223"/>
        <v>69.174899999999994</v>
      </c>
      <c r="M205" s="102">
        <f t="shared" si="223"/>
        <v>70.184899999999999</v>
      </c>
      <c r="N205" s="102">
        <f t="shared" si="223"/>
        <v>71.19489999999999</v>
      </c>
      <c r="O205" s="102">
        <f t="shared" si="223"/>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6">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18"/>
        <v>0</v>
      </c>
      <c r="BV205" s="28"/>
      <c r="BW205" s="28"/>
      <c r="BX205" s="28"/>
      <c r="BY205" s="28"/>
      <c r="BZ205" s="28"/>
      <c r="CA205" s="28"/>
      <c r="CB205" s="99"/>
      <c r="CC205" s="99">
        <v>50</v>
      </c>
      <c r="CD205" s="99">
        <v>200</v>
      </c>
      <c r="CE205" s="99">
        <v>250</v>
      </c>
      <c r="CF205" s="99">
        <f t="shared" si="222"/>
        <v>1006.95</v>
      </c>
      <c r="CG205" s="99">
        <f t="shared" si="222"/>
        <v>1006.95</v>
      </c>
      <c r="CH205" s="99">
        <f t="shared" si="222"/>
        <v>1006.95</v>
      </c>
      <c r="CI205" s="175"/>
      <c r="CJ205" s="175"/>
      <c r="CK205" s="175"/>
      <c r="CL205" s="175"/>
      <c r="CM205" s="175"/>
      <c r="CN205" s="175"/>
      <c r="CO205" s="175"/>
      <c r="CP205" s="176"/>
      <c r="CQ205" s="176"/>
      <c r="CR205" s="176"/>
      <c r="CS205" s="176"/>
      <c r="CT205" s="176"/>
      <c r="CU205" s="176"/>
      <c r="CV205" s="176"/>
      <c r="CW205" s="167"/>
      <c r="CX205" s="168"/>
      <c r="CY205" s="168"/>
      <c r="CZ205" s="168"/>
      <c r="DA205" s="168"/>
      <c r="DB205" s="168"/>
      <c r="DC205" s="168"/>
      <c r="DD205" s="172"/>
      <c r="DE205" s="172"/>
      <c r="DF205" s="172"/>
      <c r="DG205" s="172"/>
      <c r="DH205" s="172"/>
      <c r="DI205" s="172"/>
      <c r="DJ205" s="172"/>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6">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18"/>
        <v>0</v>
      </c>
      <c r="BV206" s="27"/>
      <c r="BW206" s="27"/>
      <c r="BX206" s="27"/>
      <c r="BY206" s="27"/>
      <c r="BZ206" s="27"/>
      <c r="CA206" s="27"/>
      <c r="CB206" s="185">
        <v>0</v>
      </c>
      <c r="CC206" s="185">
        <v>0</v>
      </c>
      <c r="CD206" s="185">
        <v>0</v>
      </c>
      <c r="CE206" s="185">
        <v>0</v>
      </c>
      <c r="CF206" s="185">
        <v>0</v>
      </c>
      <c r="CG206" s="185">
        <v>0</v>
      </c>
      <c r="CH206" s="185">
        <v>0</v>
      </c>
      <c r="CI206" s="173"/>
      <c r="CJ206" s="173"/>
      <c r="CK206" s="173"/>
      <c r="CL206" s="173"/>
      <c r="CM206" s="173"/>
      <c r="CN206" s="173"/>
      <c r="CO206" s="173"/>
      <c r="CP206" s="174"/>
      <c r="CQ206" s="174"/>
      <c r="CR206" s="174"/>
      <c r="CS206" s="174"/>
      <c r="CT206" s="174"/>
      <c r="CU206" s="174"/>
      <c r="CV206" s="174"/>
      <c r="CW206" s="165"/>
      <c r="CX206" s="166"/>
      <c r="CY206" s="166"/>
      <c r="CZ206" s="166"/>
      <c r="DA206" s="166"/>
      <c r="DB206" s="166"/>
      <c r="DC206" s="166"/>
      <c r="DD206" s="171"/>
      <c r="DE206" s="171"/>
      <c r="DF206" s="171"/>
      <c r="DG206" s="171"/>
      <c r="DH206" s="171"/>
      <c r="DI206" s="171"/>
      <c r="DJ206" s="171"/>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s="310" customFormat="1" x14ac:dyDescent="0.35">
      <c r="A207" s="290" t="s">
        <v>1172</v>
      </c>
      <c r="B207" s="290" t="s">
        <v>1141</v>
      </c>
      <c r="C207" s="290" t="s">
        <v>655</v>
      </c>
      <c r="D207" s="290" t="s">
        <v>1029</v>
      </c>
      <c r="E207" s="290" t="s">
        <v>1142</v>
      </c>
      <c r="F207" s="290" t="s">
        <v>391</v>
      </c>
      <c r="G207" s="291" t="s">
        <v>1173</v>
      </c>
      <c r="H207" s="291" t="s">
        <v>1165</v>
      </c>
      <c r="I207" s="292">
        <v>65.489999999999995</v>
      </c>
      <c r="J207" s="292">
        <v>65.489999999999995</v>
      </c>
      <c r="K207" s="292">
        <v>65.489999999999995</v>
      </c>
      <c r="L207" s="292">
        <v>65.489999999999995</v>
      </c>
      <c r="M207" s="292">
        <v>65.489999999999995</v>
      </c>
      <c r="N207" s="292">
        <v>65.489999999999995</v>
      </c>
      <c r="O207" s="292">
        <v>65.489999999999995</v>
      </c>
      <c r="P207" s="293">
        <v>0</v>
      </c>
      <c r="Q207" s="292">
        <v>1.28</v>
      </c>
      <c r="R207" s="292">
        <v>1.28</v>
      </c>
      <c r="S207" s="292">
        <v>1.28</v>
      </c>
      <c r="T207" s="292">
        <v>1.28</v>
      </c>
      <c r="U207" s="292">
        <v>1.28</v>
      </c>
      <c r="V207" s="292">
        <v>1.28</v>
      </c>
      <c r="W207" s="292">
        <v>1.28</v>
      </c>
      <c r="X207" s="292">
        <v>0</v>
      </c>
      <c r="Y207" s="292">
        <v>0</v>
      </c>
      <c r="Z207" s="292">
        <v>0</v>
      </c>
      <c r="AA207" s="292">
        <v>0</v>
      </c>
      <c r="AB207" s="292">
        <v>0</v>
      </c>
      <c r="AC207" s="292">
        <v>0</v>
      </c>
      <c r="AD207" s="292">
        <v>0</v>
      </c>
      <c r="AE207" s="186">
        <v>0.08</v>
      </c>
      <c r="AF207" s="293">
        <v>0</v>
      </c>
      <c r="AG207" s="293">
        <v>30</v>
      </c>
      <c r="AH207" s="293">
        <v>30</v>
      </c>
      <c r="AI207" s="294">
        <v>0.57599999999999996</v>
      </c>
      <c r="AJ207" s="294" t="s">
        <v>660</v>
      </c>
      <c r="AK207" s="294" t="s">
        <v>745</v>
      </c>
      <c r="AL207" s="294"/>
      <c r="AM207" s="295"/>
      <c r="AN207" s="295"/>
      <c r="AO207" s="295"/>
      <c r="AP207" s="295"/>
      <c r="AQ207" s="295"/>
      <c r="AR207" s="295"/>
      <c r="AS207" s="296"/>
      <c r="AT207" s="296"/>
      <c r="AU207" s="296"/>
      <c r="AV207" s="297"/>
      <c r="AW207" s="297"/>
      <c r="AX207" s="297"/>
      <c r="AY207" s="298" t="s">
        <v>662</v>
      </c>
      <c r="AZ207" s="298"/>
      <c r="BA207" s="298"/>
      <c r="BB207" s="298"/>
      <c r="BC207" s="298"/>
      <c r="BD207" s="298"/>
      <c r="BE207" s="298"/>
      <c r="BF207" s="298"/>
      <c r="BG207" s="298"/>
      <c r="BH207" s="317"/>
      <c r="BI207" s="317"/>
      <c r="BJ207" s="317"/>
      <c r="BK207" s="317"/>
      <c r="BL207" s="301"/>
      <c r="BM207" s="302"/>
      <c r="BN207" s="303">
        <v>0</v>
      </c>
      <c r="BO207" s="293"/>
      <c r="BP207" s="293"/>
      <c r="BQ207" s="293"/>
      <c r="BR207" s="293"/>
      <c r="BS207" s="293"/>
      <c r="BT207" s="293"/>
      <c r="BU207" s="298">
        <f t="shared" ref="BU207:BU209" si="224">IF(BL207=1,BN207,0)</f>
        <v>0</v>
      </c>
      <c r="BV207" s="298"/>
      <c r="BW207" s="298"/>
      <c r="BX207" s="298"/>
      <c r="BY207" s="298"/>
      <c r="BZ207" s="298"/>
      <c r="CA207" s="298"/>
      <c r="CB207" s="304"/>
      <c r="CC207" s="99"/>
      <c r="CD207" s="99"/>
      <c r="CE207" s="99"/>
      <c r="CF207" s="99"/>
      <c r="CG207" s="99"/>
      <c r="CH207" s="99"/>
      <c r="CI207" s="298"/>
      <c r="CJ207" s="298"/>
      <c r="CK207" s="298"/>
      <c r="CL207" s="298"/>
      <c r="CM207" s="298"/>
      <c r="CN207" s="298"/>
      <c r="CO207" s="298"/>
      <c r="CP207" s="305"/>
      <c r="CQ207" s="305"/>
      <c r="CR207" s="305"/>
      <c r="CS207" s="305"/>
      <c r="CT207" s="305"/>
      <c r="CU207" s="305"/>
      <c r="CV207" s="305"/>
      <c r="CW207" s="306"/>
      <c r="CX207" s="307"/>
      <c r="CY207" s="307"/>
      <c r="CZ207" s="307"/>
      <c r="DA207" s="307"/>
      <c r="DB207" s="307"/>
      <c r="DC207" s="307"/>
      <c r="DD207" s="307"/>
      <c r="DE207" s="307"/>
      <c r="DF207" s="307"/>
      <c r="DG207" s="307"/>
      <c r="DH207" s="307"/>
      <c r="DI207" s="307"/>
      <c r="DJ207" s="307"/>
      <c r="DK207" s="308" t="s">
        <v>452</v>
      </c>
      <c r="DL207" s="306">
        <f>ROUNDUP(VLOOKUP($F207,Activities!$A$9:$I$180,3,FALSE)/$AI207,2)</f>
        <v>1006.95</v>
      </c>
      <c r="DM207" s="306">
        <f>ROUNDUP(VLOOKUP($F207,Activities!$A$9:$I$180,4,FALSE)/$AI207,2)</f>
        <v>1006.95</v>
      </c>
      <c r="DN207" s="306">
        <f>ROUNDUP(VLOOKUP($F207,Activities!$A$9:$I$180,5,FALSE)/$AI207,2)</f>
        <v>1006.95</v>
      </c>
      <c r="DO207" s="306">
        <f>ROUNDUP(VLOOKUP($F207,Activities!$A$9:$I$180,6,FALSE)/$AI207,2)</f>
        <v>1006.95</v>
      </c>
      <c r="DP207" s="306">
        <f>ROUNDUP(VLOOKUP($F207,Activities!$A$9:$I$180,7,FALSE)/$AI207,2)</f>
        <v>1006.95</v>
      </c>
      <c r="DQ207" s="306">
        <f>ROUNDUP(VLOOKUP($F207,Activities!$A$9:$I$180,8,FALSE)/$AI207,2)</f>
        <v>1006.95</v>
      </c>
      <c r="DR207" s="306">
        <f>ROUNDUP(VLOOKUP($F207,Activities!$A$9:$I$180,9,FALSE)/$AI207,2)</f>
        <v>1006.95</v>
      </c>
      <c r="DS207" s="309"/>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7" customFormat="1" x14ac:dyDescent="0.35">
      <c r="A208" s="327" t="s">
        <v>1174</v>
      </c>
      <c r="B208" s="327" t="s">
        <v>1141</v>
      </c>
      <c r="C208" s="327" t="s">
        <v>655</v>
      </c>
      <c r="D208" s="327" t="s">
        <v>1029</v>
      </c>
      <c r="E208" s="327" t="s">
        <v>1142</v>
      </c>
      <c r="F208" s="327" t="s">
        <v>499</v>
      </c>
      <c r="G208" s="328" t="s">
        <v>1175</v>
      </c>
      <c r="H208" s="328" t="s">
        <v>659</v>
      </c>
      <c r="I208" s="329">
        <v>0</v>
      </c>
      <c r="J208" s="329">
        <v>0</v>
      </c>
      <c r="K208" s="329">
        <v>0</v>
      </c>
      <c r="L208" s="329">
        <v>0</v>
      </c>
      <c r="M208" s="329">
        <v>0</v>
      </c>
      <c r="N208" s="329">
        <v>0</v>
      </c>
      <c r="O208" s="329">
        <v>0</v>
      </c>
      <c r="P208" s="330"/>
      <c r="Q208" s="329">
        <v>0</v>
      </c>
      <c r="R208" s="329">
        <v>0</v>
      </c>
      <c r="S208" s="329">
        <v>0</v>
      </c>
      <c r="T208" s="329">
        <v>0</v>
      </c>
      <c r="U208" s="329">
        <v>0</v>
      </c>
      <c r="V208" s="329">
        <v>0</v>
      </c>
      <c r="W208" s="329">
        <v>0</v>
      </c>
      <c r="X208" s="329">
        <v>0</v>
      </c>
      <c r="Y208" s="329">
        <v>0</v>
      </c>
      <c r="Z208" s="329">
        <v>0</v>
      </c>
      <c r="AA208" s="329">
        <v>0</v>
      </c>
      <c r="AB208" s="329">
        <v>0</v>
      </c>
      <c r="AC208" s="329">
        <v>0</v>
      </c>
      <c r="AD208" s="329">
        <v>0</v>
      </c>
      <c r="AE208" s="186">
        <v>0.08</v>
      </c>
      <c r="AF208" s="330">
        <v>0</v>
      </c>
      <c r="AG208" s="330">
        <v>30</v>
      </c>
      <c r="AH208" s="330">
        <v>30</v>
      </c>
      <c r="AI208" s="331">
        <v>1</v>
      </c>
      <c r="AJ208" s="331" t="s">
        <v>660</v>
      </c>
      <c r="AK208" s="331" t="s">
        <v>745</v>
      </c>
      <c r="AL208" s="331"/>
      <c r="AM208" s="332"/>
      <c r="AN208" s="332"/>
      <c r="AO208" s="332"/>
      <c r="AP208" s="332"/>
      <c r="AQ208" s="332"/>
      <c r="AR208" s="332"/>
      <c r="AS208" s="333"/>
      <c r="AT208" s="333"/>
      <c r="AU208" s="333"/>
      <c r="AV208" s="334"/>
      <c r="AW208" s="334"/>
      <c r="AX208" s="334"/>
      <c r="AY208" s="335" t="s">
        <v>662</v>
      </c>
      <c r="AZ208" s="335"/>
      <c r="BA208" s="348"/>
      <c r="BB208" s="335"/>
      <c r="BC208" s="335"/>
      <c r="BD208" s="335"/>
      <c r="BE208" s="335"/>
      <c r="BF208" s="335"/>
      <c r="BG208" s="335"/>
      <c r="BH208" s="349"/>
      <c r="BI208" s="349"/>
      <c r="BJ208" s="349"/>
      <c r="BK208" s="349"/>
      <c r="BL208" s="339"/>
      <c r="BM208" s="340"/>
      <c r="BN208" s="341">
        <v>0</v>
      </c>
      <c r="BO208" s="330"/>
      <c r="BP208" s="330"/>
      <c r="BQ208" s="330"/>
      <c r="BR208" s="330"/>
      <c r="BS208" s="330"/>
      <c r="BT208" s="330"/>
      <c r="BU208" s="335">
        <f t="shared" si="224"/>
        <v>0</v>
      </c>
      <c r="BV208" s="335"/>
      <c r="BW208" s="335"/>
      <c r="BX208" s="335"/>
      <c r="BY208" s="335"/>
      <c r="BZ208" s="335"/>
      <c r="CA208" s="335"/>
      <c r="CB208" s="342">
        <v>0</v>
      </c>
      <c r="CC208" s="342">
        <v>0</v>
      </c>
      <c r="CD208" s="342"/>
      <c r="CE208" s="342"/>
      <c r="CF208" s="342"/>
      <c r="CG208" s="342"/>
      <c r="CH208" s="342"/>
      <c r="CI208" s="335"/>
      <c r="CJ208" s="335"/>
      <c r="CK208" s="335"/>
      <c r="CL208" s="335"/>
      <c r="CM208" s="335"/>
      <c r="CN208" s="335"/>
      <c r="CO208" s="335"/>
      <c r="CP208" s="343"/>
      <c r="CQ208" s="343"/>
      <c r="CR208" s="343"/>
      <c r="CS208" s="343"/>
      <c r="CT208" s="343"/>
      <c r="CU208" s="343"/>
      <c r="CV208" s="343"/>
      <c r="CW208" s="344"/>
      <c r="CX208" s="345"/>
      <c r="CY208" s="345"/>
      <c r="CZ208" s="345"/>
      <c r="DA208" s="345"/>
      <c r="DB208" s="345"/>
      <c r="DC208" s="345"/>
      <c r="DD208" s="345"/>
      <c r="DE208" s="345"/>
      <c r="DF208" s="345"/>
      <c r="DG208" s="345"/>
      <c r="DH208" s="345"/>
      <c r="DI208" s="345"/>
      <c r="DJ208" s="345"/>
      <c r="DK208" s="289" t="s">
        <v>452</v>
      </c>
      <c r="DL208" s="306">
        <f>ROUNDUP(VLOOKUP($F208,Activities!$A$9:$I$180,3,FALSE)/$AI208,2)</f>
        <v>0</v>
      </c>
      <c r="DM208" s="306">
        <f>ROUNDUP(VLOOKUP($F208,Activities!$A$9:$I$180,4,FALSE)/$AI208,2)</f>
        <v>0</v>
      </c>
      <c r="DN208" s="306">
        <f>ROUNDUP(VLOOKUP($F208,Activities!$A$9:$I$180,5,FALSE)/$AI208,2)</f>
        <v>0</v>
      </c>
      <c r="DO208" s="306">
        <f>ROUNDUP(VLOOKUP($F208,Activities!$A$9:$I$180,6,FALSE)/$AI208,2)</f>
        <v>0</v>
      </c>
      <c r="DP208" s="306">
        <f>ROUNDUP(VLOOKUP($F208,Activities!$A$9:$I$180,7,FALSE)/$AI208,2)</f>
        <v>0</v>
      </c>
      <c r="DQ208" s="306">
        <f>ROUNDUP(VLOOKUP($F208,Activities!$A$9:$I$180,8,FALSE)/$AI208,2)</f>
        <v>0</v>
      </c>
      <c r="DR208" s="306">
        <f>ROUNDUP(VLOOKUP($F208,Activities!$A$9:$I$180,9,FALSE)/$AI208,2)</f>
        <v>0</v>
      </c>
      <c r="DS208" s="346"/>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1141</v>
      </c>
      <c r="C209" s="327" t="s">
        <v>655</v>
      </c>
      <c r="D209" s="327" t="s">
        <v>1029</v>
      </c>
      <c r="E209" s="327" t="s">
        <v>1142</v>
      </c>
      <c r="F209" s="327" t="s">
        <v>547</v>
      </c>
      <c r="G209" s="328" t="s">
        <v>1177</v>
      </c>
      <c r="H209" s="328" t="s">
        <v>1162</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4"/>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6">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18"/>
        <v>0</v>
      </c>
      <c r="BV210" s="28"/>
      <c r="BW210" s="28"/>
      <c r="BX210" s="28"/>
      <c r="BY210" s="28"/>
      <c r="BZ210" s="28"/>
      <c r="CA210" s="28"/>
      <c r="CB210" s="99">
        <f t="shared" ref="CB210:CB223" si="225">DL210</f>
        <v>0.4</v>
      </c>
      <c r="CC210" s="99">
        <f t="shared" ref="CC210:CC223" si="226">DM210</f>
        <v>0.35</v>
      </c>
      <c r="CD210" s="99">
        <f t="shared" ref="CD210:CD223" si="227">DN210</f>
        <v>0.3</v>
      </c>
      <c r="CE210" s="99">
        <f t="shared" ref="CE210:CH224" si="228">DO210</f>
        <v>0.3</v>
      </c>
      <c r="CF210" s="99">
        <f t="shared" si="228"/>
        <v>0.3</v>
      </c>
      <c r="CG210" s="99">
        <f t="shared" si="228"/>
        <v>0.3</v>
      </c>
      <c r="CH210" s="99">
        <f t="shared" si="228"/>
        <v>0.31</v>
      </c>
      <c r="CI210" s="175"/>
      <c r="CJ210" s="175"/>
      <c r="CK210" s="175"/>
      <c r="CL210" s="175"/>
      <c r="CM210" s="175"/>
      <c r="CN210" s="175"/>
      <c r="CO210" s="175"/>
      <c r="CP210" s="176"/>
      <c r="CQ210" s="176"/>
      <c r="CR210" s="176"/>
      <c r="CS210" s="176"/>
      <c r="CT210" s="176"/>
      <c r="CU210" s="176"/>
      <c r="CV210" s="176"/>
      <c r="CW210" s="167"/>
      <c r="CX210" s="168"/>
      <c r="CY210" s="168"/>
      <c r="CZ210" s="168"/>
      <c r="DA210" s="168"/>
      <c r="DB210" s="168"/>
      <c r="DC210" s="168"/>
      <c r="DD210" s="172"/>
      <c r="DE210" s="172"/>
      <c r="DF210" s="172"/>
      <c r="DG210" s="172"/>
      <c r="DH210" s="172"/>
      <c r="DI210" s="172"/>
      <c r="DJ210" s="172"/>
      <c r="DK210" s="80" t="s">
        <v>663</v>
      </c>
      <c r="DL210" s="306">
        <f>ROUNDUP(VLOOKUP($F210,Activities!$A$9:$I$180,3,FALSE)/$AI210,2)</f>
        <v>0.4</v>
      </c>
      <c r="DM210" s="306">
        <f>ROUNDUP(VLOOKUP($F210,Activities!$A$9:$I$180,4,FALSE)/$AI210,2)</f>
        <v>0.35</v>
      </c>
      <c r="DN210" s="306">
        <f>ROUNDUP(VLOOKUP($F210,Activities!$A$9:$I$180,5,FALSE)/$AI210,2)</f>
        <v>0.3</v>
      </c>
      <c r="DO210" s="306">
        <f>ROUNDUP(VLOOKUP($F210,Activities!$A$9:$I$180,6,FALSE)/$AI210,2)</f>
        <v>0.3</v>
      </c>
      <c r="DP210" s="306">
        <f>ROUNDUP(VLOOKUP($F210,Activities!$A$9:$I$180,7,FALSE)/$AI210,2)</f>
        <v>0.3</v>
      </c>
      <c r="DQ210" s="306">
        <f>ROUNDUP(VLOOKUP($F210,Activities!$A$9:$I$180,8,FALSE)/$AI210,2)</f>
        <v>0.3</v>
      </c>
      <c r="DR210" s="306">
        <f>ROUNDUP(VLOOKUP($F210,Activities!$A$9:$I$180,9,FALSE)/$AI210,2)</f>
        <v>0.31</v>
      </c>
      <c r="DS210" s="218"/>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6">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18"/>
        <v>0</v>
      </c>
      <c r="BV211" s="27"/>
      <c r="BW211" s="27"/>
      <c r="BX211" s="27"/>
      <c r="BY211" s="27"/>
      <c r="BZ211" s="27"/>
      <c r="CA211" s="27"/>
      <c r="CB211" s="97">
        <f t="shared" si="225"/>
        <v>0.3</v>
      </c>
      <c r="CC211" s="97">
        <f t="shared" si="226"/>
        <v>0.34</v>
      </c>
      <c r="CD211" s="97">
        <f t="shared" si="227"/>
        <v>0.38800000000000001</v>
      </c>
      <c r="CE211" s="97">
        <f t="shared" si="228"/>
        <v>0.37</v>
      </c>
      <c r="CF211" s="97">
        <f t="shared" si="228"/>
        <v>0.35</v>
      </c>
      <c r="CG211" s="97">
        <f t="shared" si="228"/>
        <v>0.34</v>
      </c>
      <c r="CH211" s="97">
        <f t="shared" si="228"/>
        <v>0.32100000000000001</v>
      </c>
      <c r="CI211" s="173"/>
      <c r="CJ211" s="173"/>
      <c r="CK211" s="173"/>
      <c r="CL211" s="173"/>
      <c r="CM211" s="173"/>
      <c r="CN211" s="173"/>
      <c r="CO211" s="173"/>
      <c r="CP211" s="174"/>
      <c r="CQ211" s="174"/>
      <c r="CR211" s="174"/>
      <c r="CS211" s="174"/>
      <c r="CT211" s="174"/>
      <c r="CU211" s="174"/>
      <c r="CV211" s="174"/>
      <c r="CW211" s="165"/>
      <c r="CX211" s="166"/>
      <c r="CY211" s="166"/>
      <c r="CZ211" s="166"/>
      <c r="DA211" s="166"/>
      <c r="DB211" s="166"/>
      <c r="DC211" s="166"/>
      <c r="DD211" s="171"/>
      <c r="DE211" s="171"/>
      <c r="DF211" s="171"/>
      <c r="DG211" s="171"/>
      <c r="DH211" s="171"/>
      <c r="DI211" s="171"/>
      <c r="DJ211" s="171"/>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6">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18"/>
        <v>0</v>
      </c>
      <c r="BV212" s="28"/>
      <c r="BW212" s="28"/>
      <c r="BX212" s="28"/>
      <c r="BY212" s="28"/>
      <c r="BZ212" s="28"/>
      <c r="CA212" s="28"/>
      <c r="CB212" s="99">
        <f t="shared" si="225"/>
        <v>0.3</v>
      </c>
      <c r="CC212" s="99">
        <f t="shared" si="226"/>
        <v>0.26</v>
      </c>
      <c r="CD212" s="99">
        <f t="shared" si="227"/>
        <v>0.21299999999999999</v>
      </c>
      <c r="CE212" s="99">
        <f t="shared" si="228"/>
        <v>0.2</v>
      </c>
      <c r="CF212" s="99">
        <f t="shared" si="228"/>
        <v>0.19</v>
      </c>
      <c r="CG212" s="99">
        <f t="shared" si="228"/>
        <v>0.18</v>
      </c>
      <c r="CH212" s="99">
        <f t="shared" si="228"/>
        <v>0.16600000000000001</v>
      </c>
      <c r="CI212" s="175"/>
      <c r="CJ212" s="175"/>
      <c r="CK212" s="175"/>
      <c r="CL212" s="175"/>
      <c r="CM212" s="175"/>
      <c r="CN212" s="175"/>
      <c r="CO212" s="175"/>
      <c r="CP212" s="176"/>
      <c r="CQ212" s="176"/>
      <c r="CR212" s="176"/>
      <c r="CS212" s="176"/>
      <c r="CT212" s="176"/>
      <c r="CU212" s="176"/>
      <c r="CV212" s="176"/>
      <c r="CW212" s="167"/>
      <c r="CX212" s="168"/>
      <c r="CY212" s="168"/>
      <c r="CZ212" s="168"/>
      <c r="DA212" s="168"/>
      <c r="DB212" s="168"/>
      <c r="DC212" s="168"/>
      <c r="DD212" s="172"/>
      <c r="DE212" s="172"/>
      <c r="DF212" s="172"/>
      <c r="DG212" s="172"/>
      <c r="DH212" s="172"/>
      <c r="DI212" s="172"/>
      <c r="DJ212" s="172"/>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6">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18"/>
        <v>0</v>
      </c>
      <c r="BV213" s="27"/>
      <c r="BW213" s="27"/>
      <c r="BX213" s="27"/>
      <c r="BY213" s="27"/>
      <c r="BZ213" s="27"/>
      <c r="CA213" s="27"/>
      <c r="CB213" s="97">
        <f t="shared" si="225"/>
        <v>12.6</v>
      </c>
      <c r="CC213" s="97">
        <f t="shared" si="226"/>
        <v>10.24</v>
      </c>
      <c r="CD213" s="97">
        <f t="shared" si="227"/>
        <v>7.87</v>
      </c>
      <c r="CE213" s="97">
        <f t="shared" si="228"/>
        <v>7.43</v>
      </c>
      <c r="CF213" s="97">
        <f t="shared" si="228"/>
        <v>6.99</v>
      </c>
      <c r="CG213" s="97">
        <f t="shared" si="228"/>
        <v>6.55</v>
      </c>
      <c r="CH213" s="97">
        <f t="shared" si="228"/>
        <v>6.11</v>
      </c>
      <c r="CI213" s="173"/>
      <c r="CJ213" s="173"/>
      <c r="CK213" s="173"/>
      <c r="CL213" s="173"/>
      <c r="CM213" s="173"/>
      <c r="CN213" s="173"/>
      <c r="CO213" s="173"/>
      <c r="CP213" s="174"/>
      <c r="CQ213" s="174"/>
      <c r="CR213" s="174"/>
      <c r="CS213" s="174"/>
      <c r="CT213" s="174"/>
      <c r="CU213" s="174"/>
      <c r="CV213" s="174"/>
      <c r="CW213" s="165"/>
      <c r="CX213" s="166"/>
      <c r="CY213" s="166"/>
      <c r="CZ213" s="166"/>
      <c r="DA213" s="166"/>
      <c r="DB213" s="166"/>
      <c r="DC213" s="166"/>
      <c r="DD213" s="171"/>
      <c r="DE213" s="171"/>
      <c r="DF213" s="171"/>
      <c r="DG213" s="171"/>
      <c r="DH213" s="171"/>
      <c r="DI213" s="171"/>
      <c r="DJ213" s="171"/>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6">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18"/>
        <v>0</v>
      </c>
      <c r="BV214" s="28"/>
      <c r="BW214" s="28"/>
      <c r="BX214" s="28"/>
      <c r="BY214" s="28"/>
      <c r="BZ214" s="28"/>
      <c r="CA214" s="28"/>
      <c r="CB214" s="99">
        <f t="shared" si="225"/>
        <v>4.5</v>
      </c>
      <c r="CC214" s="99">
        <f t="shared" si="226"/>
        <v>4.03</v>
      </c>
      <c r="CD214" s="99">
        <f t="shared" si="227"/>
        <v>3.56</v>
      </c>
      <c r="CE214" s="99">
        <f t="shared" si="228"/>
        <v>3.32</v>
      </c>
      <c r="CF214" s="99">
        <f t="shared" si="228"/>
        <v>3.07</v>
      </c>
      <c r="CG214" s="99">
        <f t="shared" si="228"/>
        <v>2.83</v>
      </c>
      <c r="CH214" s="99">
        <f t="shared" si="228"/>
        <v>2.58</v>
      </c>
      <c r="CI214" s="175"/>
      <c r="CJ214" s="175"/>
      <c r="CK214" s="175"/>
      <c r="CL214" s="175"/>
      <c r="CM214" s="175"/>
      <c r="CN214" s="175"/>
      <c r="CO214" s="175"/>
      <c r="CP214" s="176"/>
      <c r="CQ214" s="176"/>
      <c r="CR214" s="176"/>
      <c r="CS214" s="176"/>
      <c r="CT214" s="176"/>
      <c r="CU214" s="176"/>
      <c r="CV214" s="176"/>
      <c r="CW214" s="167"/>
      <c r="CX214" s="168"/>
      <c r="CY214" s="168"/>
      <c r="CZ214" s="168"/>
      <c r="DA214" s="168"/>
      <c r="DB214" s="168"/>
      <c r="DC214" s="168"/>
      <c r="DD214" s="172"/>
      <c r="DE214" s="172"/>
      <c r="DF214" s="172"/>
      <c r="DG214" s="172"/>
      <c r="DH214" s="172"/>
      <c r="DI214" s="172"/>
      <c r="DJ214" s="172"/>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6">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18"/>
        <v>0</v>
      </c>
      <c r="BV215" s="27"/>
      <c r="BW215" s="27"/>
      <c r="BX215" s="27"/>
      <c r="BY215" s="27"/>
      <c r="BZ215" s="27"/>
      <c r="CA215" s="27"/>
      <c r="CB215" s="97">
        <f t="shared" si="225"/>
        <v>0.9</v>
      </c>
      <c r="CC215" s="97">
        <f t="shared" si="226"/>
        <v>0.85</v>
      </c>
      <c r="CD215" s="97">
        <f t="shared" si="227"/>
        <v>0.80200000000000005</v>
      </c>
      <c r="CE215" s="97">
        <f t="shared" si="228"/>
        <v>0.75</v>
      </c>
      <c r="CF215" s="97">
        <f t="shared" si="228"/>
        <v>0.7</v>
      </c>
      <c r="CG215" s="97">
        <f t="shared" si="228"/>
        <v>0.65</v>
      </c>
      <c r="CH215" s="97">
        <f t="shared" si="228"/>
        <v>0.60199999999999998</v>
      </c>
      <c r="CI215" s="173"/>
      <c r="CJ215" s="173"/>
      <c r="CK215" s="173"/>
      <c r="CL215" s="173"/>
      <c r="CM215" s="173"/>
      <c r="CN215" s="173"/>
      <c r="CO215" s="173"/>
      <c r="CP215" s="174"/>
      <c r="CQ215" s="174"/>
      <c r="CR215" s="174"/>
      <c r="CS215" s="174"/>
      <c r="CT215" s="174"/>
      <c r="CU215" s="174"/>
      <c r="CV215" s="174"/>
      <c r="CW215" s="165"/>
      <c r="CX215" s="166"/>
      <c r="CY215" s="166"/>
      <c r="CZ215" s="166"/>
      <c r="DA215" s="166"/>
      <c r="DB215" s="166"/>
      <c r="DC215" s="166"/>
      <c r="DD215" s="171"/>
      <c r="DE215" s="171"/>
      <c r="DF215" s="171"/>
      <c r="DG215" s="171"/>
      <c r="DH215" s="171"/>
      <c r="DI215" s="171"/>
      <c r="DJ215" s="171"/>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6">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18"/>
        <v>0</v>
      </c>
      <c r="BV216" s="28"/>
      <c r="BW216" s="28"/>
      <c r="BX216" s="28"/>
      <c r="BY216" s="28"/>
      <c r="BZ216" s="28"/>
      <c r="CA216" s="28"/>
      <c r="CB216" s="99">
        <f t="shared" si="225"/>
        <v>0.9</v>
      </c>
      <c r="CC216" s="99">
        <f t="shared" si="226"/>
        <v>0.78</v>
      </c>
      <c r="CD216" s="99">
        <f t="shared" si="227"/>
        <v>0.66900000000000004</v>
      </c>
      <c r="CE216" s="99">
        <f t="shared" si="228"/>
        <v>0.67</v>
      </c>
      <c r="CF216" s="99">
        <f t="shared" si="228"/>
        <v>0.68</v>
      </c>
      <c r="CG216" s="99">
        <f t="shared" si="228"/>
        <v>0.69</v>
      </c>
      <c r="CH216" s="99">
        <f t="shared" si="228"/>
        <v>0.69599999999999995</v>
      </c>
      <c r="CI216" s="175"/>
      <c r="CJ216" s="175"/>
      <c r="CK216" s="175"/>
      <c r="CL216" s="175"/>
      <c r="CM216" s="175"/>
      <c r="CN216" s="175"/>
      <c r="CO216" s="175"/>
      <c r="CP216" s="176"/>
      <c r="CQ216" s="176"/>
      <c r="CR216" s="176"/>
      <c r="CS216" s="176"/>
      <c r="CT216" s="176"/>
      <c r="CU216" s="176"/>
      <c r="CV216" s="176"/>
      <c r="CW216" s="167"/>
      <c r="CX216" s="168"/>
      <c r="CY216" s="168"/>
      <c r="CZ216" s="168"/>
      <c r="DA216" s="168"/>
      <c r="DB216" s="168"/>
      <c r="DC216" s="168"/>
      <c r="DD216" s="172"/>
      <c r="DE216" s="172"/>
      <c r="DF216" s="172"/>
      <c r="DG216" s="172"/>
      <c r="DH216" s="172"/>
      <c r="DI216" s="172"/>
      <c r="DJ216" s="172"/>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6">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18"/>
        <v>0</v>
      </c>
      <c r="BV217" s="27"/>
      <c r="BW217" s="27"/>
      <c r="BX217" s="27"/>
      <c r="BY217" s="27"/>
      <c r="BZ217" s="27"/>
      <c r="CA217" s="27"/>
      <c r="CB217" s="97">
        <f t="shared" si="225"/>
        <v>2.6</v>
      </c>
      <c r="CC217" s="97">
        <f t="shared" si="226"/>
        <v>2.62</v>
      </c>
      <c r="CD217" s="97">
        <f t="shared" si="227"/>
        <v>2.64</v>
      </c>
      <c r="CE217" s="97">
        <f t="shared" si="228"/>
        <v>2.3199999999999998</v>
      </c>
      <c r="CF217" s="97">
        <f t="shared" si="228"/>
        <v>2</v>
      </c>
      <c r="CG217" s="97">
        <f t="shared" si="228"/>
        <v>1.68</v>
      </c>
      <c r="CH217" s="97">
        <f t="shared" si="228"/>
        <v>1.35</v>
      </c>
      <c r="CI217" s="173"/>
      <c r="CJ217" s="173"/>
      <c r="CK217" s="173"/>
      <c r="CL217" s="173"/>
      <c r="CM217" s="173"/>
      <c r="CN217" s="173"/>
      <c r="CO217" s="173"/>
      <c r="CP217" s="174"/>
      <c r="CQ217" s="174"/>
      <c r="CR217" s="174"/>
      <c r="CS217" s="174"/>
      <c r="CT217" s="174"/>
      <c r="CU217" s="174"/>
      <c r="CV217" s="174"/>
      <c r="CW217" s="165"/>
      <c r="CX217" s="166"/>
      <c r="CY217" s="166"/>
      <c r="CZ217" s="166"/>
      <c r="DA217" s="166"/>
      <c r="DB217" s="166"/>
      <c r="DC217" s="166"/>
      <c r="DD217" s="171"/>
      <c r="DE217" s="171"/>
      <c r="DF217" s="171"/>
      <c r="DG217" s="171"/>
      <c r="DH217" s="171"/>
      <c r="DI217" s="171"/>
      <c r="DJ217" s="171"/>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6">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18"/>
        <v>0</v>
      </c>
      <c r="BV218" s="28"/>
      <c r="BW218" s="28"/>
      <c r="BX218" s="28"/>
      <c r="BY218" s="28"/>
      <c r="BZ218" s="28"/>
      <c r="CA218" s="28"/>
      <c r="CB218" s="99">
        <f t="shared" si="225"/>
        <v>1</v>
      </c>
      <c r="CC218" s="99">
        <f t="shared" si="226"/>
        <v>0.69</v>
      </c>
      <c r="CD218" s="99">
        <f t="shared" si="227"/>
        <v>0.38100000000000001</v>
      </c>
      <c r="CE218" s="99">
        <f t="shared" si="228"/>
        <v>0.38</v>
      </c>
      <c r="CF218" s="99">
        <f t="shared" si="228"/>
        <v>0.37</v>
      </c>
      <c r="CG218" s="99">
        <f t="shared" si="228"/>
        <v>0.36</v>
      </c>
      <c r="CH218" s="99">
        <f t="shared" si="228"/>
        <v>0.35899999999999999</v>
      </c>
      <c r="CI218" s="175"/>
      <c r="CJ218" s="175"/>
      <c r="CK218" s="175"/>
      <c r="CL218" s="175"/>
      <c r="CM218" s="175"/>
      <c r="CN218" s="175"/>
      <c r="CO218" s="175"/>
      <c r="CP218" s="176"/>
      <c r="CQ218" s="176"/>
      <c r="CR218" s="176"/>
      <c r="CS218" s="176"/>
      <c r="CT218" s="176"/>
      <c r="CU218" s="176"/>
      <c r="CV218" s="176"/>
      <c r="CW218" s="167"/>
      <c r="CX218" s="168"/>
      <c r="CY218" s="168"/>
      <c r="CZ218" s="168"/>
      <c r="DA218" s="168"/>
      <c r="DB218" s="168"/>
      <c r="DC218" s="168"/>
      <c r="DD218" s="172"/>
      <c r="DE218" s="172"/>
      <c r="DF218" s="172"/>
      <c r="DG218" s="172"/>
      <c r="DH218" s="172"/>
      <c r="DI218" s="172"/>
      <c r="DJ218" s="172"/>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6">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18"/>
        <v>0</v>
      </c>
      <c r="BV219" s="27"/>
      <c r="BW219" s="27"/>
      <c r="BX219" s="27"/>
      <c r="BY219" s="27"/>
      <c r="BZ219" s="27"/>
      <c r="CA219" s="27"/>
      <c r="CB219" s="97">
        <f t="shared" si="225"/>
        <v>1.5</v>
      </c>
      <c r="CC219" s="97">
        <f t="shared" si="226"/>
        <v>1.1299999999999999</v>
      </c>
      <c r="CD219" s="97">
        <f t="shared" si="227"/>
        <v>0.76700000000000002</v>
      </c>
      <c r="CE219" s="97">
        <f t="shared" si="228"/>
        <v>0.71</v>
      </c>
      <c r="CF219" s="97">
        <f t="shared" si="228"/>
        <v>0.65</v>
      </c>
      <c r="CG219" s="97">
        <f t="shared" si="228"/>
        <v>0.6</v>
      </c>
      <c r="CH219" s="97">
        <f t="shared" si="228"/>
        <v>0.54100000000000004</v>
      </c>
      <c r="CI219" s="173"/>
      <c r="CJ219" s="173"/>
      <c r="CK219" s="173"/>
      <c r="CL219" s="173"/>
      <c r="CM219" s="173"/>
      <c r="CN219" s="173"/>
      <c r="CO219" s="173"/>
      <c r="CP219" s="174"/>
      <c r="CQ219" s="174"/>
      <c r="CR219" s="174"/>
      <c r="CS219" s="174"/>
      <c r="CT219" s="174"/>
      <c r="CU219" s="174"/>
      <c r="CV219" s="174"/>
      <c r="CW219" s="165"/>
      <c r="CX219" s="166"/>
      <c r="CY219" s="166"/>
      <c r="CZ219" s="166"/>
      <c r="DA219" s="166"/>
      <c r="DB219" s="166"/>
      <c r="DC219" s="166"/>
      <c r="DD219" s="171"/>
      <c r="DE219" s="171"/>
      <c r="DF219" s="171"/>
      <c r="DG219" s="171"/>
      <c r="DH219" s="171"/>
      <c r="DI219" s="171"/>
      <c r="DJ219" s="171"/>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6">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18"/>
        <v>0</v>
      </c>
      <c r="BV220" s="28"/>
      <c r="BW220" s="28"/>
      <c r="BX220" s="28"/>
      <c r="BY220" s="28"/>
      <c r="BZ220" s="28"/>
      <c r="CA220" s="28"/>
      <c r="CB220" s="99">
        <f t="shared" si="225"/>
        <v>0.08</v>
      </c>
      <c r="CC220" s="99">
        <f t="shared" si="226"/>
        <v>7.0000000000000007E-2</v>
      </c>
      <c r="CD220" s="99">
        <f t="shared" si="227"/>
        <v>0.06</v>
      </c>
      <c r="CE220" s="99">
        <f t="shared" si="228"/>
        <v>0.05</v>
      </c>
      <c r="CF220" s="99">
        <f t="shared" si="228"/>
        <v>0.04</v>
      </c>
      <c r="CG220" s="99">
        <f t="shared" si="228"/>
        <v>0.03</v>
      </c>
      <c r="CH220" s="99">
        <f t="shared" si="228"/>
        <v>1.0999999999999999E-2</v>
      </c>
      <c r="CI220" s="175"/>
      <c r="CJ220" s="175"/>
      <c r="CK220" s="175"/>
      <c r="CL220" s="175"/>
      <c r="CM220" s="175"/>
      <c r="CN220" s="175"/>
      <c r="CO220" s="175"/>
      <c r="CP220" s="176"/>
      <c r="CQ220" s="176"/>
      <c r="CR220" s="176"/>
      <c r="CS220" s="176"/>
      <c r="CT220" s="176"/>
      <c r="CU220" s="176"/>
      <c r="CV220" s="176"/>
      <c r="CW220" s="167"/>
      <c r="CX220" s="168"/>
      <c r="CY220" s="168"/>
      <c r="CZ220" s="168"/>
      <c r="DA220" s="168"/>
      <c r="DB220" s="168"/>
      <c r="DC220" s="168"/>
      <c r="DD220" s="172"/>
      <c r="DE220" s="172"/>
      <c r="DF220" s="172"/>
      <c r="DG220" s="172"/>
      <c r="DH220" s="172"/>
      <c r="DI220" s="172"/>
      <c r="DJ220" s="172"/>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6">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29">IF(BL221=1,BN221,0)</f>
        <v>0</v>
      </c>
      <c r="BV221" s="27"/>
      <c r="BW221" s="27"/>
      <c r="BX221" s="27"/>
      <c r="BY221" s="27"/>
      <c r="BZ221" s="27"/>
      <c r="CA221" s="27"/>
      <c r="CB221" s="97">
        <f t="shared" si="225"/>
        <v>1.1000000000000001</v>
      </c>
      <c r="CC221" s="97">
        <f t="shared" si="226"/>
        <v>0.64</v>
      </c>
      <c r="CD221" s="97">
        <f t="shared" si="227"/>
        <v>0.17499999999999999</v>
      </c>
      <c r="CE221" s="97">
        <f t="shared" si="228"/>
        <v>0.15</v>
      </c>
      <c r="CF221" s="97">
        <f t="shared" si="228"/>
        <v>0.13</v>
      </c>
      <c r="CG221" s="97">
        <f t="shared" si="228"/>
        <v>0.11</v>
      </c>
      <c r="CH221" s="97">
        <f t="shared" si="228"/>
        <v>8.4000000000000005E-2</v>
      </c>
      <c r="CI221" s="173"/>
      <c r="CJ221" s="173"/>
      <c r="CK221" s="173"/>
      <c r="CL221" s="173"/>
      <c r="CM221" s="173"/>
      <c r="CN221" s="173"/>
      <c r="CO221" s="173"/>
      <c r="CP221" s="174"/>
      <c r="CQ221" s="174"/>
      <c r="CR221" s="174"/>
      <c r="CS221" s="174"/>
      <c r="CT221" s="174"/>
      <c r="CU221" s="174"/>
      <c r="CV221" s="174"/>
      <c r="CW221" s="165"/>
      <c r="CX221" s="166"/>
      <c r="CY221" s="166"/>
      <c r="CZ221" s="166"/>
      <c r="DA221" s="166"/>
      <c r="DB221" s="166"/>
      <c r="DC221" s="166"/>
      <c r="DD221" s="171"/>
      <c r="DE221" s="171"/>
      <c r="DF221" s="171"/>
      <c r="DG221" s="171"/>
      <c r="DH221" s="171"/>
      <c r="DI221" s="171"/>
      <c r="DJ221" s="171"/>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6">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30">IF(BL222=1,BN222,0)</f>
        <v>0</v>
      </c>
      <c r="BV222" s="28"/>
      <c r="BW222" s="28"/>
      <c r="BX222" s="28"/>
      <c r="BY222" s="28"/>
      <c r="BZ222" s="28"/>
      <c r="CA222" s="28"/>
      <c r="CB222" s="99">
        <f t="shared" si="225"/>
        <v>0.4</v>
      </c>
      <c r="CC222" s="99">
        <f t="shared" si="226"/>
        <v>0.26</v>
      </c>
      <c r="CD222" s="99">
        <f t="shared" si="227"/>
        <v>0.11</v>
      </c>
      <c r="CE222" s="99">
        <f t="shared" si="228"/>
        <v>0.09</v>
      </c>
      <c r="CF222" s="99">
        <f t="shared" si="228"/>
        <v>0.06</v>
      </c>
      <c r="CG222" s="99">
        <f t="shared" si="228"/>
        <v>0.03</v>
      </c>
      <c r="CH222" s="99">
        <f t="shared" si="228"/>
        <v>0</v>
      </c>
      <c r="CI222" s="175"/>
      <c r="CJ222" s="175"/>
      <c r="CK222" s="175"/>
      <c r="CL222" s="175"/>
      <c r="CM222" s="175"/>
      <c r="CN222" s="175"/>
      <c r="CO222" s="175"/>
      <c r="CP222" s="176"/>
      <c r="CQ222" s="176"/>
      <c r="CR222" s="176"/>
      <c r="CS222" s="176"/>
      <c r="CT222" s="176"/>
      <c r="CU222" s="176"/>
      <c r="CV222" s="176"/>
      <c r="CW222" s="167"/>
      <c r="CX222" s="168"/>
      <c r="CY222" s="168"/>
      <c r="CZ222" s="168"/>
      <c r="DA222" s="168"/>
      <c r="DB222" s="168"/>
      <c r="DC222" s="168"/>
      <c r="DD222" s="172"/>
      <c r="DE222" s="172"/>
      <c r="DF222" s="172"/>
      <c r="DG222" s="172"/>
      <c r="DH222" s="172"/>
      <c r="DI222" s="172"/>
      <c r="DJ222" s="172"/>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6">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25"/>
        <v>2.5</v>
      </c>
      <c r="CC223" s="97">
        <f t="shared" si="226"/>
        <v>3.08</v>
      </c>
      <c r="CD223" s="97">
        <f t="shared" si="227"/>
        <v>3.66</v>
      </c>
      <c r="CE223" s="97">
        <f t="shared" si="228"/>
        <v>3.41</v>
      </c>
      <c r="CF223" s="97">
        <f t="shared" si="228"/>
        <v>3.16</v>
      </c>
      <c r="CG223" s="97">
        <f t="shared" si="228"/>
        <v>2.91</v>
      </c>
      <c r="CH223" s="97">
        <f t="shared" si="228"/>
        <v>2.66</v>
      </c>
      <c r="CI223" s="173"/>
      <c r="CJ223" s="173"/>
      <c r="CK223" s="173"/>
      <c r="CL223" s="173"/>
      <c r="CM223" s="173"/>
      <c r="CN223" s="173"/>
      <c r="CO223" s="173"/>
      <c r="CP223" s="174"/>
      <c r="CQ223" s="174"/>
      <c r="CR223" s="174"/>
      <c r="CS223" s="174"/>
      <c r="CT223" s="174"/>
      <c r="CU223" s="174"/>
      <c r="CV223" s="174"/>
      <c r="CW223" s="165"/>
      <c r="CX223" s="166"/>
      <c r="CY223" s="166"/>
      <c r="CZ223" s="166"/>
      <c r="DA223" s="166"/>
      <c r="DB223" s="166"/>
      <c r="DC223" s="166"/>
      <c r="DD223" s="171"/>
      <c r="DE223" s="171"/>
      <c r="DF223" s="171"/>
      <c r="DG223" s="171"/>
      <c r="DH223" s="171"/>
      <c r="DI223" s="171"/>
      <c r="DJ223" s="171"/>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6">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7"/>
        <v>0</v>
      </c>
      <c r="BV224" s="28"/>
      <c r="BW224" s="28"/>
      <c r="BX224" s="28"/>
      <c r="BY224" s="28"/>
      <c r="BZ224" s="28"/>
      <c r="CA224" s="28"/>
      <c r="CB224" s="99">
        <f t="shared" ref="CB224:CH231" si="231">DL224</f>
        <v>1198</v>
      </c>
      <c r="CC224" s="99">
        <f t="shared" ref="CC224:CE225" si="232">DM224</f>
        <v>1198</v>
      </c>
      <c r="CD224" s="99">
        <f t="shared" si="232"/>
        <v>1198</v>
      </c>
      <c r="CE224" s="99">
        <f t="shared" si="232"/>
        <v>898.5</v>
      </c>
      <c r="CF224" s="99">
        <f t="shared" si="228"/>
        <v>599</v>
      </c>
      <c r="CG224" s="99">
        <f t="shared" si="228"/>
        <v>299.5</v>
      </c>
      <c r="CH224" s="99">
        <f t="shared" si="228"/>
        <v>0</v>
      </c>
      <c r="CI224" s="175"/>
      <c r="CJ224" s="175"/>
      <c r="CK224" s="175"/>
      <c r="CL224" s="175"/>
      <c r="CM224" s="175"/>
      <c r="CN224" s="175"/>
      <c r="CO224" s="175"/>
      <c r="CP224" s="176"/>
      <c r="CQ224" s="176"/>
      <c r="CR224" s="176"/>
      <c r="CS224" s="176"/>
      <c r="CT224" s="176"/>
      <c r="CU224" s="176"/>
      <c r="CV224" s="176"/>
      <c r="CW224" s="167"/>
      <c r="CX224" s="168"/>
      <c r="CY224" s="168"/>
      <c r="CZ224" s="168"/>
      <c r="DA224" s="168"/>
      <c r="DB224" s="168"/>
      <c r="DC224" s="168"/>
      <c r="DD224" s="172"/>
      <c r="DE224" s="172"/>
      <c r="DF224" s="172"/>
      <c r="DG224" s="172"/>
      <c r="DH224" s="172"/>
      <c r="DI224" s="172"/>
      <c r="DJ224" s="172"/>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6">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33">IF(BL225=1,BN225,0)</f>
        <v>0</v>
      </c>
      <c r="BV225" s="27"/>
      <c r="BW225" s="27"/>
      <c r="BX225" s="27"/>
      <c r="BY225" s="27"/>
      <c r="BZ225" s="27"/>
      <c r="CA225" s="27"/>
      <c r="CB225" s="97">
        <f t="shared" si="231"/>
        <v>556</v>
      </c>
      <c r="CC225" s="97">
        <f t="shared" si="231"/>
        <v>556</v>
      </c>
      <c r="CD225" s="97">
        <f t="shared" si="232"/>
        <v>556</v>
      </c>
      <c r="CE225" s="97">
        <f t="shared" si="232"/>
        <v>451.75</v>
      </c>
      <c r="CF225" s="389">
        <f>(CE225+CH225)/2</f>
        <v>243.6061875</v>
      </c>
      <c r="CG225" s="389">
        <f>DQ225*0.5</f>
        <v>121.625</v>
      </c>
      <c r="CH225" s="389">
        <f>CE225-(CE225-(CE225*0.05))*(0.97)</f>
        <v>35.462375000000009</v>
      </c>
      <c r="CI225" s="173"/>
      <c r="CJ225" s="173"/>
      <c r="CK225" s="173"/>
      <c r="CL225" s="173"/>
      <c r="CM225" s="173"/>
      <c r="CN225" s="173"/>
      <c r="CO225" s="173"/>
      <c r="CP225" s="174"/>
      <c r="CQ225" s="174"/>
      <c r="CR225" s="174"/>
      <c r="CS225" s="174"/>
      <c r="CT225" s="174"/>
      <c r="CU225" s="174"/>
      <c r="CV225" s="174"/>
      <c r="CW225" s="165"/>
      <c r="CX225" s="166"/>
      <c r="CY225" s="166"/>
      <c r="CZ225" s="166"/>
      <c r="DA225" s="166"/>
      <c r="DB225" s="166"/>
      <c r="DC225" s="166"/>
      <c r="DD225" s="171"/>
      <c r="DE225" s="171"/>
      <c r="DF225" s="171"/>
      <c r="DG225" s="171"/>
      <c r="DH225" s="171"/>
      <c r="DI225" s="171"/>
      <c r="DJ225" s="171"/>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6">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34">IF(BL226=1,BN226,0)</f>
        <v>0</v>
      </c>
      <c r="BV226" s="28"/>
      <c r="BW226" s="28"/>
      <c r="BX226" s="28"/>
      <c r="BY226" s="28"/>
      <c r="BZ226" s="28"/>
      <c r="CA226" s="28"/>
      <c r="CB226" s="99">
        <f t="shared" si="231"/>
        <v>556</v>
      </c>
      <c r="CC226" s="99">
        <f t="shared" si="231"/>
        <v>556</v>
      </c>
      <c r="CD226" s="99">
        <f t="shared" si="231"/>
        <v>556</v>
      </c>
      <c r="CE226" s="99">
        <f t="shared" si="231"/>
        <v>451.75</v>
      </c>
      <c r="CF226" s="99">
        <f t="shared" si="231"/>
        <v>347.5</v>
      </c>
      <c r="CG226" s="99">
        <f t="shared" si="231"/>
        <v>243.25</v>
      </c>
      <c r="CH226" s="99">
        <f t="shared" si="231"/>
        <v>139</v>
      </c>
      <c r="CI226" s="175"/>
      <c r="CJ226" s="175"/>
      <c r="CK226" s="175"/>
      <c r="CL226" s="175"/>
      <c r="CM226" s="175"/>
      <c r="CN226" s="175"/>
      <c r="CO226" s="175"/>
      <c r="CP226" s="176"/>
      <c r="CQ226" s="176"/>
      <c r="CR226" s="176"/>
      <c r="CS226" s="176"/>
      <c r="CT226" s="176"/>
      <c r="CU226" s="176"/>
      <c r="CV226" s="176"/>
      <c r="CW226" s="167"/>
      <c r="CX226" s="168"/>
      <c r="CY226" s="168"/>
      <c r="CZ226" s="168"/>
      <c r="DA226" s="168"/>
      <c r="DB226" s="168"/>
      <c r="DC226" s="168"/>
      <c r="DD226" s="172"/>
      <c r="DE226" s="172"/>
      <c r="DF226" s="172"/>
      <c r="DG226" s="172"/>
      <c r="DH226" s="172"/>
      <c r="DI226" s="172"/>
      <c r="DJ226" s="172"/>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6">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35">IF(BL227=1,BN227,0)</f>
        <v>0</v>
      </c>
      <c r="BV227" s="27"/>
      <c r="BW227" s="27"/>
      <c r="BX227" s="27"/>
      <c r="BY227" s="27"/>
      <c r="BZ227" s="27"/>
      <c r="CA227" s="27"/>
      <c r="CB227" s="97">
        <f t="shared" ref="CB227:CH234" si="236">DL227</f>
        <v>556</v>
      </c>
      <c r="CC227" s="97">
        <f t="shared" si="236"/>
        <v>556</v>
      </c>
      <c r="CD227" s="97">
        <f t="shared" si="231"/>
        <v>556</v>
      </c>
      <c r="CE227" s="97">
        <f t="shared" si="231"/>
        <v>451.75</v>
      </c>
      <c r="CF227" s="97">
        <f t="shared" si="231"/>
        <v>347.5</v>
      </c>
      <c r="CG227" s="97">
        <f t="shared" si="231"/>
        <v>243.25</v>
      </c>
      <c r="CH227" s="97">
        <f t="shared" si="231"/>
        <v>139</v>
      </c>
      <c r="CI227" s="173"/>
      <c r="CJ227" s="173"/>
      <c r="CK227" s="173"/>
      <c r="CL227" s="173"/>
      <c r="CM227" s="173"/>
      <c r="CN227" s="173"/>
      <c r="CO227" s="173"/>
      <c r="CP227" s="174"/>
      <c r="CQ227" s="174"/>
      <c r="CR227" s="174"/>
      <c r="CS227" s="174"/>
      <c r="CT227" s="174"/>
      <c r="CU227" s="174"/>
      <c r="CV227" s="174"/>
      <c r="CW227" s="165"/>
      <c r="CX227" s="166"/>
      <c r="CY227" s="166"/>
      <c r="CZ227" s="166"/>
      <c r="DA227" s="166"/>
      <c r="DB227" s="166"/>
      <c r="DC227" s="166"/>
      <c r="DD227" s="171"/>
      <c r="DE227" s="171"/>
      <c r="DF227" s="171"/>
      <c r="DG227" s="171"/>
      <c r="DH227" s="171"/>
      <c r="DI227" s="171"/>
      <c r="DJ227" s="171"/>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6">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35"/>
        <v>0</v>
      </c>
      <c r="BV228" s="28"/>
      <c r="BW228" s="28"/>
      <c r="BX228" s="28"/>
      <c r="BY228" s="28"/>
      <c r="BZ228" s="28"/>
      <c r="CA228" s="28"/>
      <c r="CB228" s="99">
        <f t="shared" si="236"/>
        <v>846</v>
      </c>
      <c r="CC228" s="99">
        <f t="shared" si="236"/>
        <v>846</v>
      </c>
      <c r="CD228" s="99">
        <f t="shared" si="231"/>
        <v>846</v>
      </c>
      <c r="CE228" s="99">
        <f t="shared" si="231"/>
        <v>687.38</v>
      </c>
      <c r="CF228" s="389">
        <f>(CE228+CH228)/2</f>
        <v>370.66966500000001</v>
      </c>
      <c r="CG228" s="389">
        <f>DQ228*0.5</f>
        <v>185.065</v>
      </c>
      <c r="CH228" s="389">
        <f>CE228-(CE228-(CE228*0.05))*(0.97)</f>
        <v>53.959330000000023</v>
      </c>
      <c r="CI228" s="175"/>
      <c r="CJ228" s="175"/>
      <c r="CK228" s="175"/>
      <c r="CL228" s="175"/>
      <c r="CM228" s="175"/>
      <c r="CN228" s="175"/>
      <c r="CO228" s="175"/>
      <c r="CP228" s="176"/>
      <c r="CQ228" s="176"/>
      <c r="CR228" s="176"/>
      <c r="CS228" s="176"/>
      <c r="CT228" s="176"/>
      <c r="CU228" s="176"/>
      <c r="CV228" s="176"/>
      <c r="CW228" s="167"/>
      <c r="CX228" s="168"/>
      <c r="CY228" s="168"/>
      <c r="CZ228" s="168"/>
      <c r="DA228" s="168"/>
      <c r="DB228" s="168"/>
      <c r="DC228" s="168"/>
      <c r="DD228" s="172"/>
      <c r="DE228" s="172"/>
      <c r="DF228" s="172"/>
      <c r="DG228" s="172"/>
      <c r="DH228" s="172"/>
      <c r="DI228" s="172"/>
      <c r="DJ228" s="172"/>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6">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35"/>
        <v>0</v>
      </c>
      <c r="BV229" s="27"/>
      <c r="BW229" s="27"/>
      <c r="BX229" s="27"/>
      <c r="BY229" s="27"/>
      <c r="BZ229" s="27"/>
      <c r="CA229" s="27"/>
      <c r="CB229" s="97">
        <f t="shared" si="236"/>
        <v>846</v>
      </c>
      <c r="CC229" s="97">
        <f t="shared" si="236"/>
        <v>846</v>
      </c>
      <c r="CD229" s="97">
        <f t="shared" si="231"/>
        <v>846</v>
      </c>
      <c r="CE229" s="97">
        <f t="shared" si="231"/>
        <v>687.38</v>
      </c>
      <c r="CF229" s="97">
        <f t="shared" si="231"/>
        <v>528.75</v>
      </c>
      <c r="CG229" s="97">
        <f t="shared" si="231"/>
        <v>370.13</v>
      </c>
      <c r="CH229" s="97">
        <f t="shared" si="231"/>
        <v>211.5</v>
      </c>
      <c r="CI229" s="173"/>
      <c r="CJ229" s="173"/>
      <c r="CK229" s="173"/>
      <c r="CL229" s="173"/>
      <c r="CM229" s="173"/>
      <c r="CN229" s="173"/>
      <c r="CO229" s="173"/>
      <c r="CP229" s="174"/>
      <c r="CQ229" s="174"/>
      <c r="CR229" s="174"/>
      <c r="CS229" s="174"/>
      <c r="CT229" s="174"/>
      <c r="CU229" s="174"/>
      <c r="CV229" s="174"/>
      <c r="CW229" s="165"/>
      <c r="CX229" s="166"/>
      <c r="CY229" s="166"/>
      <c r="CZ229" s="166"/>
      <c r="DA229" s="166"/>
      <c r="DB229" s="166"/>
      <c r="DC229" s="166"/>
      <c r="DD229" s="171"/>
      <c r="DE229" s="171"/>
      <c r="DF229" s="171"/>
      <c r="DG229" s="171"/>
      <c r="DH229" s="171"/>
      <c r="DI229" s="171"/>
      <c r="DJ229" s="171"/>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6">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37">IF(BL230=1,BN230,0)</f>
        <v>0</v>
      </c>
      <c r="BV230" s="28"/>
      <c r="BW230" s="28"/>
      <c r="BX230" s="28"/>
      <c r="BY230" s="28"/>
      <c r="BZ230" s="28"/>
      <c r="CA230" s="28"/>
      <c r="CB230" s="99">
        <f t="shared" si="236"/>
        <v>846</v>
      </c>
      <c r="CC230" s="99">
        <f t="shared" si="236"/>
        <v>846</v>
      </c>
      <c r="CD230" s="99">
        <f t="shared" si="231"/>
        <v>846</v>
      </c>
      <c r="CE230" s="99">
        <f t="shared" si="231"/>
        <v>687.38</v>
      </c>
      <c r="CF230" s="99">
        <f t="shared" si="231"/>
        <v>528.75</v>
      </c>
      <c r="CG230" s="99">
        <f t="shared" si="231"/>
        <v>370.13</v>
      </c>
      <c r="CH230" s="99">
        <f t="shared" si="231"/>
        <v>211.5</v>
      </c>
      <c r="CI230" s="175"/>
      <c r="CJ230" s="175"/>
      <c r="CK230" s="175"/>
      <c r="CL230" s="175"/>
      <c r="CM230" s="175"/>
      <c r="CN230" s="175"/>
      <c r="CO230" s="175"/>
      <c r="CP230" s="176"/>
      <c r="CQ230" s="176"/>
      <c r="CR230" s="176"/>
      <c r="CS230" s="176"/>
      <c r="CT230" s="176"/>
      <c r="CU230" s="176"/>
      <c r="CV230" s="176"/>
      <c r="CW230" s="167"/>
      <c r="CX230" s="168"/>
      <c r="CY230" s="168"/>
      <c r="CZ230" s="168"/>
      <c r="DA230" s="168"/>
      <c r="DB230" s="168"/>
      <c r="DC230" s="168"/>
      <c r="DD230" s="172"/>
      <c r="DE230" s="172"/>
      <c r="DF230" s="172"/>
      <c r="DG230" s="172"/>
      <c r="DH230" s="172"/>
      <c r="DI230" s="172"/>
      <c r="DJ230" s="172"/>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6">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37"/>
        <v>0</v>
      </c>
      <c r="BV231" s="27"/>
      <c r="BW231" s="27"/>
      <c r="BX231" s="27"/>
      <c r="BY231" s="27"/>
      <c r="BZ231" s="27"/>
      <c r="CA231" s="27"/>
      <c r="CB231" s="97">
        <f t="shared" si="236"/>
        <v>353</v>
      </c>
      <c r="CC231" s="97">
        <f t="shared" si="236"/>
        <v>353</v>
      </c>
      <c r="CD231" s="97">
        <f t="shared" si="231"/>
        <v>353</v>
      </c>
      <c r="CE231" s="97">
        <f t="shared" si="231"/>
        <v>286.82</v>
      </c>
      <c r="CF231" s="389">
        <f>(CE231+CH231)/2</f>
        <v>154.66768500000001</v>
      </c>
      <c r="CG231" s="389">
        <f>DQ231*0.5</f>
        <v>77.22</v>
      </c>
      <c r="CH231" s="389">
        <f>CE231-(CE231-(CE231*0.05))*(0.97)</f>
        <v>22.515370000000019</v>
      </c>
      <c r="CI231" s="173"/>
      <c r="CJ231" s="173"/>
      <c r="CK231" s="173"/>
      <c r="CL231" s="173"/>
      <c r="CM231" s="173"/>
      <c r="CN231" s="173"/>
      <c r="CO231" s="173"/>
      <c r="CP231" s="174"/>
      <c r="CQ231" s="174"/>
      <c r="CR231" s="174"/>
      <c r="CS231" s="174"/>
      <c r="CT231" s="174"/>
      <c r="CU231" s="174"/>
      <c r="CV231" s="174"/>
      <c r="CW231" s="165"/>
      <c r="CX231" s="166"/>
      <c r="CY231" s="166"/>
      <c r="CZ231" s="166"/>
      <c r="DA231" s="166"/>
      <c r="DB231" s="166"/>
      <c r="DC231" s="166"/>
      <c r="DD231" s="171"/>
      <c r="DE231" s="171"/>
      <c r="DF231" s="171"/>
      <c r="DG231" s="171"/>
      <c r="DH231" s="171"/>
      <c r="DI231" s="171"/>
      <c r="DJ231" s="171"/>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6">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37"/>
        <v>0</v>
      </c>
      <c r="BV232" s="28"/>
      <c r="BW232" s="28"/>
      <c r="BX232" s="28"/>
      <c r="BY232" s="28"/>
      <c r="BZ232" s="28"/>
      <c r="CA232" s="28"/>
      <c r="CB232" s="99">
        <f t="shared" si="236"/>
        <v>353</v>
      </c>
      <c r="CC232" s="99">
        <f t="shared" si="236"/>
        <v>353</v>
      </c>
      <c r="CD232" s="99">
        <f t="shared" si="236"/>
        <v>353</v>
      </c>
      <c r="CE232" s="99">
        <f t="shared" si="236"/>
        <v>286.82</v>
      </c>
      <c r="CF232" s="99">
        <f t="shared" si="236"/>
        <v>220.63</v>
      </c>
      <c r="CG232" s="99">
        <f t="shared" si="236"/>
        <v>154.44</v>
      </c>
      <c r="CH232" s="99">
        <f t="shared" si="236"/>
        <v>88.25</v>
      </c>
      <c r="CI232" s="175"/>
      <c r="CJ232" s="175"/>
      <c r="CK232" s="175"/>
      <c r="CL232" s="175"/>
      <c r="CM232" s="175"/>
      <c r="CN232" s="175"/>
      <c r="CO232" s="175"/>
      <c r="CP232" s="176"/>
      <c r="CQ232" s="176"/>
      <c r="CR232" s="176"/>
      <c r="CS232" s="176"/>
      <c r="CT232" s="176"/>
      <c r="CU232" s="176"/>
      <c r="CV232" s="176"/>
      <c r="CW232" s="167"/>
      <c r="CX232" s="168"/>
      <c r="CY232" s="168"/>
      <c r="CZ232" s="168"/>
      <c r="DA232" s="168"/>
      <c r="DB232" s="168"/>
      <c r="DC232" s="168"/>
      <c r="DD232" s="172"/>
      <c r="DE232" s="172"/>
      <c r="DF232" s="172"/>
      <c r="DG232" s="172"/>
      <c r="DH232" s="172"/>
      <c r="DI232" s="172"/>
      <c r="DJ232" s="172"/>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6">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37"/>
        <v>0</v>
      </c>
      <c r="BV233" s="27"/>
      <c r="BW233" s="27"/>
      <c r="BX233" s="27"/>
      <c r="BY233" s="27"/>
      <c r="BZ233" s="27"/>
      <c r="CA233" s="27"/>
      <c r="CB233" s="97">
        <f t="shared" si="236"/>
        <v>353</v>
      </c>
      <c r="CC233" s="97">
        <f t="shared" si="236"/>
        <v>353</v>
      </c>
      <c r="CD233" s="97">
        <f t="shared" si="236"/>
        <v>353</v>
      </c>
      <c r="CE233" s="97">
        <f t="shared" si="236"/>
        <v>286.82</v>
      </c>
      <c r="CF233" s="97">
        <f t="shared" si="236"/>
        <v>220.63</v>
      </c>
      <c r="CG233" s="97">
        <f t="shared" si="236"/>
        <v>154.44</v>
      </c>
      <c r="CH233" s="97">
        <f t="shared" si="236"/>
        <v>88.25</v>
      </c>
      <c r="CI233" s="173"/>
      <c r="CJ233" s="173"/>
      <c r="CK233" s="173"/>
      <c r="CL233" s="173"/>
      <c r="CM233" s="173"/>
      <c r="CN233" s="173"/>
      <c r="CO233" s="173"/>
      <c r="CP233" s="174"/>
      <c r="CQ233" s="174"/>
      <c r="CR233" s="174"/>
      <c r="CS233" s="174"/>
      <c r="CT233" s="174"/>
      <c r="CU233" s="174"/>
      <c r="CV233" s="174"/>
      <c r="CW233" s="165"/>
      <c r="CX233" s="166"/>
      <c r="CY233" s="166"/>
      <c r="CZ233" s="166"/>
      <c r="DA233" s="166"/>
      <c r="DB233" s="166"/>
      <c r="DC233" s="166"/>
      <c r="DD233" s="171"/>
      <c r="DE233" s="171"/>
      <c r="DF233" s="171"/>
      <c r="DG233" s="171"/>
      <c r="DH233" s="171"/>
      <c r="DI233" s="171"/>
      <c r="DJ233" s="171"/>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6">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38">CB234</f>
        <v>4260</v>
      </c>
      <c r="BV234" s="28">
        <f t="shared" si="238"/>
        <v>4560</v>
      </c>
      <c r="BW234" s="28">
        <f t="shared" si="238"/>
        <v>4860</v>
      </c>
      <c r="BX234" s="28">
        <f t="shared" si="238"/>
        <v>5163.75</v>
      </c>
      <c r="BY234" s="28">
        <f t="shared" si="238"/>
        <v>5467.5</v>
      </c>
      <c r="BZ234" s="28">
        <f t="shared" si="238"/>
        <v>5771.25</v>
      </c>
      <c r="CA234" s="28">
        <f t="shared" si="238"/>
        <v>6075</v>
      </c>
      <c r="CB234" s="99">
        <f>DL234</f>
        <v>4260</v>
      </c>
      <c r="CC234" s="99">
        <f t="shared" si="236"/>
        <v>4560</v>
      </c>
      <c r="CD234" s="99">
        <f t="shared" si="236"/>
        <v>4860</v>
      </c>
      <c r="CE234" s="99">
        <f t="shared" si="236"/>
        <v>5163.75</v>
      </c>
      <c r="CF234" s="99">
        <f t="shared" si="236"/>
        <v>5467.5</v>
      </c>
      <c r="CG234" s="99">
        <f t="shared" si="236"/>
        <v>5771.25</v>
      </c>
      <c r="CH234" s="99">
        <f t="shared" si="236"/>
        <v>6075</v>
      </c>
      <c r="CI234" s="175"/>
      <c r="CJ234" s="175"/>
      <c r="CK234" s="175"/>
      <c r="CL234" s="175"/>
      <c r="CM234" s="175"/>
      <c r="CN234" s="175"/>
      <c r="CO234" s="175"/>
      <c r="CP234" s="176"/>
      <c r="CQ234" s="176"/>
      <c r="CR234" s="176"/>
      <c r="CS234" s="176"/>
      <c r="CT234" s="176"/>
      <c r="CU234" s="176"/>
      <c r="CV234" s="176"/>
      <c r="CW234" s="167"/>
      <c r="CX234" s="168"/>
      <c r="CY234" s="168"/>
      <c r="CZ234" s="168"/>
      <c r="DA234" s="168"/>
      <c r="DB234" s="168"/>
      <c r="DC234" s="168"/>
      <c r="DD234" s="172"/>
      <c r="DE234" s="172"/>
      <c r="DF234" s="172"/>
      <c r="DG234" s="172"/>
      <c r="DH234" s="172"/>
      <c r="DI234" s="172"/>
      <c r="DJ234" s="172"/>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6">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39">BU235</f>
        <v>0</v>
      </c>
      <c r="BO235" s="93"/>
      <c r="BP235" s="93"/>
      <c r="BQ235" s="93"/>
      <c r="BR235" s="93"/>
      <c r="BS235" s="93"/>
      <c r="BT235" s="93"/>
      <c r="BU235" s="27"/>
      <c r="BV235" s="27"/>
      <c r="BW235" s="27"/>
      <c r="BX235" s="27"/>
      <c r="BY235" s="27"/>
      <c r="BZ235" s="27"/>
      <c r="CA235" s="27"/>
      <c r="CB235" s="185">
        <v>500</v>
      </c>
      <c r="CC235" s="185">
        <v>500</v>
      </c>
      <c r="CD235" s="185">
        <v>500</v>
      </c>
      <c r="CE235" s="185">
        <v>500</v>
      </c>
      <c r="CF235" s="185">
        <v>500</v>
      </c>
      <c r="CG235" s="185">
        <v>500</v>
      </c>
      <c r="CH235" s="185">
        <v>500</v>
      </c>
      <c r="CI235" s="173"/>
      <c r="CJ235" s="173"/>
      <c r="CK235" s="173"/>
      <c r="CL235" s="173"/>
      <c r="CM235" s="173"/>
      <c r="CN235" s="173"/>
      <c r="CO235" s="173"/>
      <c r="CP235" s="174"/>
      <c r="CQ235" s="174"/>
      <c r="CR235" s="174"/>
      <c r="CS235" s="174"/>
      <c r="CT235" s="174"/>
      <c r="CU235" s="174"/>
      <c r="CV235" s="174"/>
      <c r="CW235" s="165"/>
      <c r="CX235" s="166"/>
      <c r="CY235" s="166"/>
      <c r="CZ235" s="166"/>
      <c r="DA235" s="166"/>
      <c r="DB235" s="166"/>
      <c r="DC235" s="166"/>
      <c r="DD235" s="171"/>
      <c r="DE235" s="171"/>
      <c r="DF235" s="171"/>
      <c r="DG235" s="171"/>
      <c r="DH235" s="171"/>
      <c r="DI235" s="171"/>
      <c r="DJ235" s="171"/>
      <c r="DK235" s="79" t="s">
        <v>699</v>
      </c>
      <c r="DL235" s="128">
        <v>30</v>
      </c>
      <c r="DM235" s="128">
        <v>30</v>
      </c>
      <c r="DN235" s="128">
        <v>30</v>
      </c>
      <c r="DO235" s="128">
        <v>30</v>
      </c>
      <c r="DP235" s="128">
        <v>30</v>
      </c>
      <c r="DQ235" s="128">
        <v>30</v>
      </c>
      <c r="DR235" s="128">
        <v>30</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ht="15" thickBot="1" x14ac:dyDescent="0.4">
      <c r="A236" s="256"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6">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59">
        <v>8.0500000000000007</v>
      </c>
      <c r="BO236" s="260"/>
      <c r="BP236" s="260"/>
      <c r="BQ236" s="260"/>
      <c r="BR236" s="260"/>
      <c r="BS236" s="260"/>
      <c r="BT236" s="260"/>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7">
        <f>82.1</f>
        <v>82.1</v>
      </c>
      <c r="CJ236" s="257">
        <f>$CI$236*0.8</f>
        <v>65.679999999999993</v>
      </c>
      <c r="CK236" s="257">
        <f t="shared" ref="CK236:CO236" si="240">$CI$236*0.8</f>
        <v>65.679999999999993</v>
      </c>
      <c r="CL236" s="257">
        <f t="shared" si="240"/>
        <v>65.679999999999993</v>
      </c>
      <c r="CM236" s="257">
        <f t="shared" si="240"/>
        <v>65.679999999999993</v>
      </c>
      <c r="CN236" s="257">
        <f t="shared" si="240"/>
        <v>65.679999999999993</v>
      </c>
      <c r="CO236" s="257">
        <f t="shared" si="240"/>
        <v>65.679999999999993</v>
      </c>
      <c r="CP236" s="388">
        <f>$CI$236*1.2</f>
        <v>98.52</v>
      </c>
      <c r="CQ236" s="388">
        <f t="shared" ref="CQ236:CV236" si="241">$CI$236*1.2</f>
        <v>98.52</v>
      </c>
      <c r="CR236" s="388">
        <f t="shared" si="241"/>
        <v>98.52</v>
      </c>
      <c r="CS236" s="388">
        <f t="shared" si="241"/>
        <v>98.52</v>
      </c>
      <c r="CT236" s="388">
        <f t="shared" si="241"/>
        <v>98.52</v>
      </c>
      <c r="CU236" s="388">
        <f t="shared" si="241"/>
        <v>98.52</v>
      </c>
      <c r="CV236" s="388">
        <f t="shared" si="241"/>
        <v>98.52</v>
      </c>
      <c r="CW236" s="167"/>
      <c r="CX236" s="168"/>
      <c r="CY236" s="168"/>
      <c r="CZ236" s="168"/>
      <c r="DA236" s="168"/>
      <c r="DB236" s="168"/>
      <c r="DC236" s="168"/>
      <c r="DD236" s="172"/>
      <c r="DE236" s="172"/>
      <c r="DF236" s="172"/>
      <c r="DG236" s="172"/>
      <c r="DH236" s="172"/>
      <c r="DI236" s="172"/>
      <c r="DJ236" s="172"/>
      <c r="DK236" s="80" t="s">
        <v>699</v>
      </c>
      <c r="DL236" s="129">
        <v>1.4</v>
      </c>
      <c r="DM236" s="129">
        <v>3.4</v>
      </c>
      <c r="DN236" s="129">
        <v>3.4</v>
      </c>
      <c r="DO236" s="129">
        <v>3.4</v>
      </c>
      <c r="DP236" s="129">
        <v>3.4</v>
      </c>
      <c r="DQ236" s="129">
        <v>7</v>
      </c>
      <c r="DR236" s="129">
        <v>7</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x14ac:dyDescent="0.35">
      <c r="A237" s="230" t="s">
        <v>1246</v>
      </c>
      <c r="B237" s="231" t="s">
        <v>1243</v>
      </c>
      <c r="C237" s="231" t="s">
        <v>788</v>
      </c>
      <c r="D237" s="231" t="s">
        <v>1247</v>
      </c>
      <c r="E237" s="231" t="s">
        <v>1248</v>
      </c>
      <c r="F237" s="231" t="s">
        <v>453</v>
      </c>
      <c r="G237" s="232" t="s">
        <v>1249</v>
      </c>
      <c r="H237" s="233" t="s">
        <v>981</v>
      </c>
      <c r="I237" s="101">
        <v>3200</v>
      </c>
      <c r="J237" s="101">
        <f>(K237+I237)/2</f>
        <v>2800</v>
      </c>
      <c r="K237" s="101">
        <v>2400</v>
      </c>
      <c r="L237" s="101">
        <f t="shared" ref="L237:L246" si="242">(M237+K237)/2</f>
        <v>2350</v>
      </c>
      <c r="M237" s="101">
        <f t="shared" ref="M237:M246" si="243">(K237+O237)/2</f>
        <v>2300</v>
      </c>
      <c r="N237" s="101">
        <f t="shared" ref="N237:N246" si="244">(O237+M237)/2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6">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4"/>
      <c r="CC237" s="244">
        <f t="shared" ref="CC237:CC244" si="245">ROUND((CB237+CD237)/2,2)</f>
        <v>5</v>
      </c>
      <c r="CD237" s="244">
        <v>10</v>
      </c>
      <c r="CE237" s="244">
        <f t="shared" ref="CE237" si="246">ROUND((CD237+CF237)/2,2)</f>
        <v>18.25</v>
      </c>
      <c r="CF237" s="244">
        <v>26.5</v>
      </c>
      <c r="CG237" s="244">
        <f t="shared" ref="CG237" si="247">ROUND((CF237+CH237)/2,2)</f>
        <v>41.75</v>
      </c>
      <c r="CH237" s="389">
        <f>70-13</f>
        <v>57</v>
      </c>
      <c r="CI237" s="173"/>
      <c r="CJ237" s="173"/>
      <c r="CK237" s="173"/>
      <c r="CL237" s="173"/>
      <c r="CM237" s="173"/>
      <c r="CN237" s="173"/>
      <c r="CO237" s="173"/>
      <c r="CP237" s="174"/>
      <c r="CQ237" s="174"/>
      <c r="CR237" s="174"/>
      <c r="CS237" s="174"/>
      <c r="CT237" s="174"/>
      <c r="CU237" s="174"/>
      <c r="CV237" s="174"/>
      <c r="CW237" s="165"/>
      <c r="CX237" s="166"/>
      <c r="CY237" s="166"/>
      <c r="CZ237" s="166"/>
      <c r="DA237" s="166"/>
      <c r="DB237" s="166"/>
      <c r="DC237" s="166"/>
      <c r="DD237" s="171"/>
      <c r="DE237" s="171"/>
      <c r="DF237" s="171"/>
      <c r="DG237" s="171"/>
      <c r="DH237" s="171"/>
      <c r="DI237" s="171"/>
      <c r="DJ237" s="171"/>
      <c r="DK237" s="79" t="s">
        <v>1251</v>
      </c>
      <c r="DL237" s="128"/>
      <c r="DM237" s="128"/>
      <c r="DN237" s="128"/>
      <c r="DO237" s="128"/>
      <c r="DP237" s="128"/>
      <c r="DQ237" s="128"/>
      <c r="DR237" s="128"/>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4" t="s">
        <v>1252</v>
      </c>
      <c r="B238" s="6" t="s">
        <v>1243</v>
      </c>
      <c r="C238" s="6" t="s">
        <v>788</v>
      </c>
      <c r="D238" s="6" t="s">
        <v>1247</v>
      </c>
      <c r="E238" s="6" t="s">
        <v>1248</v>
      </c>
      <c r="F238" s="6" t="s">
        <v>455</v>
      </c>
      <c r="G238" s="48" t="s">
        <v>1253</v>
      </c>
      <c r="H238" s="235" t="s">
        <v>981</v>
      </c>
      <c r="I238" s="102">
        <v>1823.76</v>
      </c>
      <c r="J238" s="102">
        <v>1821.35</v>
      </c>
      <c r="K238" s="102">
        <v>1818.94</v>
      </c>
      <c r="L238" s="101">
        <f t="shared" si="242"/>
        <v>1816.5450000000001</v>
      </c>
      <c r="M238" s="101">
        <f t="shared" si="243"/>
        <v>1814.15</v>
      </c>
      <c r="N238" s="101">
        <f t="shared" si="244"/>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6">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6">
        <v>0</v>
      </c>
      <c r="BO238" s="186">
        <v>0</v>
      </c>
      <c r="BP238" s="94"/>
      <c r="BQ238" s="94"/>
      <c r="BR238" s="94"/>
      <c r="BS238" s="94"/>
      <c r="BT238" s="94"/>
      <c r="BU238" s="28">
        <f t="shared" ref="BU238:BU291" si="248">IF(BL238=1,BN238,0)</f>
        <v>0</v>
      </c>
      <c r="BV238" s="28"/>
      <c r="BW238" s="28"/>
      <c r="BX238" s="28"/>
      <c r="BY238" s="28"/>
      <c r="BZ238" s="28"/>
      <c r="CA238" s="28"/>
      <c r="CB238" s="99">
        <v>1.895</v>
      </c>
      <c r="CC238" s="99">
        <f t="shared" si="245"/>
        <v>0.95</v>
      </c>
      <c r="CD238" s="99"/>
      <c r="CE238" s="99">
        <v>0</v>
      </c>
      <c r="CF238" s="99">
        <v>0</v>
      </c>
      <c r="CG238" s="99">
        <v>0</v>
      </c>
      <c r="CH238" s="99">
        <v>0</v>
      </c>
      <c r="CI238" s="175"/>
      <c r="CJ238" s="175"/>
      <c r="CK238" s="175"/>
      <c r="CL238" s="175"/>
      <c r="CM238" s="175"/>
      <c r="CN238" s="175"/>
      <c r="CO238" s="175"/>
      <c r="CP238" s="176"/>
      <c r="CQ238" s="176"/>
      <c r="CR238" s="176"/>
      <c r="CS238" s="176"/>
      <c r="CT238" s="176"/>
      <c r="CU238" s="176"/>
      <c r="CV238" s="176"/>
      <c r="CW238" s="167"/>
      <c r="CX238" s="168"/>
      <c r="CY238" s="168">
        <v>1</v>
      </c>
      <c r="CZ238" s="168">
        <v>1</v>
      </c>
      <c r="DA238" s="168">
        <v>1</v>
      </c>
      <c r="DB238" s="168">
        <v>1</v>
      </c>
      <c r="DC238" s="168">
        <v>1</v>
      </c>
      <c r="DD238" s="172"/>
      <c r="DE238" s="172"/>
      <c r="DF238" s="172"/>
      <c r="DG238" s="172"/>
      <c r="DH238" s="172"/>
      <c r="DI238" s="172"/>
      <c r="DJ238" s="172"/>
      <c r="DK238" s="80" t="s">
        <v>415</v>
      </c>
      <c r="DL238" s="129"/>
      <c r="DM238" s="129"/>
      <c r="DN238" s="129"/>
      <c r="DO238" s="129"/>
      <c r="DP238" s="129"/>
      <c r="DQ238" s="129"/>
      <c r="DR238" s="129"/>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6" t="s">
        <v>1254</v>
      </c>
      <c r="B239" s="5" t="s">
        <v>1243</v>
      </c>
      <c r="C239" s="5" t="s">
        <v>788</v>
      </c>
      <c r="D239" s="5" t="s">
        <v>1247</v>
      </c>
      <c r="E239" s="5" t="s">
        <v>1248</v>
      </c>
      <c r="F239" s="5" t="s">
        <v>455</v>
      </c>
      <c r="G239" s="47" t="s">
        <v>1255</v>
      </c>
      <c r="H239" s="237" t="s">
        <v>981</v>
      </c>
      <c r="I239" s="101">
        <v>1823.76</v>
      </c>
      <c r="J239" s="101">
        <v>1821.35</v>
      </c>
      <c r="K239" s="101">
        <v>1818.94</v>
      </c>
      <c r="L239" s="101">
        <f t="shared" si="242"/>
        <v>1816.5450000000001</v>
      </c>
      <c r="M239" s="101">
        <f t="shared" si="243"/>
        <v>1814.15</v>
      </c>
      <c r="N239" s="101">
        <f t="shared" si="244"/>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6">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6">
        <v>3.9</v>
      </c>
      <c r="BO239" s="186">
        <v>3.9</v>
      </c>
      <c r="BP239" s="93"/>
      <c r="BQ239" s="93"/>
      <c r="BR239" s="93"/>
      <c r="BS239" s="93"/>
      <c r="BT239" s="93"/>
      <c r="BU239" s="27">
        <f t="shared" si="248"/>
        <v>3.9</v>
      </c>
      <c r="BV239" s="27"/>
      <c r="BW239" s="27"/>
      <c r="BX239" s="27"/>
      <c r="BY239" s="27"/>
      <c r="BZ239" s="27"/>
      <c r="CA239" s="27"/>
      <c r="CB239" s="97">
        <f>BN239</f>
        <v>3.9</v>
      </c>
      <c r="CC239" s="97">
        <f t="shared" si="245"/>
        <v>1.95</v>
      </c>
      <c r="CD239" s="97"/>
      <c r="CE239" s="97">
        <v>0</v>
      </c>
      <c r="CF239" s="97">
        <v>0</v>
      </c>
      <c r="CG239" s="97">
        <v>0</v>
      </c>
      <c r="CH239" s="97">
        <v>0</v>
      </c>
      <c r="CI239" s="173"/>
      <c r="CJ239" s="173"/>
      <c r="CK239" s="173"/>
      <c r="CL239" s="173"/>
      <c r="CM239" s="173"/>
      <c r="CN239" s="173"/>
      <c r="CO239" s="173"/>
      <c r="CP239" s="174"/>
      <c r="CQ239" s="174"/>
      <c r="CR239" s="174"/>
      <c r="CS239" s="174"/>
      <c r="CT239" s="174"/>
      <c r="CU239" s="174"/>
      <c r="CV239" s="174"/>
      <c r="CW239" s="165"/>
      <c r="CX239" s="166"/>
      <c r="CY239" s="166">
        <v>1</v>
      </c>
      <c r="CZ239" s="166">
        <v>1</v>
      </c>
      <c r="DA239" s="166">
        <v>1</v>
      </c>
      <c r="DB239" s="166">
        <v>1</v>
      </c>
      <c r="DC239" s="166">
        <v>1</v>
      </c>
      <c r="DD239" s="171"/>
      <c r="DE239" s="171"/>
      <c r="DF239" s="171"/>
      <c r="DG239" s="171"/>
      <c r="DH239" s="171"/>
      <c r="DI239" s="171"/>
      <c r="DJ239" s="171"/>
      <c r="DK239" s="79" t="s">
        <v>415</v>
      </c>
      <c r="DL239" s="128"/>
      <c r="DM239" s="128"/>
      <c r="DN239" s="128"/>
      <c r="DO239" s="128"/>
      <c r="DP239" s="128"/>
      <c r="DQ239" s="128"/>
      <c r="DR239" s="128"/>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4" t="s">
        <v>1256</v>
      </c>
      <c r="B240" s="6" t="s">
        <v>1243</v>
      </c>
      <c r="C240" s="6" t="s">
        <v>788</v>
      </c>
      <c r="D240" s="6" t="s">
        <v>1247</v>
      </c>
      <c r="E240" s="6" t="s">
        <v>1248</v>
      </c>
      <c r="F240" s="6" t="s">
        <v>455</v>
      </c>
      <c r="G240" s="48" t="s">
        <v>1257</v>
      </c>
      <c r="H240" s="235" t="s">
        <v>981</v>
      </c>
      <c r="I240" s="102">
        <v>2345.9899999999998</v>
      </c>
      <c r="J240" s="102">
        <v>2296.7399999999998</v>
      </c>
      <c r="K240" s="102">
        <v>2247.48</v>
      </c>
      <c r="L240" s="101">
        <f t="shared" si="242"/>
        <v>2210.0050000000001</v>
      </c>
      <c r="M240" s="101">
        <f t="shared" si="243"/>
        <v>2172.5299999999997</v>
      </c>
      <c r="N240" s="101">
        <f t="shared" si="244"/>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6">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48"/>
        <v>0</v>
      </c>
      <c r="BV240" s="28"/>
      <c r="BW240" s="28"/>
      <c r="BX240" s="28"/>
      <c r="BY240" s="28"/>
      <c r="BZ240" s="28"/>
      <c r="CA240" s="28"/>
      <c r="CB240" s="99">
        <v>0</v>
      </c>
      <c r="CC240" s="99">
        <f t="shared" si="245"/>
        <v>0</v>
      </c>
      <c r="CD240" s="99"/>
      <c r="CE240" s="99">
        <v>0</v>
      </c>
      <c r="CF240" s="99">
        <v>0</v>
      </c>
      <c r="CG240" s="99">
        <v>0</v>
      </c>
      <c r="CH240" s="99">
        <v>0</v>
      </c>
      <c r="CI240" s="175"/>
      <c r="CJ240" s="175"/>
      <c r="CK240" s="175"/>
      <c r="CL240" s="175"/>
      <c r="CM240" s="175"/>
      <c r="CN240" s="175"/>
      <c r="CO240" s="175"/>
      <c r="CP240" s="176"/>
      <c r="CQ240" s="176"/>
      <c r="CR240" s="176"/>
      <c r="CS240" s="176"/>
      <c r="CT240" s="176"/>
      <c r="CU240" s="176"/>
      <c r="CV240" s="176"/>
      <c r="CW240" s="167"/>
      <c r="CX240" s="168"/>
      <c r="CY240" s="168">
        <v>1</v>
      </c>
      <c r="CZ240" s="168">
        <v>1</v>
      </c>
      <c r="DA240" s="168">
        <v>1</v>
      </c>
      <c r="DB240" s="168">
        <v>1</v>
      </c>
      <c r="DC240" s="168">
        <v>1</v>
      </c>
      <c r="DD240" s="172"/>
      <c r="DE240" s="172"/>
      <c r="DF240" s="172"/>
      <c r="DG240" s="172"/>
      <c r="DH240" s="172"/>
      <c r="DI240" s="172"/>
      <c r="DJ240" s="172"/>
      <c r="DK240" s="80" t="s">
        <v>415</v>
      </c>
      <c r="DL240" s="129"/>
      <c r="DM240" s="129"/>
      <c r="DN240" s="129"/>
      <c r="DO240" s="129"/>
      <c r="DP240" s="129"/>
      <c r="DQ240" s="129"/>
      <c r="DR240" s="129"/>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6" t="s">
        <v>1258</v>
      </c>
      <c r="B241" s="5" t="s">
        <v>1243</v>
      </c>
      <c r="C241" s="5" t="s">
        <v>788</v>
      </c>
      <c r="D241" s="5" t="s">
        <v>1247</v>
      </c>
      <c r="E241" s="5" t="s">
        <v>1248</v>
      </c>
      <c r="F241" s="5" t="s">
        <v>455</v>
      </c>
      <c r="G241" s="47" t="s">
        <v>1259</v>
      </c>
      <c r="H241" s="237" t="s">
        <v>981</v>
      </c>
      <c r="I241" s="101">
        <v>899.15</v>
      </c>
      <c r="J241" s="101">
        <v>897.97</v>
      </c>
      <c r="K241" s="101">
        <v>896.78</v>
      </c>
      <c r="L241" s="101">
        <f t="shared" si="242"/>
        <v>895.59749999999997</v>
      </c>
      <c r="M241" s="101">
        <f t="shared" si="243"/>
        <v>894.41499999999996</v>
      </c>
      <c r="N241" s="101">
        <f t="shared" si="244"/>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6">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48"/>
        <v>0</v>
      </c>
      <c r="BV241" s="27"/>
      <c r="BW241" s="27"/>
      <c r="BX241" s="27"/>
      <c r="BY241" s="27"/>
      <c r="BZ241" s="27"/>
      <c r="CA241" s="27"/>
      <c r="CB241" s="97">
        <v>8.23</v>
      </c>
      <c r="CC241" s="97">
        <f t="shared" si="245"/>
        <v>19.12</v>
      </c>
      <c r="CD241" s="97">
        <v>30</v>
      </c>
      <c r="CE241" s="97">
        <f t="shared" ref="CE241:CE260" si="249">ROUND((CD241+CF241)/2,2)</f>
        <v>30</v>
      </c>
      <c r="CF241" s="97">
        <f t="shared" ref="CF241:CF260" si="250">ROUND((CD241+CH241)/2,2)</f>
        <v>30</v>
      </c>
      <c r="CG241" s="97">
        <f t="shared" ref="CG241:CG260" si="251">ROUND((CF241+CH241)/2,2)</f>
        <v>30</v>
      </c>
      <c r="CH241" s="97">
        <v>30</v>
      </c>
      <c r="CI241" s="173"/>
      <c r="CJ241" s="173"/>
      <c r="CK241" s="173"/>
      <c r="CL241" s="173"/>
      <c r="CM241" s="173"/>
      <c r="CN241" s="173"/>
      <c r="CO241" s="173"/>
      <c r="CP241" s="174"/>
      <c r="CQ241" s="174"/>
      <c r="CR241" s="174"/>
      <c r="CS241" s="174"/>
      <c r="CT241" s="174"/>
      <c r="CU241" s="174"/>
      <c r="CV241" s="174"/>
      <c r="CW241" s="165"/>
      <c r="CX241" s="166"/>
      <c r="CY241" s="166"/>
      <c r="CZ241" s="166"/>
      <c r="DA241" s="166"/>
      <c r="DB241" s="166"/>
      <c r="DC241" s="166"/>
      <c r="DD241" s="171"/>
      <c r="DE241" s="171"/>
      <c r="DF241" s="171"/>
      <c r="DG241" s="171"/>
      <c r="DH241" s="171"/>
      <c r="DI241" s="171"/>
      <c r="DJ241" s="171"/>
      <c r="DK241" s="79" t="s">
        <v>415</v>
      </c>
      <c r="DL241" s="128"/>
      <c r="DM241" s="128"/>
      <c r="DN241" s="128"/>
      <c r="DO241" s="128"/>
      <c r="DP241" s="128"/>
      <c r="DQ241" s="128"/>
      <c r="DR241" s="128"/>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4" t="s">
        <v>1260</v>
      </c>
      <c r="B242" s="6" t="s">
        <v>1243</v>
      </c>
      <c r="C242" s="6" t="s">
        <v>788</v>
      </c>
      <c r="D242" s="6" t="s">
        <v>1247</v>
      </c>
      <c r="E242" s="6" t="s">
        <v>1248</v>
      </c>
      <c r="F242" s="6" t="s">
        <v>455</v>
      </c>
      <c r="G242" s="48" t="s">
        <v>1261</v>
      </c>
      <c r="H242" s="235" t="s">
        <v>981</v>
      </c>
      <c r="I242" s="102">
        <v>1400</v>
      </c>
      <c r="J242" s="102">
        <f>(K242+I242)/2</f>
        <v>1395</v>
      </c>
      <c r="K242" s="102">
        <v>1390</v>
      </c>
      <c r="L242" s="102">
        <f t="shared" si="242"/>
        <v>1362.5</v>
      </c>
      <c r="M242" s="102">
        <f t="shared" si="243"/>
        <v>1335</v>
      </c>
      <c r="N242" s="102">
        <f t="shared" si="244"/>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6">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48"/>
        <v>0</v>
      </c>
      <c r="BV242" s="28"/>
      <c r="BW242" s="28"/>
      <c r="BX242" s="28"/>
      <c r="BY242" s="28"/>
      <c r="BZ242" s="28"/>
      <c r="CA242" s="28"/>
      <c r="CB242" s="99">
        <v>0</v>
      </c>
      <c r="CC242" s="99">
        <f t="shared" si="245"/>
        <v>15</v>
      </c>
      <c r="CD242" s="99">
        <v>30</v>
      </c>
      <c r="CE242" s="99">
        <f t="shared" si="249"/>
        <v>30</v>
      </c>
      <c r="CF242" s="99">
        <f t="shared" si="250"/>
        <v>30</v>
      </c>
      <c r="CG242" s="99">
        <f t="shared" si="251"/>
        <v>30</v>
      </c>
      <c r="CH242" s="99">
        <v>30</v>
      </c>
      <c r="CI242" s="175"/>
      <c r="CJ242" s="175"/>
      <c r="CK242" s="175"/>
      <c r="CL242" s="175"/>
      <c r="CM242" s="175"/>
      <c r="CN242" s="175"/>
      <c r="CO242" s="175"/>
      <c r="CP242" s="176"/>
      <c r="CQ242" s="176"/>
      <c r="CR242" s="176"/>
      <c r="CS242" s="176"/>
      <c r="CT242" s="176"/>
      <c r="CU242" s="176"/>
      <c r="CV242" s="176"/>
      <c r="CW242" s="167"/>
      <c r="CX242" s="168"/>
      <c r="CY242" s="168"/>
      <c r="CZ242" s="168"/>
      <c r="DA242" s="168"/>
      <c r="DB242" s="168"/>
      <c r="DC242" s="168"/>
      <c r="DD242" s="172"/>
      <c r="DE242" s="172"/>
      <c r="DF242" s="172"/>
      <c r="DG242" s="172"/>
      <c r="DH242" s="172"/>
      <c r="DI242" s="172"/>
      <c r="DJ242" s="172"/>
      <c r="DK242" s="80" t="s">
        <v>415</v>
      </c>
      <c r="DL242" s="129"/>
      <c r="DM242" s="129"/>
      <c r="DN242" s="129"/>
      <c r="DO242" s="129"/>
      <c r="DP242" s="129"/>
      <c r="DQ242" s="129"/>
      <c r="DR242" s="129"/>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6" t="s">
        <v>1262</v>
      </c>
      <c r="B243" s="5" t="s">
        <v>1243</v>
      </c>
      <c r="C243" s="5" t="s">
        <v>788</v>
      </c>
      <c r="D243" s="5" t="s">
        <v>1247</v>
      </c>
      <c r="E243" s="5" t="s">
        <v>1248</v>
      </c>
      <c r="F243" s="5" t="s">
        <v>455</v>
      </c>
      <c r="G243" s="47" t="s">
        <v>1263</v>
      </c>
      <c r="H243" s="237" t="s">
        <v>981</v>
      </c>
      <c r="I243" s="101">
        <v>899.15</v>
      </c>
      <c r="J243" s="101">
        <v>897.97</v>
      </c>
      <c r="K243" s="101">
        <v>896.78</v>
      </c>
      <c r="L243" s="101">
        <f t="shared" si="242"/>
        <v>895.59749999999997</v>
      </c>
      <c r="M243" s="101">
        <f t="shared" si="243"/>
        <v>894.41499999999996</v>
      </c>
      <c r="N243" s="101">
        <f t="shared" si="244"/>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6">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48"/>
        <v>0</v>
      </c>
      <c r="BV243" s="27"/>
      <c r="BW243" s="27"/>
      <c r="BX243" s="27"/>
      <c r="BY243" s="27"/>
      <c r="BZ243" s="27"/>
      <c r="CA243" s="27"/>
      <c r="CB243" s="97">
        <v>0.84</v>
      </c>
      <c r="CC243" s="97">
        <f t="shared" si="245"/>
        <v>2.92</v>
      </c>
      <c r="CD243" s="97">
        <v>5</v>
      </c>
      <c r="CE243" s="97">
        <f t="shared" si="249"/>
        <v>5</v>
      </c>
      <c r="CF243" s="97">
        <f t="shared" si="250"/>
        <v>5</v>
      </c>
      <c r="CG243" s="97">
        <f t="shared" si="251"/>
        <v>5</v>
      </c>
      <c r="CH243" s="97">
        <v>5</v>
      </c>
      <c r="CI243" s="173"/>
      <c r="CJ243" s="173"/>
      <c r="CK243" s="173"/>
      <c r="CL243" s="173"/>
      <c r="CM243" s="173"/>
      <c r="CN243" s="173"/>
      <c r="CO243" s="173"/>
      <c r="CP243" s="174"/>
      <c r="CQ243" s="174"/>
      <c r="CR243" s="174"/>
      <c r="CS243" s="174"/>
      <c r="CT243" s="174"/>
      <c r="CU243" s="174"/>
      <c r="CV243" s="174"/>
      <c r="CW243" s="165"/>
      <c r="CX243" s="166"/>
      <c r="CY243" s="166"/>
      <c r="CZ243" s="166"/>
      <c r="DA243" s="166"/>
      <c r="DB243" s="166"/>
      <c r="DC243" s="166"/>
      <c r="DD243" s="171"/>
      <c r="DE243" s="171"/>
      <c r="DF243" s="171"/>
      <c r="DG243" s="171"/>
      <c r="DH243" s="171"/>
      <c r="DI243" s="171"/>
      <c r="DJ243" s="171"/>
      <c r="DK243" s="79" t="s">
        <v>415</v>
      </c>
      <c r="DL243" s="128"/>
      <c r="DM243" s="128"/>
      <c r="DN243" s="128"/>
      <c r="DO243" s="128"/>
      <c r="DP243" s="128"/>
      <c r="DQ243" s="128"/>
      <c r="DR243" s="128"/>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4" t="s">
        <v>1264</v>
      </c>
      <c r="B244" s="6" t="s">
        <v>1243</v>
      </c>
      <c r="C244" s="6" t="s">
        <v>788</v>
      </c>
      <c r="D244" s="6" t="s">
        <v>1247</v>
      </c>
      <c r="E244" s="6" t="s">
        <v>1248</v>
      </c>
      <c r="F244" s="6" t="s">
        <v>455</v>
      </c>
      <c r="G244" s="48" t="s">
        <v>1265</v>
      </c>
      <c r="H244" s="235" t="s">
        <v>981</v>
      </c>
      <c r="I244" s="102">
        <v>561.97</v>
      </c>
      <c r="J244" s="102">
        <v>561.23</v>
      </c>
      <c r="K244" s="102">
        <v>560.49</v>
      </c>
      <c r="L244" s="101">
        <f t="shared" si="242"/>
        <v>559.75</v>
      </c>
      <c r="M244" s="101">
        <f t="shared" si="243"/>
        <v>559.01</v>
      </c>
      <c r="N244" s="101">
        <f t="shared" si="244"/>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6">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48"/>
        <v>0</v>
      </c>
      <c r="BV244" s="28"/>
      <c r="BW244" s="28"/>
      <c r="BX244" s="28"/>
      <c r="BY244" s="28"/>
      <c r="BZ244" s="28"/>
      <c r="CA244" s="28"/>
      <c r="CB244" s="99"/>
      <c r="CC244" s="99">
        <f t="shared" si="245"/>
        <v>1</v>
      </c>
      <c r="CD244" s="99">
        <v>2</v>
      </c>
      <c r="CE244" s="99">
        <f t="shared" si="249"/>
        <v>2</v>
      </c>
      <c r="CF244" s="99">
        <f t="shared" si="250"/>
        <v>2</v>
      </c>
      <c r="CG244" s="99">
        <f t="shared" si="251"/>
        <v>2</v>
      </c>
      <c r="CH244" s="99">
        <v>2</v>
      </c>
      <c r="CI244" s="175"/>
      <c r="CJ244" s="175"/>
      <c r="CK244" s="175"/>
      <c r="CL244" s="175"/>
      <c r="CM244" s="175"/>
      <c r="CN244" s="175"/>
      <c r="CO244" s="175"/>
      <c r="CP244" s="176"/>
      <c r="CQ244" s="176"/>
      <c r="CR244" s="176"/>
      <c r="CS244" s="176"/>
      <c r="CT244" s="176"/>
      <c r="CU244" s="176"/>
      <c r="CV244" s="176"/>
      <c r="CW244" s="167"/>
      <c r="CX244" s="168"/>
      <c r="CY244" s="168"/>
      <c r="CZ244" s="168"/>
      <c r="DA244" s="168"/>
      <c r="DB244" s="168"/>
      <c r="DC244" s="168"/>
      <c r="DD244" s="172"/>
      <c r="DE244" s="172"/>
      <c r="DF244" s="172"/>
      <c r="DG244" s="172"/>
      <c r="DH244" s="172"/>
      <c r="DI244" s="172"/>
      <c r="DJ244" s="172"/>
      <c r="DK244" s="80" t="s">
        <v>415</v>
      </c>
      <c r="DL244" s="129"/>
      <c r="DM244" s="129"/>
      <c r="DN244" s="129"/>
      <c r="DO244" s="129"/>
      <c r="DP244" s="129"/>
      <c r="DQ244" s="129"/>
      <c r="DR244" s="129"/>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6" t="s">
        <v>1266</v>
      </c>
      <c r="B245" s="5" t="s">
        <v>1243</v>
      </c>
      <c r="C245" s="5" t="s">
        <v>788</v>
      </c>
      <c r="D245" s="5" t="s">
        <v>1247</v>
      </c>
      <c r="E245" s="5" t="s">
        <v>1248</v>
      </c>
      <c r="F245" s="5" t="s">
        <v>455</v>
      </c>
      <c r="G245" s="47" t="s">
        <v>1267</v>
      </c>
      <c r="H245" s="237" t="s">
        <v>981</v>
      </c>
      <c r="I245" s="101">
        <v>2200</v>
      </c>
      <c r="J245" s="101">
        <v>2200</v>
      </c>
      <c r="K245" s="101">
        <v>2000</v>
      </c>
      <c r="L245" s="101">
        <f t="shared" si="242"/>
        <v>1800</v>
      </c>
      <c r="M245" s="101">
        <f t="shared" si="243"/>
        <v>1600</v>
      </c>
      <c r="N245" s="101">
        <f t="shared" si="244"/>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6">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48"/>
        <v>0</v>
      </c>
      <c r="BV245" s="27"/>
      <c r="BW245" s="27"/>
      <c r="BX245" s="27"/>
      <c r="BY245" s="27"/>
      <c r="BZ245" s="27"/>
      <c r="CA245" s="27"/>
      <c r="CB245" s="97"/>
      <c r="CC245" s="97"/>
      <c r="CD245" s="97">
        <v>1</v>
      </c>
      <c r="CE245" s="97">
        <f t="shared" si="249"/>
        <v>3.25</v>
      </c>
      <c r="CF245" s="97">
        <f t="shared" si="250"/>
        <v>5.5</v>
      </c>
      <c r="CG245" s="97">
        <f t="shared" si="251"/>
        <v>7.75</v>
      </c>
      <c r="CH245" s="97">
        <v>10</v>
      </c>
      <c r="CI245" s="173"/>
      <c r="CJ245" s="173"/>
      <c r="CK245" s="173"/>
      <c r="CL245" s="173"/>
      <c r="CM245" s="173"/>
      <c r="CN245" s="173"/>
      <c r="CO245" s="173"/>
      <c r="CP245" s="174"/>
      <c r="CQ245" s="174"/>
      <c r="CR245" s="174"/>
      <c r="CS245" s="174"/>
      <c r="CT245" s="174"/>
      <c r="CU245" s="174"/>
      <c r="CV245" s="174"/>
      <c r="CW245" s="165"/>
      <c r="CX245" s="166"/>
      <c r="CY245" s="166"/>
      <c r="CZ245" s="166"/>
      <c r="DA245" s="166"/>
      <c r="DB245" s="166"/>
      <c r="DC245" s="166"/>
      <c r="DD245" s="171"/>
      <c r="DE245" s="171"/>
      <c r="DF245" s="171"/>
      <c r="DG245" s="171"/>
      <c r="DH245" s="171"/>
      <c r="DI245" s="171"/>
      <c r="DJ245" s="171"/>
      <c r="DK245" s="79" t="s">
        <v>1268</v>
      </c>
      <c r="DL245" s="128"/>
      <c r="DM245" s="128"/>
      <c r="DN245" s="128"/>
      <c r="DO245" s="128"/>
      <c r="DP245" s="128"/>
      <c r="DQ245" s="128"/>
      <c r="DR245" s="128"/>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4" t="s">
        <v>1269</v>
      </c>
      <c r="B246" s="5" t="s">
        <v>1243</v>
      </c>
      <c r="C246" s="5" t="s">
        <v>788</v>
      </c>
      <c r="D246" s="5" t="s">
        <v>1247</v>
      </c>
      <c r="E246" s="5" t="s">
        <v>1248</v>
      </c>
      <c r="F246" s="5" t="s">
        <v>455</v>
      </c>
      <c r="G246" s="47" t="s">
        <v>1270</v>
      </c>
      <c r="H246" s="237" t="s">
        <v>981</v>
      </c>
      <c r="I246" s="101">
        <v>2200</v>
      </c>
      <c r="J246" s="101">
        <v>2200</v>
      </c>
      <c r="K246" s="101">
        <v>700</v>
      </c>
      <c r="L246" s="101">
        <f t="shared" si="242"/>
        <v>645</v>
      </c>
      <c r="M246" s="101">
        <f t="shared" si="243"/>
        <v>590</v>
      </c>
      <c r="N246" s="101">
        <f t="shared" si="244"/>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6">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52">IF(BL246=1,BN246,0)</f>
        <v>0</v>
      </c>
      <c r="BV246" s="27"/>
      <c r="BW246" s="27"/>
      <c r="BX246" s="27"/>
      <c r="BY246" s="27"/>
      <c r="BZ246" s="27"/>
      <c r="CA246" s="27"/>
      <c r="CB246" s="97"/>
      <c r="CC246" s="97"/>
      <c r="CD246" s="97">
        <v>1</v>
      </c>
      <c r="CE246" s="97">
        <f t="shared" ref="CE246" si="253">ROUND((CD246+CF246)/2,2)</f>
        <v>8.25</v>
      </c>
      <c r="CF246" s="97">
        <f t="shared" ref="CF246" si="254">ROUND((CD246+CH246)/2,2)</f>
        <v>15.5</v>
      </c>
      <c r="CG246" s="97">
        <f t="shared" ref="CG246" si="255">ROUND((CF246+CH246)/2,2)</f>
        <v>22.75</v>
      </c>
      <c r="CH246" s="97">
        <v>30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1268</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6" t="s">
        <v>1271</v>
      </c>
      <c r="B247" s="6" t="s">
        <v>1243</v>
      </c>
      <c r="C247" s="6" t="s">
        <v>788</v>
      </c>
      <c r="D247" s="6" t="s">
        <v>1247</v>
      </c>
      <c r="E247" s="6" t="s">
        <v>1248</v>
      </c>
      <c r="F247" s="6" t="s">
        <v>455</v>
      </c>
      <c r="G247" s="48" t="s">
        <v>1272</v>
      </c>
      <c r="H247" s="235"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6">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48"/>
        <v>0</v>
      </c>
      <c r="BV247" s="99">
        <v>0.497</v>
      </c>
      <c r="BW247" s="99">
        <v>0.497</v>
      </c>
      <c r="BX247" s="28"/>
      <c r="BY247" s="28"/>
      <c r="BZ247" s="28"/>
      <c r="CA247" s="28"/>
      <c r="CB247" s="99">
        <v>0.497</v>
      </c>
      <c r="CC247" s="99">
        <v>0.497</v>
      </c>
      <c r="CD247" s="99">
        <v>0.497</v>
      </c>
      <c r="CE247" s="99">
        <v>0.497</v>
      </c>
      <c r="CF247" s="99">
        <v>0.497</v>
      </c>
      <c r="CG247" s="244">
        <v>0</v>
      </c>
      <c r="CH247" s="244">
        <v>0</v>
      </c>
      <c r="CI247" s="175"/>
      <c r="CJ247" s="175"/>
      <c r="CK247" s="175"/>
      <c r="CL247" s="175"/>
      <c r="CM247" s="175"/>
      <c r="CN247" s="175"/>
      <c r="CO247" s="175"/>
      <c r="CP247" s="176"/>
      <c r="CQ247" s="176"/>
      <c r="CR247" s="176"/>
      <c r="CS247" s="176"/>
      <c r="CT247" s="176"/>
      <c r="CU247" s="176"/>
      <c r="CV247" s="176"/>
      <c r="CW247" s="167"/>
      <c r="CX247" s="168"/>
      <c r="CY247" s="168"/>
      <c r="CZ247" s="168"/>
      <c r="DA247" s="168"/>
      <c r="DB247" s="168"/>
      <c r="DC247" s="168"/>
      <c r="DD247" s="172"/>
      <c r="DE247" s="172"/>
      <c r="DF247" s="172"/>
      <c r="DG247" s="172"/>
      <c r="DH247" s="172"/>
      <c r="DI247" s="172"/>
      <c r="DJ247" s="172"/>
      <c r="DK247" s="80" t="s">
        <v>1273</v>
      </c>
      <c r="DL247" s="129"/>
      <c r="DM247" s="129"/>
      <c r="DN247" s="129"/>
      <c r="DO247" s="129"/>
      <c r="DP247" s="129"/>
      <c r="DQ247" s="129"/>
      <c r="DR247" s="129"/>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4" t="s">
        <v>1274</v>
      </c>
      <c r="B248" s="5" t="s">
        <v>1243</v>
      </c>
      <c r="C248" s="5" t="s">
        <v>788</v>
      </c>
      <c r="D248" s="5" t="s">
        <v>1247</v>
      </c>
      <c r="E248" s="5" t="s">
        <v>1248</v>
      </c>
      <c r="F248" s="5" t="s">
        <v>455</v>
      </c>
      <c r="G248" s="47" t="s">
        <v>1275</v>
      </c>
      <c r="H248" s="237"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6">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3"/>
      <c r="CJ248" s="173"/>
      <c r="CK248" s="173"/>
      <c r="CL248" s="173"/>
      <c r="CM248" s="173"/>
      <c r="CN248" s="173"/>
      <c r="CO248" s="173"/>
      <c r="CP248" s="174"/>
      <c r="CQ248" s="174"/>
      <c r="CR248" s="174"/>
      <c r="CS248" s="174"/>
      <c r="CT248" s="174"/>
      <c r="CU248" s="174"/>
      <c r="CV248" s="174"/>
      <c r="CW248" s="165"/>
      <c r="CX248" s="166"/>
      <c r="CY248" s="166"/>
      <c r="CZ248" s="166"/>
      <c r="DA248" s="166"/>
      <c r="DB248" s="166"/>
      <c r="DC248" s="166"/>
      <c r="DD248" s="171"/>
      <c r="DE248" s="171"/>
      <c r="DF248" s="171"/>
      <c r="DG248" s="171"/>
      <c r="DH248" s="171"/>
      <c r="DI248" s="171"/>
      <c r="DJ248" s="171"/>
      <c r="DK248" s="79" t="s">
        <v>1273</v>
      </c>
      <c r="DL248" s="128"/>
      <c r="DM248" s="128"/>
      <c r="DN248" s="128"/>
      <c r="DO248" s="128"/>
      <c r="DP248" s="128"/>
      <c r="DQ248" s="128"/>
      <c r="DR248" s="128"/>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8" t="s">
        <v>1276</v>
      </c>
      <c r="B249" s="5" t="s">
        <v>1243</v>
      </c>
      <c r="C249" s="5" t="s">
        <v>788</v>
      </c>
      <c r="D249" s="5" t="s">
        <v>1247</v>
      </c>
      <c r="E249" s="5" t="s">
        <v>1248</v>
      </c>
      <c r="F249" s="5" t="s">
        <v>455</v>
      </c>
      <c r="G249" s="47" t="s">
        <v>1277</v>
      </c>
      <c r="H249" s="237"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48"/>
        <v>0</v>
      </c>
      <c r="BV249" s="27"/>
      <c r="BW249" s="27"/>
      <c r="BX249" s="27"/>
      <c r="BY249" s="27"/>
      <c r="BZ249" s="27"/>
      <c r="CA249" s="27"/>
      <c r="CB249" s="244"/>
      <c r="CC249" s="244"/>
      <c r="CD249" s="244"/>
      <c r="CE249" s="244"/>
      <c r="CF249" s="244">
        <v>0.45</v>
      </c>
      <c r="CG249" s="244">
        <v>0.9</v>
      </c>
      <c r="CH249" s="244">
        <v>2</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1278</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4" t="s">
        <v>1279</v>
      </c>
      <c r="B250" s="6" t="s">
        <v>1243</v>
      </c>
      <c r="C250" s="6" t="s">
        <v>788</v>
      </c>
      <c r="D250" s="6" t="s">
        <v>1247</v>
      </c>
      <c r="E250" s="6" t="s">
        <v>1248</v>
      </c>
      <c r="F250" s="6" t="s">
        <v>455</v>
      </c>
      <c r="G250" s="48" t="s">
        <v>1280</v>
      </c>
      <c r="H250" s="235" t="s">
        <v>981</v>
      </c>
      <c r="I250" s="102">
        <v>2657.36</v>
      </c>
      <c r="J250" s="102">
        <f>(K250+I250)/2</f>
        <v>2278.6800000000003</v>
      </c>
      <c r="K250" s="102">
        <v>1900</v>
      </c>
      <c r="L250" s="102">
        <f t="shared" ref="L250:L254" si="256">(M250+K250)/2</f>
        <v>1787.5</v>
      </c>
      <c r="M250" s="102">
        <f t="shared" ref="M250:M254" si="257">(K250+O250)/2</f>
        <v>1675</v>
      </c>
      <c r="N250" s="102">
        <f t="shared" ref="N250:N254" si="258">(O250+M250)/2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6">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48"/>
        <v>0</v>
      </c>
      <c r="BV250" s="28"/>
      <c r="BW250" s="28"/>
      <c r="BX250" s="28"/>
      <c r="BY250" s="28"/>
      <c r="BZ250" s="28"/>
      <c r="CA250" s="28"/>
      <c r="CB250" s="99">
        <v>0.05</v>
      </c>
      <c r="CC250" s="99">
        <f t="shared" ref="CC250" si="259">ROUND((CB250+CD250)/2,2)</f>
        <v>2.5299999999999998</v>
      </c>
      <c r="CD250" s="99">
        <v>5</v>
      </c>
      <c r="CE250" s="99">
        <f t="shared" si="249"/>
        <v>5</v>
      </c>
      <c r="CF250" s="99">
        <f t="shared" si="250"/>
        <v>5</v>
      </c>
      <c r="CG250" s="99">
        <f t="shared" si="251"/>
        <v>5</v>
      </c>
      <c r="CH250" s="99">
        <v>5</v>
      </c>
      <c r="CI250" s="175"/>
      <c r="CJ250" s="175"/>
      <c r="CK250" s="175"/>
      <c r="CL250" s="175"/>
      <c r="CM250" s="175"/>
      <c r="CN250" s="175"/>
      <c r="CO250" s="175"/>
      <c r="CP250" s="176"/>
      <c r="CQ250" s="176"/>
      <c r="CR250" s="176"/>
      <c r="CS250" s="176"/>
      <c r="CT250" s="176"/>
      <c r="CU250" s="176"/>
      <c r="CV250" s="176"/>
      <c r="CW250" s="167"/>
      <c r="CX250" s="168"/>
      <c r="CY250" s="168"/>
      <c r="CZ250" s="168"/>
      <c r="DA250" s="168"/>
      <c r="DB250" s="168"/>
      <c r="DC250" s="168"/>
      <c r="DD250" s="172"/>
      <c r="DE250" s="172"/>
      <c r="DF250" s="172"/>
      <c r="DG250" s="172"/>
      <c r="DH250" s="172"/>
      <c r="DI250" s="172"/>
      <c r="DJ250" s="172"/>
      <c r="DK250" s="80" t="s">
        <v>415</v>
      </c>
      <c r="DL250" s="129"/>
      <c r="DM250" s="129"/>
      <c r="DN250" s="129"/>
      <c r="DO250" s="129"/>
      <c r="DP250" s="129"/>
      <c r="DQ250" s="129"/>
      <c r="DR250" s="129"/>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6" t="s">
        <v>1281</v>
      </c>
      <c r="B251" s="5" t="s">
        <v>1243</v>
      </c>
      <c r="C251" s="5" t="s">
        <v>788</v>
      </c>
      <c r="D251" s="5" t="s">
        <v>1247</v>
      </c>
      <c r="E251" s="5" t="s">
        <v>1248</v>
      </c>
      <c r="F251" s="5" t="s">
        <v>455</v>
      </c>
      <c r="G251" s="47" t="s">
        <v>1282</v>
      </c>
      <c r="H251" s="237" t="s">
        <v>981</v>
      </c>
      <c r="I251" s="101">
        <v>3179.59</v>
      </c>
      <c r="J251" s="101">
        <v>3056.2099999999996</v>
      </c>
      <c r="K251" s="101">
        <v>5380</v>
      </c>
      <c r="L251" s="101">
        <f t="shared" si="256"/>
        <v>4995</v>
      </c>
      <c r="M251" s="101">
        <f t="shared" si="257"/>
        <v>4610</v>
      </c>
      <c r="N251" s="101">
        <f t="shared" si="258"/>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6">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48"/>
        <v>0</v>
      </c>
      <c r="BV251" s="27"/>
      <c r="BW251" s="27"/>
      <c r="BX251" s="27"/>
      <c r="BY251" s="27"/>
      <c r="BZ251" s="27"/>
      <c r="CA251" s="27"/>
      <c r="CB251" s="97"/>
      <c r="CC251" s="97"/>
      <c r="CD251" s="97">
        <v>5</v>
      </c>
      <c r="CE251" s="97">
        <f t="shared" si="249"/>
        <v>5</v>
      </c>
      <c r="CF251" s="97">
        <f t="shared" si="250"/>
        <v>5</v>
      </c>
      <c r="CG251" s="97">
        <f t="shared" si="251"/>
        <v>5</v>
      </c>
      <c r="CH251" s="97">
        <v>5</v>
      </c>
      <c r="CI251" s="173"/>
      <c r="CJ251" s="173"/>
      <c r="CK251" s="173"/>
      <c r="CL251" s="173"/>
      <c r="CM251" s="173"/>
      <c r="CN251" s="173"/>
      <c r="CO251" s="173"/>
      <c r="CP251" s="174"/>
      <c r="CQ251" s="174"/>
      <c r="CR251" s="174"/>
      <c r="CS251" s="174"/>
      <c r="CT251" s="174"/>
      <c r="CU251" s="174"/>
      <c r="CV251" s="174"/>
      <c r="CW251" s="165"/>
      <c r="CX251" s="166"/>
      <c r="CY251" s="166"/>
      <c r="CZ251" s="166"/>
      <c r="DA251" s="166"/>
      <c r="DB251" s="166"/>
      <c r="DC251" s="166"/>
      <c r="DD251" s="171"/>
      <c r="DE251" s="171"/>
      <c r="DF251" s="171"/>
      <c r="DG251" s="171"/>
      <c r="DH251" s="171"/>
      <c r="DI251" s="171"/>
      <c r="DJ251" s="171"/>
      <c r="DK251" s="79" t="s">
        <v>415</v>
      </c>
      <c r="DL251" s="128"/>
      <c r="DM251" s="128"/>
      <c r="DN251" s="128"/>
      <c r="DO251" s="128"/>
      <c r="DP251" s="128"/>
      <c r="DQ251" s="128"/>
      <c r="DR251" s="128"/>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8" t="s">
        <v>1283</v>
      </c>
      <c r="B252" s="6" t="s">
        <v>1243</v>
      </c>
      <c r="C252" s="6" t="s">
        <v>788</v>
      </c>
      <c r="D252" s="6" t="s">
        <v>1247</v>
      </c>
      <c r="E252" s="6" t="s">
        <v>1248</v>
      </c>
      <c r="F252" s="6" t="s">
        <v>455</v>
      </c>
      <c r="G252" s="48" t="s">
        <v>1284</v>
      </c>
      <c r="H252" s="235" t="s">
        <v>981</v>
      </c>
      <c r="I252" s="102">
        <v>1260</v>
      </c>
      <c r="J252" s="102">
        <f>(K252+I252)/2</f>
        <v>1175</v>
      </c>
      <c r="K252" s="102">
        <v>1090</v>
      </c>
      <c r="L252" s="102">
        <f t="shared" si="256"/>
        <v>1062.5</v>
      </c>
      <c r="M252" s="102">
        <f t="shared" si="257"/>
        <v>1035</v>
      </c>
      <c r="N252" s="102">
        <f t="shared" si="258"/>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6">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48"/>
        <v>0</v>
      </c>
      <c r="BV252" s="28"/>
      <c r="BW252" s="28"/>
      <c r="BX252" s="28"/>
      <c r="BY252" s="28"/>
      <c r="BZ252" s="28"/>
      <c r="CA252" s="28"/>
      <c r="CB252" s="244">
        <v>3.1</v>
      </c>
      <c r="CC252" s="244">
        <f t="shared" ref="CC252:CC260" si="260">ROUND((CB252+CD252)/2,2)</f>
        <v>5.46</v>
      </c>
      <c r="CD252" s="244">
        <v>7.82</v>
      </c>
      <c r="CE252" s="244">
        <v>7.82</v>
      </c>
      <c r="CF252" s="244">
        <v>7.82</v>
      </c>
      <c r="CG252" s="244">
        <v>7.82</v>
      </c>
      <c r="CH252" s="244">
        <v>7.82</v>
      </c>
      <c r="CI252" s="175"/>
      <c r="CJ252" s="175"/>
      <c r="CK252" s="175"/>
      <c r="CL252" s="175"/>
      <c r="CM252" s="175"/>
      <c r="CN252" s="175"/>
      <c r="CO252" s="175"/>
      <c r="CP252" s="176"/>
      <c r="CQ252" s="176"/>
      <c r="CR252" s="176"/>
      <c r="CS252" s="176"/>
      <c r="CT252" s="176"/>
      <c r="CU252" s="176"/>
      <c r="CV252" s="176"/>
      <c r="CW252" s="167"/>
      <c r="CX252" s="168"/>
      <c r="CY252" s="168"/>
      <c r="CZ252" s="168"/>
      <c r="DA252" s="168"/>
      <c r="DB252" s="168"/>
      <c r="DC252" s="168"/>
      <c r="DD252" s="172"/>
      <c r="DE252" s="172"/>
      <c r="DF252" s="172"/>
      <c r="DG252" s="172"/>
      <c r="DH252" s="172"/>
      <c r="DI252" s="172"/>
      <c r="DJ252" s="172"/>
      <c r="DK252" s="80" t="s">
        <v>1251</v>
      </c>
      <c r="DL252" s="129"/>
      <c r="DM252" s="129"/>
      <c r="DN252" s="129"/>
      <c r="DO252" s="129"/>
      <c r="DP252" s="129"/>
      <c r="DQ252" s="129"/>
      <c r="DR252" s="129"/>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ht="15" thickBot="1" x14ac:dyDescent="0.4">
      <c r="A253" s="238" t="s">
        <v>1286</v>
      </c>
      <c r="B253" s="5" t="s">
        <v>1243</v>
      </c>
      <c r="C253" s="5" t="s">
        <v>788</v>
      </c>
      <c r="D253" s="5" t="s">
        <v>1247</v>
      </c>
      <c r="E253" s="5" t="s">
        <v>1248</v>
      </c>
      <c r="F253" s="5" t="s">
        <v>455</v>
      </c>
      <c r="G253" s="47" t="s">
        <v>1287</v>
      </c>
      <c r="H253" s="237" t="s">
        <v>981</v>
      </c>
      <c r="I253" s="101">
        <v>3000</v>
      </c>
      <c r="J253" s="101">
        <f>(K253+I253)/2</f>
        <v>2600</v>
      </c>
      <c r="K253" s="101">
        <v>2200</v>
      </c>
      <c r="L253" s="101">
        <f t="shared" si="256"/>
        <v>2150</v>
      </c>
      <c r="M253" s="101">
        <f t="shared" si="257"/>
        <v>2100</v>
      </c>
      <c r="N253" s="101">
        <f t="shared" si="258"/>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6">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48"/>
        <v>0</v>
      </c>
      <c r="BV253" s="27"/>
      <c r="BW253" s="27"/>
      <c r="BX253" s="27"/>
      <c r="BY253" s="27"/>
      <c r="BZ253" s="27"/>
      <c r="CA253" s="27"/>
      <c r="CB253" s="244">
        <v>1</v>
      </c>
      <c r="CC253" s="244">
        <f t="shared" si="260"/>
        <v>3.5</v>
      </c>
      <c r="CD253" s="244">
        <v>6</v>
      </c>
      <c r="CE253" s="244">
        <f t="shared" si="249"/>
        <v>7.75</v>
      </c>
      <c r="CF253" s="244">
        <f t="shared" si="250"/>
        <v>9.5</v>
      </c>
      <c r="CG253" s="244">
        <f t="shared" si="251"/>
        <v>11.25</v>
      </c>
      <c r="CH253" s="244">
        <v>13</v>
      </c>
      <c r="CI253" s="173"/>
      <c r="CJ253" s="173"/>
      <c r="CK253" s="173"/>
      <c r="CL253" s="173"/>
      <c r="CM253" s="173"/>
      <c r="CN253" s="173"/>
      <c r="CO253" s="173"/>
      <c r="CP253" s="174"/>
      <c r="CQ253" s="174"/>
      <c r="CR253" s="174"/>
      <c r="CS253" s="174"/>
      <c r="CT253" s="174"/>
      <c r="CU253" s="174"/>
      <c r="CV253" s="174"/>
      <c r="CW253" s="165"/>
      <c r="CX253" s="166"/>
      <c r="CY253" s="166"/>
      <c r="CZ253" s="166"/>
      <c r="DA253" s="166"/>
      <c r="DB253" s="166"/>
      <c r="DC253" s="166"/>
      <c r="DD253" s="171"/>
      <c r="DE253" s="171"/>
      <c r="DF253" s="171"/>
      <c r="DG253" s="171"/>
      <c r="DH253" s="171"/>
      <c r="DI253" s="171"/>
      <c r="DJ253" s="171"/>
      <c r="DK253" s="79" t="s">
        <v>1251</v>
      </c>
      <c r="DL253" s="128"/>
      <c r="DM253" s="128"/>
      <c r="DN253" s="128"/>
      <c r="DO253" s="128"/>
      <c r="DP253" s="128"/>
      <c r="DQ253" s="128"/>
      <c r="DR253" s="128"/>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x14ac:dyDescent="0.35">
      <c r="A254" s="238" t="s">
        <v>1288</v>
      </c>
      <c r="B254" s="6" t="s">
        <v>654</v>
      </c>
      <c r="C254" s="6" t="s">
        <v>788</v>
      </c>
      <c r="D254" s="6" t="s">
        <v>1247</v>
      </c>
      <c r="E254" s="6" t="s">
        <v>1248</v>
      </c>
      <c r="F254" s="6" t="s">
        <v>456</v>
      </c>
      <c r="G254" s="48" t="s">
        <v>1289</v>
      </c>
      <c r="H254" s="235" t="s">
        <v>981</v>
      </c>
      <c r="I254" s="102">
        <v>770</v>
      </c>
      <c r="J254" s="102">
        <f>(K254+I254)/2</f>
        <v>617</v>
      </c>
      <c r="K254" s="102">
        <v>464</v>
      </c>
      <c r="L254" s="102">
        <f t="shared" si="256"/>
        <v>425.75</v>
      </c>
      <c r="M254" s="102">
        <f t="shared" si="257"/>
        <v>387.5</v>
      </c>
      <c r="N254" s="102">
        <f t="shared" si="258"/>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6">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6">
        <v>8</v>
      </c>
      <c r="BO254" s="94"/>
      <c r="BP254" s="94"/>
      <c r="BQ254" s="94"/>
      <c r="BR254" s="94"/>
      <c r="BS254" s="94"/>
      <c r="BT254" s="94"/>
      <c r="BU254" s="28">
        <f t="shared" si="248"/>
        <v>8</v>
      </c>
      <c r="BV254" s="28"/>
      <c r="BW254" s="28"/>
      <c r="BX254" s="28"/>
      <c r="BY254" s="28"/>
      <c r="BZ254" s="28"/>
      <c r="CA254" s="28"/>
      <c r="CB254" s="245">
        <f>BU254</f>
        <v>8</v>
      </c>
      <c r="CC254" s="246">
        <f t="shared" si="260"/>
        <v>9.25</v>
      </c>
      <c r="CD254" s="246">
        <v>10.49</v>
      </c>
      <c r="CE254" s="246">
        <f t="shared" si="249"/>
        <v>10.83</v>
      </c>
      <c r="CF254" s="246">
        <v>11.17</v>
      </c>
      <c r="CG254" s="246">
        <f t="shared" si="251"/>
        <v>12.15</v>
      </c>
      <c r="CH254" s="247">
        <v>13.12</v>
      </c>
      <c r="CI254" s="191">
        <f>25*0.5</f>
        <v>12.5</v>
      </c>
      <c r="CJ254" s="175"/>
      <c r="CK254" s="175"/>
      <c r="CL254" s="175"/>
      <c r="CM254" s="175"/>
      <c r="CN254" s="175"/>
      <c r="CO254" s="175"/>
      <c r="CP254" s="176"/>
      <c r="CQ254" s="176"/>
      <c r="CR254" s="176"/>
      <c r="CS254" s="176"/>
      <c r="CT254" s="176"/>
      <c r="CU254" s="176"/>
      <c r="CV254" s="176"/>
      <c r="CW254" s="167"/>
      <c r="CX254" s="168"/>
      <c r="CY254" s="168"/>
      <c r="CZ254" s="168"/>
      <c r="DA254" s="168"/>
      <c r="DB254" s="168"/>
      <c r="DC254" s="168"/>
      <c r="DD254" s="172"/>
      <c r="DE254" s="172"/>
      <c r="DF254" s="172"/>
      <c r="DG254" s="172"/>
      <c r="DH254" s="172"/>
      <c r="DI254" s="172"/>
      <c r="DJ254" s="172"/>
      <c r="DK254" s="80" t="s">
        <v>415</v>
      </c>
      <c r="DL254" s="129"/>
      <c r="DM254" s="129"/>
      <c r="DN254" s="129"/>
      <c r="DO254" s="129"/>
      <c r="DP254" s="129"/>
      <c r="DQ254" s="129"/>
      <c r="DR254" s="129"/>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1291</v>
      </c>
      <c r="B255" s="5" t="s">
        <v>654</v>
      </c>
      <c r="C255" s="5" t="s">
        <v>788</v>
      </c>
      <c r="D255" s="5" t="s">
        <v>1247</v>
      </c>
      <c r="E255" s="5" t="s">
        <v>1248</v>
      </c>
      <c r="F255" s="5" t="s">
        <v>456</v>
      </c>
      <c r="G255" s="47" t="s">
        <v>1292</v>
      </c>
      <c r="H255" s="237" t="s">
        <v>981</v>
      </c>
      <c r="I255" s="101">
        <v>770</v>
      </c>
      <c r="J255" s="101">
        <f t="shared" ref="J255:J259" si="261">(K255+I255)/2</f>
        <v>617</v>
      </c>
      <c r="K255" s="101">
        <v>464</v>
      </c>
      <c r="L255" s="101">
        <f t="shared" ref="L255:L259" si="262">(M255+K255)/2</f>
        <v>425.75</v>
      </c>
      <c r="M255" s="101">
        <f t="shared" ref="M255:M259" si="263">(K255+O255)/2</f>
        <v>387.5</v>
      </c>
      <c r="N255" s="101">
        <f t="shared" ref="N255:N259" si="264">(O255+M255)/2</f>
        <v>349.25</v>
      </c>
      <c r="O255" s="101">
        <v>311</v>
      </c>
      <c r="P255" s="93">
        <v>0</v>
      </c>
      <c r="Q255" s="292">
        <v>2.04</v>
      </c>
      <c r="R255" s="292">
        <v>2.04</v>
      </c>
      <c r="S255" s="292">
        <v>2.04</v>
      </c>
      <c r="T255" s="292">
        <v>2.04</v>
      </c>
      <c r="U255" s="292">
        <v>2.04</v>
      </c>
      <c r="V255" s="292">
        <v>2.04</v>
      </c>
      <c r="W255" s="292">
        <v>2.04</v>
      </c>
      <c r="X255" s="101">
        <v>0.1</v>
      </c>
      <c r="Y255" s="101">
        <v>0.1</v>
      </c>
      <c r="Z255" s="101">
        <v>0.1</v>
      </c>
      <c r="AA255" s="101">
        <v>0.1</v>
      </c>
      <c r="AB255" s="101">
        <v>0.1</v>
      </c>
      <c r="AC255" s="101">
        <v>0.1</v>
      </c>
      <c r="AD255" s="101">
        <v>0.1</v>
      </c>
      <c r="AE255" s="186">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65">IF(BL255=1,BN255,0)</f>
        <v>0</v>
      </c>
      <c r="BV255" s="27"/>
      <c r="BW255" s="27"/>
      <c r="BX255" s="27"/>
      <c r="BY255" s="27"/>
      <c r="BZ255" s="27"/>
      <c r="CA255" s="27"/>
      <c r="CB255" s="248">
        <v>2.8</v>
      </c>
      <c r="CC255" s="244">
        <f t="shared" si="260"/>
        <v>5.47</v>
      </c>
      <c r="CD255" s="244">
        <v>8.1300000000000008</v>
      </c>
      <c r="CE255" s="244">
        <f t="shared" si="249"/>
        <v>15.23</v>
      </c>
      <c r="CF255" s="244">
        <v>22.32</v>
      </c>
      <c r="CG255" s="244">
        <f t="shared" si="251"/>
        <v>30.83</v>
      </c>
      <c r="CH255" s="249">
        <v>39.33</v>
      </c>
      <c r="CI255" s="173"/>
      <c r="CJ255" s="173"/>
      <c r="CK255" s="173"/>
      <c r="CL255" s="173"/>
      <c r="CM255" s="173"/>
      <c r="CN255" s="173"/>
      <c r="CO255" s="173"/>
      <c r="CP255" s="174"/>
      <c r="CQ255" s="174"/>
      <c r="CR255" s="174"/>
      <c r="CS255" s="174"/>
      <c r="CT255" s="174"/>
      <c r="CU255" s="174"/>
      <c r="CV255" s="174"/>
      <c r="CW255" s="165"/>
      <c r="CX255" s="166"/>
      <c r="CY255" s="166"/>
      <c r="CZ255" s="166"/>
      <c r="DA255" s="166"/>
      <c r="DB255" s="166"/>
      <c r="DC255" s="166"/>
      <c r="DD255" s="171"/>
      <c r="DE255" s="171"/>
      <c r="DF255" s="171"/>
      <c r="DG255" s="171"/>
      <c r="DH255" s="171"/>
      <c r="DI255" s="171"/>
      <c r="DJ255" s="171"/>
      <c r="DK255" s="79" t="s">
        <v>415</v>
      </c>
      <c r="DL255" s="128"/>
      <c r="DM255" s="128"/>
      <c r="DN255" s="128"/>
      <c r="DO255" s="128"/>
      <c r="DP255" s="128"/>
      <c r="DQ255" s="128"/>
      <c r="DR255" s="128"/>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6" t="s">
        <v>726</v>
      </c>
      <c r="C256" s="6" t="s">
        <v>788</v>
      </c>
      <c r="D256" s="6" t="s">
        <v>1247</v>
      </c>
      <c r="E256" s="6" t="s">
        <v>1248</v>
      </c>
      <c r="F256" s="6" t="s">
        <v>456</v>
      </c>
      <c r="G256" s="48" t="s">
        <v>1294</v>
      </c>
      <c r="H256" s="235" t="s">
        <v>981</v>
      </c>
      <c r="I256" s="102">
        <v>770</v>
      </c>
      <c r="J256" s="102">
        <f t="shared" si="261"/>
        <v>617</v>
      </c>
      <c r="K256" s="102">
        <v>464</v>
      </c>
      <c r="L256" s="102">
        <f t="shared" si="262"/>
        <v>425.75</v>
      </c>
      <c r="M256" s="102">
        <f t="shared" si="263"/>
        <v>387.5</v>
      </c>
      <c r="N256" s="102">
        <f t="shared" si="264"/>
        <v>349.25</v>
      </c>
      <c r="O256" s="102">
        <v>311</v>
      </c>
      <c r="P256" s="94">
        <v>0</v>
      </c>
      <c r="Q256" s="292">
        <v>1.89</v>
      </c>
      <c r="R256" s="292">
        <v>1.89</v>
      </c>
      <c r="S256" s="292">
        <v>1.89</v>
      </c>
      <c r="T256" s="292">
        <v>1.89</v>
      </c>
      <c r="U256" s="292">
        <v>1.89</v>
      </c>
      <c r="V256" s="292">
        <v>1.89</v>
      </c>
      <c r="W256" s="292">
        <v>1.89</v>
      </c>
      <c r="X256" s="102">
        <v>0.52</v>
      </c>
      <c r="Y256" s="102">
        <v>0.52</v>
      </c>
      <c r="Z256" s="102">
        <v>0.52</v>
      </c>
      <c r="AA256" s="102">
        <v>0.52</v>
      </c>
      <c r="AB256" s="102">
        <v>0.52</v>
      </c>
      <c r="AC256" s="102">
        <v>0.52</v>
      </c>
      <c r="AD256" s="102">
        <v>0.52</v>
      </c>
      <c r="AE256" s="186">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6">
        <v>2</v>
      </c>
      <c r="BO256" s="94"/>
      <c r="BP256" s="94"/>
      <c r="BQ256" s="94"/>
      <c r="BR256" s="94"/>
      <c r="BS256" s="94"/>
      <c r="BT256" s="94"/>
      <c r="BU256" s="28">
        <f>IF(BL256=1,BN256,0)</f>
        <v>2</v>
      </c>
      <c r="BV256" s="28"/>
      <c r="BW256" s="28"/>
      <c r="BX256" s="28"/>
      <c r="BY256" s="28"/>
      <c r="BZ256" s="28"/>
      <c r="CA256" s="28"/>
      <c r="CB256" s="248">
        <v>3.5</v>
      </c>
      <c r="CC256" s="244">
        <f t="shared" si="260"/>
        <v>6.47</v>
      </c>
      <c r="CD256" s="244">
        <v>9.44</v>
      </c>
      <c r="CE256" s="244">
        <f t="shared" si="249"/>
        <v>15.47</v>
      </c>
      <c r="CF256" s="244">
        <v>21.5</v>
      </c>
      <c r="CG256" s="244">
        <f t="shared" si="251"/>
        <v>28.87</v>
      </c>
      <c r="CH256" s="249">
        <v>36.229999999999997</v>
      </c>
      <c r="CI256" s="191">
        <f>6*0.5</f>
        <v>3</v>
      </c>
      <c r="CJ256" s="175"/>
      <c r="CK256" s="175"/>
      <c r="CL256" s="175"/>
      <c r="CM256" s="175"/>
      <c r="CN256" s="175"/>
      <c r="CO256" s="175"/>
      <c r="CP256" s="176"/>
      <c r="CQ256" s="176"/>
      <c r="CR256" s="176"/>
      <c r="CS256" s="176"/>
      <c r="CT256" s="176"/>
      <c r="CU256" s="176"/>
      <c r="CV256" s="176"/>
      <c r="CW256" s="167"/>
      <c r="CX256" s="168"/>
      <c r="CY256" s="168"/>
      <c r="CZ256" s="168"/>
      <c r="DA256" s="168"/>
      <c r="DB256" s="168"/>
      <c r="DC256" s="168"/>
      <c r="DD256" s="172"/>
      <c r="DE256" s="172"/>
      <c r="DF256" s="172"/>
      <c r="DG256" s="172"/>
      <c r="DH256" s="172"/>
      <c r="DI256" s="172"/>
      <c r="DJ256" s="172"/>
      <c r="DK256" s="80" t="s">
        <v>1251</v>
      </c>
      <c r="DL256" s="129"/>
      <c r="DM256" s="129"/>
      <c r="DN256" s="129"/>
      <c r="DO256" s="129"/>
      <c r="DP256" s="129"/>
      <c r="DQ256" s="129"/>
      <c r="DR256" s="129"/>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5" t="s">
        <v>740</v>
      </c>
      <c r="C257" s="5" t="s">
        <v>788</v>
      </c>
      <c r="D257" s="5" t="s">
        <v>1247</v>
      </c>
      <c r="E257" s="5" t="s">
        <v>1248</v>
      </c>
      <c r="F257" s="5" t="s">
        <v>455</v>
      </c>
      <c r="G257" s="47" t="s">
        <v>1296</v>
      </c>
      <c r="H257" s="237" t="s">
        <v>981</v>
      </c>
      <c r="I257" s="101">
        <v>770</v>
      </c>
      <c r="J257" s="101">
        <f t="shared" si="261"/>
        <v>617</v>
      </c>
      <c r="K257" s="101">
        <v>464</v>
      </c>
      <c r="L257" s="101">
        <f t="shared" si="262"/>
        <v>425.75</v>
      </c>
      <c r="M257" s="101">
        <f t="shared" si="263"/>
        <v>387.5</v>
      </c>
      <c r="N257" s="101">
        <f t="shared" si="264"/>
        <v>349.25</v>
      </c>
      <c r="O257" s="101">
        <v>311</v>
      </c>
      <c r="P257" s="93">
        <v>0</v>
      </c>
      <c r="Q257" s="292">
        <v>2.06</v>
      </c>
      <c r="R257" s="292">
        <v>2.06</v>
      </c>
      <c r="S257" s="292">
        <v>2.06</v>
      </c>
      <c r="T257" s="292">
        <v>2.06</v>
      </c>
      <c r="U257" s="292">
        <v>2.06</v>
      </c>
      <c r="V257" s="292">
        <v>2.06</v>
      </c>
      <c r="W257" s="292">
        <v>2.06</v>
      </c>
      <c r="X257" s="101">
        <v>0.1</v>
      </c>
      <c r="Y257" s="101">
        <v>0.1</v>
      </c>
      <c r="Z257" s="101">
        <v>0.1</v>
      </c>
      <c r="AA257" s="101">
        <v>0.1</v>
      </c>
      <c r="AB257" s="101">
        <v>0.1</v>
      </c>
      <c r="AC257" s="101">
        <v>0.1</v>
      </c>
      <c r="AD257" s="101">
        <v>0.1</v>
      </c>
      <c r="AE257" s="186">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66">IF(BL257=1,BN257,0)</f>
        <v>0.1</v>
      </c>
      <c r="BV257" s="27"/>
      <c r="BW257" s="27"/>
      <c r="BX257" s="27"/>
      <c r="BY257" s="27"/>
      <c r="BZ257" s="27"/>
      <c r="CA257" s="27"/>
      <c r="CB257" s="248">
        <v>1.1000000000000001</v>
      </c>
      <c r="CC257" s="244">
        <f t="shared" si="260"/>
        <v>1.44</v>
      </c>
      <c r="CD257" s="244">
        <v>1.77</v>
      </c>
      <c r="CE257" s="244">
        <f t="shared" si="249"/>
        <v>1.91</v>
      </c>
      <c r="CF257" s="244">
        <v>2.0499999999999998</v>
      </c>
      <c r="CG257" s="244">
        <f t="shared" si="251"/>
        <v>2.2999999999999998</v>
      </c>
      <c r="CH257" s="249">
        <v>2.5499999999999998</v>
      </c>
      <c r="CI257" s="173"/>
      <c r="CJ257" s="173"/>
      <c r="CK257" s="173"/>
      <c r="CL257" s="173"/>
      <c r="CM257" s="173"/>
      <c r="CN257" s="173"/>
      <c r="CO257" s="173"/>
      <c r="CP257" s="174"/>
      <c r="CQ257" s="174"/>
      <c r="CR257" s="174"/>
      <c r="CS257" s="174"/>
      <c r="CT257" s="174"/>
      <c r="CU257" s="174"/>
      <c r="CV257" s="174"/>
      <c r="CW257" s="165"/>
      <c r="CX257" s="166"/>
      <c r="CY257" s="166"/>
      <c r="CZ257" s="166"/>
      <c r="DA257" s="166"/>
      <c r="DB257" s="166"/>
      <c r="DC257" s="166"/>
      <c r="DD257" s="171"/>
      <c r="DE257" s="171"/>
      <c r="DF257" s="171"/>
      <c r="DG257" s="171"/>
      <c r="DH257" s="171"/>
      <c r="DI257" s="171"/>
      <c r="DJ257" s="171"/>
      <c r="DK257" s="79" t="s">
        <v>415</v>
      </c>
      <c r="DL257" s="128"/>
      <c r="DM257" s="128"/>
      <c r="DN257" s="128"/>
      <c r="DO257" s="128"/>
      <c r="DP257" s="128"/>
      <c r="DQ257" s="128"/>
      <c r="DR257" s="128"/>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6" t="s">
        <v>1243</v>
      </c>
      <c r="C258" s="6" t="s">
        <v>788</v>
      </c>
      <c r="D258" s="6" t="s">
        <v>1247</v>
      </c>
      <c r="E258" s="6" t="s">
        <v>1248</v>
      </c>
      <c r="F258" s="6" t="s">
        <v>455</v>
      </c>
      <c r="G258" s="48" t="s">
        <v>1298</v>
      </c>
      <c r="H258" s="235" t="s">
        <v>981</v>
      </c>
      <c r="I258" s="102">
        <v>770</v>
      </c>
      <c r="J258" s="102">
        <f t="shared" si="261"/>
        <v>617</v>
      </c>
      <c r="K258" s="102">
        <v>464</v>
      </c>
      <c r="L258" s="102">
        <f t="shared" si="262"/>
        <v>425.75</v>
      </c>
      <c r="M258" s="102">
        <f t="shared" si="263"/>
        <v>387.5</v>
      </c>
      <c r="N258" s="102">
        <f t="shared" si="264"/>
        <v>349.25</v>
      </c>
      <c r="O258" s="102">
        <v>311</v>
      </c>
      <c r="P258" s="94">
        <v>0</v>
      </c>
      <c r="Q258" s="292">
        <v>2.0499999999999998</v>
      </c>
      <c r="R258" s="292">
        <v>2.0499999999999998</v>
      </c>
      <c r="S258" s="292">
        <v>2.0499999999999998</v>
      </c>
      <c r="T258" s="292">
        <v>2.0499999999999998</v>
      </c>
      <c r="U258" s="292">
        <v>2.0499999999999998</v>
      </c>
      <c r="V258" s="292">
        <v>2.0499999999999998</v>
      </c>
      <c r="W258" s="292">
        <v>2.0499999999999998</v>
      </c>
      <c r="X258" s="102">
        <v>0.1</v>
      </c>
      <c r="Y258" s="102">
        <v>0.1</v>
      </c>
      <c r="Z258" s="102">
        <v>0.1</v>
      </c>
      <c r="AA258" s="102">
        <v>0.1</v>
      </c>
      <c r="AB258" s="102">
        <v>0.1</v>
      </c>
      <c r="AC258" s="102">
        <v>0.1</v>
      </c>
      <c r="AD258" s="102">
        <v>0.1</v>
      </c>
      <c r="AE258" s="186">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66"/>
        <v>0</v>
      </c>
      <c r="BV258" s="28"/>
      <c r="BW258" s="28"/>
      <c r="BX258" s="28"/>
      <c r="BY258" s="28"/>
      <c r="BZ258" s="28"/>
      <c r="CA258" s="28"/>
      <c r="CB258" s="248">
        <v>1.1000000000000001</v>
      </c>
      <c r="CC258" s="244">
        <f t="shared" si="260"/>
        <v>1.06</v>
      </c>
      <c r="CD258" s="244">
        <v>1.01</v>
      </c>
      <c r="CE258" s="244">
        <f t="shared" si="249"/>
        <v>1.05</v>
      </c>
      <c r="CF258" s="244">
        <v>1.08</v>
      </c>
      <c r="CG258" s="244">
        <f t="shared" si="251"/>
        <v>1.18</v>
      </c>
      <c r="CH258" s="249">
        <v>1.28</v>
      </c>
      <c r="CI258" s="175"/>
      <c r="CJ258" s="175"/>
      <c r="CK258" s="175"/>
      <c r="CL258" s="175"/>
      <c r="CM258" s="175"/>
      <c r="CN258" s="175"/>
      <c r="CO258" s="175"/>
      <c r="CP258" s="176"/>
      <c r="CQ258" s="176"/>
      <c r="CR258" s="176"/>
      <c r="CS258" s="176"/>
      <c r="CT258" s="176"/>
      <c r="CU258" s="176"/>
      <c r="CV258" s="176"/>
      <c r="CW258" s="167"/>
      <c r="CX258" s="168"/>
      <c r="CY258" s="168"/>
      <c r="CZ258" s="168"/>
      <c r="DA258" s="168"/>
      <c r="DB258" s="168"/>
      <c r="DC258" s="168"/>
      <c r="DD258" s="172"/>
      <c r="DE258" s="172"/>
      <c r="DF258" s="172"/>
      <c r="DG258" s="172"/>
      <c r="DH258" s="172"/>
      <c r="DI258" s="172"/>
      <c r="DJ258" s="172"/>
      <c r="DK258" s="80" t="s">
        <v>415</v>
      </c>
      <c r="DL258" s="129"/>
      <c r="DM258" s="129"/>
      <c r="DN258" s="129"/>
      <c r="DO258" s="129"/>
      <c r="DP258" s="129"/>
      <c r="DQ258" s="129"/>
      <c r="DR258" s="129"/>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ht="15" thickBot="1" x14ac:dyDescent="0.4">
      <c r="A259" s="238" t="s">
        <v>1299</v>
      </c>
      <c r="B259" s="5" t="s">
        <v>1243</v>
      </c>
      <c r="C259" s="5" t="s">
        <v>788</v>
      </c>
      <c r="D259" s="5" t="s">
        <v>1247</v>
      </c>
      <c r="E259" s="5" t="s">
        <v>1248</v>
      </c>
      <c r="F259" s="5" t="s">
        <v>455</v>
      </c>
      <c r="G259" s="47" t="s">
        <v>1300</v>
      </c>
      <c r="H259" s="237" t="s">
        <v>981</v>
      </c>
      <c r="I259" s="101">
        <v>770</v>
      </c>
      <c r="J259" s="101">
        <f t="shared" si="261"/>
        <v>617</v>
      </c>
      <c r="K259" s="101">
        <v>464</v>
      </c>
      <c r="L259" s="101">
        <f t="shared" si="262"/>
        <v>425.75</v>
      </c>
      <c r="M259" s="101">
        <f t="shared" si="263"/>
        <v>387.5</v>
      </c>
      <c r="N259" s="101">
        <f t="shared" si="264"/>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6">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6">
        <v>3.5</v>
      </c>
      <c r="BO259" s="93"/>
      <c r="BP259" s="93"/>
      <c r="BQ259" s="93"/>
      <c r="BR259" s="93"/>
      <c r="BS259" s="93"/>
      <c r="BT259" s="93"/>
      <c r="BU259" s="27">
        <f>IF(BL259=1,BN259,0)</f>
        <v>3.5</v>
      </c>
      <c r="BV259" s="27"/>
      <c r="BW259" s="27"/>
      <c r="BX259" s="27"/>
      <c r="BY259" s="27"/>
      <c r="BZ259" s="27"/>
      <c r="CA259" s="27"/>
      <c r="CB259" s="250">
        <v>3.5</v>
      </c>
      <c r="CC259" s="251">
        <f t="shared" si="260"/>
        <v>4.63</v>
      </c>
      <c r="CD259" s="251">
        <v>5.76</v>
      </c>
      <c r="CE259" s="251">
        <f t="shared" si="249"/>
        <v>8.1199999999999992</v>
      </c>
      <c r="CF259" s="251">
        <v>10.48</v>
      </c>
      <c r="CG259" s="251">
        <f t="shared" si="251"/>
        <v>13.48</v>
      </c>
      <c r="CH259" s="252">
        <v>16.48</v>
      </c>
      <c r="CI259" s="191">
        <f>12*0.5</f>
        <v>6</v>
      </c>
      <c r="CJ259" s="173"/>
      <c r="CK259" s="173"/>
      <c r="CL259" s="173"/>
      <c r="CM259" s="173"/>
      <c r="CN259" s="173"/>
      <c r="CO259" s="173"/>
      <c r="CP259" s="174"/>
      <c r="CQ259" s="174"/>
      <c r="CR259" s="174"/>
      <c r="CS259" s="174"/>
      <c r="CT259" s="174"/>
      <c r="CU259" s="174"/>
      <c r="CV259" s="174"/>
      <c r="CW259" s="165"/>
      <c r="CX259" s="166"/>
      <c r="CY259" s="166"/>
      <c r="CZ259" s="166"/>
      <c r="DA259" s="166"/>
      <c r="DB259" s="166"/>
      <c r="DC259" s="166"/>
      <c r="DD259" s="171"/>
      <c r="DE259" s="171"/>
      <c r="DF259" s="171"/>
      <c r="DG259" s="171"/>
      <c r="DH259" s="171"/>
      <c r="DI259" s="171"/>
      <c r="DJ259" s="171"/>
      <c r="DK259" s="79" t="s">
        <v>1251</v>
      </c>
      <c r="DL259" s="128"/>
      <c r="DM259" s="128"/>
      <c r="DN259" s="128"/>
      <c r="DO259" s="128"/>
      <c r="DP259" s="128"/>
      <c r="DQ259" s="128"/>
      <c r="DR259" s="128"/>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x14ac:dyDescent="0.35">
      <c r="A260" s="234" t="s">
        <v>1301</v>
      </c>
      <c r="B260" s="6" t="s">
        <v>1243</v>
      </c>
      <c r="C260" s="6" t="s">
        <v>788</v>
      </c>
      <c r="D260" s="6" t="s">
        <v>1247</v>
      </c>
      <c r="E260" s="6" t="s">
        <v>1248</v>
      </c>
      <c r="F260" s="6" t="s">
        <v>455</v>
      </c>
      <c r="G260" s="48" t="s">
        <v>1302</v>
      </c>
      <c r="H260" s="235"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6">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4">
        <v>0.04</v>
      </c>
      <c r="CC260" s="244">
        <f t="shared" si="260"/>
        <v>0.04</v>
      </c>
      <c r="CD260" s="244">
        <v>0.04</v>
      </c>
      <c r="CE260" s="244">
        <f t="shared" si="249"/>
        <v>0.04</v>
      </c>
      <c r="CF260" s="244">
        <f t="shared" si="250"/>
        <v>0.04</v>
      </c>
      <c r="CG260" s="244">
        <f t="shared" si="251"/>
        <v>0.04</v>
      </c>
      <c r="CH260" s="244">
        <v>0.04</v>
      </c>
      <c r="CI260" s="175"/>
      <c r="CJ260" s="175"/>
      <c r="CK260" s="175"/>
      <c r="CL260" s="175"/>
      <c r="CM260" s="175"/>
      <c r="CN260" s="175"/>
      <c r="CO260" s="175"/>
      <c r="CP260" s="176"/>
      <c r="CQ260" s="176"/>
      <c r="CR260" s="176"/>
      <c r="CS260" s="176"/>
      <c r="CT260" s="176"/>
      <c r="CU260" s="176"/>
      <c r="CV260" s="176"/>
      <c r="CW260" s="167"/>
      <c r="CX260" s="168"/>
      <c r="CY260" s="168"/>
      <c r="CZ260" s="168"/>
      <c r="DA260" s="168"/>
      <c r="DB260" s="168"/>
      <c r="DC260" s="168"/>
      <c r="DD260" s="172"/>
      <c r="DE260" s="172"/>
      <c r="DF260" s="172"/>
      <c r="DG260" s="172"/>
      <c r="DH260" s="172"/>
      <c r="DI260" s="172"/>
      <c r="DJ260" s="172"/>
      <c r="DK260" s="80" t="s">
        <v>1304</v>
      </c>
      <c r="DL260" s="129"/>
      <c r="DM260" s="129"/>
      <c r="DN260" s="129"/>
      <c r="DO260" s="129"/>
      <c r="DP260" s="129"/>
      <c r="DQ260" s="129"/>
      <c r="DR260" s="129"/>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6" t="s">
        <v>1305</v>
      </c>
      <c r="B261" s="5" t="s">
        <v>1243</v>
      </c>
      <c r="C261" s="5" t="s">
        <v>788</v>
      </c>
      <c r="D261" s="5" t="s">
        <v>1247</v>
      </c>
      <c r="E261" s="5" t="s">
        <v>1306</v>
      </c>
      <c r="F261" s="5" t="s">
        <v>455</v>
      </c>
      <c r="G261" s="47" t="s">
        <v>1307</v>
      </c>
      <c r="H261" s="237"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6">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08">
        <v>10</v>
      </c>
      <c r="BW261" s="408">
        <v>10</v>
      </c>
      <c r="BX261" s="408">
        <v>10</v>
      </c>
      <c r="BY261" s="408">
        <v>10</v>
      </c>
      <c r="BZ261" s="408">
        <v>10</v>
      </c>
      <c r="CA261" s="408">
        <v>10</v>
      </c>
      <c r="CB261" s="408">
        <v>10</v>
      </c>
      <c r="CC261" s="408">
        <v>10</v>
      </c>
      <c r="CD261" s="408">
        <v>10</v>
      </c>
      <c r="CE261" s="408">
        <v>10</v>
      </c>
      <c r="CF261" s="408">
        <v>10</v>
      </c>
      <c r="CG261" s="408">
        <v>10</v>
      </c>
      <c r="CH261" s="408">
        <v>10</v>
      </c>
      <c r="CI261" s="173"/>
      <c r="CJ261" s="173"/>
      <c r="CK261" s="173"/>
      <c r="CL261" s="173"/>
      <c r="CM261" s="173"/>
      <c r="CN261" s="173"/>
      <c r="CO261" s="173"/>
      <c r="CP261" s="174"/>
      <c r="CQ261" s="174"/>
      <c r="CR261" s="174"/>
      <c r="CS261" s="174"/>
      <c r="CT261" s="174"/>
      <c r="CU261" s="174"/>
      <c r="CV261" s="174"/>
      <c r="CW261" s="165"/>
      <c r="CX261" s="166"/>
      <c r="CY261" s="166"/>
      <c r="CZ261" s="166"/>
      <c r="DA261" s="166"/>
      <c r="DB261" s="166"/>
      <c r="DC261" s="166"/>
      <c r="DD261" s="171"/>
      <c r="DE261" s="171"/>
      <c r="DF261" s="171"/>
      <c r="DG261" s="171"/>
      <c r="DH261" s="171"/>
      <c r="DI261" s="171"/>
      <c r="DJ261" s="171"/>
      <c r="DK261" s="79" t="s">
        <v>415</v>
      </c>
      <c r="DL261" s="128"/>
      <c r="DM261" s="128"/>
      <c r="DN261" s="128"/>
      <c r="DO261" s="128"/>
      <c r="DP261" s="128"/>
      <c r="DQ261" s="128"/>
      <c r="DR261" s="128"/>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4" t="s">
        <v>1308</v>
      </c>
      <c r="B262" s="6" t="s">
        <v>1243</v>
      </c>
      <c r="C262" s="6" t="s">
        <v>788</v>
      </c>
      <c r="D262" s="6" t="s">
        <v>1247</v>
      </c>
      <c r="E262" s="6" t="s">
        <v>1309</v>
      </c>
      <c r="F262" s="6" t="s">
        <v>455</v>
      </c>
      <c r="G262" s="48" t="s">
        <v>1310</v>
      </c>
      <c r="H262" s="235"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6">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48"/>
        <v>0</v>
      </c>
      <c r="BV262" s="28"/>
      <c r="BW262" s="28"/>
      <c r="BX262" s="28"/>
      <c r="BY262" s="28"/>
      <c r="BZ262" s="28"/>
      <c r="CA262" s="28"/>
      <c r="CB262" s="99"/>
      <c r="CC262" s="185"/>
      <c r="CD262" s="185"/>
      <c r="CE262" s="185"/>
      <c r="CF262" s="185"/>
      <c r="CG262" s="185"/>
      <c r="CH262" s="185"/>
      <c r="CI262" s="175"/>
      <c r="CJ262" s="175"/>
      <c r="CK262" s="175"/>
      <c r="CL262" s="175"/>
      <c r="CM262" s="175"/>
      <c r="CN262" s="175"/>
      <c r="CO262" s="175"/>
      <c r="CP262" s="176"/>
      <c r="CQ262" s="176"/>
      <c r="CR262" s="176"/>
      <c r="CS262" s="176"/>
      <c r="CT262" s="176"/>
      <c r="CU262" s="176"/>
      <c r="CV262" s="176"/>
      <c r="CW262" s="167"/>
      <c r="CX262" s="168"/>
      <c r="CY262" s="168"/>
      <c r="CZ262" s="168"/>
      <c r="DA262" s="168"/>
      <c r="DB262" s="168"/>
      <c r="DC262" s="168"/>
      <c r="DD262" s="172"/>
      <c r="DE262" s="172"/>
      <c r="DF262" s="172"/>
      <c r="DG262" s="172"/>
      <c r="DH262" s="172"/>
      <c r="DI262" s="172"/>
      <c r="DJ262" s="172"/>
      <c r="DK262" s="80" t="s">
        <v>415</v>
      </c>
      <c r="DL262" s="129"/>
      <c r="DM262" s="129"/>
      <c r="DN262" s="129"/>
      <c r="DO262" s="129"/>
      <c r="DP262" s="129"/>
      <c r="DQ262" s="129"/>
      <c r="DR262" s="129"/>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6" t="s">
        <v>1311</v>
      </c>
      <c r="B263" s="5" t="s">
        <v>1243</v>
      </c>
      <c r="C263" s="5" t="s">
        <v>788</v>
      </c>
      <c r="D263" s="5" t="s">
        <v>1247</v>
      </c>
      <c r="E263" s="5" t="s">
        <v>1309</v>
      </c>
      <c r="F263" s="5" t="s">
        <v>455</v>
      </c>
      <c r="G263" s="47" t="s">
        <v>1312</v>
      </c>
      <c r="H263" s="237"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6">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48"/>
        <v>0</v>
      </c>
      <c r="BV263" s="27"/>
      <c r="BW263" s="27"/>
      <c r="BX263" s="27"/>
      <c r="BY263" s="27"/>
      <c r="BZ263" s="27"/>
      <c r="CA263" s="27"/>
      <c r="CB263" s="97"/>
      <c r="CC263" s="185"/>
      <c r="CD263" s="185"/>
      <c r="CE263" s="185"/>
      <c r="CF263" s="185"/>
      <c r="CG263" s="185"/>
      <c r="CH263" s="185"/>
      <c r="CI263" s="173"/>
      <c r="CJ263" s="173"/>
      <c r="CK263" s="173"/>
      <c r="CL263" s="173"/>
      <c r="CM263" s="173"/>
      <c r="CN263" s="173"/>
      <c r="CO263" s="173"/>
      <c r="CP263" s="174"/>
      <c r="CQ263" s="174"/>
      <c r="CR263" s="174"/>
      <c r="CS263" s="174"/>
      <c r="CT263" s="174"/>
      <c r="CU263" s="174"/>
      <c r="CV263" s="174"/>
      <c r="CW263" s="165"/>
      <c r="CX263" s="166"/>
      <c r="CY263" s="166"/>
      <c r="CZ263" s="166"/>
      <c r="DA263" s="166"/>
      <c r="DB263" s="166"/>
      <c r="DC263" s="166"/>
      <c r="DD263" s="171"/>
      <c r="DE263" s="171"/>
      <c r="DF263" s="171"/>
      <c r="DG263" s="171"/>
      <c r="DH263" s="171"/>
      <c r="DI263" s="171"/>
      <c r="DJ263" s="171"/>
      <c r="DK263" s="79" t="s">
        <v>415</v>
      </c>
      <c r="DL263" s="128"/>
      <c r="DM263" s="128"/>
      <c r="DN263" s="128"/>
      <c r="DO263" s="128"/>
      <c r="DP263" s="128"/>
      <c r="DQ263" s="128"/>
      <c r="DR263" s="128"/>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4" t="s">
        <v>1314</v>
      </c>
      <c r="B264" s="6" t="s">
        <v>1243</v>
      </c>
      <c r="C264" s="6" t="s">
        <v>788</v>
      </c>
      <c r="D264" s="6" t="s">
        <v>1247</v>
      </c>
      <c r="E264" s="6" t="s">
        <v>1309</v>
      </c>
      <c r="F264" s="6" t="s">
        <v>455</v>
      </c>
      <c r="G264" s="48" t="s">
        <v>1315</v>
      </c>
      <c r="H264" s="235"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6">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67">IF(BL264=1,BN264,0)</f>
        <v>0</v>
      </c>
      <c r="BV264" s="28"/>
      <c r="BW264" s="28"/>
      <c r="BX264" s="28"/>
      <c r="BY264" s="28"/>
      <c r="BZ264" s="28"/>
      <c r="CA264" s="28"/>
      <c r="CB264" s="99"/>
      <c r="CC264" s="99">
        <v>0.25</v>
      </c>
      <c r="CD264" s="99">
        <v>0.3</v>
      </c>
      <c r="CE264" s="99">
        <v>0.5</v>
      </c>
      <c r="CF264" s="99">
        <f t="shared" ref="CF264" si="268">ROUND((CD264+CH264)/2,2)</f>
        <v>15.15</v>
      </c>
      <c r="CG264" s="99">
        <f t="shared" ref="CG264" si="269">ROUND((CF264+CH264)/2,2)</f>
        <v>22.58</v>
      </c>
      <c r="CH264" s="99">
        <v>30</v>
      </c>
      <c r="CI264" s="175"/>
      <c r="CJ264" s="175"/>
      <c r="CK264" s="175"/>
      <c r="CL264" s="175"/>
      <c r="CM264" s="175"/>
      <c r="CN264" s="175"/>
      <c r="CO264" s="175"/>
      <c r="CP264" s="176"/>
      <c r="CQ264" s="176"/>
      <c r="CR264" s="176"/>
      <c r="CS264" s="176"/>
      <c r="CT264" s="176"/>
      <c r="CU264" s="176"/>
      <c r="CV264" s="176"/>
      <c r="CW264" s="167"/>
      <c r="CX264" s="168"/>
      <c r="CY264" s="168"/>
      <c r="CZ264" s="168"/>
      <c r="DA264" s="168"/>
      <c r="DB264" s="168"/>
      <c r="DC264" s="168"/>
      <c r="DD264" s="172"/>
      <c r="DE264" s="172"/>
      <c r="DF264" s="172"/>
      <c r="DG264" s="172"/>
      <c r="DH264" s="172"/>
      <c r="DI264" s="172"/>
      <c r="DJ264" s="172"/>
      <c r="DK264" s="80" t="s">
        <v>415</v>
      </c>
      <c r="DL264" s="129"/>
      <c r="DM264" s="129"/>
      <c r="DN264" s="129"/>
      <c r="DO264" s="129"/>
      <c r="DP264" s="129"/>
      <c r="DQ264" s="129"/>
      <c r="DR264" s="129"/>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55" t="s">
        <v>1316</v>
      </c>
      <c r="B265" s="6" t="s">
        <v>1243</v>
      </c>
      <c r="C265" s="6" t="s">
        <v>817</v>
      </c>
      <c r="D265" s="6" t="s">
        <v>1247</v>
      </c>
      <c r="E265" s="6" t="s">
        <v>1244</v>
      </c>
      <c r="F265" s="6" t="s">
        <v>455</v>
      </c>
      <c r="G265" s="48" t="s">
        <v>1317</v>
      </c>
      <c r="H265" s="235"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6">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0">
        <v>0</v>
      </c>
      <c r="BV265" s="380">
        <v>0</v>
      </c>
      <c r="BW265" s="380">
        <v>0</v>
      </c>
      <c r="BX265" s="380">
        <v>0</v>
      </c>
      <c r="BY265" s="380">
        <v>0</v>
      </c>
      <c r="BZ265" s="380">
        <v>0</v>
      </c>
      <c r="CA265" s="380">
        <v>0</v>
      </c>
      <c r="CB265" s="381">
        <v>8.0500000000000007</v>
      </c>
      <c r="CC265" s="99">
        <v>10.799999999999999</v>
      </c>
      <c r="CD265" s="99">
        <f>CD236</f>
        <v>20</v>
      </c>
      <c r="CE265" s="99">
        <f t="shared" ref="CE265:CH265" si="270">CE236</f>
        <v>20</v>
      </c>
      <c r="CF265" s="99">
        <f t="shared" si="270"/>
        <v>20</v>
      </c>
      <c r="CG265" s="99">
        <f t="shared" si="270"/>
        <v>20</v>
      </c>
      <c r="CH265" s="99">
        <f t="shared" si="270"/>
        <v>20</v>
      </c>
      <c r="CI265" s="257">
        <v>66.8</v>
      </c>
      <c r="CJ265" s="257">
        <f>$CI$265*0.8</f>
        <v>53.44</v>
      </c>
      <c r="CK265" s="257">
        <f t="shared" ref="CK265:CO265" si="271">$CI$265*0.8</f>
        <v>53.44</v>
      </c>
      <c r="CL265" s="257">
        <f t="shared" si="271"/>
        <v>53.44</v>
      </c>
      <c r="CM265" s="257">
        <f t="shared" si="271"/>
        <v>53.44</v>
      </c>
      <c r="CN265" s="257">
        <f t="shared" si="271"/>
        <v>53.44</v>
      </c>
      <c r="CO265" s="257">
        <f t="shared" si="271"/>
        <v>53.44</v>
      </c>
      <c r="CP265" s="176">
        <f>CI265*1.2</f>
        <v>80.16</v>
      </c>
      <c r="CQ265" s="176">
        <f>$CP$265</f>
        <v>80.16</v>
      </c>
      <c r="CR265" s="176">
        <f t="shared" ref="CR265:CV265" si="272">$CP$265</f>
        <v>80.16</v>
      </c>
      <c r="CS265" s="176">
        <f t="shared" si="272"/>
        <v>80.16</v>
      </c>
      <c r="CT265" s="176">
        <f t="shared" si="272"/>
        <v>80.16</v>
      </c>
      <c r="CU265" s="176">
        <f t="shared" si="272"/>
        <v>80.16</v>
      </c>
      <c r="CV265" s="176">
        <f t="shared" si="272"/>
        <v>80.16</v>
      </c>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36" t="s">
        <v>1318</v>
      </c>
      <c r="B266" s="5" t="s">
        <v>1243</v>
      </c>
      <c r="C266" s="5" t="s">
        <v>788</v>
      </c>
      <c r="D266" s="5" t="s">
        <v>1247</v>
      </c>
      <c r="E266" s="5" t="s">
        <v>1244</v>
      </c>
      <c r="F266" s="5" t="s">
        <v>455</v>
      </c>
      <c r="G266" s="47" t="s">
        <v>1319</v>
      </c>
      <c r="H266" s="237"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6">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48"/>
        <v>0</v>
      </c>
      <c r="BV266" s="27"/>
      <c r="BW266" s="27"/>
      <c r="BX266" s="27"/>
      <c r="BY266" s="27"/>
      <c r="BZ266" s="27"/>
      <c r="CA266" s="27"/>
      <c r="CB266" s="97"/>
      <c r="CC266" s="97">
        <v>50</v>
      </c>
      <c r="CD266" s="97">
        <v>50</v>
      </c>
      <c r="CE266" s="97">
        <v>50</v>
      </c>
      <c r="CF266" s="97">
        <v>75</v>
      </c>
      <c r="CG266" s="97">
        <v>100</v>
      </c>
      <c r="CH266" s="97">
        <v>100</v>
      </c>
      <c r="CI266" s="173"/>
      <c r="CJ266" s="173"/>
      <c r="CK266" s="173"/>
      <c r="CL266" s="173"/>
      <c r="CM266" s="173"/>
      <c r="CN266" s="173"/>
      <c r="CO266" s="173"/>
      <c r="CP266" s="174"/>
      <c r="CQ266" s="174"/>
      <c r="CR266" s="174"/>
      <c r="CS266" s="174"/>
      <c r="CT266" s="174"/>
      <c r="CU266" s="174"/>
      <c r="CV266" s="174"/>
      <c r="CW266" s="165"/>
      <c r="CX266" s="166"/>
      <c r="CY266" s="166"/>
      <c r="CZ266" s="166"/>
      <c r="DA266" s="166"/>
      <c r="DB266" s="166"/>
      <c r="DC266" s="166"/>
      <c r="DD266" s="171"/>
      <c r="DE266" s="171"/>
      <c r="DF266" s="171"/>
      <c r="DG266" s="171"/>
      <c r="DH266" s="171"/>
      <c r="DI266" s="171"/>
      <c r="DJ266" s="171"/>
      <c r="DK266" s="79" t="s">
        <v>415</v>
      </c>
      <c r="DL266" s="128"/>
      <c r="DM266" s="128"/>
      <c r="DN266" s="128"/>
      <c r="DO266" s="128"/>
      <c r="DP266" s="128"/>
      <c r="DQ266" s="128"/>
      <c r="DR266" s="128"/>
      <c r="DS266" s="218"/>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4" t="s">
        <v>1320</v>
      </c>
      <c r="B267" s="6" t="s">
        <v>1243</v>
      </c>
      <c r="C267" s="6" t="s">
        <v>788</v>
      </c>
      <c r="D267" s="6" t="s">
        <v>1247</v>
      </c>
      <c r="E267" s="6" t="s">
        <v>1244</v>
      </c>
      <c r="F267" s="6" t="s">
        <v>455</v>
      </c>
      <c r="G267" s="48" t="s">
        <v>1321</v>
      </c>
      <c r="H267" s="235"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6">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48"/>
        <v>0</v>
      </c>
      <c r="BV267" s="28"/>
      <c r="BW267" s="28"/>
      <c r="BX267" s="28"/>
      <c r="BY267" s="28"/>
      <c r="BZ267" s="28"/>
      <c r="CA267" s="28"/>
      <c r="CB267" s="99">
        <v>100</v>
      </c>
      <c r="CC267" s="99">
        <v>100</v>
      </c>
      <c r="CD267" s="99">
        <v>100</v>
      </c>
      <c r="CE267" s="99">
        <v>100</v>
      </c>
      <c r="CF267" s="99">
        <v>100</v>
      </c>
      <c r="CG267" s="99">
        <v>100</v>
      </c>
      <c r="CH267" s="99">
        <v>100</v>
      </c>
      <c r="CI267" s="175"/>
      <c r="CJ267" s="175"/>
      <c r="CK267" s="175"/>
      <c r="CL267" s="175"/>
      <c r="CM267" s="175"/>
      <c r="CN267" s="175"/>
      <c r="CO267" s="175"/>
      <c r="CP267" s="176"/>
      <c r="CQ267" s="176"/>
      <c r="CR267" s="176"/>
      <c r="CS267" s="176"/>
      <c r="CT267" s="176"/>
      <c r="CU267" s="176"/>
      <c r="CV267" s="176"/>
      <c r="CW267" s="167"/>
      <c r="CX267" s="168"/>
      <c r="CY267" s="168"/>
      <c r="CZ267" s="168"/>
      <c r="DA267" s="168"/>
      <c r="DB267" s="168"/>
      <c r="DC267" s="168"/>
      <c r="DD267" s="172"/>
      <c r="DE267" s="172"/>
      <c r="DF267" s="172"/>
      <c r="DG267" s="172"/>
      <c r="DH267" s="172"/>
      <c r="DI267" s="172"/>
      <c r="DJ267" s="172"/>
      <c r="DK267" s="80" t="s">
        <v>415</v>
      </c>
      <c r="DL267" s="129"/>
      <c r="DM267" s="129"/>
      <c r="DN267" s="129"/>
      <c r="DO267" s="129"/>
      <c r="DP267" s="129"/>
      <c r="DQ267" s="129"/>
      <c r="DR267" s="129"/>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ht="15" thickBot="1" x14ac:dyDescent="0.4">
      <c r="A268" s="239" t="s">
        <v>1322</v>
      </c>
      <c r="B268" s="240" t="s">
        <v>1243</v>
      </c>
      <c r="C268" s="240" t="s">
        <v>788</v>
      </c>
      <c r="D268" s="240" t="s">
        <v>1247</v>
      </c>
      <c r="E268" s="240" t="s">
        <v>1244</v>
      </c>
      <c r="F268" s="240" t="s">
        <v>456</v>
      </c>
      <c r="G268" s="241" t="s">
        <v>1323</v>
      </c>
      <c r="H268" s="242"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6">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48"/>
        <v>0</v>
      </c>
      <c r="BV268" s="27"/>
      <c r="BW268" s="27"/>
      <c r="BX268" s="27"/>
      <c r="BY268" s="27"/>
      <c r="BZ268" s="27"/>
      <c r="CA268" s="27"/>
      <c r="CB268" s="97">
        <v>100</v>
      </c>
      <c r="CC268" s="97">
        <v>100</v>
      </c>
      <c r="CD268" s="97">
        <v>100</v>
      </c>
      <c r="CE268" s="97">
        <v>100</v>
      </c>
      <c r="CF268" s="97">
        <v>100</v>
      </c>
      <c r="CG268" s="97">
        <v>100</v>
      </c>
      <c r="CH268" s="97">
        <v>100</v>
      </c>
      <c r="CI268" s="173"/>
      <c r="CJ268" s="173"/>
      <c r="CK268" s="173"/>
      <c r="CL268" s="173"/>
      <c r="CM268" s="173"/>
      <c r="CN268" s="173"/>
      <c r="CO268" s="173"/>
      <c r="CP268" s="174"/>
      <c r="CQ268" s="174"/>
      <c r="CR268" s="174"/>
      <c r="CS268" s="174"/>
      <c r="CT268" s="174"/>
      <c r="CU268" s="174"/>
      <c r="CV268" s="174"/>
      <c r="CW268" s="165"/>
      <c r="CX268" s="166"/>
      <c r="CY268" s="166"/>
      <c r="CZ268" s="166"/>
      <c r="DA268" s="166"/>
      <c r="DB268" s="166"/>
      <c r="DC268" s="166"/>
      <c r="DD268" s="171"/>
      <c r="DE268" s="171"/>
      <c r="DF268" s="171"/>
      <c r="DG268" s="171"/>
      <c r="DH268" s="171"/>
      <c r="DI268" s="171"/>
      <c r="DJ268" s="171"/>
      <c r="DK268" s="79" t="s">
        <v>415</v>
      </c>
      <c r="DL268" s="128"/>
      <c r="DM268" s="128"/>
      <c r="DN268" s="128"/>
      <c r="DO268" s="128"/>
      <c r="DP268" s="128"/>
      <c r="DQ268" s="128"/>
      <c r="DR268" s="128"/>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6">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48"/>
        <v>0</v>
      </c>
      <c r="BV269" s="28"/>
      <c r="BW269" s="28"/>
      <c r="BX269" s="28"/>
      <c r="BY269" s="28"/>
      <c r="BZ269" s="28"/>
      <c r="CA269" s="28"/>
      <c r="CB269" s="185">
        <v>100</v>
      </c>
      <c r="CC269" s="99">
        <v>100</v>
      </c>
      <c r="CD269" s="99">
        <v>100</v>
      </c>
      <c r="CE269" s="99">
        <v>100</v>
      </c>
      <c r="CF269" s="99">
        <v>100</v>
      </c>
      <c r="CG269" s="99">
        <v>100</v>
      </c>
      <c r="CH269" s="99">
        <v>100</v>
      </c>
      <c r="CI269" s="175"/>
      <c r="CJ269" s="175"/>
      <c r="CK269" s="175"/>
      <c r="CL269" s="175"/>
      <c r="CM269" s="175"/>
      <c r="CN269" s="175"/>
      <c r="CO269" s="175"/>
      <c r="CP269" s="176"/>
      <c r="CQ269" s="176"/>
      <c r="CR269" s="176"/>
      <c r="CS269" s="176"/>
      <c r="CT269" s="176"/>
      <c r="CU269" s="176"/>
      <c r="CV269" s="176"/>
      <c r="CW269" s="167"/>
      <c r="CX269" s="168"/>
      <c r="CY269" s="168"/>
      <c r="CZ269" s="168"/>
      <c r="DA269" s="168"/>
      <c r="DB269" s="168"/>
      <c r="DC269" s="168"/>
      <c r="DD269" s="172"/>
      <c r="DE269" s="172"/>
      <c r="DF269" s="172"/>
      <c r="DG269" s="172"/>
      <c r="DH269" s="172"/>
      <c r="DI269" s="172"/>
      <c r="DJ269" s="172"/>
      <c r="DK269" s="80" t="s">
        <v>452</v>
      </c>
      <c r="DL269" s="129">
        <v>500</v>
      </c>
      <c r="DM269" s="129">
        <v>500</v>
      </c>
      <c r="DN269" s="129">
        <v>500</v>
      </c>
      <c r="DO269" s="129">
        <v>500</v>
      </c>
      <c r="DP269" s="129">
        <v>500</v>
      </c>
      <c r="DQ269" s="129">
        <v>500</v>
      </c>
      <c r="DR269" s="129">
        <v>500</v>
      </c>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6">
        <v>0.08</v>
      </c>
      <c r="AF270" s="93">
        <v>0</v>
      </c>
      <c r="AG270" s="93">
        <v>12</v>
      </c>
      <c r="AH270" s="93">
        <v>12</v>
      </c>
      <c r="AI270" s="16">
        <f t="shared" ref="AI270:AI289" si="273">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48"/>
        <v>0</v>
      </c>
      <c r="BV270" s="27"/>
      <c r="BW270" s="27"/>
      <c r="BX270" s="27"/>
      <c r="BY270" s="27"/>
      <c r="BZ270" s="27"/>
      <c r="CA270" s="27"/>
      <c r="CB270" s="97">
        <v>9</v>
      </c>
      <c r="CC270" s="97">
        <v>100</v>
      </c>
      <c r="CD270" s="97">
        <v>100</v>
      </c>
      <c r="CE270" s="97">
        <v>100</v>
      </c>
      <c r="CF270" s="97">
        <v>100</v>
      </c>
      <c r="CG270" s="97">
        <v>100</v>
      </c>
      <c r="CH270" s="97">
        <v>100</v>
      </c>
      <c r="CI270" s="173"/>
      <c r="CJ270" s="173"/>
      <c r="CK270" s="173"/>
      <c r="CL270" s="173"/>
      <c r="CM270" s="173"/>
      <c r="CN270" s="173"/>
      <c r="CO270" s="173"/>
      <c r="CP270" s="174"/>
      <c r="CQ270" s="174"/>
      <c r="CR270" s="174"/>
      <c r="CS270" s="174"/>
      <c r="CT270" s="174"/>
      <c r="CU270" s="174"/>
      <c r="CV270" s="174"/>
      <c r="CW270" s="165"/>
      <c r="CX270" s="166"/>
      <c r="CY270" s="166"/>
      <c r="CZ270" s="166"/>
      <c r="DA270" s="166"/>
      <c r="DB270" s="166"/>
      <c r="DC270" s="166"/>
      <c r="DD270" s="171"/>
      <c r="DE270" s="171"/>
      <c r="DF270" s="171"/>
      <c r="DG270" s="171"/>
      <c r="DH270" s="171"/>
      <c r="DI270" s="171"/>
      <c r="DJ270" s="171"/>
      <c r="DK270" s="79" t="s">
        <v>452</v>
      </c>
      <c r="DL270" s="128">
        <v>500</v>
      </c>
      <c r="DM270" s="128">
        <v>500</v>
      </c>
      <c r="DN270" s="128">
        <v>500</v>
      </c>
      <c r="DO270" s="128">
        <v>500</v>
      </c>
      <c r="DP270" s="128">
        <v>500</v>
      </c>
      <c r="DQ270" s="128">
        <v>500</v>
      </c>
      <c r="DR270" s="128">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6">
        <v>0.08</v>
      </c>
      <c r="AF271" s="94">
        <v>0</v>
      </c>
      <c r="AG271" s="94">
        <v>40</v>
      </c>
      <c r="AH271" s="94">
        <v>40</v>
      </c>
      <c r="AI271" s="17">
        <f t="shared" si="273"/>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48"/>
        <v>0</v>
      </c>
      <c r="BV271" s="28"/>
      <c r="BW271" s="28"/>
      <c r="BX271" s="28"/>
      <c r="BY271" s="28"/>
      <c r="BZ271" s="28"/>
      <c r="CA271" s="28"/>
      <c r="CB271" s="99">
        <v>2.5</v>
      </c>
      <c r="CC271" s="99">
        <v>100</v>
      </c>
      <c r="CD271" s="99">
        <v>100</v>
      </c>
      <c r="CE271" s="99">
        <v>100</v>
      </c>
      <c r="CF271" s="99">
        <v>100</v>
      </c>
      <c r="CG271" s="99">
        <v>100</v>
      </c>
      <c r="CH271" s="99">
        <v>100</v>
      </c>
      <c r="CI271" s="175"/>
      <c r="CJ271" s="175"/>
      <c r="CK271" s="175"/>
      <c r="CL271" s="175"/>
      <c r="CM271" s="175"/>
      <c r="CN271" s="175"/>
      <c r="CO271" s="175"/>
      <c r="CP271" s="176"/>
      <c r="CQ271" s="176"/>
      <c r="CR271" s="176"/>
      <c r="CS271" s="176"/>
      <c r="CT271" s="176"/>
      <c r="CU271" s="176"/>
      <c r="CV271" s="176"/>
      <c r="CW271" s="167"/>
      <c r="CX271" s="168"/>
      <c r="CY271" s="168"/>
      <c r="CZ271" s="168"/>
      <c r="DA271" s="168"/>
      <c r="DB271" s="168"/>
      <c r="DC271" s="168"/>
      <c r="DD271" s="172"/>
      <c r="DE271" s="172"/>
      <c r="DF271" s="172"/>
      <c r="DG271" s="172"/>
      <c r="DH271" s="172"/>
      <c r="DI271" s="172"/>
      <c r="DJ271" s="172"/>
      <c r="DK271" s="80" t="s">
        <v>452</v>
      </c>
      <c r="DL271" s="129">
        <v>500</v>
      </c>
      <c r="DM271" s="129">
        <v>500</v>
      </c>
      <c r="DN271" s="129">
        <v>500</v>
      </c>
      <c r="DO271" s="129">
        <v>500</v>
      </c>
      <c r="DP271" s="129">
        <v>500</v>
      </c>
      <c r="DQ271" s="129">
        <v>500</v>
      </c>
      <c r="DR271" s="129">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6">
        <v>0.08</v>
      </c>
      <c r="AF272" s="93">
        <v>0</v>
      </c>
      <c r="AG272" s="93">
        <v>12</v>
      </c>
      <c r="AH272" s="93">
        <v>12</v>
      </c>
      <c r="AI272" s="16">
        <f t="shared" si="273"/>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48"/>
        <v>0</v>
      </c>
      <c r="BV272" s="27"/>
      <c r="BW272" s="27"/>
      <c r="BX272" s="27"/>
      <c r="BY272" s="27"/>
      <c r="BZ272" s="27"/>
      <c r="CA272" s="27"/>
      <c r="CB272" s="97">
        <v>1.5</v>
      </c>
      <c r="CC272" s="97">
        <v>100</v>
      </c>
      <c r="CD272" s="97">
        <v>100</v>
      </c>
      <c r="CE272" s="97">
        <v>100</v>
      </c>
      <c r="CF272" s="97">
        <v>100</v>
      </c>
      <c r="CG272" s="97">
        <v>100</v>
      </c>
      <c r="CH272" s="97">
        <v>100</v>
      </c>
      <c r="CI272" s="173"/>
      <c r="CJ272" s="173"/>
      <c r="CK272" s="173"/>
      <c r="CL272" s="173"/>
      <c r="CM272" s="173"/>
      <c r="CN272" s="173"/>
      <c r="CO272" s="173"/>
      <c r="CP272" s="174"/>
      <c r="CQ272" s="174"/>
      <c r="CR272" s="174"/>
      <c r="CS272" s="174"/>
      <c r="CT272" s="174"/>
      <c r="CU272" s="174"/>
      <c r="CV272" s="174"/>
      <c r="CW272" s="165"/>
      <c r="CX272" s="166"/>
      <c r="CY272" s="166"/>
      <c r="CZ272" s="166"/>
      <c r="DA272" s="166"/>
      <c r="DB272" s="166"/>
      <c r="DC272" s="166"/>
      <c r="DD272" s="171"/>
      <c r="DE272" s="171"/>
      <c r="DF272" s="171"/>
      <c r="DG272" s="171"/>
      <c r="DH272" s="171"/>
      <c r="DI272" s="171"/>
      <c r="DJ272" s="171"/>
      <c r="DK272" s="79" t="s">
        <v>1332</v>
      </c>
      <c r="DL272" s="128">
        <v>200</v>
      </c>
      <c r="DM272" s="128">
        <v>200</v>
      </c>
      <c r="DN272" s="128">
        <v>200</v>
      </c>
      <c r="DO272" s="128">
        <v>200</v>
      </c>
      <c r="DP272" s="128">
        <v>200</v>
      </c>
      <c r="DQ272" s="128">
        <v>200</v>
      </c>
      <c r="DR272" s="128">
        <v>200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6" t="s">
        <v>1333</v>
      </c>
      <c r="B273" s="6" t="s">
        <v>654</v>
      </c>
      <c r="C273" s="6" t="s">
        <v>788</v>
      </c>
      <c r="D273" s="6" t="s">
        <v>656</v>
      </c>
      <c r="E273" s="6" t="s">
        <v>459</v>
      </c>
      <c r="F273" s="6" t="s">
        <v>457</v>
      </c>
      <c r="G273" s="221"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6">
        <v>0.08</v>
      </c>
      <c r="AF273" s="94">
        <v>0</v>
      </c>
      <c r="AG273" s="94">
        <v>12</v>
      </c>
      <c r="AH273" s="94">
        <v>12</v>
      </c>
      <c r="AI273" s="17">
        <f t="shared" si="273"/>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48"/>
        <v>0</v>
      </c>
      <c r="BV273" s="28"/>
      <c r="BW273" s="28"/>
      <c r="BX273" s="28"/>
      <c r="BY273" s="28"/>
      <c r="BZ273" s="28"/>
      <c r="CA273" s="28"/>
      <c r="CB273" s="99"/>
      <c r="CC273" s="99">
        <v>100</v>
      </c>
      <c r="CD273" s="99">
        <v>100</v>
      </c>
      <c r="CE273" s="99">
        <v>100</v>
      </c>
      <c r="CF273" s="99">
        <v>100</v>
      </c>
      <c r="CG273" s="99">
        <v>100</v>
      </c>
      <c r="CH273" s="99">
        <v>100</v>
      </c>
      <c r="CI273" s="175"/>
      <c r="CJ273" s="175"/>
      <c r="CK273" s="175"/>
      <c r="CL273" s="175"/>
      <c r="CM273" s="175"/>
      <c r="CN273" s="175"/>
      <c r="CO273" s="175"/>
      <c r="CP273" s="176"/>
      <c r="CQ273" s="176"/>
      <c r="CR273" s="176"/>
      <c r="CS273" s="176"/>
      <c r="CT273" s="176"/>
      <c r="CU273" s="176"/>
      <c r="CV273" s="176"/>
      <c r="CW273" s="167"/>
      <c r="CX273" s="168"/>
      <c r="CY273" s="168"/>
      <c r="CZ273" s="168"/>
      <c r="DA273" s="168"/>
      <c r="DB273" s="168"/>
      <c r="DC273" s="168"/>
      <c r="DD273" s="172"/>
      <c r="DE273" s="172"/>
      <c r="DF273" s="172"/>
      <c r="DG273" s="172"/>
      <c r="DH273" s="172"/>
      <c r="DI273" s="172"/>
      <c r="DJ273" s="172"/>
      <c r="DK273" s="80" t="s">
        <v>1335</v>
      </c>
      <c r="DL273" s="129">
        <v>200</v>
      </c>
      <c r="DM273" s="129">
        <v>200</v>
      </c>
      <c r="DN273" s="129">
        <v>200</v>
      </c>
      <c r="DO273" s="129">
        <v>200</v>
      </c>
      <c r="DP273" s="129">
        <v>200</v>
      </c>
      <c r="DQ273" s="129">
        <v>200</v>
      </c>
      <c r="DR273" s="129">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6">
        <v>0.08</v>
      </c>
      <c r="AF274" s="93">
        <v>0</v>
      </c>
      <c r="AG274" s="93">
        <v>12</v>
      </c>
      <c r="AH274" s="93">
        <v>12</v>
      </c>
      <c r="AI274" s="16">
        <f t="shared" si="273"/>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74">IF(BL274=1,BN274,0)</f>
        <v>0</v>
      </c>
      <c r="BV274" s="27"/>
      <c r="BW274" s="27"/>
      <c r="BX274" s="27"/>
      <c r="BY274" s="27"/>
      <c r="BZ274" s="27"/>
      <c r="CA274" s="27"/>
      <c r="CB274" s="97"/>
      <c r="CC274" s="97">
        <v>5</v>
      </c>
      <c r="CD274" s="97">
        <v>10</v>
      </c>
      <c r="CE274" s="97">
        <v>50</v>
      </c>
      <c r="CF274" s="97">
        <v>100</v>
      </c>
      <c r="CG274" s="97">
        <v>100</v>
      </c>
      <c r="CH274" s="97">
        <v>100</v>
      </c>
      <c r="CI274" s="173"/>
      <c r="CJ274" s="173"/>
      <c r="CK274" s="173"/>
      <c r="CL274" s="173"/>
      <c r="CM274" s="173"/>
      <c r="CN274" s="173"/>
      <c r="CO274" s="173"/>
      <c r="CP274" s="174"/>
      <c r="CQ274" s="174"/>
      <c r="CR274" s="174"/>
      <c r="CS274" s="174"/>
      <c r="CT274" s="174"/>
      <c r="CU274" s="174"/>
      <c r="CV274" s="174"/>
      <c r="CW274" s="165"/>
      <c r="CX274" s="166"/>
      <c r="CY274" s="166"/>
      <c r="CZ274" s="166"/>
      <c r="DA274" s="166"/>
      <c r="DB274" s="166"/>
      <c r="DC274" s="166"/>
      <c r="DD274" s="171"/>
      <c r="DE274" s="171"/>
      <c r="DF274" s="171"/>
      <c r="DG274" s="171"/>
      <c r="DH274" s="171"/>
      <c r="DI274" s="171"/>
      <c r="DJ274" s="171"/>
      <c r="DK274" s="79" t="s">
        <v>1338</v>
      </c>
      <c r="DL274" s="128">
        <v>500</v>
      </c>
      <c r="DM274" s="128">
        <v>500</v>
      </c>
      <c r="DN274" s="128">
        <v>500</v>
      </c>
      <c r="DO274" s="128">
        <v>500</v>
      </c>
      <c r="DP274" s="128">
        <v>500</v>
      </c>
      <c r="DQ274" s="128">
        <v>500</v>
      </c>
      <c r="DR274" s="128">
        <v>500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6">
        <v>0.08</v>
      </c>
      <c r="AF275" s="94"/>
      <c r="AG275" s="94">
        <v>1</v>
      </c>
      <c r="AH275" s="94">
        <v>1</v>
      </c>
      <c r="AI275" s="17">
        <f t="shared" si="273"/>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48"/>
        <v>0</v>
      </c>
      <c r="BV275" s="28"/>
      <c r="BW275" s="28"/>
      <c r="BX275" s="28"/>
      <c r="BY275" s="28"/>
      <c r="BZ275" s="28"/>
      <c r="CA275" s="28"/>
      <c r="CB275" s="185">
        <v>250</v>
      </c>
      <c r="CC275" s="99">
        <v>100</v>
      </c>
      <c r="CD275" s="99">
        <v>100</v>
      </c>
      <c r="CE275" s="99">
        <v>100</v>
      </c>
      <c r="CF275" s="99">
        <v>100</v>
      </c>
      <c r="CG275" s="99">
        <v>100</v>
      </c>
      <c r="CH275" s="99">
        <v>100</v>
      </c>
      <c r="CI275" s="175"/>
      <c r="CJ275" s="175"/>
      <c r="CK275" s="175"/>
      <c r="CL275" s="175"/>
      <c r="CM275" s="175"/>
      <c r="CN275" s="175"/>
      <c r="CO275" s="175"/>
      <c r="CP275" s="176"/>
      <c r="CQ275" s="176"/>
      <c r="CR275" s="176"/>
      <c r="CS275" s="176"/>
      <c r="CT275" s="176"/>
      <c r="CU275" s="176"/>
      <c r="CV275" s="176"/>
      <c r="CW275" s="167"/>
      <c r="CX275" s="168"/>
      <c r="CY275" s="168"/>
      <c r="CZ275" s="168"/>
      <c r="DA275" s="168"/>
      <c r="DB275" s="168"/>
      <c r="DC275" s="168"/>
      <c r="DD275" s="172"/>
      <c r="DE275" s="172"/>
      <c r="DF275" s="172"/>
      <c r="DG275" s="172"/>
      <c r="DH275" s="172"/>
      <c r="DI275" s="172"/>
      <c r="DJ275" s="172"/>
      <c r="DK275" s="80" t="s">
        <v>502</v>
      </c>
      <c r="DL275" s="129">
        <v>500</v>
      </c>
      <c r="DM275" s="129">
        <v>500</v>
      </c>
      <c r="DN275" s="129">
        <v>500</v>
      </c>
      <c r="DO275" s="129">
        <v>500</v>
      </c>
      <c r="DP275" s="129">
        <v>500</v>
      </c>
      <c r="DQ275" s="129">
        <v>500</v>
      </c>
      <c r="DR275" s="129">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6">
        <v>0.08</v>
      </c>
      <c r="AF276" s="93">
        <v>0</v>
      </c>
      <c r="AG276" s="93">
        <v>12</v>
      </c>
      <c r="AH276" s="93">
        <v>12</v>
      </c>
      <c r="AI276" s="16">
        <f t="shared" si="273"/>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48"/>
        <v>0</v>
      </c>
      <c r="BV276" s="27"/>
      <c r="BW276" s="27"/>
      <c r="BX276" s="27"/>
      <c r="BY276" s="27"/>
      <c r="BZ276" s="27"/>
      <c r="CA276" s="27"/>
      <c r="CB276" s="97">
        <v>0.2</v>
      </c>
      <c r="CC276" s="97">
        <v>5</v>
      </c>
      <c r="CD276" s="97">
        <v>25</v>
      </c>
      <c r="CE276" s="97">
        <v>50</v>
      </c>
      <c r="CF276" s="97">
        <v>100</v>
      </c>
      <c r="CG276" s="97">
        <v>100</v>
      </c>
      <c r="CH276" s="97">
        <v>100</v>
      </c>
      <c r="CI276" s="173"/>
      <c r="CJ276" s="173"/>
      <c r="CK276" s="173"/>
      <c r="CL276" s="173"/>
      <c r="CM276" s="173"/>
      <c r="CN276" s="173"/>
      <c r="CO276" s="173"/>
      <c r="CP276" s="174"/>
      <c r="CQ276" s="174"/>
      <c r="CR276" s="174"/>
      <c r="CS276" s="174"/>
      <c r="CT276" s="174"/>
      <c r="CU276" s="174"/>
      <c r="CV276" s="174"/>
      <c r="CW276" s="165"/>
      <c r="CX276" s="166"/>
      <c r="CY276" s="166"/>
      <c r="CZ276" s="166"/>
      <c r="DA276" s="166"/>
      <c r="DB276" s="166"/>
      <c r="DC276" s="166"/>
      <c r="DD276" s="171"/>
      <c r="DE276" s="171"/>
      <c r="DF276" s="171"/>
      <c r="DG276" s="171"/>
      <c r="DH276" s="171"/>
      <c r="DI276" s="171"/>
      <c r="DJ276" s="171"/>
      <c r="DK276" s="79" t="s">
        <v>452</v>
      </c>
      <c r="DL276" s="128">
        <v>200</v>
      </c>
      <c r="DM276" s="128">
        <v>200</v>
      </c>
      <c r="DN276" s="128">
        <v>200</v>
      </c>
      <c r="DO276" s="128">
        <v>200</v>
      </c>
      <c r="DP276" s="128">
        <v>200</v>
      </c>
      <c r="DQ276" s="128">
        <v>200</v>
      </c>
      <c r="DR276" s="128">
        <v>200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6">
        <v>0.08</v>
      </c>
      <c r="AF277" s="94">
        <v>0</v>
      </c>
      <c r="AG277" s="94">
        <v>12</v>
      </c>
      <c r="AH277" s="94">
        <v>12</v>
      </c>
      <c r="AI277" s="17">
        <f t="shared" si="273"/>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48"/>
        <v>0</v>
      </c>
      <c r="BV277" s="28"/>
      <c r="BW277" s="28"/>
      <c r="BX277" s="28"/>
      <c r="BY277" s="28"/>
      <c r="BZ277" s="28"/>
      <c r="CA277" s="28"/>
      <c r="CB277" s="99">
        <v>0.1</v>
      </c>
      <c r="CC277" s="99">
        <v>5</v>
      </c>
      <c r="CD277" s="99">
        <v>25</v>
      </c>
      <c r="CE277" s="99">
        <v>50</v>
      </c>
      <c r="CF277" s="99">
        <v>100</v>
      </c>
      <c r="CG277" s="99">
        <v>100</v>
      </c>
      <c r="CH277" s="99">
        <v>100</v>
      </c>
      <c r="CI277" s="175"/>
      <c r="CJ277" s="175"/>
      <c r="CK277" s="175"/>
      <c r="CL277" s="175"/>
      <c r="CM277" s="175"/>
      <c r="CN277" s="175"/>
      <c r="CO277" s="175"/>
      <c r="CP277" s="176"/>
      <c r="CQ277" s="176"/>
      <c r="CR277" s="176"/>
      <c r="CS277" s="176"/>
      <c r="CT277" s="176"/>
      <c r="CU277" s="176"/>
      <c r="CV277" s="176"/>
      <c r="CW277" s="167"/>
      <c r="CX277" s="168"/>
      <c r="CY277" s="168"/>
      <c r="CZ277" s="168"/>
      <c r="DA277" s="168"/>
      <c r="DB277" s="168"/>
      <c r="DC277" s="168"/>
      <c r="DD277" s="172"/>
      <c r="DE277" s="172"/>
      <c r="DF277" s="172"/>
      <c r="DG277" s="172"/>
      <c r="DH277" s="172"/>
      <c r="DI277" s="172"/>
      <c r="DJ277" s="172"/>
      <c r="DK277" s="80" t="s">
        <v>452</v>
      </c>
      <c r="DL277" s="129">
        <v>200</v>
      </c>
      <c r="DM277" s="129">
        <v>200</v>
      </c>
      <c r="DN277" s="129">
        <v>200</v>
      </c>
      <c r="DO277" s="129">
        <v>200</v>
      </c>
      <c r="DP277" s="129">
        <v>200</v>
      </c>
      <c r="DQ277" s="129">
        <v>200</v>
      </c>
      <c r="DR277" s="129">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6">
        <v>0.08</v>
      </c>
      <c r="AF278" s="93">
        <v>0</v>
      </c>
      <c r="AG278" s="93">
        <v>12</v>
      </c>
      <c r="AH278" s="93">
        <v>12</v>
      </c>
      <c r="AI278" s="16">
        <f t="shared" si="273"/>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48"/>
        <v>0</v>
      </c>
      <c r="BV278" s="27"/>
      <c r="BW278" s="27"/>
      <c r="BX278" s="27"/>
      <c r="BY278" s="27"/>
      <c r="BZ278" s="27"/>
      <c r="CA278" s="27"/>
      <c r="CB278" s="97">
        <v>0.2</v>
      </c>
      <c r="CC278" s="97">
        <v>5</v>
      </c>
      <c r="CD278" s="97">
        <v>25</v>
      </c>
      <c r="CE278" s="97">
        <v>50</v>
      </c>
      <c r="CF278" s="97">
        <v>100</v>
      </c>
      <c r="CG278" s="97">
        <v>100</v>
      </c>
      <c r="CH278" s="97">
        <v>100</v>
      </c>
      <c r="CI278" s="173"/>
      <c r="CJ278" s="173"/>
      <c r="CK278" s="173"/>
      <c r="CL278" s="173"/>
      <c r="CM278" s="173"/>
      <c r="CN278" s="173"/>
      <c r="CO278" s="173"/>
      <c r="CP278" s="174"/>
      <c r="CQ278" s="174"/>
      <c r="CR278" s="174"/>
      <c r="CS278" s="174"/>
      <c r="CT278" s="174"/>
      <c r="CU278" s="174"/>
      <c r="CV278" s="174"/>
      <c r="CW278" s="165"/>
      <c r="CX278" s="166"/>
      <c r="CY278" s="166"/>
      <c r="CZ278" s="166"/>
      <c r="DA278" s="166"/>
      <c r="DB278" s="166"/>
      <c r="DC278" s="166"/>
      <c r="DD278" s="171"/>
      <c r="DE278" s="171"/>
      <c r="DF278" s="171"/>
      <c r="DG278" s="171"/>
      <c r="DH278" s="171"/>
      <c r="DI278" s="171"/>
      <c r="DJ278" s="171"/>
      <c r="DK278" s="79" t="s">
        <v>1349</v>
      </c>
      <c r="DL278" s="128">
        <v>200</v>
      </c>
      <c r="DM278" s="128">
        <v>200</v>
      </c>
      <c r="DN278" s="128">
        <v>200</v>
      </c>
      <c r="DO278" s="128">
        <v>200</v>
      </c>
      <c r="DP278" s="128">
        <v>200</v>
      </c>
      <c r="DQ278" s="128">
        <v>200</v>
      </c>
      <c r="DR278" s="128">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6">
        <v>0.08</v>
      </c>
      <c r="AF279" s="94">
        <v>0</v>
      </c>
      <c r="AG279" s="94">
        <v>12</v>
      </c>
      <c r="AH279" s="94">
        <v>12</v>
      </c>
      <c r="AI279" s="17">
        <f t="shared" si="273"/>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48"/>
        <v>0</v>
      </c>
      <c r="BV279" s="28"/>
      <c r="BW279" s="28"/>
      <c r="BX279" s="28"/>
      <c r="BY279" s="28"/>
      <c r="BZ279" s="28"/>
      <c r="CA279" s="28"/>
      <c r="CB279" s="99"/>
      <c r="CC279" s="99">
        <v>5</v>
      </c>
      <c r="CD279" s="99">
        <v>25</v>
      </c>
      <c r="CE279" s="99">
        <v>50</v>
      </c>
      <c r="CF279" s="99">
        <v>100</v>
      </c>
      <c r="CG279" s="99">
        <v>100</v>
      </c>
      <c r="CH279" s="99">
        <v>100</v>
      </c>
      <c r="CI279" s="175"/>
      <c r="CJ279" s="175"/>
      <c r="CK279" s="175"/>
      <c r="CL279" s="175"/>
      <c r="CM279" s="175"/>
      <c r="CN279" s="175"/>
      <c r="CO279" s="175"/>
      <c r="CP279" s="176"/>
      <c r="CQ279" s="176"/>
      <c r="CR279" s="176"/>
      <c r="CS279" s="176"/>
      <c r="CT279" s="176"/>
      <c r="CU279" s="176"/>
      <c r="CV279" s="176"/>
      <c r="CW279" s="167"/>
      <c r="CX279" s="168"/>
      <c r="CY279" s="168"/>
      <c r="CZ279" s="168"/>
      <c r="DA279" s="168"/>
      <c r="DB279" s="168"/>
      <c r="DC279" s="168"/>
      <c r="DD279" s="172"/>
      <c r="DE279" s="172"/>
      <c r="DF279" s="172"/>
      <c r="DG279" s="172"/>
      <c r="DH279" s="172"/>
      <c r="DI279" s="172"/>
      <c r="DJ279" s="172"/>
      <c r="DK279" s="80" t="s">
        <v>1352</v>
      </c>
      <c r="DL279" s="129">
        <v>200</v>
      </c>
      <c r="DM279" s="129">
        <v>200</v>
      </c>
      <c r="DN279" s="129">
        <v>200</v>
      </c>
      <c r="DO279" s="129">
        <v>200</v>
      </c>
      <c r="DP279" s="129">
        <v>200</v>
      </c>
      <c r="DQ279" s="129">
        <v>200</v>
      </c>
      <c r="DR279" s="129">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6">
        <v>0.08</v>
      </c>
      <c r="AF280" s="93">
        <v>0</v>
      </c>
      <c r="AG280" s="93">
        <v>10</v>
      </c>
      <c r="AH280" s="93">
        <v>10</v>
      </c>
      <c r="AI280" s="16">
        <f t="shared" si="273"/>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48"/>
        <v>0</v>
      </c>
      <c r="BV280" s="27"/>
      <c r="BW280" s="27"/>
      <c r="BX280" s="27"/>
      <c r="BY280" s="27"/>
      <c r="BZ280" s="27"/>
      <c r="CA280" s="27"/>
      <c r="CB280" s="97">
        <v>23</v>
      </c>
      <c r="CC280" s="97">
        <v>23</v>
      </c>
      <c r="CD280" s="97">
        <v>23</v>
      </c>
      <c r="CE280" s="97">
        <v>23</v>
      </c>
      <c r="CF280" s="97">
        <v>23</v>
      </c>
      <c r="CG280" s="97">
        <v>23</v>
      </c>
      <c r="CH280" s="97">
        <v>23</v>
      </c>
      <c r="CI280" s="173"/>
      <c r="CJ280" s="173"/>
      <c r="CK280" s="173"/>
      <c r="CL280" s="173"/>
      <c r="CM280" s="173"/>
      <c r="CN280" s="173"/>
      <c r="CO280" s="173"/>
      <c r="CP280" s="174"/>
      <c r="CQ280" s="174"/>
      <c r="CR280" s="174"/>
      <c r="CS280" s="174"/>
      <c r="CT280" s="174"/>
      <c r="CU280" s="174"/>
      <c r="CV280" s="174"/>
      <c r="CW280" s="165"/>
      <c r="CX280" s="166"/>
      <c r="CY280" s="166"/>
      <c r="CZ280" s="166"/>
      <c r="DA280" s="166"/>
      <c r="DB280" s="166"/>
      <c r="DC280" s="166"/>
      <c r="DD280" s="171"/>
      <c r="DE280" s="171"/>
      <c r="DF280" s="171"/>
      <c r="DG280" s="171"/>
      <c r="DH280" s="171"/>
      <c r="DI280" s="171"/>
      <c r="DJ280" s="171"/>
      <c r="DK280" s="79" t="s">
        <v>452</v>
      </c>
      <c r="DL280" s="128">
        <v>500</v>
      </c>
      <c r="DM280" s="128">
        <v>500</v>
      </c>
      <c r="DN280" s="128">
        <v>500</v>
      </c>
      <c r="DO280" s="128">
        <v>500</v>
      </c>
      <c r="DP280" s="128">
        <v>500</v>
      </c>
      <c r="DQ280" s="128">
        <v>500</v>
      </c>
      <c r="DR280" s="128">
        <v>500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6">
        <v>0.08</v>
      </c>
      <c r="AF281" s="94">
        <v>0</v>
      </c>
      <c r="AG281" s="94">
        <v>10</v>
      </c>
      <c r="AH281" s="94">
        <v>10</v>
      </c>
      <c r="AI281" s="17">
        <f t="shared" si="273"/>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48"/>
        <v>0</v>
      </c>
      <c r="BV281" s="28"/>
      <c r="BW281" s="28"/>
      <c r="BX281" s="28"/>
      <c r="BY281" s="28"/>
      <c r="BZ281" s="28"/>
      <c r="CA281" s="28"/>
      <c r="CB281" s="99">
        <v>2</v>
      </c>
      <c r="CC281" s="99">
        <v>5</v>
      </c>
      <c r="CD281" s="99">
        <v>25</v>
      </c>
      <c r="CE281" s="99">
        <v>100</v>
      </c>
      <c r="CF281" s="99">
        <v>100</v>
      </c>
      <c r="CG281" s="99">
        <v>100</v>
      </c>
      <c r="CH281" s="99">
        <v>100</v>
      </c>
      <c r="CI281" s="175"/>
      <c r="CJ281" s="175"/>
      <c r="CK281" s="175"/>
      <c r="CL281" s="175"/>
      <c r="CM281" s="175"/>
      <c r="CN281" s="175"/>
      <c r="CO281" s="175"/>
      <c r="CP281" s="176"/>
      <c r="CQ281" s="176"/>
      <c r="CR281" s="176"/>
      <c r="CS281" s="176"/>
      <c r="CT281" s="176"/>
      <c r="CU281" s="176"/>
      <c r="CV281" s="176"/>
      <c r="CW281" s="167"/>
      <c r="CX281" s="168"/>
      <c r="CY281" s="168"/>
      <c r="CZ281" s="168"/>
      <c r="DA281" s="168"/>
      <c r="DB281" s="168"/>
      <c r="DC281" s="168"/>
      <c r="DD281" s="172"/>
      <c r="DE281" s="172"/>
      <c r="DF281" s="172"/>
      <c r="DG281" s="172"/>
      <c r="DH281" s="172"/>
      <c r="DI281" s="172"/>
      <c r="DJ281" s="172"/>
      <c r="DK281" s="80" t="s">
        <v>452</v>
      </c>
      <c r="DL281" s="129">
        <v>500</v>
      </c>
      <c r="DM281" s="129">
        <v>500</v>
      </c>
      <c r="DN281" s="129">
        <v>500</v>
      </c>
      <c r="DO281" s="129">
        <v>500</v>
      </c>
      <c r="DP281" s="129">
        <v>500</v>
      </c>
      <c r="DQ281" s="129">
        <v>500</v>
      </c>
      <c r="DR281" s="129">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6">
        <v>0.08</v>
      </c>
      <c r="AF282" s="93">
        <v>0</v>
      </c>
      <c r="AG282" s="93">
        <v>40</v>
      </c>
      <c r="AH282" s="93">
        <v>40</v>
      </c>
      <c r="AI282" s="16">
        <f t="shared" si="273"/>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48"/>
        <v>0</v>
      </c>
      <c r="BV282" s="27"/>
      <c r="BW282" s="27"/>
      <c r="BX282" s="27"/>
      <c r="BY282" s="27"/>
      <c r="BZ282" s="27"/>
      <c r="CA282" s="27"/>
      <c r="CB282" s="97">
        <v>1.85</v>
      </c>
      <c r="CC282" s="97">
        <v>5</v>
      </c>
      <c r="CD282" s="97">
        <v>25</v>
      </c>
      <c r="CE282" s="97">
        <v>50</v>
      </c>
      <c r="CF282" s="97">
        <v>100</v>
      </c>
      <c r="CG282" s="97">
        <v>100</v>
      </c>
      <c r="CH282" s="97">
        <v>100</v>
      </c>
      <c r="CI282" s="173"/>
      <c r="CJ282" s="173"/>
      <c r="CK282" s="173"/>
      <c r="CL282" s="173"/>
      <c r="CM282" s="173"/>
      <c r="CN282" s="173"/>
      <c r="CO282" s="173"/>
      <c r="CP282" s="174"/>
      <c r="CQ282" s="174"/>
      <c r="CR282" s="174"/>
      <c r="CS282" s="174"/>
      <c r="CT282" s="174"/>
      <c r="CU282" s="174"/>
      <c r="CV282" s="174"/>
      <c r="CW282" s="165"/>
      <c r="CX282" s="166"/>
      <c r="CY282" s="166"/>
      <c r="CZ282" s="166"/>
      <c r="DA282" s="166"/>
      <c r="DB282" s="166"/>
      <c r="DC282" s="166"/>
      <c r="DD282" s="171"/>
      <c r="DE282" s="171"/>
      <c r="DF282" s="171"/>
      <c r="DG282" s="171"/>
      <c r="DH282" s="171"/>
      <c r="DI282" s="171"/>
      <c r="DJ282" s="171"/>
      <c r="DK282" s="79" t="s">
        <v>452</v>
      </c>
      <c r="DL282" s="128">
        <v>500</v>
      </c>
      <c r="DM282" s="128">
        <v>500</v>
      </c>
      <c r="DN282" s="128">
        <v>500</v>
      </c>
      <c r="DO282" s="128">
        <v>500</v>
      </c>
      <c r="DP282" s="128">
        <v>500</v>
      </c>
      <c r="DQ282" s="128">
        <v>500</v>
      </c>
      <c r="DR282" s="128">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6">
        <v>0.08</v>
      </c>
      <c r="AF283" s="94">
        <v>0</v>
      </c>
      <c r="AG283" s="94">
        <v>10</v>
      </c>
      <c r="AH283" s="94">
        <v>10</v>
      </c>
      <c r="AI283" s="17">
        <f t="shared" si="273"/>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48"/>
        <v>0</v>
      </c>
      <c r="BV283" s="28"/>
      <c r="BW283" s="28"/>
      <c r="BX283" s="28"/>
      <c r="BY283" s="28"/>
      <c r="BZ283" s="28"/>
      <c r="CA283" s="28"/>
      <c r="CB283" s="99">
        <v>0.55000000000000004</v>
      </c>
      <c r="CC283" s="99">
        <v>5</v>
      </c>
      <c r="CD283" s="99">
        <v>25</v>
      </c>
      <c r="CE283" s="99">
        <v>50</v>
      </c>
      <c r="CF283" s="99">
        <v>100</v>
      </c>
      <c r="CG283" s="99">
        <v>100</v>
      </c>
      <c r="CH283" s="99">
        <v>100</v>
      </c>
      <c r="CI283" s="175"/>
      <c r="CJ283" s="175"/>
      <c r="CK283" s="175"/>
      <c r="CL283" s="175"/>
      <c r="CM283" s="175"/>
      <c r="CN283" s="175"/>
      <c r="CO283" s="175"/>
      <c r="CP283" s="176"/>
      <c r="CQ283" s="176"/>
      <c r="CR283" s="176"/>
      <c r="CS283" s="176"/>
      <c r="CT283" s="176"/>
      <c r="CU283" s="176"/>
      <c r="CV283" s="176"/>
      <c r="CW283" s="167"/>
      <c r="CX283" s="168"/>
      <c r="CY283" s="168"/>
      <c r="CZ283" s="168"/>
      <c r="DA283" s="168"/>
      <c r="DB283" s="168"/>
      <c r="DC283" s="168"/>
      <c r="DD283" s="172"/>
      <c r="DE283" s="172"/>
      <c r="DF283" s="172"/>
      <c r="DG283" s="172"/>
      <c r="DH283" s="172"/>
      <c r="DI283" s="172"/>
      <c r="DJ283" s="172"/>
      <c r="DK283" s="80" t="s">
        <v>452</v>
      </c>
      <c r="DL283" s="129">
        <v>500</v>
      </c>
      <c r="DM283" s="129">
        <v>500</v>
      </c>
      <c r="DN283" s="129">
        <v>500</v>
      </c>
      <c r="DO283" s="129">
        <v>500</v>
      </c>
      <c r="DP283" s="129">
        <v>500</v>
      </c>
      <c r="DQ283" s="129">
        <v>500</v>
      </c>
      <c r="DR283" s="129">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5" t="s">
        <v>1361</v>
      </c>
      <c r="B284" s="5" t="s">
        <v>654</v>
      </c>
      <c r="C284" s="5" t="s">
        <v>788</v>
      </c>
      <c r="D284" s="5" t="s">
        <v>708</v>
      </c>
      <c r="E284" s="5" t="s">
        <v>459</v>
      </c>
      <c r="F284" s="5" t="s">
        <v>461</v>
      </c>
      <c r="G284" s="221"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6">
        <v>0.08</v>
      </c>
      <c r="AF284" s="93">
        <v>0</v>
      </c>
      <c r="AG284" s="93">
        <v>12</v>
      </c>
      <c r="AH284" s="93">
        <v>12</v>
      </c>
      <c r="AI284" s="16">
        <f t="shared" si="273"/>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75">IF(BL284=1,BN284,0)</f>
        <v>0</v>
      </c>
      <c r="BV284" s="27"/>
      <c r="BW284" s="27"/>
      <c r="BX284" s="27"/>
      <c r="BY284" s="27"/>
      <c r="BZ284" s="27"/>
      <c r="CA284" s="27"/>
      <c r="CB284" s="97"/>
      <c r="CC284" s="97">
        <v>5</v>
      </c>
      <c r="CD284" s="97">
        <v>25</v>
      </c>
      <c r="CE284" s="97">
        <v>50</v>
      </c>
      <c r="CF284" s="97">
        <v>100</v>
      </c>
      <c r="CG284" s="97">
        <v>100</v>
      </c>
      <c r="CH284" s="97">
        <v>100</v>
      </c>
      <c r="CI284" s="173"/>
      <c r="CJ284" s="173"/>
      <c r="CK284" s="173"/>
      <c r="CL284" s="173"/>
      <c r="CM284" s="173"/>
      <c r="CN284" s="173"/>
      <c r="CO284" s="173"/>
      <c r="CP284" s="174"/>
      <c r="CQ284" s="174"/>
      <c r="CR284" s="174"/>
      <c r="CS284" s="174"/>
      <c r="CT284" s="174"/>
      <c r="CU284" s="174"/>
      <c r="CV284" s="174"/>
      <c r="CW284" s="165"/>
      <c r="CX284" s="166"/>
      <c r="CY284" s="166"/>
      <c r="CZ284" s="166"/>
      <c r="DA284" s="166"/>
      <c r="DB284" s="166"/>
      <c r="DC284" s="166"/>
      <c r="DD284" s="171"/>
      <c r="DE284" s="171"/>
      <c r="DF284" s="171"/>
      <c r="DG284" s="171"/>
      <c r="DH284" s="171"/>
      <c r="DI284" s="171"/>
      <c r="DJ284" s="171"/>
      <c r="DK284" s="79" t="s">
        <v>1335</v>
      </c>
      <c r="DL284" s="128">
        <v>200</v>
      </c>
      <c r="DM284" s="128">
        <v>200</v>
      </c>
      <c r="DN284" s="128">
        <v>200</v>
      </c>
      <c r="DO284" s="128">
        <v>200</v>
      </c>
      <c r="DP284" s="128">
        <v>200</v>
      </c>
      <c r="DQ284" s="128">
        <v>200</v>
      </c>
      <c r="DR284" s="128">
        <v>200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6">
        <v>0.08</v>
      </c>
      <c r="AF285" s="94">
        <v>0</v>
      </c>
      <c r="AG285" s="94">
        <v>10</v>
      </c>
      <c r="AH285" s="94">
        <v>10</v>
      </c>
      <c r="AI285" s="17">
        <f t="shared" si="273"/>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48"/>
        <v>0</v>
      </c>
      <c r="BV285" s="28"/>
      <c r="BW285" s="28"/>
      <c r="BX285" s="28"/>
      <c r="BY285" s="28"/>
      <c r="BZ285" s="28"/>
      <c r="CA285" s="28"/>
      <c r="CB285" s="99">
        <v>0.2</v>
      </c>
      <c r="CC285" s="99">
        <v>5</v>
      </c>
      <c r="CD285" s="99">
        <v>25</v>
      </c>
      <c r="CE285" s="99">
        <v>50</v>
      </c>
      <c r="CF285" s="99">
        <v>100</v>
      </c>
      <c r="CG285" s="99">
        <v>100</v>
      </c>
      <c r="CH285" s="99">
        <v>100</v>
      </c>
      <c r="CI285" s="175"/>
      <c r="CJ285" s="175"/>
      <c r="CK285" s="175"/>
      <c r="CL285" s="175"/>
      <c r="CM285" s="175"/>
      <c r="CN285" s="175"/>
      <c r="CO285" s="175"/>
      <c r="CP285" s="176"/>
      <c r="CQ285" s="176"/>
      <c r="CR285" s="176"/>
      <c r="CS285" s="176"/>
      <c r="CT285" s="176"/>
      <c r="CU285" s="176"/>
      <c r="CV285" s="176"/>
      <c r="CW285" s="167"/>
      <c r="CX285" s="168"/>
      <c r="CY285" s="168"/>
      <c r="CZ285" s="168"/>
      <c r="DA285" s="168"/>
      <c r="DB285" s="168"/>
      <c r="DC285" s="168"/>
      <c r="DD285" s="172"/>
      <c r="DE285" s="172"/>
      <c r="DF285" s="172"/>
      <c r="DG285" s="172"/>
      <c r="DH285" s="172"/>
      <c r="DI285" s="172"/>
      <c r="DJ285" s="172"/>
      <c r="DK285" s="80" t="s">
        <v>1365</v>
      </c>
      <c r="DL285" s="129">
        <v>500</v>
      </c>
      <c r="DM285" s="129">
        <v>500</v>
      </c>
      <c r="DN285" s="129">
        <v>500</v>
      </c>
      <c r="DO285" s="129">
        <v>500</v>
      </c>
      <c r="DP285" s="129">
        <v>500</v>
      </c>
      <c r="DQ285" s="129">
        <v>500</v>
      </c>
      <c r="DR285" s="129">
        <v>500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6">
        <v>0.08</v>
      </c>
      <c r="AF286" s="93">
        <v>0</v>
      </c>
      <c r="AG286" s="93">
        <v>10</v>
      </c>
      <c r="AH286" s="93">
        <v>10</v>
      </c>
      <c r="AI286" s="16">
        <f t="shared" si="273"/>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48"/>
        <v>0</v>
      </c>
      <c r="BV286" s="27"/>
      <c r="BW286" s="27"/>
      <c r="BX286" s="27"/>
      <c r="BY286" s="27"/>
      <c r="BZ286" s="27"/>
      <c r="CA286" s="27"/>
      <c r="CB286" s="97"/>
      <c r="CC286" s="97">
        <v>5</v>
      </c>
      <c r="CD286" s="97">
        <v>25</v>
      </c>
      <c r="CE286" s="97">
        <v>50</v>
      </c>
      <c r="CF286" s="97">
        <v>100</v>
      </c>
      <c r="CG286" s="97">
        <v>100</v>
      </c>
      <c r="CH286" s="97">
        <v>100</v>
      </c>
      <c r="CI286" s="173"/>
      <c r="CJ286" s="173"/>
      <c r="CK286" s="173"/>
      <c r="CL286" s="173"/>
      <c r="CM286" s="173"/>
      <c r="CN286" s="173"/>
      <c r="CO286" s="173"/>
      <c r="CP286" s="174"/>
      <c r="CQ286" s="174"/>
      <c r="CR286" s="174"/>
      <c r="CS286" s="174"/>
      <c r="CT286" s="174"/>
      <c r="CU286" s="174"/>
      <c r="CV286" s="174"/>
      <c r="CW286" s="165"/>
      <c r="CX286" s="166"/>
      <c r="CY286" s="166"/>
      <c r="CZ286" s="166"/>
      <c r="DA286" s="166"/>
      <c r="DB286" s="166"/>
      <c r="DC286" s="166"/>
      <c r="DD286" s="171"/>
      <c r="DE286" s="171"/>
      <c r="DF286" s="171"/>
      <c r="DG286" s="171"/>
      <c r="DH286" s="171"/>
      <c r="DI286" s="171"/>
      <c r="DJ286" s="171"/>
      <c r="DK286" s="79" t="s">
        <v>1352</v>
      </c>
      <c r="DL286" s="128">
        <v>500</v>
      </c>
      <c r="DM286" s="128">
        <v>500</v>
      </c>
      <c r="DN286" s="128">
        <v>500</v>
      </c>
      <c r="DO286" s="128">
        <v>500</v>
      </c>
      <c r="DP286" s="128">
        <v>500</v>
      </c>
      <c r="DQ286" s="128">
        <v>500</v>
      </c>
      <c r="DR286" s="128">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6">
        <v>0.08</v>
      </c>
      <c r="AF287" s="94">
        <v>0</v>
      </c>
      <c r="AG287" s="94">
        <v>10</v>
      </c>
      <c r="AH287" s="94">
        <v>10</v>
      </c>
      <c r="AI287" s="17">
        <f t="shared" si="273"/>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48"/>
        <v>0</v>
      </c>
      <c r="BV287" s="28"/>
      <c r="BW287" s="28"/>
      <c r="BX287" s="28"/>
      <c r="BY287" s="28"/>
      <c r="BZ287" s="28"/>
      <c r="CA287" s="28"/>
      <c r="CB287" s="99">
        <v>0.9</v>
      </c>
      <c r="CC287" s="99">
        <v>5</v>
      </c>
      <c r="CD287" s="99">
        <v>25</v>
      </c>
      <c r="CE287" s="99">
        <v>50</v>
      </c>
      <c r="CF287" s="99">
        <v>100</v>
      </c>
      <c r="CG287" s="99">
        <v>100</v>
      </c>
      <c r="CH287" s="99">
        <v>100</v>
      </c>
      <c r="CI287" s="175"/>
      <c r="CJ287" s="175"/>
      <c r="CK287" s="175"/>
      <c r="CL287" s="175"/>
      <c r="CM287" s="175"/>
      <c r="CN287" s="175"/>
      <c r="CO287" s="175"/>
      <c r="CP287" s="176"/>
      <c r="CQ287" s="176"/>
      <c r="CR287" s="176"/>
      <c r="CS287" s="176"/>
      <c r="CT287" s="176"/>
      <c r="CU287" s="176"/>
      <c r="CV287" s="176"/>
      <c r="CW287" s="167"/>
      <c r="CX287" s="168"/>
      <c r="CY287" s="168"/>
      <c r="CZ287" s="168"/>
      <c r="DA287" s="168"/>
      <c r="DB287" s="168"/>
      <c r="DC287" s="168"/>
      <c r="DD287" s="172"/>
      <c r="DE287" s="172"/>
      <c r="DF287" s="172"/>
      <c r="DG287" s="172"/>
      <c r="DH287" s="172"/>
      <c r="DI287" s="172"/>
      <c r="DJ287" s="172"/>
      <c r="DK287" s="80" t="s">
        <v>452</v>
      </c>
      <c r="DL287" s="129">
        <v>500</v>
      </c>
      <c r="DM287" s="129">
        <v>500</v>
      </c>
      <c r="DN287" s="129">
        <v>500</v>
      </c>
      <c r="DO287" s="129">
        <v>500</v>
      </c>
      <c r="DP287" s="129">
        <v>500</v>
      </c>
      <c r="DQ287" s="129">
        <v>500</v>
      </c>
      <c r="DR287" s="129">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6">
        <v>0.08</v>
      </c>
      <c r="AF288" s="93">
        <v>0</v>
      </c>
      <c r="AG288" s="93">
        <v>10</v>
      </c>
      <c r="AH288" s="93">
        <v>10</v>
      </c>
      <c r="AI288" s="16">
        <f t="shared" si="273"/>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48"/>
        <v>0</v>
      </c>
      <c r="BV288" s="27"/>
      <c r="BW288" s="27"/>
      <c r="BX288" s="27"/>
      <c r="BY288" s="27"/>
      <c r="BZ288" s="27"/>
      <c r="CA288" s="27"/>
      <c r="CB288" s="97"/>
      <c r="CC288" s="97">
        <v>5</v>
      </c>
      <c r="CD288" s="97">
        <v>25</v>
      </c>
      <c r="CE288" s="97">
        <v>50</v>
      </c>
      <c r="CF288" s="97">
        <v>100</v>
      </c>
      <c r="CG288" s="97">
        <v>100</v>
      </c>
      <c r="CH288" s="97">
        <v>100</v>
      </c>
      <c r="CI288" s="173"/>
      <c r="CJ288" s="173"/>
      <c r="CK288" s="173"/>
      <c r="CL288" s="173"/>
      <c r="CM288" s="173"/>
      <c r="CN288" s="173"/>
      <c r="CO288" s="173"/>
      <c r="CP288" s="174"/>
      <c r="CQ288" s="174"/>
      <c r="CR288" s="174"/>
      <c r="CS288" s="174"/>
      <c r="CT288" s="174"/>
      <c r="CU288" s="174"/>
      <c r="CV288" s="174"/>
      <c r="CW288" s="165"/>
      <c r="CX288" s="166"/>
      <c r="CY288" s="166"/>
      <c r="CZ288" s="166"/>
      <c r="DA288" s="166"/>
      <c r="DB288" s="166"/>
      <c r="DC288" s="166"/>
      <c r="DD288" s="171"/>
      <c r="DE288" s="171"/>
      <c r="DF288" s="171"/>
      <c r="DG288" s="171"/>
      <c r="DH288" s="171"/>
      <c r="DI288" s="171"/>
      <c r="DJ288" s="171"/>
      <c r="DK288" s="79" t="s">
        <v>452</v>
      </c>
      <c r="DL288" s="128">
        <v>500</v>
      </c>
      <c r="DM288" s="128">
        <v>500</v>
      </c>
      <c r="DN288" s="128">
        <v>500</v>
      </c>
      <c r="DO288" s="128">
        <v>500</v>
      </c>
      <c r="DP288" s="128">
        <v>500</v>
      </c>
      <c r="DQ288" s="128">
        <v>500</v>
      </c>
      <c r="DR288" s="128">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6">
        <v>0.08</v>
      </c>
      <c r="AF289" s="94">
        <v>0</v>
      </c>
      <c r="AG289" s="94">
        <v>10</v>
      </c>
      <c r="AH289" s="94">
        <v>10</v>
      </c>
      <c r="AI289" s="17">
        <f t="shared" si="273"/>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76">IF(BL289=1,BN289,0)</f>
        <v>0</v>
      </c>
      <c r="BV289" s="28"/>
      <c r="BW289" s="28"/>
      <c r="BX289" s="28"/>
      <c r="BY289" s="28"/>
      <c r="BZ289" s="28"/>
      <c r="CA289" s="28"/>
      <c r="CB289" s="99"/>
      <c r="CC289" s="99">
        <v>5</v>
      </c>
      <c r="CD289" s="99">
        <v>25</v>
      </c>
      <c r="CE289" s="99">
        <v>50</v>
      </c>
      <c r="CF289" s="99">
        <v>100</v>
      </c>
      <c r="CG289" s="99">
        <v>100</v>
      </c>
      <c r="CH289" s="99">
        <v>100</v>
      </c>
      <c r="CI289" s="175"/>
      <c r="CJ289" s="175"/>
      <c r="CK289" s="175"/>
      <c r="CL289" s="175"/>
      <c r="CM289" s="175"/>
      <c r="CN289" s="175"/>
      <c r="CO289" s="175"/>
      <c r="CP289" s="176"/>
      <c r="CQ289" s="176"/>
      <c r="CR289" s="176"/>
      <c r="CS289" s="176"/>
      <c r="CT289" s="176"/>
      <c r="CU289" s="176"/>
      <c r="CV289" s="176"/>
      <c r="CW289" s="167"/>
      <c r="CX289" s="168"/>
      <c r="CY289" s="168"/>
      <c r="CZ289" s="168"/>
      <c r="DA289" s="168"/>
      <c r="DB289" s="168"/>
      <c r="DC289" s="168"/>
      <c r="DD289" s="172"/>
      <c r="DE289" s="172"/>
      <c r="DF289" s="172"/>
      <c r="DG289" s="172"/>
      <c r="DH289" s="172"/>
      <c r="DI289" s="172"/>
      <c r="DJ289" s="172"/>
      <c r="DK289" s="80" t="s">
        <v>1374</v>
      </c>
      <c r="DL289" s="129">
        <v>500</v>
      </c>
      <c r="DM289" s="129">
        <v>500</v>
      </c>
      <c r="DN289" s="129">
        <v>500</v>
      </c>
      <c r="DO289" s="129">
        <v>500</v>
      </c>
      <c r="DP289" s="129">
        <v>500</v>
      </c>
      <c r="DQ289" s="129">
        <v>500</v>
      </c>
      <c r="DR289" s="129">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6">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48"/>
        <v>0</v>
      </c>
      <c r="BV290" s="27"/>
      <c r="BW290" s="27"/>
      <c r="BX290" s="27"/>
      <c r="BY290" s="27"/>
      <c r="BZ290" s="27"/>
      <c r="CA290" s="27"/>
      <c r="CB290" s="97">
        <v>4</v>
      </c>
      <c r="CC290" s="97">
        <v>5</v>
      </c>
      <c r="CD290" s="97">
        <v>25</v>
      </c>
      <c r="CE290" s="97">
        <v>50</v>
      </c>
      <c r="CF290" s="97">
        <v>100</v>
      </c>
      <c r="CG290" s="97">
        <v>100</v>
      </c>
      <c r="CH290" s="97">
        <v>100</v>
      </c>
      <c r="CI290" s="173"/>
      <c r="CJ290" s="173"/>
      <c r="CK290" s="173"/>
      <c r="CL290" s="173"/>
      <c r="CM290" s="173"/>
      <c r="CN290" s="173"/>
      <c r="CO290" s="173"/>
      <c r="CP290" s="174"/>
      <c r="CQ290" s="174"/>
      <c r="CR290" s="174"/>
      <c r="CS290" s="174"/>
      <c r="CT290" s="174"/>
      <c r="CU290" s="174"/>
      <c r="CV290" s="174"/>
      <c r="CW290" s="165"/>
      <c r="CX290" s="166"/>
      <c r="CY290" s="166"/>
      <c r="CZ290" s="166"/>
      <c r="DA290" s="166"/>
      <c r="DB290" s="166"/>
      <c r="DC290" s="166"/>
      <c r="DD290" s="171"/>
      <c r="DE290" s="171"/>
      <c r="DF290" s="171"/>
      <c r="DG290" s="171"/>
      <c r="DH290" s="171"/>
      <c r="DI290" s="171"/>
      <c r="DJ290" s="171"/>
      <c r="DK290" s="79" t="s">
        <v>452</v>
      </c>
      <c r="DL290" s="128">
        <v>500</v>
      </c>
      <c r="DM290" s="128">
        <v>500</v>
      </c>
      <c r="DN290" s="128">
        <v>500</v>
      </c>
      <c r="DO290" s="128">
        <v>500</v>
      </c>
      <c r="DP290" s="128">
        <v>500</v>
      </c>
      <c r="DQ290" s="128">
        <v>500</v>
      </c>
      <c r="DR290" s="128">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6">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48"/>
        <v>0</v>
      </c>
      <c r="BV291" s="28"/>
      <c r="BW291" s="28"/>
      <c r="BX291" s="28"/>
      <c r="BY291" s="28"/>
      <c r="BZ291" s="28"/>
      <c r="CA291" s="28"/>
      <c r="CB291" s="99"/>
      <c r="CC291" s="99">
        <v>5</v>
      </c>
      <c r="CD291" s="99">
        <v>25</v>
      </c>
      <c r="CE291" s="99">
        <v>50</v>
      </c>
      <c r="CF291" s="99">
        <v>100</v>
      </c>
      <c r="CG291" s="99">
        <v>100</v>
      </c>
      <c r="CH291" s="99">
        <v>100</v>
      </c>
      <c r="CI291" s="175"/>
      <c r="CJ291" s="175"/>
      <c r="CK291" s="175"/>
      <c r="CL291" s="175"/>
      <c r="CM291" s="175"/>
      <c r="CN291" s="175"/>
      <c r="CO291" s="175"/>
      <c r="CP291" s="176"/>
      <c r="CQ291" s="176"/>
      <c r="CR291" s="176"/>
      <c r="CS291" s="176"/>
      <c r="CT291" s="176"/>
      <c r="CU291" s="176"/>
      <c r="CV291" s="176"/>
      <c r="CW291" s="167"/>
      <c r="CX291" s="168"/>
      <c r="CY291" s="168"/>
      <c r="CZ291" s="168"/>
      <c r="DA291" s="168"/>
      <c r="DB291" s="168"/>
      <c r="DC291" s="168"/>
      <c r="DD291" s="172"/>
      <c r="DE291" s="172"/>
      <c r="DF291" s="172"/>
      <c r="DG291" s="172"/>
      <c r="DH291" s="172"/>
      <c r="DI291" s="172"/>
      <c r="DJ291" s="172"/>
      <c r="DK291" s="80" t="s">
        <v>452</v>
      </c>
      <c r="DL291" s="129">
        <v>500</v>
      </c>
      <c r="DM291" s="129">
        <v>500</v>
      </c>
      <c r="DN291" s="129">
        <v>500</v>
      </c>
      <c r="DO291" s="129">
        <v>500</v>
      </c>
      <c r="DP291" s="129">
        <v>500</v>
      </c>
      <c r="DQ291" s="129">
        <v>500</v>
      </c>
      <c r="DR291" s="129">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6">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77">IF(BL292=1,BN292,0)</f>
        <v>0</v>
      </c>
      <c r="BV292" s="27"/>
      <c r="BW292" s="27"/>
      <c r="BX292" s="27"/>
      <c r="BY292" s="27"/>
      <c r="BZ292" s="27"/>
      <c r="CA292" s="27"/>
      <c r="CB292" s="97">
        <v>0.5</v>
      </c>
      <c r="CC292" s="97">
        <v>5</v>
      </c>
      <c r="CD292" s="97">
        <v>25</v>
      </c>
      <c r="CE292" s="97">
        <v>50</v>
      </c>
      <c r="CF292" s="97">
        <v>100</v>
      </c>
      <c r="CG292" s="97">
        <v>100</v>
      </c>
      <c r="CH292" s="97">
        <v>100</v>
      </c>
      <c r="CI292" s="173"/>
      <c r="CJ292" s="173"/>
      <c r="CK292" s="173"/>
      <c r="CL292" s="173"/>
      <c r="CM292" s="173"/>
      <c r="CN292" s="173"/>
      <c r="CO292" s="173"/>
      <c r="CP292" s="174"/>
      <c r="CQ292" s="174"/>
      <c r="CR292" s="174"/>
      <c r="CS292" s="174"/>
      <c r="CT292" s="174"/>
      <c r="CU292" s="174"/>
      <c r="CV292" s="174"/>
      <c r="CW292" s="165"/>
      <c r="CX292" s="166"/>
      <c r="CY292" s="166"/>
      <c r="CZ292" s="166"/>
      <c r="DA292" s="166"/>
      <c r="DB292" s="166"/>
      <c r="DC292" s="166"/>
      <c r="DD292" s="171"/>
      <c r="DE292" s="171"/>
      <c r="DF292" s="171"/>
      <c r="DG292" s="171"/>
      <c r="DH292" s="171"/>
      <c r="DI292" s="171"/>
      <c r="DJ292" s="171"/>
      <c r="DK292" s="79" t="s">
        <v>452</v>
      </c>
      <c r="DL292" s="128">
        <v>500</v>
      </c>
      <c r="DM292" s="128">
        <v>500</v>
      </c>
      <c r="DN292" s="128">
        <v>500</v>
      </c>
      <c r="DO292" s="128">
        <v>500</v>
      </c>
      <c r="DP292" s="128">
        <v>500</v>
      </c>
      <c r="DQ292" s="128">
        <v>500</v>
      </c>
      <c r="DR292" s="128">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6">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77"/>
        <v>0</v>
      </c>
      <c r="BV293" s="28"/>
      <c r="BW293" s="28"/>
      <c r="BX293" s="28"/>
      <c r="BY293" s="28"/>
      <c r="BZ293" s="28"/>
      <c r="CA293" s="28"/>
      <c r="CB293" s="99"/>
      <c r="CC293" s="99">
        <v>5</v>
      </c>
      <c r="CD293" s="99">
        <v>25</v>
      </c>
      <c r="CE293" s="99">
        <v>50</v>
      </c>
      <c r="CF293" s="99">
        <v>100</v>
      </c>
      <c r="CG293" s="99">
        <v>100</v>
      </c>
      <c r="CH293" s="99">
        <v>100</v>
      </c>
      <c r="CI293" s="175"/>
      <c r="CJ293" s="175"/>
      <c r="CK293" s="175"/>
      <c r="CL293" s="175"/>
      <c r="CM293" s="175"/>
      <c r="CN293" s="175"/>
      <c r="CO293" s="175"/>
      <c r="CP293" s="176"/>
      <c r="CQ293" s="176"/>
      <c r="CR293" s="176"/>
      <c r="CS293" s="176"/>
      <c r="CT293" s="176"/>
      <c r="CU293" s="176"/>
      <c r="CV293" s="176"/>
      <c r="CW293" s="167"/>
      <c r="CX293" s="168"/>
      <c r="CY293" s="168"/>
      <c r="CZ293" s="168"/>
      <c r="DA293" s="168"/>
      <c r="DB293" s="168"/>
      <c r="DC293" s="168"/>
      <c r="DD293" s="172"/>
      <c r="DE293" s="172"/>
      <c r="DF293" s="172"/>
      <c r="DG293" s="172"/>
      <c r="DH293" s="172"/>
      <c r="DI293" s="172"/>
      <c r="DJ293" s="172"/>
      <c r="DK293" s="80" t="s">
        <v>452</v>
      </c>
      <c r="DL293" s="129">
        <v>500</v>
      </c>
      <c r="DM293" s="129">
        <v>500</v>
      </c>
      <c r="DN293" s="129">
        <v>500</v>
      </c>
      <c r="DO293" s="129">
        <v>500</v>
      </c>
      <c r="DP293" s="129">
        <v>500</v>
      </c>
      <c r="DQ293" s="129">
        <v>500</v>
      </c>
      <c r="DR293" s="129">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6">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77"/>
        <v>0</v>
      </c>
      <c r="BV294" s="27"/>
      <c r="BW294" s="27"/>
      <c r="BX294" s="27"/>
      <c r="BY294" s="27"/>
      <c r="BZ294" s="27"/>
      <c r="CA294" s="27"/>
      <c r="CB294" s="97"/>
      <c r="CC294" s="97">
        <v>5</v>
      </c>
      <c r="CD294" s="97">
        <v>25</v>
      </c>
      <c r="CE294" s="97">
        <v>50</v>
      </c>
      <c r="CF294" s="97">
        <v>100</v>
      </c>
      <c r="CG294" s="97">
        <v>100</v>
      </c>
      <c r="CH294" s="97">
        <v>100</v>
      </c>
      <c r="CI294" s="173"/>
      <c r="CJ294" s="173"/>
      <c r="CK294" s="173"/>
      <c r="CL294" s="173"/>
      <c r="CM294" s="173"/>
      <c r="CN294" s="173"/>
      <c r="CO294" s="173"/>
      <c r="CP294" s="174"/>
      <c r="CQ294" s="174"/>
      <c r="CR294" s="174"/>
      <c r="CS294" s="174"/>
      <c r="CT294" s="174"/>
      <c r="CU294" s="174"/>
      <c r="CV294" s="174"/>
      <c r="CW294" s="165"/>
      <c r="CX294" s="166"/>
      <c r="CY294" s="166"/>
      <c r="CZ294" s="166"/>
      <c r="DA294" s="166"/>
      <c r="DB294" s="166"/>
      <c r="DC294" s="166"/>
      <c r="DD294" s="171"/>
      <c r="DE294" s="171"/>
      <c r="DF294" s="171"/>
      <c r="DG294" s="171"/>
      <c r="DH294" s="171"/>
      <c r="DI294" s="171"/>
      <c r="DJ294" s="171"/>
      <c r="DK294" s="79" t="s">
        <v>452</v>
      </c>
      <c r="DL294" s="128">
        <v>500</v>
      </c>
      <c r="DM294" s="128">
        <v>500</v>
      </c>
      <c r="DN294" s="128">
        <v>500</v>
      </c>
      <c r="DO294" s="128">
        <v>500</v>
      </c>
      <c r="DP294" s="128">
        <v>500</v>
      </c>
      <c r="DQ294" s="128">
        <v>500</v>
      </c>
      <c r="DR294" s="128">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6">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77"/>
        <v>0</v>
      </c>
      <c r="BV295" s="28"/>
      <c r="BW295" s="28"/>
      <c r="BX295" s="28"/>
      <c r="BY295" s="28"/>
      <c r="BZ295" s="28"/>
      <c r="CA295" s="28"/>
      <c r="CB295" s="99">
        <v>0.5</v>
      </c>
      <c r="CC295" s="99">
        <v>1.25</v>
      </c>
      <c r="CD295" s="99">
        <v>2</v>
      </c>
      <c r="CE295" s="99">
        <v>5</v>
      </c>
      <c r="CF295" s="99">
        <v>100</v>
      </c>
      <c r="CG295" s="99">
        <v>100</v>
      </c>
      <c r="CH295" s="99">
        <v>100</v>
      </c>
      <c r="CI295" s="175"/>
      <c r="CJ295" s="175"/>
      <c r="CK295" s="175"/>
      <c r="CL295" s="175"/>
      <c r="CM295" s="175"/>
      <c r="CN295" s="175"/>
      <c r="CO295" s="175"/>
      <c r="CP295" s="176"/>
      <c r="CQ295" s="176"/>
      <c r="CR295" s="176"/>
      <c r="CS295" s="176"/>
      <c r="CT295" s="176"/>
      <c r="CU295" s="176"/>
      <c r="CV295" s="176"/>
      <c r="CW295" s="167"/>
      <c r="CX295" s="168"/>
      <c r="CY295" s="168"/>
      <c r="CZ295" s="168"/>
      <c r="DA295" s="168"/>
      <c r="DB295" s="168"/>
      <c r="DC295" s="168"/>
      <c r="DD295" s="172"/>
      <c r="DE295" s="172"/>
      <c r="DF295" s="172"/>
      <c r="DG295" s="172"/>
      <c r="DH295" s="172"/>
      <c r="DI295" s="172"/>
      <c r="DJ295" s="172"/>
      <c r="DK295" s="80" t="s">
        <v>452</v>
      </c>
      <c r="DL295" s="129">
        <v>50</v>
      </c>
      <c r="DM295" s="129">
        <v>50</v>
      </c>
      <c r="DN295" s="129">
        <v>50</v>
      </c>
      <c r="DO295" s="129">
        <v>50</v>
      </c>
      <c r="DP295" s="129">
        <v>50</v>
      </c>
      <c r="DQ295" s="129">
        <v>50</v>
      </c>
      <c r="DR295" s="129">
        <v>50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6">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77"/>
        <v>0</v>
      </c>
      <c r="BV296" s="27"/>
      <c r="BW296" s="27"/>
      <c r="BX296" s="27"/>
      <c r="BY296" s="27"/>
      <c r="BZ296" s="27"/>
      <c r="CA296" s="27"/>
      <c r="CB296" s="97"/>
      <c r="CC296" s="97">
        <v>5</v>
      </c>
      <c r="CD296" s="97">
        <v>25</v>
      </c>
      <c r="CE296" s="97">
        <v>50</v>
      </c>
      <c r="CF296" s="97">
        <v>100</v>
      </c>
      <c r="CG296" s="97">
        <v>100</v>
      </c>
      <c r="CH296" s="97">
        <v>100</v>
      </c>
      <c r="CI296" s="173"/>
      <c r="CJ296" s="173"/>
      <c r="CK296" s="173"/>
      <c r="CL296" s="173"/>
      <c r="CM296" s="173"/>
      <c r="CN296" s="173"/>
      <c r="CO296" s="173"/>
      <c r="CP296" s="174"/>
      <c r="CQ296" s="174"/>
      <c r="CR296" s="174"/>
      <c r="CS296" s="174"/>
      <c r="CT296" s="174"/>
      <c r="CU296" s="174"/>
      <c r="CV296" s="174"/>
      <c r="CW296" s="165"/>
      <c r="CX296" s="166"/>
      <c r="CY296" s="166"/>
      <c r="CZ296" s="166"/>
      <c r="DA296" s="166"/>
      <c r="DB296" s="166"/>
      <c r="DC296" s="166"/>
      <c r="DD296" s="171"/>
      <c r="DE296" s="171"/>
      <c r="DF296" s="171"/>
      <c r="DG296" s="171"/>
      <c r="DH296" s="171"/>
      <c r="DI296" s="171"/>
      <c r="DJ296" s="171"/>
      <c r="DK296" s="79" t="s">
        <v>452</v>
      </c>
      <c r="DL296" s="128">
        <v>500</v>
      </c>
      <c r="DM296" s="128">
        <v>500</v>
      </c>
      <c r="DN296" s="128">
        <v>500</v>
      </c>
      <c r="DO296" s="128">
        <v>500</v>
      </c>
      <c r="DP296" s="128">
        <v>500</v>
      </c>
      <c r="DQ296" s="128">
        <v>500</v>
      </c>
      <c r="DR296" s="128">
        <v>500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1243</v>
      </c>
      <c r="C297" s="5" t="s">
        <v>788</v>
      </c>
      <c r="D297" s="5" t="s">
        <v>1376</v>
      </c>
      <c r="E297" s="5" t="s">
        <v>459</v>
      </c>
      <c r="F297" s="5" t="s">
        <v>462</v>
      </c>
      <c r="G297" s="221"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6">
        <v>0.08</v>
      </c>
      <c r="AF297" s="93">
        <v>0</v>
      </c>
      <c r="AG297" s="93">
        <v>12</v>
      </c>
      <c r="AH297" s="93">
        <v>12</v>
      </c>
      <c r="AI297" s="16">
        <f t="shared" ref="AI297" si="278">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7"/>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1335</v>
      </c>
      <c r="DL297" s="128">
        <v>200</v>
      </c>
      <c r="DM297" s="128">
        <v>200</v>
      </c>
      <c r="DN297" s="128">
        <v>200</v>
      </c>
      <c r="DO297" s="128">
        <v>200</v>
      </c>
      <c r="DP297" s="128">
        <v>200</v>
      </c>
      <c r="DQ297" s="128">
        <v>200</v>
      </c>
      <c r="DR297" s="128">
        <v>200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6">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77"/>
        <v>0</v>
      </c>
      <c r="BV298" s="28"/>
      <c r="BW298" s="28"/>
      <c r="BX298" s="28"/>
      <c r="BY298" s="28"/>
      <c r="BZ298" s="28"/>
      <c r="CA298" s="28"/>
      <c r="CB298" s="99">
        <v>1.7</v>
      </c>
      <c r="CC298" s="99">
        <v>3</v>
      </c>
      <c r="CD298" s="99">
        <v>3</v>
      </c>
      <c r="CE298" s="99">
        <v>3</v>
      </c>
      <c r="CF298" s="99">
        <v>3</v>
      </c>
      <c r="CG298" s="99">
        <v>3</v>
      </c>
      <c r="CH298" s="99">
        <v>3</v>
      </c>
      <c r="CI298" s="175"/>
      <c r="CJ298" s="175"/>
      <c r="CK298" s="175"/>
      <c r="CL298" s="175"/>
      <c r="CM298" s="175"/>
      <c r="CN298" s="175"/>
      <c r="CO298" s="175"/>
      <c r="CP298" s="176"/>
      <c r="CQ298" s="176"/>
      <c r="CR298" s="176"/>
      <c r="CS298" s="176"/>
      <c r="CT298" s="176"/>
      <c r="CU298" s="176"/>
      <c r="CV298" s="176"/>
      <c r="CW298" s="167"/>
      <c r="CX298" s="168"/>
      <c r="CY298" s="168"/>
      <c r="CZ298" s="168"/>
      <c r="DA298" s="168"/>
      <c r="DB298" s="168"/>
      <c r="DC298" s="168"/>
      <c r="DD298" s="172"/>
      <c r="DE298" s="172"/>
      <c r="DF298" s="172"/>
      <c r="DG298" s="172"/>
      <c r="DH298" s="172"/>
      <c r="DI298" s="172"/>
      <c r="DJ298" s="172"/>
      <c r="DK298" s="80" t="s">
        <v>452</v>
      </c>
      <c r="DL298" s="129">
        <v>100</v>
      </c>
      <c r="DM298" s="129">
        <v>100</v>
      </c>
      <c r="DN298" s="129">
        <v>100</v>
      </c>
      <c r="DO298" s="129">
        <v>100</v>
      </c>
      <c r="DP298" s="129">
        <v>100</v>
      </c>
      <c r="DQ298" s="129">
        <v>100</v>
      </c>
      <c r="DR298" s="129">
        <v>100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6">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77"/>
        <v>0</v>
      </c>
      <c r="BV299" s="27"/>
      <c r="BW299" s="27"/>
      <c r="BX299" s="27"/>
      <c r="BY299" s="27"/>
      <c r="BZ299" s="27"/>
      <c r="CA299" s="27"/>
      <c r="CB299" s="97">
        <v>1</v>
      </c>
      <c r="CC299" s="97">
        <v>1.5</v>
      </c>
      <c r="CD299" s="97">
        <v>3</v>
      </c>
      <c r="CE299" s="97">
        <v>3</v>
      </c>
      <c r="CF299" s="97">
        <v>3</v>
      </c>
      <c r="CG299" s="97">
        <v>3</v>
      </c>
      <c r="CH299" s="97">
        <v>3</v>
      </c>
      <c r="CI299" s="173"/>
      <c r="CJ299" s="173"/>
      <c r="CK299" s="173"/>
      <c r="CL299" s="173"/>
      <c r="CM299" s="173"/>
      <c r="CN299" s="173"/>
      <c r="CO299" s="173"/>
      <c r="CP299" s="174"/>
      <c r="CQ299" s="174"/>
      <c r="CR299" s="174"/>
      <c r="CS299" s="174"/>
      <c r="CT299" s="174"/>
      <c r="CU299" s="174"/>
      <c r="CV299" s="174"/>
      <c r="CW299" s="165"/>
      <c r="CX299" s="166"/>
      <c r="CY299" s="166"/>
      <c r="CZ299" s="166"/>
      <c r="DA299" s="166"/>
      <c r="DB299" s="166"/>
      <c r="DC299" s="166"/>
      <c r="DD299" s="171"/>
      <c r="DE299" s="171"/>
      <c r="DF299" s="171"/>
      <c r="DG299" s="171"/>
      <c r="DH299" s="171"/>
      <c r="DI299" s="171"/>
      <c r="DJ299" s="171"/>
      <c r="DK299" s="79" t="s">
        <v>452</v>
      </c>
      <c r="DL299" s="128">
        <v>100</v>
      </c>
      <c r="DM299" s="128">
        <v>100</v>
      </c>
      <c r="DN299" s="128">
        <v>100</v>
      </c>
      <c r="DO299" s="128">
        <v>100</v>
      </c>
      <c r="DP299" s="128">
        <v>100</v>
      </c>
      <c r="DQ299" s="128">
        <v>100</v>
      </c>
      <c r="DR299" s="128">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6">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77"/>
        <v>0</v>
      </c>
      <c r="BV300" s="28"/>
      <c r="BW300" s="28"/>
      <c r="BX300" s="28"/>
      <c r="BY300" s="28"/>
      <c r="BZ300" s="28"/>
      <c r="CA300" s="28"/>
      <c r="CB300" s="99">
        <v>0.2</v>
      </c>
      <c r="CC300" s="99">
        <v>1.5</v>
      </c>
      <c r="CD300" s="99">
        <v>3</v>
      </c>
      <c r="CE300" s="99">
        <v>3</v>
      </c>
      <c r="CF300" s="99">
        <v>3</v>
      </c>
      <c r="CG300" s="99">
        <v>3</v>
      </c>
      <c r="CH300" s="99">
        <v>3</v>
      </c>
      <c r="CI300" s="175"/>
      <c r="CJ300" s="175"/>
      <c r="CK300" s="175"/>
      <c r="CL300" s="175"/>
      <c r="CM300" s="175"/>
      <c r="CN300" s="175"/>
      <c r="CO300" s="175"/>
      <c r="CP300" s="176"/>
      <c r="CQ300" s="176"/>
      <c r="CR300" s="176"/>
      <c r="CS300" s="176"/>
      <c r="CT300" s="176"/>
      <c r="CU300" s="176"/>
      <c r="CV300" s="176"/>
      <c r="CW300" s="167"/>
      <c r="CX300" s="168"/>
      <c r="CY300" s="168"/>
      <c r="CZ300" s="168"/>
      <c r="DA300" s="168"/>
      <c r="DB300" s="168"/>
      <c r="DC300" s="168"/>
      <c r="DD300" s="172"/>
      <c r="DE300" s="172"/>
      <c r="DF300" s="172"/>
      <c r="DG300" s="172"/>
      <c r="DH300" s="172"/>
      <c r="DI300" s="172"/>
      <c r="DJ300" s="172"/>
      <c r="DK300" s="80" t="s">
        <v>452</v>
      </c>
      <c r="DL300" s="129">
        <v>100</v>
      </c>
      <c r="DM300" s="129">
        <v>100</v>
      </c>
      <c r="DN300" s="129">
        <v>100</v>
      </c>
      <c r="DO300" s="129">
        <v>100</v>
      </c>
      <c r="DP300" s="129">
        <v>100</v>
      </c>
      <c r="DQ300" s="129">
        <v>100</v>
      </c>
      <c r="DR300" s="129">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6">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77"/>
        <v>0</v>
      </c>
      <c r="BV301" s="27"/>
      <c r="BW301" s="27"/>
      <c r="BX301" s="27"/>
      <c r="BY301" s="27"/>
      <c r="BZ301" s="27"/>
      <c r="CA301" s="27"/>
      <c r="CB301" s="97">
        <v>0.01</v>
      </c>
      <c r="CC301" s="97">
        <v>1.5</v>
      </c>
      <c r="CD301" s="97">
        <v>3</v>
      </c>
      <c r="CE301" s="97">
        <v>3</v>
      </c>
      <c r="CF301" s="97">
        <v>3</v>
      </c>
      <c r="CG301" s="97">
        <v>3</v>
      </c>
      <c r="CH301" s="97">
        <v>3</v>
      </c>
      <c r="CI301" s="173"/>
      <c r="CJ301" s="173"/>
      <c r="CK301" s="173"/>
      <c r="CL301" s="173"/>
      <c r="CM301" s="173"/>
      <c r="CN301" s="173"/>
      <c r="CO301" s="173"/>
      <c r="CP301" s="174"/>
      <c r="CQ301" s="174"/>
      <c r="CR301" s="174"/>
      <c r="CS301" s="174"/>
      <c r="CT301" s="174"/>
      <c r="CU301" s="174"/>
      <c r="CV301" s="174"/>
      <c r="CW301" s="165"/>
      <c r="CX301" s="166"/>
      <c r="CY301" s="166"/>
      <c r="CZ301" s="166"/>
      <c r="DA301" s="166"/>
      <c r="DB301" s="166"/>
      <c r="DC301" s="166"/>
      <c r="DD301" s="171"/>
      <c r="DE301" s="171"/>
      <c r="DF301" s="171"/>
      <c r="DG301" s="171"/>
      <c r="DH301" s="171"/>
      <c r="DI301" s="171"/>
      <c r="DJ301" s="171"/>
      <c r="DK301" s="79" t="s">
        <v>452</v>
      </c>
      <c r="DL301" s="128">
        <v>100</v>
      </c>
      <c r="DM301" s="128">
        <v>100</v>
      </c>
      <c r="DN301" s="128">
        <v>100</v>
      </c>
      <c r="DO301" s="128">
        <v>100</v>
      </c>
      <c r="DP301" s="128">
        <v>100</v>
      </c>
      <c r="DQ301" s="128">
        <v>100</v>
      </c>
      <c r="DR301" s="128">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6">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77"/>
        <v>0</v>
      </c>
      <c r="BV302" s="28"/>
      <c r="BW302" s="28"/>
      <c r="BX302" s="28"/>
      <c r="BY302" s="28"/>
      <c r="BZ302" s="28"/>
      <c r="CA302" s="28"/>
      <c r="CB302" s="99">
        <v>0.2</v>
      </c>
      <c r="CC302" s="99">
        <v>1.5</v>
      </c>
      <c r="CD302" s="99">
        <v>3</v>
      </c>
      <c r="CE302" s="99">
        <v>3</v>
      </c>
      <c r="CF302" s="99">
        <v>3</v>
      </c>
      <c r="CG302" s="99">
        <v>3</v>
      </c>
      <c r="CH302" s="99">
        <v>3</v>
      </c>
      <c r="CI302" s="175"/>
      <c r="CJ302" s="175"/>
      <c r="CK302" s="175"/>
      <c r="CL302" s="175"/>
      <c r="CM302" s="175"/>
      <c r="CN302" s="175"/>
      <c r="CO302" s="175"/>
      <c r="CP302" s="176"/>
      <c r="CQ302" s="176"/>
      <c r="CR302" s="176"/>
      <c r="CS302" s="176"/>
      <c r="CT302" s="176"/>
      <c r="CU302" s="176"/>
      <c r="CV302" s="176"/>
      <c r="CW302" s="167"/>
      <c r="CX302" s="168"/>
      <c r="CY302" s="168"/>
      <c r="CZ302" s="168"/>
      <c r="DA302" s="168"/>
      <c r="DB302" s="168"/>
      <c r="DC302" s="168"/>
      <c r="DD302" s="172"/>
      <c r="DE302" s="172"/>
      <c r="DF302" s="172"/>
      <c r="DG302" s="172"/>
      <c r="DH302" s="172"/>
      <c r="DI302" s="172"/>
      <c r="DJ302" s="172"/>
      <c r="DK302" s="80" t="s">
        <v>452</v>
      </c>
      <c r="DL302" s="129">
        <v>100</v>
      </c>
      <c r="DM302" s="129">
        <v>100</v>
      </c>
      <c r="DN302" s="129">
        <v>100</v>
      </c>
      <c r="DO302" s="129">
        <v>100</v>
      </c>
      <c r="DP302" s="129">
        <v>100</v>
      </c>
      <c r="DQ302" s="129">
        <v>100</v>
      </c>
      <c r="DR302" s="129">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6">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79">IF(BL303=1,BN303,0)</f>
        <v>0</v>
      </c>
      <c r="BV303" s="27"/>
      <c r="BW303" s="27"/>
      <c r="BX303" s="27"/>
      <c r="BY303" s="27"/>
      <c r="BZ303" s="27"/>
      <c r="CA303" s="27"/>
      <c r="CB303" s="97"/>
      <c r="CC303" s="97">
        <v>1.5</v>
      </c>
      <c r="CD303" s="97">
        <v>3</v>
      </c>
      <c r="CE303" s="97">
        <v>3</v>
      </c>
      <c r="CF303" s="97">
        <v>3</v>
      </c>
      <c r="CG303" s="97">
        <v>3</v>
      </c>
      <c r="CH303" s="97">
        <v>3</v>
      </c>
      <c r="CI303" s="173"/>
      <c r="CJ303" s="173"/>
      <c r="CK303" s="173"/>
      <c r="CL303" s="173"/>
      <c r="CM303" s="173"/>
      <c r="CN303" s="173"/>
      <c r="CO303" s="173"/>
      <c r="CP303" s="174"/>
      <c r="CQ303" s="174"/>
      <c r="CR303" s="174"/>
      <c r="CS303" s="174"/>
      <c r="CT303" s="174"/>
      <c r="CU303" s="174"/>
      <c r="CV303" s="174"/>
      <c r="CW303" s="165"/>
      <c r="CX303" s="166"/>
      <c r="CY303" s="166"/>
      <c r="CZ303" s="166"/>
      <c r="DA303" s="166"/>
      <c r="DB303" s="166"/>
      <c r="DC303" s="166"/>
      <c r="DD303" s="171"/>
      <c r="DE303" s="171"/>
      <c r="DF303" s="171"/>
      <c r="DG303" s="171"/>
      <c r="DH303" s="171"/>
      <c r="DI303" s="171"/>
      <c r="DJ303" s="171"/>
      <c r="DK303" s="79" t="s">
        <v>452</v>
      </c>
      <c r="DL303" s="128">
        <v>100</v>
      </c>
      <c r="DM303" s="128">
        <v>100</v>
      </c>
      <c r="DN303" s="128">
        <v>100</v>
      </c>
      <c r="DO303" s="128">
        <v>100</v>
      </c>
      <c r="DP303" s="128">
        <v>100</v>
      </c>
      <c r="DQ303" s="128">
        <v>100</v>
      </c>
      <c r="DR303" s="128">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221"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6">
        <v>0.08</v>
      </c>
      <c r="AF304" s="93">
        <v>0</v>
      </c>
      <c r="AG304" s="93">
        <v>12</v>
      </c>
      <c r="AH304" s="93">
        <v>12</v>
      </c>
      <c r="AI304" s="16">
        <f t="shared" ref="AI304" si="280">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79"/>
        <v>0</v>
      </c>
      <c r="BV304" s="27"/>
      <c r="BW304" s="27"/>
      <c r="BX304" s="27"/>
      <c r="BY304" s="27"/>
      <c r="BZ304" s="27"/>
      <c r="CA304" s="27"/>
      <c r="CB304" s="97"/>
      <c r="CC304" s="97">
        <v>5</v>
      </c>
      <c r="CD304" s="97">
        <v>25</v>
      </c>
      <c r="CE304" s="97">
        <v>50</v>
      </c>
      <c r="CF304" s="97">
        <v>100</v>
      </c>
      <c r="CG304" s="97">
        <v>100</v>
      </c>
      <c r="CH304" s="97">
        <v>100</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1335</v>
      </c>
      <c r="DL304" s="128">
        <v>200</v>
      </c>
      <c r="DM304" s="128">
        <v>200</v>
      </c>
      <c r="DN304" s="128">
        <v>200</v>
      </c>
      <c r="DO304" s="128">
        <v>200</v>
      </c>
      <c r="DP304" s="128">
        <v>200</v>
      </c>
      <c r="DQ304" s="128">
        <v>200</v>
      </c>
      <c r="DR304" s="128">
        <v>200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6">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77"/>
        <v>0</v>
      </c>
      <c r="BV305" s="28"/>
      <c r="BW305" s="28"/>
      <c r="BX305" s="28"/>
      <c r="BY305" s="28"/>
      <c r="BZ305" s="28"/>
      <c r="CA305" s="28"/>
      <c r="CB305" s="99">
        <v>2</v>
      </c>
      <c r="CC305" s="99">
        <v>2</v>
      </c>
      <c r="CD305" s="99">
        <v>2</v>
      </c>
      <c r="CE305" s="99">
        <v>5</v>
      </c>
      <c r="CF305" s="99">
        <v>10</v>
      </c>
      <c r="CG305" s="99">
        <v>10</v>
      </c>
      <c r="CH305" s="99">
        <v>10</v>
      </c>
      <c r="CI305" s="175"/>
      <c r="CJ305" s="175"/>
      <c r="CK305" s="175"/>
      <c r="CL305" s="175"/>
      <c r="CM305" s="175"/>
      <c r="CN305" s="175"/>
      <c r="CO305" s="175"/>
      <c r="CP305" s="176"/>
      <c r="CQ305" s="176"/>
      <c r="CR305" s="176"/>
      <c r="CS305" s="176"/>
      <c r="CT305" s="176"/>
      <c r="CU305" s="176"/>
      <c r="CV305" s="176"/>
      <c r="CW305" s="167"/>
      <c r="CX305" s="168"/>
      <c r="CY305" s="168"/>
      <c r="CZ305" s="168"/>
      <c r="DA305" s="168"/>
      <c r="DB305" s="168"/>
      <c r="DC305" s="168"/>
      <c r="DD305" s="172"/>
      <c r="DE305" s="172"/>
      <c r="DF305" s="172"/>
      <c r="DG305" s="172"/>
      <c r="DH305" s="172"/>
      <c r="DI305" s="172"/>
      <c r="DJ305" s="172"/>
      <c r="DK305" s="80" t="s">
        <v>1409</v>
      </c>
      <c r="DL305" s="129">
        <v>100</v>
      </c>
      <c r="DM305" s="129">
        <v>100</v>
      </c>
      <c r="DN305" s="129">
        <v>100</v>
      </c>
      <c r="DO305" s="129">
        <v>100</v>
      </c>
      <c r="DP305" s="129">
        <v>100</v>
      </c>
      <c r="DQ305" s="129">
        <v>100</v>
      </c>
      <c r="DR305" s="129">
        <v>100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6">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77"/>
        <v>0</v>
      </c>
      <c r="BV306" s="27"/>
      <c r="BW306" s="27"/>
      <c r="BX306" s="27"/>
      <c r="BY306" s="27"/>
      <c r="BZ306" s="27"/>
      <c r="CA306" s="27"/>
      <c r="CB306" s="97"/>
      <c r="CC306" s="97">
        <v>1</v>
      </c>
      <c r="CD306" s="97">
        <v>2</v>
      </c>
      <c r="CE306" s="97">
        <v>5</v>
      </c>
      <c r="CF306" s="97">
        <v>10</v>
      </c>
      <c r="CG306" s="97">
        <v>10</v>
      </c>
      <c r="CH306" s="97">
        <v>10</v>
      </c>
      <c r="CI306" s="173"/>
      <c r="CJ306" s="173"/>
      <c r="CK306" s="173"/>
      <c r="CL306" s="173"/>
      <c r="CM306" s="173"/>
      <c r="CN306" s="173"/>
      <c r="CO306" s="173"/>
      <c r="CP306" s="174"/>
      <c r="CQ306" s="174"/>
      <c r="CR306" s="174"/>
      <c r="CS306" s="174"/>
      <c r="CT306" s="174"/>
      <c r="CU306" s="174"/>
      <c r="CV306" s="174"/>
      <c r="CW306" s="165"/>
      <c r="CX306" s="166"/>
      <c r="CY306" s="166"/>
      <c r="CZ306" s="166"/>
      <c r="DA306" s="166"/>
      <c r="DB306" s="166"/>
      <c r="DC306" s="166"/>
      <c r="DD306" s="171"/>
      <c r="DE306" s="171"/>
      <c r="DF306" s="171"/>
      <c r="DG306" s="171"/>
      <c r="DH306" s="171"/>
      <c r="DI306" s="171"/>
      <c r="DJ306" s="171"/>
      <c r="DK306" s="79" t="s">
        <v>1409</v>
      </c>
      <c r="DL306" s="128">
        <v>100</v>
      </c>
      <c r="DM306" s="128">
        <v>100</v>
      </c>
      <c r="DN306" s="128">
        <v>100</v>
      </c>
      <c r="DO306" s="128">
        <v>100</v>
      </c>
      <c r="DP306" s="128">
        <v>100</v>
      </c>
      <c r="DQ306" s="128">
        <v>100</v>
      </c>
      <c r="DR306" s="128">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6">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77"/>
        <v>0</v>
      </c>
      <c r="BV307" s="28"/>
      <c r="BW307" s="28"/>
      <c r="BX307" s="28"/>
      <c r="BY307" s="28"/>
      <c r="BZ307" s="28"/>
      <c r="CA307" s="28"/>
      <c r="CB307" s="99"/>
      <c r="CC307" s="99">
        <v>1</v>
      </c>
      <c r="CD307" s="99">
        <v>2</v>
      </c>
      <c r="CE307" s="99">
        <v>5</v>
      </c>
      <c r="CF307" s="99">
        <v>10</v>
      </c>
      <c r="CG307" s="99">
        <v>10</v>
      </c>
      <c r="CH307" s="99">
        <v>10</v>
      </c>
      <c r="CI307" s="175"/>
      <c r="CJ307" s="175"/>
      <c r="CK307" s="175"/>
      <c r="CL307" s="175"/>
      <c r="CM307" s="175"/>
      <c r="CN307" s="175"/>
      <c r="CO307" s="175"/>
      <c r="CP307" s="176"/>
      <c r="CQ307" s="176"/>
      <c r="CR307" s="176"/>
      <c r="CS307" s="176"/>
      <c r="CT307" s="176"/>
      <c r="CU307" s="176"/>
      <c r="CV307" s="176"/>
      <c r="CW307" s="167"/>
      <c r="CX307" s="168"/>
      <c r="CY307" s="168"/>
      <c r="CZ307" s="168"/>
      <c r="DA307" s="168"/>
      <c r="DB307" s="168"/>
      <c r="DC307" s="168"/>
      <c r="DD307" s="172"/>
      <c r="DE307" s="172"/>
      <c r="DF307" s="172"/>
      <c r="DG307" s="172"/>
      <c r="DH307" s="172"/>
      <c r="DI307" s="172"/>
      <c r="DJ307" s="172"/>
      <c r="DK307" s="80" t="s">
        <v>1409</v>
      </c>
      <c r="DL307" s="129">
        <v>100</v>
      </c>
      <c r="DM307" s="129">
        <v>100</v>
      </c>
      <c r="DN307" s="129">
        <v>100</v>
      </c>
      <c r="DO307" s="129">
        <v>100</v>
      </c>
      <c r="DP307" s="129">
        <v>100</v>
      </c>
      <c r="DQ307" s="129">
        <v>100</v>
      </c>
      <c r="DR307" s="129">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6">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77"/>
        <v>0</v>
      </c>
      <c r="BV308" s="27"/>
      <c r="BW308" s="27"/>
      <c r="BX308" s="27"/>
      <c r="BY308" s="27"/>
      <c r="BZ308" s="27"/>
      <c r="CA308" s="27"/>
      <c r="CB308" s="97"/>
      <c r="CC308" s="97">
        <v>1</v>
      </c>
      <c r="CD308" s="97">
        <v>2</v>
      </c>
      <c r="CE308" s="97">
        <v>5</v>
      </c>
      <c r="CF308" s="97">
        <v>10</v>
      </c>
      <c r="CG308" s="97">
        <v>10</v>
      </c>
      <c r="CH308" s="97">
        <v>10</v>
      </c>
      <c r="CI308" s="173"/>
      <c r="CJ308" s="173"/>
      <c r="CK308" s="173"/>
      <c r="CL308" s="173"/>
      <c r="CM308" s="173"/>
      <c r="CN308" s="173"/>
      <c r="CO308" s="173"/>
      <c r="CP308" s="174"/>
      <c r="CQ308" s="174"/>
      <c r="CR308" s="174"/>
      <c r="CS308" s="174"/>
      <c r="CT308" s="174"/>
      <c r="CU308" s="174"/>
      <c r="CV308" s="174"/>
      <c r="CW308" s="165"/>
      <c r="CX308" s="166"/>
      <c r="CY308" s="166"/>
      <c r="CZ308" s="166"/>
      <c r="DA308" s="166"/>
      <c r="DB308" s="166"/>
      <c r="DC308" s="166"/>
      <c r="DD308" s="171"/>
      <c r="DE308" s="171"/>
      <c r="DF308" s="171"/>
      <c r="DG308" s="171"/>
      <c r="DH308" s="171"/>
      <c r="DI308" s="171"/>
      <c r="DJ308" s="171"/>
      <c r="DK308" s="79" t="s">
        <v>1409</v>
      </c>
      <c r="DL308" s="128">
        <v>100</v>
      </c>
      <c r="DM308" s="128">
        <v>100</v>
      </c>
      <c r="DN308" s="128">
        <v>100</v>
      </c>
      <c r="DO308" s="128">
        <v>100</v>
      </c>
      <c r="DP308" s="128">
        <v>100</v>
      </c>
      <c r="DQ308" s="128">
        <v>100</v>
      </c>
      <c r="DR308" s="128">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6">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77"/>
        <v>0</v>
      </c>
      <c r="BV309" s="28"/>
      <c r="BW309" s="28"/>
      <c r="BX309" s="28"/>
      <c r="BY309" s="28"/>
      <c r="BZ309" s="28"/>
      <c r="CA309" s="28"/>
      <c r="CB309" s="99"/>
      <c r="CC309" s="99"/>
      <c r="CD309" s="99"/>
      <c r="CE309" s="99"/>
      <c r="CF309" s="99"/>
      <c r="CG309" s="99"/>
      <c r="CH309" s="99"/>
      <c r="CI309" s="175"/>
      <c r="CJ309" s="175"/>
      <c r="CK309" s="175"/>
      <c r="CL309" s="175"/>
      <c r="CM309" s="175"/>
      <c r="CN309" s="175"/>
      <c r="CO309" s="175"/>
      <c r="CP309" s="176"/>
      <c r="CQ309" s="176"/>
      <c r="CR309" s="176"/>
      <c r="CS309" s="176"/>
      <c r="CT309" s="176"/>
      <c r="CU309" s="176"/>
      <c r="CV309" s="176"/>
      <c r="CW309" s="167"/>
      <c r="CX309" s="168"/>
      <c r="CY309" s="168"/>
      <c r="CZ309" s="168"/>
      <c r="DA309" s="168"/>
      <c r="DB309" s="168"/>
      <c r="DC309" s="168"/>
      <c r="DD309" s="172"/>
      <c r="DE309" s="172"/>
      <c r="DF309" s="172"/>
      <c r="DG309" s="172"/>
      <c r="DH309" s="172"/>
      <c r="DI309" s="172"/>
      <c r="DJ309" s="172"/>
      <c r="DK309" s="80" t="s">
        <v>1409</v>
      </c>
      <c r="DL309" s="129">
        <v>0</v>
      </c>
      <c r="DM309" s="129">
        <v>0</v>
      </c>
      <c r="DN309" s="129">
        <v>0</v>
      </c>
      <c r="DO309" s="129">
        <v>0</v>
      </c>
      <c r="DP309" s="129">
        <v>0</v>
      </c>
      <c r="DQ309" s="129">
        <v>0</v>
      </c>
      <c r="DR309" s="129">
        <v>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6">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77"/>
        <v>0</v>
      </c>
      <c r="BV310" s="27"/>
      <c r="BW310" s="27"/>
      <c r="BX310" s="27"/>
      <c r="BY310" s="27"/>
      <c r="BZ310" s="27"/>
      <c r="CA310" s="27"/>
      <c r="CB310" s="97"/>
      <c r="CC310" s="97"/>
      <c r="CD310" s="97"/>
      <c r="CE310" s="97"/>
      <c r="CF310" s="97"/>
      <c r="CG310" s="97"/>
      <c r="CH310" s="97"/>
      <c r="CI310" s="173"/>
      <c r="CJ310" s="173"/>
      <c r="CK310" s="173"/>
      <c r="CL310" s="173"/>
      <c r="CM310" s="173"/>
      <c r="CN310" s="173"/>
      <c r="CO310" s="173"/>
      <c r="CP310" s="174"/>
      <c r="CQ310" s="174"/>
      <c r="CR310" s="174"/>
      <c r="CS310" s="174"/>
      <c r="CT310" s="174"/>
      <c r="CU310" s="174"/>
      <c r="CV310" s="174"/>
      <c r="CW310" s="165"/>
      <c r="CX310" s="166"/>
      <c r="CY310" s="166"/>
      <c r="CZ310" s="166"/>
      <c r="DA310" s="166"/>
      <c r="DB310" s="166"/>
      <c r="DC310" s="166"/>
      <c r="DD310" s="171"/>
      <c r="DE310" s="171"/>
      <c r="DF310" s="171"/>
      <c r="DG310" s="171"/>
      <c r="DH310" s="171"/>
      <c r="DI310" s="171"/>
      <c r="DJ310" s="171"/>
      <c r="DK310" s="79" t="s">
        <v>1409</v>
      </c>
      <c r="DL310" s="128">
        <v>100</v>
      </c>
      <c r="DM310" s="128">
        <v>100</v>
      </c>
      <c r="DN310" s="128">
        <v>100</v>
      </c>
      <c r="DO310" s="128">
        <v>100</v>
      </c>
      <c r="DP310" s="128">
        <v>100</v>
      </c>
      <c r="DQ310" s="128">
        <v>100</v>
      </c>
      <c r="DR310" s="128">
        <v>100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6">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77"/>
        <v>0</v>
      </c>
      <c r="BV311" s="28"/>
      <c r="BW311" s="28"/>
      <c r="BX311" s="28"/>
      <c r="BY311" s="28"/>
      <c r="BZ311" s="28"/>
      <c r="CA311" s="28"/>
      <c r="CB311" s="99">
        <v>0.5</v>
      </c>
      <c r="CC311" s="99">
        <v>1</v>
      </c>
      <c r="CD311" s="99">
        <v>2</v>
      </c>
      <c r="CE311" s="99">
        <v>5</v>
      </c>
      <c r="CF311" s="99">
        <v>10</v>
      </c>
      <c r="CG311" s="99">
        <v>10</v>
      </c>
      <c r="CH311" s="99">
        <v>10</v>
      </c>
      <c r="CI311" s="175"/>
      <c r="CJ311" s="175"/>
      <c r="CK311" s="175"/>
      <c r="CL311" s="175"/>
      <c r="CM311" s="175"/>
      <c r="CN311" s="175"/>
      <c r="CO311" s="175"/>
      <c r="CP311" s="176"/>
      <c r="CQ311" s="176"/>
      <c r="CR311" s="176"/>
      <c r="CS311" s="176"/>
      <c r="CT311" s="176"/>
      <c r="CU311" s="176"/>
      <c r="CV311" s="176"/>
      <c r="CW311" s="167"/>
      <c r="CX311" s="168"/>
      <c r="CY311" s="168"/>
      <c r="CZ311" s="168"/>
      <c r="DA311" s="168"/>
      <c r="DB311" s="168"/>
      <c r="DC311" s="168"/>
      <c r="DD311" s="172"/>
      <c r="DE311" s="172"/>
      <c r="DF311" s="172"/>
      <c r="DG311" s="172"/>
      <c r="DH311" s="172"/>
      <c r="DI311" s="172"/>
      <c r="DJ311" s="172"/>
      <c r="DK311" s="80" t="s">
        <v>1409</v>
      </c>
      <c r="DL311" s="129">
        <v>100</v>
      </c>
      <c r="DM311" s="129">
        <v>100</v>
      </c>
      <c r="DN311" s="129">
        <v>100</v>
      </c>
      <c r="DO311" s="129">
        <v>100</v>
      </c>
      <c r="DP311" s="129">
        <v>100</v>
      </c>
      <c r="DQ311" s="129">
        <v>100</v>
      </c>
      <c r="DR311" s="129">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6">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77"/>
        <v>0</v>
      </c>
      <c r="BV312" s="27"/>
      <c r="BW312" s="27"/>
      <c r="BX312" s="27"/>
      <c r="BY312" s="27"/>
      <c r="BZ312" s="27"/>
      <c r="CA312" s="27"/>
      <c r="CB312" s="97"/>
      <c r="CC312" s="97">
        <v>0.5</v>
      </c>
      <c r="CD312" s="97">
        <v>0.75</v>
      </c>
      <c r="CE312" s="97">
        <v>1</v>
      </c>
      <c r="CF312" s="97">
        <v>1.25</v>
      </c>
      <c r="CG312" s="97">
        <v>1.5</v>
      </c>
      <c r="CH312" s="97">
        <v>3</v>
      </c>
      <c r="CI312" s="173"/>
      <c r="CJ312" s="173"/>
      <c r="CK312" s="173"/>
      <c r="CL312" s="173"/>
      <c r="CM312" s="173"/>
      <c r="CN312" s="173"/>
      <c r="CO312" s="173"/>
      <c r="CP312" s="174"/>
      <c r="CQ312" s="174"/>
      <c r="CR312" s="174"/>
      <c r="CS312" s="174"/>
      <c r="CT312" s="174"/>
      <c r="CU312" s="174"/>
      <c r="CV312" s="174"/>
      <c r="CW312" s="165"/>
      <c r="CX312" s="166"/>
      <c r="CY312" s="166"/>
      <c r="CZ312" s="166"/>
      <c r="DA312" s="166"/>
      <c r="DB312" s="166"/>
      <c r="DC312" s="166"/>
      <c r="DD312" s="171"/>
      <c r="DE312" s="171"/>
      <c r="DF312" s="171"/>
      <c r="DG312" s="171"/>
      <c r="DH312" s="171"/>
      <c r="DI312" s="171"/>
      <c r="DJ312" s="171"/>
      <c r="DK312" s="79" t="s">
        <v>1409</v>
      </c>
      <c r="DL312" s="128">
        <v>100</v>
      </c>
      <c r="DM312" s="128">
        <v>100</v>
      </c>
      <c r="DN312" s="128">
        <v>100</v>
      </c>
      <c r="DO312" s="128">
        <v>100</v>
      </c>
      <c r="DP312" s="128">
        <v>100</v>
      </c>
      <c r="DQ312" s="128">
        <v>100</v>
      </c>
      <c r="DR312" s="128">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6">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77"/>
        <v>0</v>
      </c>
      <c r="BV313" s="28"/>
      <c r="BW313" s="28"/>
      <c r="BX313" s="28"/>
      <c r="BY313" s="28"/>
      <c r="BZ313" s="28"/>
      <c r="CA313" s="28"/>
      <c r="CB313" s="99">
        <v>2.2000000000000002</v>
      </c>
      <c r="CC313" s="99">
        <v>5</v>
      </c>
      <c r="CD313" s="99">
        <v>5</v>
      </c>
      <c r="CE313" s="99">
        <v>5</v>
      </c>
      <c r="CF313" s="99">
        <v>10</v>
      </c>
      <c r="CG313" s="99">
        <v>10</v>
      </c>
      <c r="CH313" s="99">
        <v>10</v>
      </c>
      <c r="CI313" s="175"/>
      <c r="CJ313" s="175"/>
      <c r="CK313" s="175"/>
      <c r="CL313" s="175"/>
      <c r="CM313" s="175"/>
      <c r="CN313" s="175"/>
      <c r="CO313" s="175"/>
      <c r="CP313" s="176"/>
      <c r="CQ313" s="176"/>
      <c r="CR313" s="176"/>
      <c r="CS313" s="176"/>
      <c r="CT313" s="176"/>
      <c r="CU313" s="176"/>
      <c r="CV313" s="176"/>
      <c r="CW313" s="167"/>
      <c r="CX313" s="168"/>
      <c r="CY313" s="168"/>
      <c r="CZ313" s="168"/>
      <c r="DA313" s="168"/>
      <c r="DB313" s="168"/>
      <c r="DC313" s="168"/>
      <c r="DD313" s="172"/>
      <c r="DE313" s="172"/>
      <c r="DF313" s="172"/>
      <c r="DG313" s="172"/>
      <c r="DH313" s="172"/>
      <c r="DI313" s="172"/>
      <c r="DJ313" s="172"/>
      <c r="DK313" s="80" t="s">
        <v>1409</v>
      </c>
      <c r="DL313" s="129">
        <v>100</v>
      </c>
      <c r="DM313" s="129">
        <v>100</v>
      </c>
      <c r="DN313" s="129">
        <v>100</v>
      </c>
      <c r="DO313" s="129">
        <v>100</v>
      </c>
      <c r="DP313" s="129">
        <v>100</v>
      </c>
      <c r="DQ313" s="129">
        <v>100</v>
      </c>
      <c r="DR313" s="129">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6">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77"/>
        <v>0</v>
      </c>
      <c r="BV314" s="27"/>
      <c r="BW314" s="27"/>
      <c r="BX314" s="27"/>
      <c r="BY314" s="27"/>
      <c r="BZ314" s="27"/>
      <c r="CA314" s="27"/>
      <c r="CB314" s="97"/>
      <c r="CC314" s="97">
        <v>1</v>
      </c>
      <c r="CD314" s="97">
        <v>2</v>
      </c>
      <c r="CE314" s="97">
        <v>5</v>
      </c>
      <c r="CF314" s="97">
        <v>10</v>
      </c>
      <c r="CG314" s="97">
        <v>10</v>
      </c>
      <c r="CH314" s="97">
        <v>10</v>
      </c>
      <c r="CI314" s="173"/>
      <c r="CJ314" s="173"/>
      <c r="CK314" s="173"/>
      <c r="CL314" s="173"/>
      <c r="CM314" s="173"/>
      <c r="CN314" s="173"/>
      <c r="CO314" s="173"/>
      <c r="CP314" s="174"/>
      <c r="CQ314" s="174"/>
      <c r="CR314" s="174"/>
      <c r="CS314" s="174"/>
      <c r="CT314" s="174"/>
      <c r="CU314" s="174"/>
      <c r="CV314" s="174"/>
      <c r="CW314" s="165"/>
      <c r="CX314" s="166"/>
      <c r="CY314" s="166"/>
      <c r="CZ314" s="166"/>
      <c r="DA314" s="166"/>
      <c r="DB314" s="166"/>
      <c r="DC314" s="166"/>
      <c r="DD314" s="171"/>
      <c r="DE314" s="171"/>
      <c r="DF314" s="171"/>
      <c r="DG314" s="171"/>
      <c r="DH314" s="171"/>
      <c r="DI314" s="171"/>
      <c r="DJ314" s="171"/>
      <c r="DK314" s="79" t="s">
        <v>1409</v>
      </c>
      <c r="DL314" s="128">
        <v>100</v>
      </c>
      <c r="DM314" s="128">
        <v>100</v>
      </c>
      <c r="DN314" s="128">
        <v>100</v>
      </c>
      <c r="DO314" s="128">
        <v>100</v>
      </c>
      <c r="DP314" s="128">
        <v>100</v>
      </c>
      <c r="DQ314" s="128">
        <v>100</v>
      </c>
      <c r="DR314" s="128">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6">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81">IF(BL315=1,BN315,0)</f>
        <v>0</v>
      </c>
      <c r="BV315" s="28"/>
      <c r="BW315" s="28"/>
      <c r="BX315" s="28"/>
      <c r="BY315" s="28"/>
      <c r="BZ315" s="28"/>
      <c r="CA315" s="28"/>
      <c r="CB315" s="99">
        <v>0.1</v>
      </c>
      <c r="CC315" s="99">
        <v>0.1</v>
      </c>
      <c r="CD315" s="99">
        <v>0.1</v>
      </c>
      <c r="CE315" s="99"/>
      <c r="CF315" s="99"/>
      <c r="CG315" s="99"/>
      <c r="CH315" s="99"/>
      <c r="CI315" s="175"/>
      <c r="CJ315" s="175"/>
      <c r="CK315" s="175"/>
      <c r="CL315" s="175"/>
      <c r="CM315" s="175"/>
      <c r="CN315" s="175"/>
      <c r="CO315" s="175"/>
      <c r="CP315" s="176"/>
      <c r="CQ315" s="176"/>
      <c r="CR315" s="176"/>
      <c r="CS315" s="176"/>
      <c r="CT315" s="176"/>
      <c r="CU315" s="176"/>
      <c r="CV315" s="176"/>
      <c r="CW315" s="167"/>
      <c r="CX315" s="168"/>
      <c r="CY315" s="168"/>
      <c r="CZ315" s="168"/>
      <c r="DA315" s="168"/>
      <c r="DB315" s="168"/>
      <c r="DC315" s="168"/>
      <c r="DD315" s="172"/>
      <c r="DE315" s="172"/>
      <c r="DF315" s="172"/>
      <c r="DG315" s="172"/>
      <c r="DH315" s="172"/>
      <c r="DI315" s="172"/>
      <c r="DJ315" s="172"/>
      <c r="DK315" s="80" t="s">
        <v>1409</v>
      </c>
      <c r="DL315" s="129">
        <v>100</v>
      </c>
      <c r="DM315" s="129">
        <v>100</v>
      </c>
      <c r="DN315" s="129">
        <v>100</v>
      </c>
      <c r="DO315" s="129">
        <v>100</v>
      </c>
      <c r="DP315" s="129">
        <v>100</v>
      </c>
      <c r="DQ315" s="129">
        <v>100</v>
      </c>
      <c r="DR315" s="129">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6">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81"/>
        <v>0</v>
      </c>
      <c r="BV316" s="27"/>
      <c r="BW316" s="27"/>
      <c r="BX316" s="27"/>
      <c r="BY316" s="27"/>
      <c r="BZ316" s="27"/>
      <c r="CA316" s="27"/>
      <c r="CB316" s="97"/>
      <c r="CC316" s="97">
        <v>0.1</v>
      </c>
      <c r="CD316" s="97">
        <v>0.1</v>
      </c>
      <c r="CE316" s="97"/>
      <c r="CF316" s="97"/>
      <c r="CG316" s="97"/>
      <c r="CH316" s="97"/>
      <c r="CI316" s="173"/>
      <c r="CJ316" s="173"/>
      <c r="CK316" s="173"/>
      <c r="CL316" s="173"/>
      <c r="CM316" s="173"/>
      <c r="CN316" s="173"/>
      <c r="CO316" s="173"/>
      <c r="CP316" s="174"/>
      <c r="CQ316" s="174"/>
      <c r="CR316" s="174"/>
      <c r="CS316" s="174"/>
      <c r="CT316" s="174"/>
      <c r="CU316" s="174"/>
      <c r="CV316" s="174"/>
      <c r="CW316" s="165"/>
      <c r="CX316" s="166"/>
      <c r="CY316" s="166"/>
      <c r="CZ316" s="166"/>
      <c r="DA316" s="166"/>
      <c r="DB316" s="166"/>
      <c r="DC316" s="166"/>
      <c r="DD316" s="171"/>
      <c r="DE316" s="171"/>
      <c r="DF316" s="171"/>
      <c r="DG316" s="171"/>
      <c r="DH316" s="171"/>
      <c r="DI316" s="171"/>
      <c r="DJ316" s="171"/>
      <c r="DK316" s="79" t="s">
        <v>1409</v>
      </c>
      <c r="DL316" s="128">
        <v>100</v>
      </c>
      <c r="DM316" s="128">
        <v>100</v>
      </c>
      <c r="DN316" s="128">
        <v>100</v>
      </c>
      <c r="DO316" s="128">
        <v>100</v>
      </c>
      <c r="DP316" s="128">
        <v>100</v>
      </c>
      <c r="DQ316" s="128">
        <v>100</v>
      </c>
      <c r="DR316" s="128">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6">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5"/>
      <c r="CJ317" s="175"/>
      <c r="CK317" s="175"/>
      <c r="CL317" s="175"/>
      <c r="CM317" s="175"/>
      <c r="CN317" s="175"/>
      <c r="CO317" s="175"/>
      <c r="CP317" s="176"/>
      <c r="CQ317" s="176"/>
      <c r="CR317" s="176"/>
      <c r="CS317" s="176"/>
      <c r="CT317" s="176"/>
      <c r="CU317" s="176"/>
      <c r="CV317" s="176"/>
      <c r="CW317" s="167"/>
      <c r="CX317" s="168"/>
      <c r="CY317" s="168"/>
      <c r="CZ317" s="168"/>
      <c r="DA317" s="168"/>
      <c r="DB317" s="168"/>
      <c r="DC317" s="168"/>
      <c r="DD317" s="172"/>
      <c r="DE317" s="172"/>
      <c r="DF317" s="172"/>
      <c r="DG317" s="172"/>
      <c r="DH317" s="172"/>
      <c r="DI317" s="172"/>
      <c r="DJ317" s="172"/>
      <c r="DK317" s="80" t="s">
        <v>1409</v>
      </c>
      <c r="DL317" s="129">
        <v>15</v>
      </c>
      <c r="DM317" s="129">
        <v>15</v>
      </c>
      <c r="DN317" s="129">
        <v>15</v>
      </c>
      <c r="DO317" s="129">
        <v>15</v>
      </c>
      <c r="DP317" s="129">
        <v>15</v>
      </c>
      <c r="DQ317" s="129">
        <v>15</v>
      </c>
      <c r="DR317" s="129">
        <v>15</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6">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77"/>
        <v>0</v>
      </c>
      <c r="BV318" s="27"/>
      <c r="BW318" s="27"/>
      <c r="BX318" s="27"/>
      <c r="BY318" s="27"/>
      <c r="BZ318" s="27"/>
      <c r="CA318" s="27"/>
      <c r="CB318" s="97">
        <v>0.6</v>
      </c>
      <c r="CC318" s="97">
        <v>1</v>
      </c>
      <c r="CD318" s="97">
        <v>2</v>
      </c>
      <c r="CE318" s="97">
        <v>5</v>
      </c>
      <c r="CF318" s="97">
        <v>10</v>
      </c>
      <c r="CG318" s="97">
        <v>10</v>
      </c>
      <c r="CH318" s="97">
        <v>10</v>
      </c>
      <c r="CI318" s="173"/>
      <c r="CJ318" s="173"/>
      <c r="CK318" s="173"/>
      <c r="CL318" s="173"/>
      <c r="CM318" s="173"/>
      <c r="CN318" s="173"/>
      <c r="CO318" s="173"/>
      <c r="CP318" s="174"/>
      <c r="CQ318" s="174"/>
      <c r="CR318" s="174"/>
      <c r="CS318" s="174"/>
      <c r="CT318" s="174"/>
      <c r="CU318" s="174"/>
      <c r="CV318" s="174"/>
      <c r="CW318" s="165"/>
      <c r="CX318" s="166"/>
      <c r="CY318" s="166"/>
      <c r="CZ318" s="166"/>
      <c r="DA318" s="166"/>
      <c r="DB318" s="166"/>
      <c r="DC318" s="166"/>
      <c r="DD318" s="171"/>
      <c r="DE318" s="171"/>
      <c r="DF318" s="171"/>
      <c r="DG318" s="171"/>
      <c r="DH318" s="171"/>
      <c r="DI318" s="171"/>
      <c r="DJ318" s="171"/>
      <c r="DK318" s="79" t="s">
        <v>1409</v>
      </c>
      <c r="DL318" s="128">
        <v>100</v>
      </c>
      <c r="DM318" s="128">
        <v>100</v>
      </c>
      <c r="DN318" s="128">
        <v>100</v>
      </c>
      <c r="DO318" s="128">
        <v>100</v>
      </c>
      <c r="DP318" s="128">
        <v>100</v>
      </c>
      <c r="DQ318" s="128">
        <v>100</v>
      </c>
      <c r="DR318" s="128">
        <v>100</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6">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77"/>
        <v>0</v>
      </c>
      <c r="BV319" s="28"/>
      <c r="BW319" s="28"/>
      <c r="BX319" s="28"/>
      <c r="BY319" s="28"/>
      <c r="BZ319" s="28"/>
      <c r="CA319" s="28"/>
      <c r="CB319" s="99"/>
      <c r="CC319" s="99">
        <v>1</v>
      </c>
      <c r="CD319" s="99">
        <v>2</v>
      </c>
      <c r="CE319" s="99">
        <v>5</v>
      </c>
      <c r="CF319" s="99">
        <v>10</v>
      </c>
      <c r="CG319" s="99">
        <v>10</v>
      </c>
      <c r="CH319" s="99">
        <v>10</v>
      </c>
      <c r="CI319" s="175"/>
      <c r="CJ319" s="175"/>
      <c r="CK319" s="175"/>
      <c r="CL319" s="175"/>
      <c r="CM319" s="175"/>
      <c r="CN319" s="175"/>
      <c r="CO319" s="175"/>
      <c r="CP319" s="176"/>
      <c r="CQ319" s="176"/>
      <c r="CR319" s="176"/>
      <c r="CS319" s="176"/>
      <c r="CT319" s="176"/>
      <c r="CU319" s="176"/>
      <c r="CV319" s="176"/>
      <c r="CW319" s="167"/>
      <c r="CX319" s="168"/>
      <c r="CY319" s="168"/>
      <c r="CZ319" s="168"/>
      <c r="DA319" s="168"/>
      <c r="DB319" s="168"/>
      <c r="DC319" s="168"/>
      <c r="DD319" s="172"/>
      <c r="DE319" s="172"/>
      <c r="DF319" s="172"/>
      <c r="DG319" s="172"/>
      <c r="DH319" s="172"/>
      <c r="DI319" s="172"/>
      <c r="DJ319" s="172"/>
      <c r="DK319" s="80" t="s">
        <v>1409</v>
      </c>
      <c r="DL319" s="129">
        <v>100</v>
      </c>
      <c r="DM319" s="129">
        <v>100</v>
      </c>
      <c r="DN319" s="129">
        <v>100</v>
      </c>
      <c r="DO319" s="129">
        <v>100</v>
      </c>
      <c r="DP319" s="129">
        <v>100</v>
      </c>
      <c r="DQ319" s="129">
        <v>100</v>
      </c>
      <c r="DR319" s="129">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5" t="s">
        <v>1438</v>
      </c>
      <c r="B320" s="5" t="s">
        <v>740</v>
      </c>
      <c r="C320" s="5" t="s">
        <v>788</v>
      </c>
      <c r="D320" s="5" t="s">
        <v>741</v>
      </c>
      <c r="E320" s="5" t="s">
        <v>459</v>
      </c>
      <c r="F320" s="5" t="s">
        <v>464</v>
      </c>
      <c r="G320" s="221"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6">
        <v>0.08</v>
      </c>
      <c r="AF320" s="93">
        <v>0</v>
      </c>
      <c r="AG320" s="93">
        <v>12</v>
      </c>
      <c r="AH320" s="93">
        <v>12</v>
      </c>
      <c r="AI320" s="16">
        <f t="shared" ref="AI320" si="282">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77"/>
        <v>0</v>
      </c>
      <c r="BV320" s="27"/>
      <c r="BW320" s="27"/>
      <c r="BX320" s="27"/>
      <c r="BY320" s="27"/>
      <c r="BZ320" s="27"/>
      <c r="CA320" s="27"/>
      <c r="CB320" s="97"/>
      <c r="CC320" s="97">
        <v>5</v>
      </c>
      <c r="CD320" s="97">
        <v>25</v>
      </c>
      <c r="CE320" s="97">
        <v>50</v>
      </c>
      <c r="CF320" s="97">
        <v>100</v>
      </c>
      <c r="CG320" s="97">
        <v>100</v>
      </c>
      <c r="CH320" s="97">
        <v>100</v>
      </c>
      <c r="CI320" s="173"/>
      <c r="CJ320" s="173"/>
      <c r="CK320" s="173"/>
      <c r="CL320" s="173"/>
      <c r="CM320" s="173"/>
      <c r="CN320" s="173"/>
      <c r="CO320" s="173"/>
      <c r="CP320" s="174"/>
      <c r="CQ320" s="174"/>
      <c r="CR320" s="174"/>
      <c r="CS320" s="174"/>
      <c r="CT320" s="174"/>
      <c r="CU320" s="174"/>
      <c r="CV320" s="174"/>
      <c r="CW320" s="165"/>
      <c r="CX320" s="166"/>
      <c r="CY320" s="166"/>
      <c r="CZ320" s="166"/>
      <c r="DA320" s="166"/>
      <c r="DB320" s="166"/>
      <c r="DC320" s="166"/>
      <c r="DD320" s="171"/>
      <c r="DE320" s="171"/>
      <c r="DF320" s="171"/>
      <c r="DG320" s="171"/>
      <c r="DH320" s="171"/>
      <c r="DI320" s="171"/>
      <c r="DJ320" s="171"/>
      <c r="DK320" s="79" t="s">
        <v>1335</v>
      </c>
      <c r="DL320" s="128">
        <v>200</v>
      </c>
      <c r="DM320" s="128">
        <v>200</v>
      </c>
      <c r="DN320" s="128">
        <v>200</v>
      </c>
      <c r="DO320" s="128">
        <v>200</v>
      </c>
      <c r="DP320" s="128">
        <v>200</v>
      </c>
      <c r="DQ320" s="128">
        <v>200</v>
      </c>
      <c r="DR320" s="128">
        <v>200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6">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77"/>
        <v>0</v>
      </c>
      <c r="BV321" s="28"/>
      <c r="BW321" s="28"/>
      <c r="BX321" s="28"/>
      <c r="BY321" s="28"/>
      <c r="BZ321" s="28"/>
      <c r="CA321" s="28"/>
      <c r="CB321" s="99"/>
      <c r="CC321" s="99">
        <v>1</v>
      </c>
      <c r="CD321" s="99">
        <v>2</v>
      </c>
      <c r="CE321" s="99">
        <v>5</v>
      </c>
      <c r="CF321" s="99">
        <v>10</v>
      </c>
      <c r="CG321" s="99">
        <v>10</v>
      </c>
      <c r="CH321" s="99">
        <v>10</v>
      </c>
      <c r="CI321" s="175"/>
      <c r="CJ321" s="175"/>
      <c r="CK321" s="175"/>
      <c r="CL321" s="175"/>
      <c r="CM321" s="175"/>
      <c r="CN321" s="175"/>
      <c r="CO321" s="175"/>
      <c r="CP321" s="176"/>
      <c r="CQ321" s="176"/>
      <c r="CR321" s="176"/>
      <c r="CS321" s="176"/>
      <c r="CT321" s="176"/>
      <c r="CU321" s="176"/>
      <c r="CV321" s="176"/>
      <c r="CW321" s="167"/>
      <c r="CX321" s="168"/>
      <c r="CY321" s="168"/>
      <c r="CZ321" s="168"/>
      <c r="DA321" s="168"/>
      <c r="DB321" s="168"/>
      <c r="DC321" s="168"/>
      <c r="DD321" s="172"/>
      <c r="DE321" s="172"/>
      <c r="DF321" s="172"/>
      <c r="DG321" s="172"/>
      <c r="DH321" s="172"/>
      <c r="DI321" s="172"/>
      <c r="DJ321" s="172"/>
      <c r="DK321" s="80" t="s">
        <v>1409</v>
      </c>
      <c r="DL321" s="129">
        <v>100</v>
      </c>
      <c r="DM321" s="129">
        <v>100</v>
      </c>
      <c r="DN321" s="129">
        <v>100</v>
      </c>
      <c r="DO321" s="129">
        <v>100</v>
      </c>
      <c r="DP321" s="129">
        <v>100</v>
      </c>
      <c r="DQ321" s="129">
        <v>100</v>
      </c>
      <c r="DR321" s="129">
        <v>100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tr">
        <f>H249</f>
        <v>[GW]</v>
      </c>
      <c r="I322" s="102">
        <f t="shared" ref="I322:AH322" si="283">I249</f>
        <v>9867</v>
      </c>
      <c r="J322" s="102">
        <f t="shared" si="283"/>
        <v>8745.75</v>
      </c>
      <c r="K322" s="102">
        <f t="shared" si="283"/>
        <v>7097</v>
      </c>
      <c r="L322" s="102">
        <f t="shared" si="283"/>
        <v>6600</v>
      </c>
      <c r="M322" s="102">
        <f t="shared" si="283"/>
        <v>6400</v>
      </c>
      <c r="N322" s="102">
        <f t="shared" si="283"/>
        <v>6200</v>
      </c>
      <c r="O322" s="102">
        <f t="shared" si="283"/>
        <v>6104</v>
      </c>
      <c r="P322" s="94">
        <v>0</v>
      </c>
      <c r="Q322" s="102">
        <f t="shared" si="283"/>
        <v>100.4</v>
      </c>
      <c r="R322" s="102">
        <f t="shared" si="283"/>
        <v>100.4</v>
      </c>
      <c r="S322" s="102">
        <f t="shared" si="283"/>
        <v>100.4</v>
      </c>
      <c r="T322" s="102">
        <f t="shared" si="283"/>
        <v>100.4</v>
      </c>
      <c r="U322" s="102">
        <f t="shared" si="283"/>
        <v>100.4</v>
      </c>
      <c r="V322" s="102">
        <f t="shared" si="283"/>
        <v>100.4</v>
      </c>
      <c r="W322" s="102">
        <f t="shared" si="283"/>
        <v>100.4</v>
      </c>
      <c r="X322" s="102">
        <f t="shared" si="283"/>
        <v>4.9400000000000004</v>
      </c>
      <c r="Y322" s="102">
        <f t="shared" si="283"/>
        <v>4.9400000000000004</v>
      </c>
      <c r="Z322" s="102">
        <f t="shared" si="283"/>
        <v>4.9400000000000004</v>
      </c>
      <c r="AA322" s="102">
        <f t="shared" si="283"/>
        <v>4.9400000000000004</v>
      </c>
      <c r="AB322" s="102">
        <f t="shared" si="283"/>
        <v>4.9400000000000004</v>
      </c>
      <c r="AC322" s="102">
        <f t="shared" si="283"/>
        <v>4.9400000000000004</v>
      </c>
      <c r="AD322" s="102">
        <f t="shared" si="283"/>
        <v>4.9400000000000004</v>
      </c>
      <c r="AE322" s="186">
        <v>0.08</v>
      </c>
      <c r="AF322" s="94">
        <f t="shared" si="283"/>
        <v>0</v>
      </c>
      <c r="AG322" s="94">
        <f t="shared" si="283"/>
        <v>60</v>
      </c>
      <c r="AH322" s="94">
        <f t="shared" si="283"/>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284">IF(BL322=1,BN322,0)</f>
        <v>0</v>
      </c>
      <c r="BV322" s="28"/>
      <c r="BW322" s="28"/>
      <c r="BX322" s="28"/>
      <c r="BY322" s="28"/>
      <c r="BZ322" s="28"/>
      <c r="CA322" s="28"/>
      <c r="CB322" s="99"/>
      <c r="CC322" s="99">
        <f t="shared" ref="CC322:CD322" si="285">CC249</f>
        <v>0</v>
      </c>
      <c r="CD322" s="99">
        <f t="shared" si="285"/>
        <v>0</v>
      </c>
      <c r="CE322" s="99"/>
      <c r="CF322" s="99"/>
      <c r="CG322" s="99"/>
      <c r="CH322" s="99"/>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1409</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286">J322</f>
        <v>8745.75</v>
      </c>
      <c r="K323" s="102">
        <f t="shared" si="286"/>
        <v>7097</v>
      </c>
      <c r="L323" s="102">
        <f t="shared" si="286"/>
        <v>6600</v>
      </c>
      <c r="M323" s="102">
        <f t="shared" si="286"/>
        <v>6400</v>
      </c>
      <c r="N323" s="102">
        <f t="shared" si="286"/>
        <v>6200</v>
      </c>
      <c r="O323" s="102">
        <f t="shared" si="286"/>
        <v>6104</v>
      </c>
      <c r="P323" s="94">
        <v>0</v>
      </c>
      <c r="Q323" s="102">
        <f t="shared" si="286"/>
        <v>100.4</v>
      </c>
      <c r="R323" s="102">
        <f t="shared" si="286"/>
        <v>100.4</v>
      </c>
      <c r="S323" s="102">
        <f t="shared" si="286"/>
        <v>100.4</v>
      </c>
      <c r="T323" s="102">
        <f t="shared" si="286"/>
        <v>100.4</v>
      </c>
      <c r="U323" s="102">
        <f t="shared" si="286"/>
        <v>100.4</v>
      </c>
      <c r="V323" s="102">
        <f t="shared" si="286"/>
        <v>100.4</v>
      </c>
      <c r="W323" s="102">
        <f t="shared" si="286"/>
        <v>100.4</v>
      </c>
      <c r="X323" s="102">
        <f t="shared" si="286"/>
        <v>4.9400000000000004</v>
      </c>
      <c r="Y323" s="102">
        <f t="shared" si="286"/>
        <v>4.9400000000000004</v>
      </c>
      <c r="Z323" s="102">
        <f t="shared" si="286"/>
        <v>4.9400000000000004</v>
      </c>
      <c r="AA323" s="102">
        <f t="shared" si="286"/>
        <v>4.9400000000000004</v>
      </c>
      <c r="AB323" s="102">
        <f t="shared" si="286"/>
        <v>4.9400000000000004</v>
      </c>
      <c r="AC323" s="102">
        <f t="shared" si="286"/>
        <v>4.9400000000000004</v>
      </c>
      <c r="AD323" s="102">
        <f t="shared" si="286"/>
        <v>4.9400000000000004</v>
      </c>
      <c r="AE323" s="186">
        <v>0.08</v>
      </c>
      <c r="AF323" s="94">
        <f t="shared" si="286"/>
        <v>0</v>
      </c>
      <c r="AG323" s="94">
        <f t="shared" si="286"/>
        <v>60</v>
      </c>
      <c r="AH323" s="94">
        <f t="shared" si="286"/>
        <v>60</v>
      </c>
      <c r="AI323" s="17">
        <f t="shared" si="286"/>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7">IF(BL323=1,BN323,0)</f>
        <v>0</v>
      </c>
      <c r="BV323" s="28"/>
      <c r="BW323" s="28"/>
      <c r="BX323" s="28"/>
      <c r="BY323" s="28"/>
      <c r="BZ323" s="28"/>
      <c r="CA323" s="28"/>
      <c r="CB323" s="99">
        <f t="shared" ref="CB323:CE323" si="288">CB322</f>
        <v>0</v>
      </c>
      <c r="CC323" s="99">
        <f t="shared" si="288"/>
        <v>0</v>
      </c>
      <c r="CD323" s="99">
        <f t="shared" si="288"/>
        <v>0</v>
      </c>
      <c r="CE323" s="99">
        <f t="shared" si="288"/>
        <v>0</v>
      </c>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1409</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6">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5">
        <v>10</v>
      </c>
      <c r="CC324" s="185">
        <v>10</v>
      </c>
      <c r="CD324" s="185">
        <v>10</v>
      </c>
      <c r="CE324" s="97">
        <v>0.5</v>
      </c>
      <c r="CF324" s="97">
        <v>0.5</v>
      </c>
      <c r="CG324" s="97">
        <v>0.5</v>
      </c>
      <c r="CH324" s="97">
        <v>0.5</v>
      </c>
      <c r="CI324" s="173"/>
      <c r="CJ324" s="173"/>
      <c r="CK324" s="173"/>
      <c r="CL324" s="173"/>
      <c r="CM324" s="173"/>
      <c r="CN324" s="173"/>
      <c r="CO324" s="173"/>
      <c r="CP324" s="174"/>
      <c r="CQ324" s="174"/>
      <c r="CR324" s="174"/>
      <c r="CS324" s="174"/>
      <c r="CT324" s="174"/>
      <c r="CU324" s="174"/>
      <c r="CV324" s="174"/>
      <c r="CW324" s="165"/>
      <c r="CX324" s="166"/>
      <c r="CY324" s="166"/>
      <c r="CZ324" s="166"/>
      <c r="DA324" s="166"/>
      <c r="DB324" s="166"/>
      <c r="DC324" s="166"/>
      <c r="DD324" s="171"/>
      <c r="DE324" s="171"/>
      <c r="DF324" s="171"/>
      <c r="DG324" s="171"/>
      <c r="DH324" s="171"/>
      <c r="DI324" s="171"/>
      <c r="DJ324" s="171"/>
      <c r="DK324" s="79" t="s">
        <v>1409</v>
      </c>
      <c r="DL324" s="128">
        <v>500</v>
      </c>
      <c r="DM324" s="128">
        <v>500</v>
      </c>
      <c r="DN324" s="128">
        <v>500</v>
      </c>
      <c r="DO324" s="128">
        <v>500</v>
      </c>
      <c r="DP324" s="128">
        <v>500</v>
      </c>
      <c r="DQ324" s="128">
        <v>500</v>
      </c>
      <c r="DR324" s="128">
        <v>500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6">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77"/>
        <v>0</v>
      </c>
      <c r="BV325" s="28"/>
      <c r="BW325" s="28"/>
      <c r="BX325" s="28"/>
      <c r="BY325" s="28"/>
      <c r="BZ325" s="28"/>
      <c r="CA325" s="28"/>
      <c r="CB325" s="99"/>
      <c r="CC325" s="99">
        <v>1</v>
      </c>
      <c r="CD325" s="99">
        <v>2</v>
      </c>
      <c r="CE325" s="99">
        <v>5</v>
      </c>
      <c r="CF325" s="99">
        <v>10</v>
      </c>
      <c r="CG325" s="99">
        <v>10</v>
      </c>
      <c r="CH325" s="99">
        <v>10</v>
      </c>
      <c r="CI325" s="175"/>
      <c r="CJ325" s="175"/>
      <c r="CK325" s="175"/>
      <c r="CL325" s="175"/>
      <c r="CM325" s="175"/>
      <c r="CN325" s="175"/>
      <c r="CO325" s="175"/>
      <c r="CP325" s="176"/>
      <c r="CQ325" s="176"/>
      <c r="CR325" s="176"/>
      <c r="CS325" s="176"/>
      <c r="CT325" s="176"/>
      <c r="CU325" s="176"/>
      <c r="CV325" s="176"/>
      <c r="CW325" s="167"/>
      <c r="CX325" s="168"/>
      <c r="CY325" s="168"/>
      <c r="CZ325" s="168"/>
      <c r="DA325" s="168"/>
      <c r="DB325" s="168"/>
      <c r="DC325" s="168"/>
      <c r="DD325" s="172"/>
      <c r="DE325" s="172"/>
      <c r="DF325" s="172"/>
      <c r="DG325" s="172"/>
      <c r="DH325" s="172"/>
      <c r="DI325" s="172"/>
      <c r="DJ325" s="172"/>
      <c r="DK325" s="80" t="s">
        <v>1409</v>
      </c>
      <c r="DL325" s="129">
        <v>150</v>
      </c>
      <c r="DM325" s="129">
        <v>150</v>
      </c>
      <c r="DN325" s="129">
        <v>150</v>
      </c>
      <c r="DO325" s="129">
        <v>150</v>
      </c>
      <c r="DP325" s="129">
        <v>150</v>
      </c>
      <c r="DQ325" s="129">
        <v>150</v>
      </c>
      <c r="DR325" s="129">
        <v>150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6">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77"/>
        <v>0</v>
      </c>
      <c r="BV326" s="27"/>
      <c r="BW326" s="27"/>
      <c r="BX326" s="27"/>
      <c r="BY326" s="27"/>
      <c r="BZ326" s="27"/>
      <c r="CA326" s="27"/>
      <c r="CB326" s="97"/>
      <c r="CC326" s="97">
        <v>1</v>
      </c>
      <c r="CD326" s="97">
        <v>2</v>
      </c>
      <c r="CE326" s="97">
        <v>5</v>
      </c>
      <c r="CF326" s="97">
        <v>10</v>
      </c>
      <c r="CG326" s="97">
        <v>10</v>
      </c>
      <c r="CH326" s="97">
        <v>10</v>
      </c>
      <c r="CI326" s="173"/>
      <c r="CJ326" s="173"/>
      <c r="CK326" s="173"/>
      <c r="CL326" s="173"/>
      <c r="CM326" s="173"/>
      <c r="CN326" s="173"/>
      <c r="CO326" s="173"/>
      <c r="CP326" s="174"/>
      <c r="CQ326" s="174"/>
      <c r="CR326" s="174"/>
      <c r="CS326" s="174"/>
      <c r="CT326" s="174"/>
      <c r="CU326" s="174"/>
      <c r="CV326" s="174"/>
      <c r="CW326" s="165"/>
      <c r="CX326" s="166"/>
      <c r="CY326" s="166"/>
      <c r="CZ326" s="166"/>
      <c r="DA326" s="166"/>
      <c r="DB326" s="166"/>
      <c r="DC326" s="166"/>
      <c r="DD326" s="171"/>
      <c r="DE326" s="171"/>
      <c r="DF326" s="171"/>
      <c r="DG326" s="171"/>
      <c r="DH326" s="171"/>
      <c r="DI326" s="171"/>
      <c r="DJ326" s="171"/>
      <c r="DK326" s="79" t="s">
        <v>1409</v>
      </c>
      <c r="DL326" s="128">
        <v>150</v>
      </c>
      <c r="DM326" s="128">
        <v>150</v>
      </c>
      <c r="DN326" s="128">
        <v>150</v>
      </c>
      <c r="DO326" s="128">
        <v>150</v>
      </c>
      <c r="DP326" s="128">
        <v>150</v>
      </c>
      <c r="DQ326" s="128">
        <v>150</v>
      </c>
      <c r="DR326" s="128">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6">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77"/>
        <v>0</v>
      </c>
      <c r="BV327" s="28"/>
      <c r="BW327" s="28"/>
      <c r="BX327" s="28"/>
      <c r="BY327" s="28"/>
      <c r="BZ327" s="28"/>
      <c r="CA327" s="28"/>
      <c r="CB327" s="99"/>
      <c r="CC327" s="99">
        <v>1</v>
      </c>
      <c r="CD327" s="99">
        <v>2</v>
      </c>
      <c r="CE327" s="99">
        <v>5</v>
      </c>
      <c r="CF327" s="99">
        <v>10</v>
      </c>
      <c r="CG327" s="99">
        <v>10</v>
      </c>
      <c r="CH327" s="99">
        <v>10</v>
      </c>
      <c r="CI327" s="175"/>
      <c r="CJ327" s="175"/>
      <c r="CK327" s="175"/>
      <c r="CL327" s="175"/>
      <c r="CM327" s="175"/>
      <c r="CN327" s="175"/>
      <c r="CO327" s="175"/>
      <c r="CP327" s="176"/>
      <c r="CQ327" s="176"/>
      <c r="CR327" s="176"/>
      <c r="CS327" s="176"/>
      <c r="CT327" s="176"/>
      <c r="CU327" s="176"/>
      <c r="CV327" s="176"/>
      <c r="CW327" s="167"/>
      <c r="CX327" s="168"/>
      <c r="CY327" s="168"/>
      <c r="CZ327" s="168"/>
      <c r="DA327" s="168"/>
      <c r="DB327" s="168"/>
      <c r="DC327" s="168"/>
      <c r="DD327" s="172"/>
      <c r="DE327" s="172"/>
      <c r="DF327" s="172"/>
      <c r="DG327" s="172"/>
      <c r="DH327" s="172"/>
      <c r="DI327" s="172"/>
      <c r="DJ327" s="172"/>
      <c r="DK327" s="80" t="s">
        <v>1409</v>
      </c>
      <c r="DL327" s="129">
        <v>150</v>
      </c>
      <c r="DM327" s="129">
        <v>150</v>
      </c>
      <c r="DN327" s="129">
        <v>150</v>
      </c>
      <c r="DO327" s="129">
        <v>150</v>
      </c>
      <c r="DP327" s="129">
        <v>150</v>
      </c>
      <c r="DQ327" s="129">
        <v>150</v>
      </c>
      <c r="DR327" s="129">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6">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77"/>
        <v>0</v>
      </c>
      <c r="BV328" s="27"/>
      <c r="BW328" s="27"/>
      <c r="BX328" s="27"/>
      <c r="BY328" s="27"/>
      <c r="BZ328" s="27"/>
      <c r="CA328" s="27"/>
      <c r="CB328" s="97"/>
      <c r="CC328" s="97">
        <v>1</v>
      </c>
      <c r="CD328" s="97">
        <v>2</v>
      </c>
      <c r="CE328" s="97">
        <v>5</v>
      </c>
      <c r="CF328" s="97">
        <v>10</v>
      </c>
      <c r="CG328" s="97">
        <v>10</v>
      </c>
      <c r="CH328" s="97">
        <v>10</v>
      </c>
      <c r="CI328" s="173"/>
      <c r="CJ328" s="173"/>
      <c r="CK328" s="173"/>
      <c r="CL328" s="173"/>
      <c r="CM328" s="173"/>
      <c r="CN328" s="173"/>
      <c r="CO328" s="173"/>
      <c r="CP328" s="174"/>
      <c r="CQ328" s="174"/>
      <c r="CR328" s="174"/>
      <c r="CS328" s="174"/>
      <c r="CT328" s="174"/>
      <c r="CU328" s="174"/>
      <c r="CV328" s="174"/>
      <c r="CW328" s="165"/>
      <c r="CX328" s="166"/>
      <c r="CY328" s="166"/>
      <c r="CZ328" s="166"/>
      <c r="DA328" s="166"/>
      <c r="DB328" s="166"/>
      <c r="DC328" s="166"/>
      <c r="DD328" s="171"/>
      <c r="DE328" s="171"/>
      <c r="DF328" s="171"/>
      <c r="DG328" s="171"/>
      <c r="DH328" s="171"/>
      <c r="DI328" s="171"/>
      <c r="DJ328" s="171"/>
      <c r="DK328" s="79" t="s">
        <v>1409</v>
      </c>
      <c r="DL328" s="128">
        <v>150</v>
      </c>
      <c r="DM328" s="128">
        <v>150</v>
      </c>
      <c r="DN328" s="128">
        <v>150</v>
      </c>
      <c r="DO328" s="128">
        <v>150</v>
      </c>
      <c r="DP328" s="128">
        <v>150</v>
      </c>
      <c r="DQ328" s="128">
        <v>150</v>
      </c>
      <c r="DR328" s="128">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6">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77"/>
        <v>0</v>
      </c>
      <c r="BV329" s="28"/>
      <c r="BW329" s="28"/>
      <c r="BX329" s="28"/>
      <c r="BY329" s="28"/>
      <c r="BZ329" s="28"/>
      <c r="CA329" s="28"/>
      <c r="CB329" s="99">
        <v>30</v>
      </c>
      <c r="CC329" s="99">
        <v>30</v>
      </c>
      <c r="CD329" s="99">
        <v>30</v>
      </c>
      <c r="CE329" s="99">
        <v>30</v>
      </c>
      <c r="CF329" s="99">
        <v>30</v>
      </c>
      <c r="CG329" s="99">
        <v>30</v>
      </c>
      <c r="CH329" s="99">
        <v>30</v>
      </c>
      <c r="CI329" s="175"/>
      <c r="CJ329" s="175"/>
      <c r="CK329" s="175"/>
      <c r="CL329" s="175"/>
      <c r="CM329" s="175"/>
      <c r="CN329" s="175"/>
      <c r="CO329" s="175"/>
      <c r="CP329" s="176"/>
      <c r="CQ329" s="176"/>
      <c r="CR329" s="176"/>
      <c r="CS329" s="176"/>
      <c r="CT329" s="176"/>
      <c r="CU329" s="176"/>
      <c r="CV329" s="176"/>
      <c r="CW329" s="167"/>
      <c r="CX329" s="168"/>
      <c r="CY329" s="168"/>
      <c r="CZ329" s="168"/>
      <c r="DA329" s="168"/>
      <c r="DB329" s="168"/>
      <c r="DC329" s="168"/>
      <c r="DD329" s="172"/>
      <c r="DE329" s="172"/>
      <c r="DF329" s="172"/>
      <c r="DG329" s="172"/>
      <c r="DH329" s="172"/>
      <c r="DI329" s="172"/>
      <c r="DJ329" s="172"/>
      <c r="DK329" s="80"/>
      <c r="DL329" s="129"/>
      <c r="DM329" s="129"/>
      <c r="DN329" s="129"/>
      <c r="DO329" s="129"/>
      <c r="DP329" s="129"/>
      <c r="DQ329" s="129"/>
      <c r="DR329" s="129"/>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6">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77"/>
        <v>0</v>
      </c>
      <c r="BV330" s="27"/>
      <c r="BW330" s="27"/>
      <c r="BX330" s="27"/>
      <c r="BY330" s="27"/>
      <c r="BZ330" s="27"/>
      <c r="CA330" s="27"/>
      <c r="CB330" s="97"/>
      <c r="CC330" s="97">
        <v>15</v>
      </c>
      <c r="CD330" s="97">
        <v>30</v>
      </c>
      <c r="CE330" s="97">
        <v>30</v>
      </c>
      <c r="CF330" s="97">
        <v>30</v>
      </c>
      <c r="CG330" s="97">
        <v>30</v>
      </c>
      <c r="CH330" s="97">
        <v>30</v>
      </c>
      <c r="CI330" s="173"/>
      <c r="CJ330" s="173"/>
      <c r="CK330" s="173"/>
      <c r="CL330" s="173"/>
      <c r="CM330" s="173"/>
      <c r="CN330" s="173"/>
      <c r="CO330" s="173"/>
      <c r="CP330" s="174"/>
      <c r="CQ330" s="174"/>
      <c r="CR330" s="174"/>
      <c r="CS330" s="174"/>
      <c r="CT330" s="174"/>
      <c r="CU330" s="174"/>
      <c r="CV330" s="174"/>
      <c r="CW330" s="165"/>
      <c r="CX330" s="166"/>
      <c r="CY330" s="166"/>
      <c r="CZ330" s="166"/>
      <c r="DA330" s="166"/>
      <c r="DB330" s="166"/>
      <c r="DC330" s="166"/>
      <c r="DD330" s="171"/>
      <c r="DE330" s="171"/>
      <c r="DF330" s="171"/>
      <c r="DG330" s="171"/>
      <c r="DH330" s="171"/>
      <c r="DI330" s="171"/>
      <c r="DJ330" s="171"/>
      <c r="DK330" s="79"/>
      <c r="DL330" s="128"/>
      <c r="DM330" s="128"/>
      <c r="DN330" s="128"/>
      <c r="DO330" s="128"/>
      <c r="DP330" s="128"/>
      <c r="DQ330" s="128"/>
      <c r="DR330" s="128"/>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6">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77"/>
        <v>0</v>
      </c>
      <c r="BV331" s="28"/>
      <c r="BW331" s="28"/>
      <c r="BX331" s="28"/>
      <c r="BY331" s="28"/>
      <c r="BZ331" s="28"/>
      <c r="CA331" s="28"/>
      <c r="CB331" s="99"/>
      <c r="CC331" s="99">
        <v>15</v>
      </c>
      <c r="CD331" s="99">
        <v>30</v>
      </c>
      <c r="CE331" s="99">
        <v>30</v>
      </c>
      <c r="CF331" s="99">
        <v>30</v>
      </c>
      <c r="CG331" s="99">
        <v>30</v>
      </c>
      <c r="CH331" s="99">
        <v>30</v>
      </c>
      <c r="CI331" s="175"/>
      <c r="CJ331" s="175"/>
      <c r="CK331" s="175"/>
      <c r="CL331" s="175"/>
      <c r="CM331" s="175"/>
      <c r="CN331" s="175"/>
      <c r="CO331" s="175"/>
      <c r="CP331" s="176"/>
      <c r="CQ331" s="176"/>
      <c r="CR331" s="176"/>
      <c r="CS331" s="176"/>
      <c r="CT331" s="176"/>
      <c r="CU331" s="176"/>
      <c r="CV331" s="176"/>
      <c r="CW331" s="167"/>
      <c r="CX331" s="168"/>
      <c r="CY331" s="168"/>
      <c r="CZ331" s="168"/>
      <c r="DA331" s="168"/>
      <c r="DB331" s="168"/>
      <c r="DC331" s="168"/>
      <c r="DD331" s="172"/>
      <c r="DE331" s="172"/>
      <c r="DF331" s="172"/>
      <c r="DG331" s="172"/>
      <c r="DH331" s="172"/>
      <c r="DI331" s="172"/>
      <c r="DJ331" s="172"/>
      <c r="DK331" s="80"/>
      <c r="DL331" s="129"/>
      <c r="DM331" s="129"/>
      <c r="DN331" s="129"/>
      <c r="DO331" s="129"/>
      <c r="DP331" s="129"/>
      <c r="DQ331" s="129"/>
      <c r="DR331" s="129"/>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6">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77"/>
        <v>0</v>
      </c>
      <c r="BV332" s="27"/>
      <c r="BW332" s="27"/>
      <c r="BX332" s="27"/>
      <c r="BY332" s="27"/>
      <c r="BZ332" s="27"/>
      <c r="CA332" s="27"/>
      <c r="CB332" s="97"/>
      <c r="CC332" s="97">
        <v>15</v>
      </c>
      <c r="CD332" s="97">
        <v>30</v>
      </c>
      <c r="CE332" s="97">
        <v>30</v>
      </c>
      <c r="CF332" s="97">
        <v>30</v>
      </c>
      <c r="CG332" s="97">
        <v>30</v>
      </c>
      <c r="CH332" s="97">
        <v>30</v>
      </c>
      <c r="CI332" s="173"/>
      <c r="CJ332" s="173"/>
      <c r="CK332" s="173"/>
      <c r="CL332" s="173"/>
      <c r="CM332" s="173"/>
      <c r="CN332" s="173"/>
      <c r="CO332" s="173"/>
      <c r="CP332" s="174"/>
      <c r="CQ332" s="174"/>
      <c r="CR332" s="174"/>
      <c r="CS332" s="174"/>
      <c r="CT332" s="174"/>
      <c r="CU332" s="174"/>
      <c r="CV332" s="174"/>
      <c r="CW332" s="165"/>
      <c r="CX332" s="166"/>
      <c r="CY332" s="166"/>
      <c r="CZ332" s="166"/>
      <c r="DA332" s="166"/>
      <c r="DB332" s="166"/>
      <c r="DC332" s="166"/>
      <c r="DD332" s="171"/>
      <c r="DE332" s="171"/>
      <c r="DF332" s="171"/>
      <c r="DG332" s="171"/>
      <c r="DH332" s="171"/>
      <c r="DI332" s="171"/>
      <c r="DJ332" s="171"/>
      <c r="DK332" s="79"/>
      <c r="DL332" s="128"/>
      <c r="DM332" s="128"/>
      <c r="DN332" s="128"/>
      <c r="DO332" s="128"/>
      <c r="DP332" s="128"/>
      <c r="DQ332" s="128"/>
      <c r="DR332" s="128"/>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6">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77"/>
        <v>0</v>
      </c>
      <c r="BV333" s="28"/>
      <c r="BW333" s="28"/>
      <c r="BX333" s="28"/>
      <c r="BY333" s="28"/>
      <c r="BZ333" s="28"/>
      <c r="CA333" s="28"/>
      <c r="CB333" s="185">
        <v>15</v>
      </c>
      <c r="CC333" s="99">
        <v>15</v>
      </c>
      <c r="CD333" s="99">
        <v>30</v>
      </c>
      <c r="CE333" s="99">
        <v>30</v>
      </c>
      <c r="CF333" s="99">
        <v>30</v>
      </c>
      <c r="CG333" s="99">
        <v>30</v>
      </c>
      <c r="CH333" s="99">
        <v>30</v>
      </c>
      <c r="CI333" s="175"/>
      <c r="CJ333" s="175"/>
      <c r="CK333" s="175"/>
      <c r="CL333" s="175"/>
      <c r="CM333" s="175"/>
      <c r="CN333" s="175"/>
      <c r="CO333" s="175"/>
      <c r="CP333" s="176"/>
      <c r="CQ333" s="176"/>
      <c r="CR333" s="176"/>
      <c r="CS333" s="176"/>
      <c r="CT333" s="176"/>
      <c r="CU333" s="176"/>
      <c r="CV333" s="176"/>
      <c r="CW333" s="167"/>
      <c r="CX333" s="168"/>
      <c r="CY333" s="168"/>
      <c r="CZ333" s="168"/>
      <c r="DA333" s="168"/>
      <c r="DB333" s="168"/>
      <c r="DC333" s="168"/>
      <c r="DD333" s="172"/>
      <c r="DE333" s="172"/>
      <c r="DF333" s="172"/>
      <c r="DG333" s="172"/>
      <c r="DH333" s="172"/>
      <c r="DI333" s="172"/>
      <c r="DJ333" s="172"/>
      <c r="DK333" s="80"/>
      <c r="DL333" s="129"/>
      <c r="DM333" s="129"/>
      <c r="DN333" s="129"/>
      <c r="DO333" s="129"/>
      <c r="DP333" s="129"/>
      <c r="DQ333" s="129"/>
      <c r="DR333" s="129"/>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6">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77"/>
        <v>0</v>
      </c>
      <c r="BV334" s="27"/>
      <c r="BW334" s="27"/>
      <c r="BX334" s="27"/>
      <c r="BY334" s="27"/>
      <c r="BZ334" s="27"/>
      <c r="CA334" s="27"/>
      <c r="CB334" s="97"/>
      <c r="CC334" s="97">
        <v>15</v>
      </c>
      <c r="CD334" s="97">
        <v>30</v>
      </c>
      <c r="CE334" s="97">
        <v>30</v>
      </c>
      <c r="CF334" s="97">
        <v>30</v>
      </c>
      <c r="CG334" s="97">
        <v>30</v>
      </c>
      <c r="CH334" s="97">
        <v>30</v>
      </c>
      <c r="CI334" s="173"/>
      <c r="CJ334" s="173"/>
      <c r="CK334" s="173"/>
      <c r="CL334" s="173"/>
      <c r="CM334" s="173"/>
      <c r="CN334" s="173"/>
      <c r="CO334" s="173"/>
      <c r="CP334" s="174"/>
      <c r="CQ334" s="174"/>
      <c r="CR334" s="174"/>
      <c r="CS334" s="174"/>
      <c r="CT334" s="174"/>
      <c r="CU334" s="174"/>
      <c r="CV334" s="174"/>
      <c r="CW334" s="165"/>
      <c r="CX334" s="166"/>
      <c r="CY334" s="166"/>
      <c r="CZ334" s="166"/>
      <c r="DA334" s="166"/>
      <c r="DB334" s="166"/>
      <c r="DC334" s="166"/>
      <c r="DD334" s="171"/>
      <c r="DE334" s="171"/>
      <c r="DF334" s="171"/>
      <c r="DG334" s="171"/>
      <c r="DH334" s="171"/>
      <c r="DI334" s="171"/>
      <c r="DJ334" s="171"/>
      <c r="DK334" s="79"/>
      <c r="DL334" s="128"/>
      <c r="DM334" s="128"/>
      <c r="DN334" s="128"/>
      <c r="DO334" s="128"/>
      <c r="DP334" s="128"/>
      <c r="DQ334" s="128"/>
      <c r="DR334" s="128"/>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225" t="s">
        <v>1468</v>
      </c>
      <c r="B335" s="225" t="s">
        <v>740</v>
      </c>
      <c r="C335" s="225" t="s">
        <v>817</v>
      </c>
      <c r="D335" s="225" t="s">
        <v>1469</v>
      </c>
      <c r="E335" s="225" t="s">
        <v>1470</v>
      </c>
      <c r="F335" s="225" t="s">
        <v>470</v>
      </c>
      <c r="G335" s="229" t="s">
        <v>1471</v>
      </c>
      <c r="H335" s="226"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4">
        <v>23.181827346496107</v>
      </c>
      <c r="Y335" s="254">
        <v>21.523009715156622</v>
      </c>
      <c r="Z335" s="254">
        <v>19.870137725568085</v>
      </c>
      <c r="AA335" s="254">
        <v>19.870137725568085</v>
      </c>
      <c r="AB335" s="254">
        <v>14.902603294176066</v>
      </c>
      <c r="AC335" s="254">
        <v>14.317137598067553</v>
      </c>
      <c r="AD335" s="254">
        <v>13.719857000987489</v>
      </c>
      <c r="AE335" s="186">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77"/>
        <v>0</v>
      </c>
      <c r="BV335" s="28"/>
      <c r="BW335" s="28"/>
      <c r="BX335" s="28"/>
      <c r="BY335" s="28"/>
      <c r="BZ335" s="28"/>
      <c r="CA335" s="28"/>
      <c r="CB335" s="99">
        <v>300</v>
      </c>
      <c r="CC335" s="99">
        <v>300</v>
      </c>
      <c r="CD335" s="99">
        <v>300</v>
      </c>
      <c r="CE335" s="99">
        <v>300</v>
      </c>
      <c r="CF335" s="99">
        <v>300</v>
      </c>
      <c r="CG335" s="99">
        <v>300</v>
      </c>
      <c r="CH335" s="99">
        <v>300</v>
      </c>
      <c r="CI335" s="175"/>
      <c r="CJ335" s="175"/>
      <c r="CK335" s="175"/>
      <c r="CL335" s="175"/>
      <c r="CM335" s="175"/>
      <c r="CN335" s="175"/>
      <c r="CO335" s="175"/>
      <c r="CP335" s="176"/>
      <c r="CQ335" s="176"/>
      <c r="CR335" s="176"/>
      <c r="CS335" s="176"/>
      <c r="CT335" s="176"/>
      <c r="CU335" s="176"/>
      <c r="CV335" s="176"/>
      <c r="CW335" s="167"/>
      <c r="CX335" s="168"/>
      <c r="CY335" s="168"/>
      <c r="CZ335" s="168"/>
      <c r="DA335" s="168"/>
      <c r="DB335" s="168"/>
      <c r="DC335" s="168"/>
      <c r="DD335" s="172"/>
      <c r="DE335" s="172"/>
      <c r="DF335" s="172"/>
      <c r="DG335" s="172"/>
      <c r="DH335" s="172"/>
      <c r="DI335" s="172"/>
      <c r="DJ335" s="172"/>
      <c r="DK335" s="80" t="s">
        <v>415</v>
      </c>
      <c r="DL335" s="129">
        <v>300</v>
      </c>
      <c r="DM335" s="129">
        <v>300</v>
      </c>
      <c r="DN335" s="129">
        <v>300</v>
      </c>
      <c r="DO335" s="129">
        <v>300</v>
      </c>
      <c r="DP335" s="129">
        <v>300</v>
      </c>
      <c r="DQ335" s="129">
        <v>300</v>
      </c>
      <c r="DR335" s="129">
        <v>300</v>
      </c>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3" t="s">
        <v>1472</v>
      </c>
      <c r="B336" s="223" t="s">
        <v>740</v>
      </c>
      <c r="C336" s="223" t="s">
        <v>817</v>
      </c>
      <c r="D336" s="223" t="s">
        <v>1469</v>
      </c>
      <c r="E336" s="223" t="s">
        <v>1470</v>
      </c>
      <c r="F336" s="223" t="s">
        <v>472</v>
      </c>
      <c r="G336" s="229" t="s">
        <v>1473</v>
      </c>
      <c r="H336" s="224"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4">
        <v>15.208573393610196</v>
      </c>
      <c r="Y336" s="254">
        <v>14.120296386118188</v>
      </c>
      <c r="Z336" s="254">
        <v>13.035920051665881</v>
      </c>
      <c r="AA336" s="254">
        <v>13.035920051665881</v>
      </c>
      <c r="AB336" s="254">
        <v>9.7769400387494105</v>
      </c>
      <c r="AC336" s="254">
        <v>9.3928418451247726</v>
      </c>
      <c r="AD336" s="254">
        <v>9.0009924166264419</v>
      </c>
      <c r="AE336" s="186">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77"/>
        <v>0</v>
      </c>
      <c r="BV336" s="27"/>
      <c r="BW336" s="27"/>
      <c r="BX336" s="27"/>
      <c r="BY336" s="27"/>
      <c r="BZ336" s="27"/>
      <c r="CA336" s="27"/>
      <c r="CB336" s="185">
        <v>779</v>
      </c>
      <c r="CC336" s="185">
        <v>779</v>
      </c>
      <c r="CD336" s="97">
        <v>100</v>
      </c>
      <c r="CE336" s="97">
        <v>100</v>
      </c>
      <c r="CF336" s="97">
        <v>100</v>
      </c>
      <c r="CG336" s="97">
        <v>100</v>
      </c>
      <c r="CH336" s="97">
        <v>100</v>
      </c>
      <c r="CI336" s="173"/>
      <c r="CJ336" s="173"/>
      <c r="CK336" s="173"/>
      <c r="CL336" s="173"/>
      <c r="CM336" s="173"/>
      <c r="CN336" s="173"/>
      <c r="CO336" s="173"/>
      <c r="CP336" s="174"/>
      <c r="CQ336" s="174"/>
      <c r="CR336" s="174"/>
      <c r="CS336" s="174"/>
      <c r="CT336" s="174"/>
      <c r="CU336" s="174"/>
      <c r="CV336" s="174"/>
      <c r="CW336" s="165"/>
      <c r="CX336" s="166"/>
      <c r="CY336" s="166"/>
      <c r="CZ336" s="166"/>
      <c r="DA336" s="166"/>
      <c r="DB336" s="166"/>
      <c r="DC336" s="166"/>
      <c r="DD336" s="171"/>
      <c r="DE336" s="171"/>
      <c r="DF336" s="171"/>
      <c r="DG336" s="171"/>
      <c r="DH336" s="171"/>
      <c r="DI336" s="171"/>
      <c r="DJ336" s="171"/>
      <c r="DK336" s="79" t="s">
        <v>415</v>
      </c>
      <c r="DL336" s="128">
        <v>2000</v>
      </c>
      <c r="DM336" s="128">
        <v>2000</v>
      </c>
      <c r="DN336" s="128">
        <v>2000</v>
      </c>
      <c r="DO336" s="128">
        <v>2000</v>
      </c>
      <c r="DP336" s="128">
        <v>2000</v>
      </c>
      <c r="DQ336" s="128">
        <v>2000</v>
      </c>
      <c r="DR336" s="128">
        <v>2000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6">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77"/>
        <v>0</v>
      </c>
      <c r="BV337" s="28"/>
      <c r="BW337" s="28"/>
      <c r="BX337" s="28"/>
      <c r="BY337" s="28"/>
      <c r="BZ337" s="28"/>
      <c r="CA337" s="28"/>
      <c r="CB337" s="99">
        <v>450</v>
      </c>
      <c r="CC337" s="99">
        <v>450</v>
      </c>
      <c r="CD337" s="99">
        <v>450</v>
      </c>
      <c r="CE337" s="99">
        <v>450</v>
      </c>
      <c r="CF337" s="99">
        <v>450</v>
      </c>
      <c r="CG337" s="99">
        <v>450</v>
      </c>
      <c r="CH337" s="99">
        <v>450</v>
      </c>
      <c r="CI337" s="175"/>
      <c r="CJ337" s="175"/>
      <c r="CK337" s="175"/>
      <c r="CL337" s="175"/>
      <c r="CM337" s="175"/>
      <c r="CN337" s="175"/>
      <c r="CO337" s="175"/>
      <c r="CP337" s="176"/>
      <c r="CQ337" s="176"/>
      <c r="CR337" s="176"/>
      <c r="CS337" s="176"/>
      <c r="CT337" s="176"/>
      <c r="CU337" s="176"/>
      <c r="CV337" s="176"/>
      <c r="CW337" s="167"/>
      <c r="CX337" s="168"/>
      <c r="CY337" s="168"/>
      <c r="CZ337" s="168"/>
      <c r="DA337" s="168"/>
      <c r="DB337" s="168"/>
      <c r="DC337" s="168"/>
      <c r="DD337" s="172"/>
      <c r="DE337" s="172"/>
      <c r="DF337" s="172"/>
      <c r="DG337" s="172"/>
      <c r="DH337" s="172"/>
      <c r="DI337" s="172"/>
      <c r="DJ337" s="172"/>
      <c r="DK337" s="80" t="s">
        <v>415</v>
      </c>
      <c r="DL337" s="129">
        <v>2000</v>
      </c>
      <c r="DM337" s="129">
        <v>2000</v>
      </c>
      <c r="DN337" s="129">
        <v>2000</v>
      </c>
      <c r="DO337" s="129">
        <v>2000</v>
      </c>
      <c r="DP337" s="129">
        <v>2000</v>
      </c>
      <c r="DQ337" s="129">
        <v>2000</v>
      </c>
      <c r="DR337" s="129">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6">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77"/>
        <v>0</v>
      </c>
      <c r="BV338" s="27"/>
      <c r="BW338" s="27"/>
      <c r="BX338" s="27"/>
      <c r="BY338" s="27"/>
      <c r="BZ338" s="27"/>
      <c r="CA338" s="27"/>
      <c r="CB338" s="97">
        <v>0</v>
      </c>
      <c r="CC338" s="97"/>
      <c r="CD338" s="97">
        <v>450</v>
      </c>
      <c r="CE338" s="97">
        <v>500</v>
      </c>
      <c r="CF338" s="97">
        <v>500</v>
      </c>
      <c r="CG338" s="97">
        <v>500</v>
      </c>
      <c r="CH338" s="97">
        <v>500</v>
      </c>
      <c r="CI338" s="173"/>
      <c r="CJ338" s="173"/>
      <c r="CK338" s="173"/>
      <c r="CL338" s="173"/>
      <c r="CM338" s="173"/>
      <c r="CN338" s="173"/>
      <c r="CO338" s="173"/>
      <c r="CP338" s="174"/>
      <c r="CQ338" s="174"/>
      <c r="CR338" s="174"/>
      <c r="CS338" s="174"/>
      <c r="CT338" s="174"/>
      <c r="CU338" s="174"/>
      <c r="CV338" s="174"/>
      <c r="CW338" s="165"/>
      <c r="CX338" s="166"/>
      <c r="CY338" s="166"/>
      <c r="CZ338" s="166"/>
      <c r="DA338" s="166"/>
      <c r="DB338" s="166"/>
      <c r="DC338" s="166"/>
      <c r="DD338" s="171"/>
      <c r="DE338" s="171"/>
      <c r="DF338" s="171"/>
      <c r="DG338" s="171"/>
      <c r="DH338" s="171"/>
      <c r="DI338" s="171"/>
      <c r="DJ338" s="171"/>
      <c r="DK338" s="79" t="s">
        <v>415</v>
      </c>
      <c r="DL338" s="128">
        <v>2000</v>
      </c>
      <c r="DM338" s="128">
        <v>2000</v>
      </c>
      <c r="DN338" s="128">
        <v>2000</v>
      </c>
      <c r="DO338" s="128">
        <v>2000</v>
      </c>
      <c r="DP338" s="128">
        <v>2000</v>
      </c>
      <c r="DQ338" s="128">
        <v>2000</v>
      </c>
      <c r="DR338" s="128">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6">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77"/>
        <v>0</v>
      </c>
      <c r="BV339" s="28"/>
      <c r="BW339" s="28"/>
      <c r="BX339" s="28"/>
      <c r="BY339" s="28"/>
      <c r="BZ339" s="28"/>
      <c r="CA339" s="28"/>
      <c r="CB339" s="99">
        <v>550</v>
      </c>
      <c r="CC339" s="99">
        <v>550</v>
      </c>
      <c r="CD339" s="99">
        <v>550</v>
      </c>
      <c r="CE339" s="99">
        <v>550</v>
      </c>
      <c r="CF339" s="99">
        <v>550</v>
      </c>
      <c r="CG339" s="99">
        <v>550</v>
      </c>
      <c r="CH339" s="99">
        <v>550</v>
      </c>
      <c r="CI339" s="175"/>
      <c r="CJ339" s="175"/>
      <c r="CK339" s="175"/>
      <c r="CL339" s="175"/>
      <c r="CM339" s="175"/>
      <c r="CN339" s="175"/>
      <c r="CO339" s="175"/>
      <c r="CP339" s="176"/>
      <c r="CQ339" s="176"/>
      <c r="CR339" s="176"/>
      <c r="CS339" s="176"/>
      <c r="CT339" s="176"/>
      <c r="CU339" s="176"/>
      <c r="CV339" s="176"/>
      <c r="CW339" s="167"/>
      <c r="CX339" s="168"/>
      <c r="CY339" s="168"/>
      <c r="CZ339" s="168"/>
      <c r="DA339" s="168"/>
      <c r="DB339" s="168"/>
      <c r="DC339" s="168"/>
      <c r="DD339" s="172"/>
      <c r="DE339" s="172"/>
      <c r="DF339" s="172"/>
      <c r="DG339" s="172"/>
      <c r="DH339" s="172"/>
      <c r="DI339" s="172"/>
      <c r="DJ339" s="172"/>
      <c r="DK339" s="80" t="s">
        <v>415</v>
      </c>
      <c r="DL339" s="129">
        <v>2000</v>
      </c>
      <c r="DM339" s="129">
        <v>2000</v>
      </c>
      <c r="DN339" s="129">
        <v>2000</v>
      </c>
      <c r="DO339" s="129">
        <v>2000</v>
      </c>
      <c r="DP339" s="129">
        <v>2000</v>
      </c>
      <c r="DQ339" s="129">
        <v>2000</v>
      </c>
      <c r="DR339" s="129">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6">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77"/>
        <v>0</v>
      </c>
      <c r="BV340" s="27"/>
      <c r="BW340" s="27"/>
      <c r="BX340" s="27"/>
      <c r="BY340" s="27"/>
      <c r="BZ340" s="27"/>
      <c r="CA340" s="27"/>
      <c r="CB340" s="97"/>
      <c r="CC340" s="97"/>
      <c r="CD340" s="97">
        <v>550</v>
      </c>
      <c r="CE340" s="97">
        <v>550</v>
      </c>
      <c r="CF340" s="97">
        <v>550</v>
      </c>
      <c r="CG340" s="97">
        <v>550</v>
      </c>
      <c r="CH340" s="97">
        <v>550</v>
      </c>
      <c r="CI340" s="173"/>
      <c r="CJ340" s="173"/>
      <c r="CK340" s="173"/>
      <c r="CL340" s="173"/>
      <c r="CM340" s="173"/>
      <c r="CN340" s="173"/>
      <c r="CO340" s="173"/>
      <c r="CP340" s="174"/>
      <c r="CQ340" s="174"/>
      <c r="CR340" s="174"/>
      <c r="CS340" s="174"/>
      <c r="CT340" s="174"/>
      <c r="CU340" s="174"/>
      <c r="CV340" s="174"/>
      <c r="CW340" s="165"/>
      <c r="CX340" s="166"/>
      <c r="CY340" s="166"/>
      <c r="CZ340" s="166"/>
      <c r="DA340" s="166"/>
      <c r="DB340" s="166"/>
      <c r="DC340" s="166"/>
      <c r="DD340" s="171"/>
      <c r="DE340" s="171"/>
      <c r="DF340" s="171"/>
      <c r="DG340" s="171"/>
      <c r="DH340" s="171"/>
      <c r="DI340" s="171"/>
      <c r="DJ340" s="171"/>
      <c r="DK340" s="79" t="s">
        <v>415</v>
      </c>
      <c r="DL340" s="128">
        <v>2000</v>
      </c>
      <c r="DM340" s="128">
        <v>2000</v>
      </c>
      <c r="DN340" s="128">
        <v>2000</v>
      </c>
      <c r="DO340" s="128">
        <v>2000</v>
      </c>
      <c r="DP340" s="128">
        <v>2000</v>
      </c>
      <c r="DQ340" s="128">
        <v>2000</v>
      </c>
      <c r="DR340" s="128">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6">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77"/>
        <v>0</v>
      </c>
      <c r="BV341" s="28"/>
      <c r="BW341" s="28"/>
      <c r="BX341" s="28"/>
      <c r="BY341" s="28"/>
      <c r="BZ341" s="28"/>
      <c r="CA341" s="28"/>
      <c r="CB341" s="99">
        <v>20</v>
      </c>
      <c r="CC341" s="99">
        <v>20</v>
      </c>
      <c r="CD341" s="99">
        <v>20</v>
      </c>
      <c r="CE341" s="99">
        <v>20</v>
      </c>
      <c r="CF341" s="99">
        <v>20</v>
      </c>
      <c r="CG341" s="99">
        <v>20</v>
      </c>
      <c r="CH341" s="99">
        <v>20</v>
      </c>
      <c r="CI341" s="175"/>
      <c r="CJ341" s="175"/>
      <c r="CK341" s="175"/>
      <c r="CL341" s="175"/>
      <c r="CM341" s="175"/>
      <c r="CN341" s="175"/>
      <c r="CO341" s="175"/>
      <c r="CP341" s="176"/>
      <c r="CQ341" s="176"/>
      <c r="CR341" s="176"/>
      <c r="CS341" s="176"/>
      <c r="CT341" s="176"/>
      <c r="CU341" s="176"/>
      <c r="CV341" s="176"/>
      <c r="CW341" s="167"/>
      <c r="CX341" s="168"/>
      <c r="CY341" s="168"/>
      <c r="CZ341" s="168"/>
      <c r="DA341" s="168"/>
      <c r="DB341" s="168"/>
      <c r="DC341" s="168"/>
      <c r="DD341" s="172"/>
      <c r="DE341" s="172"/>
      <c r="DF341" s="172"/>
      <c r="DG341" s="172"/>
      <c r="DH341" s="172"/>
      <c r="DI341" s="172"/>
      <c r="DJ341" s="172"/>
      <c r="DK341" s="80" t="s">
        <v>415</v>
      </c>
      <c r="DL341" s="129">
        <v>2000</v>
      </c>
      <c r="DM341" s="129">
        <v>2000</v>
      </c>
      <c r="DN341" s="129">
        <v>2000</v>
      </c>
      <c r="DO341" s="129">
        <v>2000</v>
      </c>
      <c r="DP341" s="129">
        <v>2000</v>
      </c>
      <c r="DQ341" s="129">
        <v>2000</v>
      </c>
      <c r="DR341" s="129">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6">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77"/>
        <v>0</v>
      </c>
      <c r="BV342" s="27"/>
      <c r="BW342" s="27"/>
      <c r="BX342" s="27"/>
      <c r="BY342" s="27"/>
      <c r="BZ342" s="27"/>
      <c r="CA342" s="27"/>
      <c r="CB342" s="97">
        <v>0</v>
      </c>
      <c r="CC342" s="97"/>
      <c r="CD342" s="97">
        <v>20</v>
      </c>
      <c r="CE342" s="97">
        <v>20</v>
      </c>
      <c r="CF342" s="97">
        <v>20</v>
      </c>
      <c r="CG342" s="97">
        <v>20</v>
      </c>
      <c r="CH342" s="97">
        <v>20</v>
      </c>
      <c r="CI342" s="173"/>
      <c r="CJ342" s="173"/>
      <c r="CK342" s="173"/>
      <c r="CL342" s="173"/>
      <c r="CM342" s="173"/>
      <c r="CN342" s="173"/>
      <c r="CO342" s="173"/>
      <c r="CP342" s="174"/>
      <c r="CQ342" s="174"/>
      <c r="CR342" s="174"/>
      <c r="CS342" s="174"/>
      <c r="CT342" s="174"/>
      <c r="CU342" s="174"/>
      <c r="CV342" s="174"/>
      <c r="CW342" s="165"/>
      <c r="CX342" s="166"/>
      <c r="CY342" s="166"/>
      <c r="CZ342" s="166"/>
      <c r="DA342" s="166"/>
      <c r="DB342" s="166"/>
      <c r="DC342" s="166"/>
      <c r="DD342" s="171"/>
      <c r="DE342" s="171"/>
      <c r="DF342" s="171"/>
      <c r="DG342" s="171"/>
      <c r="DH342" s="171"/>
      <c r="DI342" s="171"/>
      <c r="DJ342" s="171"/>
      <c r="DK342" s="79" t="s">
        <v>415</v>
      </c>
      <c r="DL342" s="128">
        <v>2000</v>
      </c>
      <c r="DM342" s="128">
        <v>2000</v>
      </c>
      <c r="DN342" s="128">
        <v>2000</v>
      </c>
      <c r="DO342" s="128">
        <v>2000</v>
      </c>
      <c r="DP342" s="128">
        <v>2000</v>
      </c>
      <c r="DQ342" s="128">
        <v>2000</v>
      </c>
      <c r="DR342" s="128">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223" t="s">
        <v>1487</v>
      </c>
      <c r="B343" s="223" t="s">
        <v>740</v>
      </c>
      <c r="C343" s="223" t="s">
        <v>817</v>
      </c>
      <c r="D343" s="223" t="s">
        <v>1469</v>
      </c>
      <c r="E343" s="223" t="s">
        <v>1470</v>
      </c>
      <c r="F343" s="223" t="s">
        <v>473</v>
      </c>
      <c r="G343" s="229" t="s">
        <v>1488</v>
      </c>
      <c r="H343" s="224"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6">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289">IF(BL343=1,BN343,0)</f>
        <v>0</v>
      </c>
      <c r="BV343" s="27"/>
      <c r="BW343" s="27"/>
      <c r="BX343" s="27"/>
      <c r="BY343" s="27"/>
      <c r="BZ343" s="27"/>
      <c r="CA343" s="27"/>
      <c r="CB343" s="185">
        <v>1000</v>
      </c>
      <c r="CC343" s="185">
        <v>1000</v>
      </c>
      <c r="CD343" s="185">
        <v>1000</v>
      </c>
      <c r="CE343" s="185">
        <v>1000</v>
      </c>
      <c r="CF343" s="185">
        <v>1000</v>
      </c>
      <c r="CG343" s="185">
        <v>1000</v>
      </c>
      <c r="CH343" s="185">
        <v>1000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2300</v>
      </c>
      <c r="DM343" s="128">
        <v>2300</v>
      </c>
      <c r="DN343" s="128">
        <v>2300</v>
      </c>
      <c r="DO343" s="128">
        <v>2300</v>
      </c>
      <c r="DP343" s="128">
        <v>2300</v>
      </c>
      <c r="DQ343" s="128">
        <v>2300</v>
      </c>
      <c r="DR343" s="128">
        <v>2300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5" t="s">
        <v>1489</v>
      </c>
      <c r="B344" s="225" t="s">
        <v>740</v>
      </c>
      <c r="C344" s="225" t="s">
        <v>817</v>
      </c>
      <c r="D344" s="225" t="s">
        <v>1469</v>
      </c>
      <c r="E344" s="225" t="s">
        <v>1470</v>
      </c>
      <c r="F344" s="225" t="s">
        <v>474</v>
      </c>
      <c r="G344" s="229" t="s">
        <v>1490</v>
      </c>
      <c r="H344" s="226"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6">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289"/>
        <v>0</v>
      </c>
      <c r="BV344" s="28"/>
      <c r="BW344" s="28"/>
      <c r="BX344" s="28"/>
      <c r="BY344" s="28"/>
      <c r="BZ344" s="28"/>
      <c r="CA344" s="28"/>
      <c r="CB344" s="99">
        <v>2000</v>
      </c>
      <c r="CC344" s="99">
        <v>1000</v>
      </c>
      <c r="CD344" s="185">
        <v>1000</v>
      </c>
      <c r="CE344" s="185">
        <v>1000</v>
      </c>
      <c r="CF344" s="185">
        <v>1000</v>
      </c>
      <c r="CG344" s="185">
        <v>1000</v>
      </c>
      <c r="CH344" s="185">
        <v>1000</v>
      </c>
      <c r="CI344" s="175"/>
      <c r="CJ344" s="175"/>
      <c r="CK344" s="175"/>
      <c r="CL344" s="175"/>
      <c r="CM344" s="175"/>
      <c r="CN344" s="175"/>
      <c r="CO344" s="175"/>
      <c r="CP344" s="176"/>
      <c r="CQ344" s="176"/>
      <c r="CR344" s="176"/>
      <c r="CS344" s="176"/>
      <c r="CT344" s="176"/>
      <c r="CU344" s="176"/>
      <c r="CV344" s="176"/>
      <c r="CW344" s="167"/>
      <c r="CX344" s="168"/>
      <c r="CY344" s="168"/>
      <c r="CZ344" s="168"/>
      <c r="DA344" s="168"/>
      <c r="DB344" s="168"/>
      <c r="DC344" s="168"/>
      <c r="DD344" s="172"/>
      <c r="DE344" s="172"/>
      <c r="DF344" s="172"/>
      <c r="DG344" s="172"/>
      <c r="DH344" s="172"/>
      <c r="DI344" s="172"/>
      <c r="DJ344" s="172"/>
      <c r="DK344" s="80" t="s">
        <v>415</v>
      </c>
      <c r="DL344" s="129">
        <v>1000</v>
      </c>
      <c r="DM344" s="129">
        <v>1000</v>
      </c>
      <c r="DN344" s="129">
        <v>1000</v>
      </c>
      <c r="DO344" s="129">
        <v>1000</v>
      </c>
      <c r="DP344" s="129">
        <v>1000</v>
      </c>
      <c r="DQ344" s="129">
        <v>1000</v>
      </c>
      <c r="DR344" s="129">
        <v>1000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3" t="s">
        <v>1491</v>
      </c>
      <c r="B345" s="223" t="s">
        <v>740</v>
      </c>
      <c r="C345" s="223" t="s">
        <v>817</v>
      </c>
      <c r="D345" s="223" t="s">
        <v>1469</v>
      </c>
      <c r="E345" s="223" t="s">
        <v>1470</v>
      </c>
      <c r="F345" s="223" t="s">
        <v>475</v>
      </c>
      <c r="G345" s="229" t="s">
        <v>1492</v>
      </c>
      <c r="H345" s="224"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6">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289"/>
        <v>0</v>
      </c>
      <c r="BV345" s="27"/>
      <c r="BW345" s="27"/>
      <c r="BX345" s="27"/>
      <c r="BY345" s="27"/>
      <c r="BZ345" s="27"/>
      <c r="CA345" s="27"/>
      <c r="CB345" s="185">
        <v>2000</v>
      </c>
      <c r="CC345" s="185">
        <v>2000</v>
      </c>
      <c r="CD345" s="185">
        <v>2000</v>
      </c>
      <c r="CE345" s="185">
        <v>2000</v>
      </c>
      <c r="CF345" s="185">
        <v>2000</v>
      </c>
      <c r="CG345" s="185">
        <v>2000</v>
      </c>
      <c r="CH345" s="185">
        <v>2000</v>
      </c>
      <c r="CI345" s="173"/>
      <c r="CJ345" s="173"/>
      <c r="CK345" s="173"/>
      <c r="CL345" s="173"/>
      <c r="CM345" s="173"/>
      <c r="CN345" s="173"/>
      <c r="CO345" s="173"/>
      <c r="CP345" s="174"/>
      <c r="CQ345" s="174"/>
      <c r="CR345" s="174"/>
      <c r="CS345" s="174"/>
      <c r="CT345" s="174"/>
      <c r="CU345" s="174"/>
      <c r="CV345" s="174"/>
      <c r="CW345" s="165"/>
      <c r="CX345" s="166"/>
      <c r="CY345" s="166"/>
      <c r="CZ345" s="166"/>
      <c r="DA345" s="166"/>
      <c r="DB345" s="166"/>
      <c r="DC345" s="166"/>
      <c r="DD345" s="171"/>
      <c r="DE345" s="171"/>
      <c r="DF345" s="171"/>
      <c r="DG345" s="171"/>
      <c r="DH345" s="171"/>
      <c r="DI345" s="171"/>
      <c r="DJ345" s="171"/>
      <c r="DK345" s="79" t="s">
        <v>415</v>
      </c>
      <c r="DL345" s="128">
        <v>2000</v>
      </c>
      <c r="DM345" s="128">
        <v>2000</v>
      </c>
      <c r="DN345" s="128">
        <v>2000</v>
      </c>
      <c r="DO345" s="128">
        <v>2000</v>
      </c>
      <c r="DP345" s="128">
        <v>2000</v>
      </c>
      <c r="DQ345" s="128">
        <v>2000</v>
      </c>
      <c r="DR345" s="128">
        <v>2000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5" t="s">
        <v>1493</v>
      </c>
      <c r="B346" s="225" t="s">
        <v>740</v>
      </c>
      <c r="C346" s="225" t="s">
        <v>817</v>
      </c>
      <c r="D346" s="225" t="s">
        <v>1469</v>
      </c>
      <c r="E346" s="225" t="s">
        <v>1470</v>
      </c>
      <c r="F346" s="225" t="s">
        <v>476</v>
      </c>
      <c r="G346" s="229" t="s">
        <v>1494</v>
      </c>
      <c r="H346" s="226"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289"/>
        <v>0</v>
      </c>
      <c r="BV346" s="28"/>
      <c r="BW346" s="28"/>
      <c r="BX346" s="28"/>
      <c r="BY346" s="28"/>
      <c r="BZ346" s="28"/>
      <c r="CA346" s="28"/>
      <c r="CB346" s="185">
        <v>500</v>
      </c>
      <c r="CC346" s="185">
        <v>500</v>
      </c>
      <c r="CD346" s="185">
        <v>500</v>
      </c>
      <c r="CE346" s="185">
        <v>500</v>
      </c>
      <c r="CF346" s="185">
        <v>500</v>
      </c>
      <c r="CG346" s="185">
        <v>500</v>
      </c>
      <c r="CH346" s="185">
        <v>500</v>
      </c>
      <c r="CI346" s="175"/>
      <c r="CJ346" s="175"/>
      <c r="CK346" s="175"/>
      <c r="CL346" s="175"/>
      <c r="CM346" s="175"/>
      <c r="CN346" s="175"/>
      <c r="CO346" s="175"/>
      <c r="CP346" s="176"/>
      <c r="CQ346" s="176"/>
      <c r="CR346" s="176"/>
      <c r="CS346" s="176"/>
      <c r="CT346" s="176"/>
      <c r="CU346" s="176"/>
      <c r="CV346" s="176"/>
      <c r="CW346" s="167"/>
      <c r="CX346" s="168"/>
      <c r="CY346" s="168"/>
      <c r="CZ346" s="168"/>
      <c r="DA346" s="168"/>
      <c r="DB346" s="168"/>
      <c r="DC346" s="168"/>
      <c r="DD346" s="172"/>
      <c r="DE346" s="172"/>
      <c r="DF346" s="172"/>
      <c r="DG346" s="172"/>
      <c r="DH346" s="172"/>
      <c r="DI346" s="172"/>
      <c r="DJ346" s="172"/>
      <c r="DK346" s="80" t="s">
        <v>415</v>
      </c>
      <c r="DL346" s="129">
        <v>2000</v>
      </c>
      <c r="DM346" s="129">
        <v>2000</v>
      </c>
      <c r="DN346" s="129">
        <v>2000</v>
      </c>
      <c r="DO346" s="129">
        <v>2000</v>
      </c>
      <c r="DP346" s="129">
        <v>2000</v>
      </c>
      <c r="DQ346" s="129">
        <v>2000</v>
      </c>
      <c r="DR346" s="129">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3" t="s">
        <v>1495</v>
      </c>
      <c r="B347" s="223" t="s">
        <v>740</v>
      </c>
      <c r="C347" s="223" t="s">
        <v>817</v>
      </c>
      <c r="D347" s="223" t="s">
        <v>1496</v>
      </c>
      <c r="E347" s="223" t="s">
        <v>1497</v>
      </c>
      <c r="F347" s="223" t="s">
        <v>477</v>
      </c>
      <c r="G347" s="229"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6">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290">IF(BL347=1,BN347,0)</f>
        <v>0</v>
      </c>
      <c r="BV347" s="27"/>
      <c r="BW347" s="27"/>
      <c r="BX347" s="27"/>
      <c r="BY347" s="27"/>
      <c r="BZ347" s="27"/>
      <c r="CA347" s="27"/>
      <c r="CB347" s="244">
        <v>0</v>
      </c>
      <c r="CC347" s="244">
        <v>0</v>
      </c>
      <c r="CD347" s="244">
        <v>0</v>
      </c>
      <c r="CE347" s="244">
        <v>0</v>
      </c>
      <c r="CF347" s="244">
        <v>0</v>
      </c>
      <c r="CG347" s="244">
        <v>0</v>
      </c>
      <c r="CH347" s="244">
        <v>0</v>
      </c>
      <c r="CI347" s="173"/>
      <c r="CJ347" s="173"/>
      <c r="CK347" s="173"/>
      <c r="CL347" s="173"/>
      <c r="CM347" s="173"/>
      <c r="CN347" s="173"/>
      <c r="CO347" s="173"/>
      <c r="CP347" s="174"/>
      <c r="CQ347" s="174"/>
      <c r="CR347" s="174"/>
      <c r="CS347" s="174"/>
      <c r="CT347" s="174"/>
      <c r="CU347" s="174"/>
      <c r="CV347" s="174"/>
      <c r="CW347" s="165"/>
      <c r="CX347" s="166"/>
      <c r="CY347" s="166"/>
      <c r="CZ347" s="166"/>
      <c r="DA347" s="166"/>
      <c r="DB347" s="166"/>
      <c r="DC347" s="166"/>
      <c r="DD347" s="171"/>
      <c r="DE347" s="171"/>
      <c r="DF347" s="171"/>
      <c r="DG347" s="171"/>
      <c r="DH347" s="171"/>
      <c r="DI347" s="171"/>
      <c r="DJ347" s="171"/>
      <c r="DK347" s="79" t="s">
        <v>415</v>
      </c>
      <c r="DL347" s="128">
        <v>200</v>
      </c>
      <c r="DM347" s="128">
        <v>200</v>
      </c>
      <c r="DN347" s="128">
        <v>200</v>
      </c>
      <c r="DO347" s="128">
        <v>200</v>
      </c>
      <c r="DP347" s="128">
        <v>200</v>
      </c>
      <c r="DQ347" s="128">
        <v>200</v>
      </c>
      <c r="DR347" s="128">
        <v>200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6">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6">
        <v>2.5</v>
      </c>
      <c r="BO348" s="94"/>
      <c r="BP348" s="94"/>
      <c r="BQ348" s="94"/>
      <c r="BR348" s="94">
        <v>2.5</v>
      </c>
      <c r="BS348" s="94"/>
      <c r="BT348" s="94"/>
      <c r="BU348" s="28">
        <f t="shared" si="289"/>
        <v>2.5</v>
      </c>
      <c r="BV348" s="28"/>
      <c r="BW348" s="28"/>
      <c r="BX348" s="28"/>
      <c r="BY348" s="28"/>
      <c r="BZ348" s="28"/>
      <c r="CA348" s="28"/>
      <c r="CB348" s="185">
        <v>2.5</v>
      </c>
      <c r="CC348" s="99">
        <v>50</v>
      </c>
      <c r="CD348" s="99">
        <v>500</v>
      </c>
      <c r="CE348" s="99">
        <v>500</v>
      </c>
      <c r="CF348" s="99">
        <v>500</v>
      </c>
      <c r="CG348" s="99">
        <v>500</v>
      </c>
      <c r="CH348" s="99">
        <v>500</v>
      </c>
      <c r="CI348" s="175"/>
      <c r="CJ348" s="175"/>
      <c r="CK348" s="175"/>
      <c r="CL348" s="175"/>
      <c r="CM348" s="175"/>
      <c r="CN348" s="175"/>
      <c r="CO348" s="175"/>
      <c r="CP348" s="176"/>
      <c r="CQ348" s="176"/>
      <c r="CR348" s="176"/>
      <c r="CS348" s="176"/>
      <c r="CT348" s="176"/>
      <c r="CU348" s="176"/>
      <c r="CV348" s="176"/>
      <c r="CW348" s="167"/>
      <c r="CX348" s="168"/>
      <c r="CY348" s="168"/>
      <c r="CZ348" s="168"/>
      <c r="DA348" s="168"/>
      <c r="DB348" s="168"/>
      <c r="DC348" s="168"/>
      <c r="DD348" s="172"/>
      <c r="DE348" s="172"/>
      <c r="DF348" s="172"/>
      <c r="DG348" s="172"/>
      <c r="DH348" s="172"/>
      <c r="DI348" s="172"/>
      <c r="DJ348" s="172"/>
      <c r="DK348" s="80" t="s">
        <v>415</v>
      </c>
      <c r="DL348" s="129">
        <v>500</v>
      </c>
      <c r="DM348" s="129">
        <v>500</v>
      </c>
      <c r="DN348" s="129">
        <v>500</v>
      </c>
      <c r="DO348" s="129">
        <v>500</v>
      </c>
      <c r="DP348" s="129">
        <v>500</v>
      </c>
      <c r="DQ348" s="129">
        <v>500</v>
      </c>
      <c r="DR348" s="129">
        <v>500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6">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289"/>
        <v>0</v>
      </c>
      <c r="BV349" s="27"/>
      <c r="BW349" s="27"/>
      <c r="BX349" s="27"/>
      <c r="BY349" s="27"/>
      <c r="BZ349" s="27"/>
      <c r="CA349" s="27"/>
      <c r="CB349" s="97">
        <v>0</v>
      </c>
      <c r="CC349" s="97">
        <v>50</v>
      </c>
      <c r="CD349" s="97">
        <v>500</v>
      </c>
      <c r="CE349" s="97">
        <v>500</v>
      </c>
      <c r="CF349" s="97">
        <v>500</v>
      </c>
      <c r="CG349" s="97">
        <v>500</v>
      </c>
      <c r="CH349" s="97">
        <v>500</v>
      </c>
      <c r="CI349" s="173"/>
      <c r="CJ349" s="173"/>
      <c r="CK349" s="173"/>
      <c r="CL349" s="173"/>
      <c r="CM349" s="173"/>
      <c r="CN349" s="173"/>
      <c r="CO349" s="173"/>
      <c r="CP349" s="174"/>
      <c r="CQ349" s="174"/>
      <c r="CR349" s="174"/>
      <c r="CS349" s="174"/>
      <c r="CT349" s="174"/>
      <c r="CU349" s="174"/>
      <c r="CV349" s="174"/>
      <c r="CW349" s="165"/>
      <c r="CX349" s="166"/>
      <c r="CY349" s="166"/>
      <c r="CZ349" s="166"/>
      <c r="DA349" s="166"/>
      <c r="DB349" s="166"/>
      <c r="DC349" s="166"/>
      <c r="DD349" s="171"/>
      <c r="DE349" s="171"/>
      <c r="DF349" s="171"/>
      <c r="DG349" s="171"/>
      <c r="DH349" s="171"/>
      <c r="DI349" s="171"/>
      <c r="DJ349" s="171"/>
      <c r="DK349" s="79" t="s">
        <v>415</v>
      </c>
      <c r="DL349" s="128">
        <v>500</v>
      </c>
      <c r="DM349" s="128">
        <v>500</v>
      </c>
      <c r="DN349" s="128">
        <v>500</v>
      </c>
      <c r="DO349" s="128">
        <v>500</v>
      </c>
      <c r="DP349" s="128">
        <v>500</v>
      </c>
      <c r="DQ349" s="128">
        <v>500</v>
      </c>
      <c r="DR349" s="128">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6">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6">
        <v>5</v>
      </c>
      <c r="BO350" s="94"/>
      <c r="BP350" s="94"/>
      <c r="BQ350" s="94"/>
      <c r="BR350" s="94">
        <v>5</v>
      </c>
      <c r="BS350" s="94"/>
      <c r="BT350" s="94"/>
      <c r="BU350" s="28">
        <f t="shared" si="289"/>
        <v>5</v>
      </c>
      <c r="BV350" s="28"/>
      <c r="BW350" s="28"/>
      <c r="BX350" s="28"/>
      <c r="BY350" s="28"/>
      <c r="BZ350" s="28"/>
      <c r="CA350" s="28"/>
      <c r="CB350" s="185">
        <v>5</v>
      </c>
      <c r="CC350" s="99">
        <v>50</v>
      </c>
      <c r="CD350" s="99">
        <v>1000</v>
      </c>
      <c r="CE350" s="99">
        <v>1000</v>
      </c>
      <c r="CF350" s="99">
        <v>1000</v>
      </c>
      <c r="CG350" s="99">
        <v>1000</v>
      </c>
      <c r="CH350" s="99">
        <v>1000</v>
      </c>
      <c r="CI350" s="175"/>
      <c r="CJ350" s="175"/>
      <c r="CK350" s="175"/>
      <c r="CL350" s="175"/>
      <c r="CM350" s="175"/>
      <c r="CN350" s="175"/>
      <c r="CO350" s="175"/>
      <c r="CP350" s="176"/>
      <c r="CQ350" s="176"/>
      <c r="CR350" s="176"/>
      <c r="CS350" s="176"/>
      <c r="CT350" s="176"/>
      <c r="CU350" s="176"/>
      <c r="CV350" s="176"/>
      <c r="CW350" s="167"/>
      <c r="CX350" s="168"/>
      <c r="CY350" s="168"/>
      <c r="CZ350" s="168"/>
      <c r="DA350" s="168"/>
      <c r="DB350" s="168"/>
      <c r="DC350" s="168"/>
      <c r="DD350" s="172"/>
      <c r="DE350" s="172"/>
      <c r="DF350" s="172"/>
      <c r="DG350" s="172"/>
      <c r="DH350" s="172"/>
      <c r="DI350" s="172"/>
      <c r="DJ350" s="172"/>
      <c r="DK350" s="80" t="s">
        <v>415</v>
      </c>
      <c r="DL350" s="129">
        <v>500</v>
      </c>
      <c r="DM350" s="129">
        <v>500</v>
      </c>
      <c r="DN350" s="129">
        <v>500</v>
      </c>
      <c r="DO350" s="129">
        <v>500</v>
      </c>
      <c r="DP350" s="129">
        <v>500</v>
      </c>
      <c r="DQ350" s="129">
        <v>500</v>
      </c>
      <c r="DR350" s="129">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223" t="s">
        <v>1506</v>
      </c>
      <c r="B351" s="223" t="s">
        <v>740</v>
      </c>
      <c r="C351" s="223" t="s">
        <v>817</v>
      </c>
      <c r="D351" s="223" t="s">
        <v>1496</v>
      </c>
      <c r="E351" s="223" t="s">
        <v>1497</v>
      </c>
      <c r="F351" s="223" t="s">
        <v>479</v>
      </c>
      <c r="G351" s="229" t="s">
        <v>1507</v>
      </c>
      <c r="H351" s="224"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6">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289"/>
        <v>0</v>
      </c>
      <c r="BV351" s="27"/>
      <c r="BW351" s="27"/>
      <c r="BX351" s="27"/>
      <c r="BY351" s="27"/>
      <c r="BZ351" s="27"/>
      <c r="CA351" s="27"/>
      <c r="CB351" s="244">
        <v>0</v>
      </c>
      <c r="CC351" s="244">
        <v>0</v>
      </c>
      <c r="CD351" s="244">
        <v>0</v>
      </c>
      <c r="CE351" s="244">
        <v>0</v>
      </c>
      <c r="CF351" s="244">
        <v>0</v>
      </c>
      <c r="CG351" s="244">
        <v>0</v>
      </c>
      <c r="CH351" s="244">
        <v>0</v>
      </c>
      <c r="CI351" s="173"/>
      <c r="CJ351" s="173"/>
      <c r="CK351" s="173"/>
      <c r="CL351" s="173"/>
      <c r="CM351" s="173"/>
      <c r="CN351" s="173"/>
      <c r="CO351" s="173"/>
      <c r="CP351" s="174"/>
      <c r="CQ351" s="174"/>
      <c r="CR351" s="174"/>
      <c r="CS351" s="174"/>
      <c r="CT351" s="174"/>
      <c r="CU351" s="174"/>
      <c r="CV351" s="174"/>
      <c r="CW351" s="165"/>
      <c r="CX351" s="166"/>
      <c r="CY351" s="166"/>
      <c r="CZ351" s="166"/>
      <c r="DA351" s="166"/>
      <c r="DB351" s="166"/>
      <c r="DC351" s="166"/>
      <c r="DD351" s="171"/>
      <c r="DE351" s="171"/>
      <c r="DF351" s="171"/>
      <c r="DG351" s="171"/>
      <c r="DH351" s="171"/>
      <c r="DI351" s="171"/>
      <c r="DJ351" s="171"/>
      <c r="DK351" s="79" t="s">
        <v>415</v>
      </c>
      <c r="DL351" s="128">
        <v>200</v>
      </c>
      <c r="DM351" s="128">
        <v>200</v>
      </c>
      <c r="DN351" s="128">
        <v>200</v>
      </c>
      <c r="DO351" s="128">
        <v>200</v>
      </c>
      <c r="DP351" s="128">
        <v>200</v>
      </c>
      <c r="DQ351" s="128">
        <v>200</v>
      </c>
      <c r="DR351" s="128">
        <v>200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6">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289"/>
        <v>0</v>
      </c>
      <c r="BV352" s="28"/>
      <c r="BW352" s="28"/>
      <c r="BX352" s="28"/>
      <c r="BY352" s="28"/>
      <c r="BZ352" s="28"/>
      <c r="CA352" s="28"/>
      <c r="CB352" s="99">
        <v>0</v>
      </c>
      <c r="CC352" s="99">
        <v>50</v>
      </c>
      <c r="CD352" s="99">
        <v>1000</v>
      </c>
      <c r="CE352" s="99">
        <v>1000</v>
      </c>
      <c r="CF352" s="99">
        <v>1000</v>
      </c>
      <c r="CG352" s="99">
        <v>1000</v>
      </c>
      <c r="CH352" s="99">
        <v>1000</v>
      </c>
      <c r="CI352" s="175"/>
      <c r="CJ352" s="175"/>
      <c r="CK352" s="175"/>
      <c r="CL352" s="175"/>
      <c r="CM352" s="175"/>
      <c r="CN352" s="175"/>
      <c r="CO352" s="175"/>
      <c r="CP352" s="176"/>
      <c r="CQ352" s="176"/>
      <c r="CR352" s="176"/>
      <c r="CS352" s="176"/>
      <c r="CT352" s="176"/>
      <c r="CU352" s="176"/>
      <c r="CV352" s="176"/>
      <c r="CW352" s="167"/>
      <c r="CX352" s="168"/>
      <c r="CY352" s="168"/>
      <c r="CZ352" s="168"/>
      <c r="DA352" s="168"/>
      <c r="DB352" s="168"/>
      <c r="DC352" s="168"/>
      <c r="DD352" s="172"/>
      <c r="DE352" s="172"/>
      <c r="DF352" s="172"/>
      <c r="DG352" s="172"/>
      <c r="DH352" s="172"/>
      <c r="DI352" s="172"/>
      <c r="DJ352" s="172"/>
      <c r="DK352" s="80" t="s">
        <v>415</v>
      </c>
      <c r="DL352" s="129">
        <v>500</v>
      </c>
      <c r="DM352" s="129">
        <v>500</v>
      </c>
      <c r="DN352" s="129">
        <v>500</v>
      </c>
      <c r="DO352" s="129">
        <v>500</v>
      </c>
      <c r="DP352" s="129">
        <v>500</v>
      </c>
      <c r="DQ352" s="129">
        <v>500</v>
      </c>
      <c r="DR352" s="129">
        <v>500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6">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289"/>
        <v>0</v>
      </c>
      <c r="BV353" s="27"/>
      <c r="BW353" s="27"/>
      <c r="BX353" s="27"/>
      <c r="BY353" s="27"/>
      <c r="BZ353" s="27"/>
      <c r="CA353" s="27"/>
      <c r="CB353" s="97"/>
      <c r="CC353" s="97">
        <v>50</v>
      </c>
      <c r="CD353" s="97">
        <v>1000</v>
      </c>
      <c r="CE353" s="97">
        <v>1000</v>
      </c>
      <c r="CF353" s="97">
        <v>1000</v>
      </c>
      <c r="CG353" s="97">
        <v>1000</v>
      </c>
      <c r="CH353" s="97">
        <v>1000</v>
      </c>
      <c r="CI353" s="173"/>
      <c r="CJ353" s="173"/>
      <c r="CK353" s="173"/>
      <c r="CL353" s="173"/>
      <c r="CM353" s="173"/>
      <c r="CN353" s="173"/>
      <c r="CO353" s="173"/>
      <c r="CP353" s="174"/>
      <c r="CQ353" s="174"/>
      <c r="CR353" s="174"/>
      <c r="CS353" s="174"/>
      <c r="CT353" s="174"/>
      <c r="CU353" s="174"/>
      <c r="CV353" s="174"/>
      <c r="CW353" s="165"/>
      <c r="CX353" s="166"/>
      <c r="CY353" s="166"/>
      <c r="CZ353" s="166"/>
      <c r="DA353" s="166"/>
      <c r="DB353" s="166"/>
      <c r="DC353" s="166"/>
      <c r="DD353" s="171"/>
      <c r="DE353" s="171"/>
      <c r="DF353" s="171"/>
      <c r="DG353" s="171"/>
      <c r="DH353" s="171"/>
      <c r="DI353" s="171"/>
      <c r="DJ353" s="171"/>
      <c r="DK353" s="79" t="s">
        <v>1512</v>
      </c>
      <c r="DL353" s="128"/>
      <c r="DM353" s="128"/>
      <c r="DN353" s="128"/>
      <c r="DO353" s="128"/>
      <c r="DP353" s="128"/>
      <c r="DQ353" s="128"/>
      <c r="DR353" s="128"/>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225" t="s">
        <v>1513</v>
      </c>
      <c r="B354" s="225" t="s">
        <v>740</v>
      </c>
      <c r="C354" s="225" t="s">
        <v>817</v>
      </c>
      <c r="D354" s="225" t="s">
        <v>1496</v>
      </c>
      <c r="E354" s="225" t="s">
        <v>1497</v>
      </c>
      <c r="F354" s="225" t="s">
        <v>480</v>
      </c>
      <c r="G354" s="229" t="s">
        <v>1514</v>
      </c>
      <c r="H354" s="226"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3">
        <v>57.698690847699652</v>
      </c>
      <c r="Y354" s="363">
        <v>55.225889811369662</v>
      </c>
      <c r="Z354" s="363">
        <v>51.104554750819688</v>
      </c>
      <c r="AA354" s="363">
        <v>46.983219690269713</v>
      </c>
      <c r="AB354" s="363">
        <v>42.861884629719732</v>
      </c>
      <c r="AC354" s="363">
        <v>38.740549569169758</v>
      </c>
      <c r="AD354" s="363">
        <v>34.619214508619791</v>
      </c>
      <c r="AE354" s="186">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289"/>
        <v>0</v>
      </c>
      <c r="BV354" s="28"/>
      <c r="BW354" s="28"/>
      <c r="BX354" s="28"/>
      <c r="BY354" s="28"/>
      <c r="BZ354" s="28"/>
      <c r="CA354" s="28"/>
      <c r="CB354" s="244">
        <v>0</v>
      </c>
      <c r="CC354" s="244">
        <v>0</v>
      </c>
      <c r="CD354" s="244">
        <v>0</v>
      </c>
      <c r="CE354" s="244">
        <v>0</v>
      </c>
      <c r="CF354" s="244">
        <v>0</v>
      </c>
      <c r="CG354" s="244">
        <v>0</v>
      </c>
      <c r="CH354" s="244">
        <v>0</v>
      </c>
      <c r="CI354" s="175"/>
      <c r="CJ354" s="175"/>
      <c r="CK354" s="175"/>
      <c r="CL354" s="175"/>
      <c r="CM354" s="175"/>
      <c r="CN354" s="175"/>
      <c r="CO354" s="175"/>
      <c r="CP354" s="176"/>
      <c r="CQ354" s="176"/>
      <c r="CR354" s="176"/>
      <c r="CS354" s="176"/>
      <c r="CT354" s="176"/>
      <c r="CU354" s="176"/>
      <c r="CV354" s="176"/>
      <c r="CW354" s="167"/>
      <c r="CX354" s="168"/>
      <c r="CY354" s="168"/>
      <c r="CZ354" s="168"/>
      <c r="DA354" s="168"/>
      <c r="DB354" s="168"/>
      <c r="DC354" s="168"/>
      <c r="DD354" s="172"/>
      <c r="DE354" s="172"/>
      <c r="DF354" s="172"/>
      <c r="DG354" s="172"/>
      <c r="DH354" s="172"/>
      <c r="DI354" s="172"/>
      <c r="DJ354" s="172"/>
      <c r="DK354" s="80" t="s">
        <v>415</v>
      </c>
      <c r="DL354" s="129">
        <v>200</v>
      </c>
      <c r="DM354" s="129">
        <v>200</v>
      </c>
      <c r="DN354" s="129">
        <v>200</v>
      </c>
      <c r="DO354" s="129">
        <v>200</v>
      </c>
      <c r="DP354" s="129">
        <v>200</v>
      </c>
      <c r="DQ354" s="129">
        <v>200</v>
      </c>
      <c r="DR354" s="129">
        <v>200</v>
      </c>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6">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289"/>
        <v>0</v>
      </c>
      <c r="BV355" s="27"/>
      <c r="BW355" s="27"/>
      <c r="BX355" s="27"/>
      <c r="BY355" s="27"/>
      <c r="BZ355" s="27"/>
      <c r="CA355" s="27"/>
      <c r="CB355" s="97"/>
      <c r="CC355" s="97">
        <v>50</v>
      </c>
      <c r="CD355" s="97">
        <v>1000</v>
      </c>
      <c r="CE355" s="97">
        <v>1000</v>
      </c>
      <c r="CF355" s="97">
        <v>1000</v>
      </c>
      <c r="CG355" s="97">
        <v>1000</v>
      </c>
      <c r="CH355" s="97">
        <v>1000</v>
      </c>
      <c r="CI355" s="173"/>
      <c r="CJ355" s="173"/>
      <c r="CK355" s="173"/>
      <c r="CL355" s="173"/>
      <c r="CM355" s="173"/>
      <c r="CN355" s="173"/>
      <c r="CO355" s="173"/>
      <c r="CP355" s="174"/>
      <c r="CQ355" s="174"/>
      <c r="CR355" s="174"/>
      <c r="CS355" s="174"/>
      <c r="CT355" s="174"/>
      <c r="CU355" s="174"/>
      <c r="CV355" s="174"/>
      <c r="CW355" s="165"/>
      <c r="CX355" s="166"/>
      <c r="CY355" s="166"/>
      <c r="CZ355" s="166"/>
      <c r="DA355" s="166"/>
      <c r="DB355" s="166"/>
      <c r="DC355" s="166"/>
      <c r="DD355" s="171"/>
      <c r="DE355" s="171"/>
      <c r="DF355" s="171"/>
      <c r="DG355" s="171"/>
      <c r="DH355" s="171"/>
      <c r="DI355" s="171"/>
      <c r="DJ355" s="171"/>
      <c r="DK355" s="79" t="s">
        <v>1512</v>
      </c>
      <c r="DL355" s="128"/>
      <c r="DM355" s="128"/>
      <c r="DN355" s="128"/>
      <c r="DO355" s="128"/>
      <c r="DP355" s="128"/>
      <c r="DQ355" s="128"/>
      <c r="DR355" s="128"/>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225" t="s">
        <v>1517</v>
      </c>
      <c r="B356" s="225" t="s">
        <v>740</v>
      </c>
      <c r="C356" s="225" t="s">
        <v>817</v>
      </c>
      <c r="D356" s="225" t="s">
        <v>1496</v>
      </c>
      <c r="E356" s="225" t="s">
        <v>1497</v>
      </c>
      <c r="F356" s="225" t="s">
        <v>481</v>
      </c>
      <c r="G356" s="229" t="s">
        <v>1518</v>
      </c>
      <c r="H356" s="226"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6">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289"/>
        <v>0</v>
      </c>
      <c r="BV356" s="28"/>
      <c r="BW356" s="28"/>
      <c r="BX356" s="28"/>
      <c r="BY356" s="28"/>
      <c r="BZ356" s="28"/>
      <c r="CA356" s="28"/>
      <c r="CB356" s="244">
        <v>100</v>
      </c>
      <c r="CC356" s="244">
        <v>0</v>
      </c>
      <c r="CD356" s="244">
        <v>0</v>
      </c>
      <c r="CE356" s="244">
        <v>0</v>
      </c>
      <c r="CF356" s="244">
        <v>0</v>
      </c>
      <c r="CG356" s="244">
        <v>0</v>
      </c>
      <c r="CH356" s="244">
        <v>0</v>
      </c>
      <c r="CI356" s="175"/>
      <c r="CJ356" s="175"/>
      <c r="CK356" s="175"/>
      <c r="CL356" s="175"/>
      <c r="CM356" s="175"/>
      <c r="CN356" s="175"/>
      <c r="CO356" s="175"/>
      <c r="CP356" s="176"/>
      <c r="CQ356" s="176"/>
      <c r="CR356" s="176"/>
      <c r="CS356" s="176"/>
      <c r="CT356" s="176"/>
      <c r="CU356" s="176"/>
      <c r="CV356" s="176"/>
      <c r="CW356" s="167"/>
      <c r="CX356" s="168"/>
      <c r="CY356" s="168"/>
      <c r="CZ356" s="168"/>
      <c r="DA356" s="168"/>
      <c r="DB356" s="168"/>
      <c r="DC356" s="168"/>
      <c r="DD356" s="172"/>
      <c r="DE356" s="172"/>
      <c r="DF356" s="172"/>
      <c r="DG356" s="172"/>
      <c r="DH356" s="172"/>
      <c r="DI356" s="172"/>
      <c r="DJ356" s="172"/>
      <c r="DK356" s="80" t="s">
        <v>1519</v>
      </c>
      <c r="DL356" s="129">
        <v>130</v>
      </c>
      <c r="DM356" s="129">
        <v>130</v>
      </c>
      <c r="DN356" s="129">
        <v>130</v>
      </c>
      <c r="DO356" s="129">
        <v>130</v>
      </c>
      <c r="DP356" s="129">
        <v>130</v>
      </c>
      <c r="DQ356" s="129">
        <v>130</v>
      </c>
      <c r="DR356" s="129">
        <v>130</v>
      </c>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s="261" customFormat="1" x14ac:dyDescent="0.35">
      <c r="A357" s="256" t="s">
        <v>1520</v>
      </c>
      <c r="B357" s="256" t="s">
        <v>740</v>
      </c>
      <c r="C357" s="256" t="s">
        <v>788</v>
      </c>
      <c r="D357" s="256" t="s">
        <v>1213</v>
      </c>
      <c r="E357" s="256" t="s">
        <v>1500</v>
      </c>
      <c r="F357" s="256" t="s">
        <v>481</v>
      </c>
      <c r="G357" s="268" t="s">
        <v>1521</v>
      </c>
      <c r="H357" s="268" t="s">
        <v>659</v>
      </c>
      <c r="I357" s="253">
        <v>45</v>
      </c>
      <c r="J357" s="253">
        <f>ROUND($I$357+($O$357-$I$357)/($O$4-$I$4)*($J$4-$I$4),2)</f>
        <v>42.64</v>
      </c>
      <c r="K357" s="253">
        <f>ROUND($I$357+($O$357-$I$357)/($O$4-$I$4)*($K$4-$I$4),2)</f>
        <v>38.71</v>
      </c>
      <c r="L357" s="253">
        <f>ROUND($I$357+($O$357-$I$357)/($O$4-$I$4)*($L$4-$I$4),2)</f>
        <v>34.79</v>
      </c>
      <c r="M357" s="253">
        <f>ROUND($I$357+($O$357-$I$357)/($O$4-$I$4)*($M$4-$I$4),2)</f>
        <v>30.86</v>
      </c>
      <c r="N357" s="253">
        <f>ROUND($I$357+($O$357-$I$357)/($O$4-$I$4)*($N$4-$I$4),2)</f>
        <v>26.93</v>
      </c>
      <c r="O357" s="253">
        <v>23</v>
      </c>
      <c r="P357" s="269">
        <v>0</v>
      </c>
      <c r="Q357" s="253">
        <f>ROUND(I357*0.04,2)</f>
        <v>1.8</v>
      </c>
      <c r="R357" s="253">
        <f t="shared" ref="R357:W364" si="291">ROUND(J357*0.04,2)</f>
        <v>1.71</v>
      </c>
      <c r="S357" s="253">
        <f t="shared" si="291"/>
        <v>1.55</v>
      </c>
      <c r="T357" s="253">
        <f t="shared" si="291"/>
        <v>1.39</v>
      </c>
      <c r="U357" s="253">
        <f t="shared" si="291"/>
        <v>1.23</v>
      </c>
      <c r="V357" s="253">
        <f t="shared" si="291"/>
        <v>1.08</v>
      </c>
      <c r="W357" s="253">
        <f t="shared" si="291"/>
        <v>0.92</v>
      </c>
      <c r="X357" s="253"/>
      <c r="Y357" s="253"/>
      <c r="Z357" s="253"/>
      <c r="AA357" s="253"/>
      <c r="AB357" s="253"/>
      <c r="AC357" s="253"/>
      <c r="AD357" s="253"/>
      <c r="AE357" s="186">
        <v>0.08</v>
      </c>
      <c r="AF357" s="269"/>
      <c r="AG357" s="269">
        <v>30</v>
      </c>
      <c r="AH357" s="269">
        <v>30</v>
      </c>
      <c r="AI357" s="270">
        <v>1</v>
      </c>
      <c r="AJ357" s="270" t="s">
        <v>660</v>
      </c>
      <c r="AK357" s="270" t="s">
        <v>745</v>
      </c>
      <c r="AL357" s="270"/>
      <c r="AM357" s="271"/>
      <c r="AN357" s="271"/>
      <c r="AO357" s="271"/>
      <c r="AP357" s="271"/>
      <c r="AQ357" s="271"/>
      <c r="AR357" s="271"/>
      <c r="AS357" s="272"/>
      <c r="AT357" s="272"/>
      <c r="AU357" s="272"/>
      <c r="AV357" s="273"/>
      <c r="AW357" s="273"/>
      <c r="AX357" s="273"/>
      <c r="AY357" s="257" t="s">
        <v>662</v>
      </c>
      <c r="AZ357" s="257"/>
      <c r="BA357" s="257"/>
      <c r="BB357" s="257"/>
      <c r="BC357" s="257"/>
      <c r="BD357" s="257"/>
      <c r="BE357" s="257"/>
      <c r="BF357" s="257"/>
      <c r="BG357" s="257"/>
      <c r="BH357" s="274"/>
      <c r="BI357" s="274"/>
      <c r="BJ357" s="274"/>
      <c r="BK357" s="274"/>
      <c r="BL357" s="275"/>
      <c r="BM357" s="276"/>
      <c r="BN357" s="277">
        <v>10.5</v>
      </c>
      <c r="BO357" s="269"/>
      <c r="BP357" s="269"/>
      <c r="BQ357" s="269"/>
      <c r="BR357" s="269"/>
      <c r="BS357" s="269"/>
      <c r="BT357" s="269"/>
      <c r="BU357" s="257">
        <f t="shared" si="289"/>
        <v>0</v>
      </c>
      <c r="BV357" s="257"/>
      <c r="BW357" s="257"/>
      <c r="BX357" s="257"/>
      <c r="BY357" s="257"/>
      <c r="BZ357" s="257"/>
      <c r="CA357" s="257"/>
      <c r="CB357" s="244">
        <v>10.5</v>
      </c>
      <c r="CC357" s="244">
        <v>50</v>
      </c>
      <c r="CD357" s="244">
        <v>500</v>
      </c>
      <c r="CE357" s="244">
        <v>500</v>
      </c>
      <c r="CF357" s="244">
        <v>1000</v>
      </c>
      <c r="CG357" s="244">
        <v>1000</v>
      </c>
      <c r="CH357" s="244">
        <v>1000</v>
      </c>
      <c r="CI357" s="257"/>
      <c r="CJ357" s="257"/>
      <c r="CK357" s="257"/>
      <c r="CL357" s="257"/>
      <c r="CM357" s="257"/>
      <c r="CN357" s="257"/>
      <c r="CO357" s="257"/>
      <c r="CP357" s="258"/>
      <c r="CQ357" s="258"/>
      <c r="CR357" s="258"/>
      <c r="CS357" s="258"/>
      <c r="CT357" s="258"/>
      <c r="CU357" s="258"/>
      <c r="CV357" s="258"/>
      <c r="CW357" s="278"/>
      <c r="CX357" s="279"/>
      <c r="CY357" s="279"/>
      <c r="CZ357" s="279"/>
      <c r="DA357" s="279"/>
      <c r="DB357" s="279"/>
      <c r="DC357" s="279"/>
      <c r="DD357" s="279"/>
      <c r="DE357" s="279"/>
      <c r="DF357" s="279"/>
      <c r="DG357" s="279"/>
      <c r="DH357" s="279"/>
      <c r="DI357" s="279"/>
      <c r="DJ357" s="279"/>
      <c r="DK357" s="265"/>
      <c r="DL357" s="278">
        <v>500</v>
      </c>
      <c r="DM357" s="278">
        <v>500</v>
      </c>
      <c r="DN357" s="278">
        <v>500</v>
      </c>
      <c r="DO357" s="278">
        <v>500</v>
      </c>
      <c r="DP357" s="278">
        <v>500</v>
      </c>
      <c r="DQ357" s="278">
        <v>500</v>
      </c>
      <c r="DR357" s="278">
        <v>500</v>
      </c>
      <c r="DS357" s="280"/>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1" customFormat="1" x14ac:dyDescent="0.35">
      <c r="A358" s="256" t="s">
        <v>1522</v>
      </c>
      <c r="B358" s="256" t="s">
        <v>740</v>
      </c>
      <c r="C358" s="256" t="s">
        <v>817</v>
      </c>
      <c r="D358" s="256" t="s">
        <v>1496</v>
      </c>
      <c r="E358" s="256" t="s">
        <v>1497</v>
      </c>
      <c r="F358" s="256" t="s">
        <v>482</v>
      </c>
      <c r="G358" s="229" t="s">
        <v>1523</v>
      </c>
      <c r="H358" s="268"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6">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292">IF(BL358=1,BN358,0)</f>
        <v>0</v>
      </c>
      <c r="BV358" s="28"/>
      <c r="BW358" s="28"/>
      <c r="BX358" s="28"/>
      <c r="BY358" s="28"/>
      <c r="BZ358" s="28"/>
      <c r="CA358" s="28"/>
      <c r="CB358" s="244">
        <v>0</v>
      </c>
      <c r="CC358" s="99">
        <v>300</v>
      </c>
      <c r="CD358" s="99">
        <v>300</v>
      </c>
      <c r="CE358" s="99">
        <v>300</v>
      </c>
      <c r="CF358" s="99">
        <v>300</v>
      </c>
      <c r="CG358" s="99">
        <v>300</v>
      </c>
      <c r="CH358" s="99">
        <v>300</v>
      </c>
      <c r="CI358" s="175"/>
      <c r="CJ358" s="175"/>
      <c r="CK358" s="175"/>
      <c r="CL358" s="175"/>
      <c r="CM358" s="175"/>
      <c r="CN358" s="175"/>
      <c r="CO358" s="175"/>
      <c r="CP358" s="176"/>
      <c r="CQ358" s="176"/>
      <c r="CR358" s="176"/>
      <c r="CS358" s="176"/>
      <c r="CT358" s="176"/>
      <c r="CU358" s="176"/>
      <c r="CV358" s="176"/>
      <c r="CW358" s="167"/>
      <c r="CX358" s="168"/>
      <c r="CY358" s="168"/>
      <c r="CZ358" s="168"/>
      <c r="DA358" s="168"/>
      <c r="DB358" s="168"/>
      <c r="DC358" s="168"/>
      <c r="DD358" s="172"/>
      <c r="DE358" s="172"/>
      <c r="DF358" s="172"/>
      <c r="DG358" s="172"/>
      <c r="DH358" s="172"/>
      <c r="DI358" s="172"/>
      <c r="DJ358" s="172"/>
      <c r="DK358" s="80" t="s">
        <v>1519</v>
      </c>
      <c r="DL358" s="129">
        <v>130</v>
      </c>
      <c r="DM358" s="129">
        <v>130</v>
      </c>
      <c r="DN358" s="129">
        <v>130</v>
      </c>
      <c r="DO358" s="129">
        <v>130</v>
      </c>
      <c r="DP358" s="129">
        <v>130</v>
      </c>
      <c r="DQ358" s="129">
        <v>130</v>
      </c>
      <c r="DR358" s="129">
        <v>130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3">
        <f>ROUND(23*1.333,2)</f>
        <v>30.66</v>
      </c>
      <c r="J359" s="253">
        <f>ROUND($I$359+($O$359-$I$359)/($O$4-$I$4)*($J$4-$I$4),2)</f>
        <v>29.45</v>
      </c>
      <c r="K359" s="253">
        <f>ROUND($I$359+($O$359-$I$359)/($O$4-$I$4)*($K$4-$I$4),2)</f>
        <v>27.42</v>
      </c>
      <c r="L359" s="253">
        <f>ROUND($I$359+($O$359-$I$359)/($O$4-$I$4)*($L$4-$I$4),2)</f>
        <v>25.4</v>
      </c>
      <c r="M359" s="253">
        <f>ROUND($I$359+($O$359-$I$359)/($O$4-$I$4)*($M$4-$I$4),2)</f>
        <v>23.37</v>
      </c>
      <c r="N359" s="253">
        <f>ROUND($I$359+($O$359-$I$359)/($O$4-$I$4)*($N$4-$I$4),2)</f>
        <v>21.35</v>
      </c>
      <c r="O359" s="253">
        <f t="shared" ref="O359:O364" si="293">ROUND(I359*0.63,2)</f>
        <v>19.32</v>
      </c>
      <c r="P359" s="93">
        <v>0</v>
      </c>
      <c r="Q359" s="253">
        <f t="shared" ref="Q359:Q364" si="294">ROUND(I359*0.04,2)</f>
        <v>1.23</v>
      </c>
      <c r="R359" s="253">
        <f t="shared" si="291"/>
        <v>1.18</v>
      </c>
      <c r="S359" s="253">
        <f t="shared" si="291"/>
        <v>1.1000000000000001</v>
      </c>
      <c r="T359" s="253">
        <f t="shared" si="291"/>
        <v>1.02</v>
      </c>
      <c r="U359" s="253">
        <f t="shared" si="291"/>
        <v>0.93</v>
      </c>
      <c r="V359" s="253">
        <f t="shared" si="291"/>
        <v>0.85</v>
      </c>
      <c r="W359" s="253">
        <f t="shared" si="291"/>
        <v>0.77</v>
      </c>
      <c r="X359" s="101">
        <v>0</v>
      </c>
      <c r="Y359" s="101">
        <v>0</v>
      </c>
      <c r="Z359" s="101">
        <v>0</v>
      </c>
      <c r="AA359" s="101">
        <v>0</v>
      </c>
      <c r="AB359" s="101">
        <v>0</v>
      </c>
      <c r="AC359" s="101">
        <v>0</v>
      </c>
      <c r="AD359" s="101">
        <v>0</v>
      </c>
      <c r="AE359" s="186">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289"/>
        <v>0</v>
      </c>
      <c r="BV359" s="27"/>
      <c r="BW359" s="27"/>
      <c r="BX359" s="27"/>
      <c r="BY359" s="27"/>
      <c r="BZ359" s="27"/>
      <c r="CA359" s="27"/>
      <c r="CB359" s="97"/>
      <c r="CC359" s="97">
        <v>50</v>
      </c>
      <c r="CD359" s="97">
        <v>1000</v>
      </c>
      <c r="CE359" s="97">
        <v>1000</v>
      </c>
      <c r="CF359" s="97">
        <v>1000</v>
      </c>
      <c r="CG359" s="97">
        <v>1000</v>
      </c>
      <c r="CH359" s="97">
        <v>1000</v>
      </c>
      <c r="CI359" s="173"/>
      <c r="CJ359" s="173"/>
      <c r="CK359" s="173"/>
      <c r="CL359" s="173"/>
      <c r="CM359" s="173"/>
      <c r="CN359" s="173"/>
      <c r="CO359" s="173"/>
      <c r="CP359" s="174"/>
      <c r="CQ359" s="174"/>
      <c r="CR359" s="174"/>
      <c r="CS359" s="174"/>
      <c r="CT359" s="174"/>
      <c r="CU359" s="174"/>
      <c r="CV359" s="174"/>
      <c r="CW359" s="165"/>
      <c r="CX359" s="166"/>
      <c r="CY359" s="166"/>
      <c r="CZ359" s="166"/>
      <c r="DA359" s="166"/>
      <c r="DB359" s="166"/>
      <c r="DC359" s="166"/>
      <c r="DD359" s="171"/>
      <c r="DE359" s="171"/>
      <c r="DF359" s="171"/>
      <c r="DG359" s="171"/>
      <c r="DH359" s="171"/>
      <c r="DI359" s="171"/>
      <c r="DJ359" s="171"/>
      <c r="DK359" s="79" t="s">
        <v>1527</v>
      </c>
      <c r="DL359" s="128">
        <v>2000</v>
      </c>
      <c r="DM359" s="128">
        <v>2000</v>
      </c>
      <c r="DN359" s="128">
        <v>2000</v>
      </c>
      <c r="DO359" s="128">
        <v>2000</v>
      </c>
      <c r="DP359" s="128">
        <v>2000</v>
      </c>
      <c r="DQ359" s="128">
        <v>2000</v>
      </c>
      <c r="DR359" s="128">
        <v>2000</v>
      </c>
      <c r="DS359" s="218"/>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row>
    <row r="360" spans="1:244" x14ac:dyDescent="0.35">
      <c r="A360" s="6" t="s">
        <v>1528</v>
      </c>
      <c r="B360" s="6" t="s">
        <v>740</v>
      </c>
      <c r="C360" s="6" t="s">
        <v>788</v>
      </c>
      <c r="D360" s="6" t="s">
        <v>1213</v>
      </c>
      <c r="E360" s="6" t="s">
        <v>1525</v>
      </c>
      <c r="F360" s="6" t="s">
        <v>486</v>
      </c>
      <c r="G360" s="48" t="s">
        <v>1529</v>
      </c>
      <c r="H360" s="48" t="s">
        <v>659</v>
      </c>
      <c r="I360" s="253">
        <f>ROUND(24.8*1.333,2)</f>
        <v>33.06</v>
      </c>
      <c r="J360" s="253">
        <f>ROUND($I$360+($O$360-$I$360)/($O$4-$I$4)*($J$4-$I$4),2)</f>
        <v>31.75</v>
      </c>
      <c r="K360" s="253">
        <f>ROUND($I$360+($O$360-$I$360)/($O$4-$I$4)*($K$4-$I$4),2)</f>
        <v>29.57</v>
      </c>
      <c r="L360" s="253">
        <f>ROUND($I$360+($O$360-$I$360)/($O$4-$I$4)*($L$4-$I$4),2)</f>
        <v>27.38</v>
      </c>
      <c r="M360" s="253">
        <f>ROUND($I$360+($O$360-$I$360)/($O$4-$I$4)*($M$4-$I$4),2)</f>
        <v>25.2</v>
      </c>
      <c r="N360" s="253">
        <f>ROUND($I$360+($O$360-$I$360)/($O$4-$I$4)*($N$4-$I$4),2)</f>
        <v>23.01</v>
      </c>
      <c r="O360" s="253">
        <f t="shared" si="293"/>
        <v>20.83</v>
      </c>
      <c r="P360" s="94">
        <v>0</v>
      </c>
      <c r="Q360" s="253">
        <f t="shared" si="294"/>
        <v>1.32</v>
      </c>
      <c r="R360" s="253">
        <f t="shared" si="291"/>
        <v>1.27</v>
      </c>
      <c r="S360" s="253">
        <f t="shared" si="291"/>
        <v>1.18</v>
      </c>
      <c r="T360" s="253">
        <f t="shared" si="291"/>
        <v>1.1000000000000001</v>
      </c>
      <c r="U360" s="253">
        <f t="shared" si="291"/>
        <v>1.01</v>
      </c>
      <c r="V360" s="253">
        <f t="shared" si="291"/>
        <v>0.92</v>
      </c>
      <c r="W360" s="253">
        <f t="shared" si="291"/>
        <v>0.83</v>
      </c>
      <c r="X360" s="102"/>
      <c r="Y360" s="102"/>
      <c r="Z360" s="102"/>
      <c r="AA360" s="102"/>
      <c r="AB360" s="102"/>
      <c r="AC360" s="102"/>
      <c r="AD360" s="102"/>
      <c r="AE360" s="186">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289"/>
        <v>0</v>
      </c>
      <c r="BV360" s="28"/>
      <c r="BW360" s="28"/>
      <c r="BX360" s="28"/>
      <c r="BY360" s="28"/>
      <c r="BZ360" s="28"/>
      <c r="CA360" s="28"/>
      <c r="CB360" s="99"/>
      <c r="CC360" s="99">
        <v>50</v>
      </c>
      <c r="CD360" s="99">
        <v>1000</v>
      </c>
      <c r="CE360" s="99">
        <v>1000</v>
      </c>
      <c r="CF360" s="99">
        <v>1000</v>
      </c>
      <c r="CG360" s="99">
        <v>1000</v>
      </c>
      <c r="CH360" s="99">
        <v>1000</v>
      </c>
      <c r="CI360" s="175"/>
      <c r="CJ360" s="175"/>
      <c r="CK360" s="175"/>
      <c r="CL360" s="175"/>
      <c r="CM360" s="175"/>
      <c r="CN360" s="175"/>
      <c r="CO360" s="175"/>
      <c r="CP360" s="176"/>
      <c r="CQ360" s="176"/>
      <c r="CR360" s="176"/>
      <c r="CS360" s="176"/>
      <c r="CT360" s="176"/>
      <c r="CU360" s="176"/>
      <c r="CV360" s="176"/>
      <c r="CW360" s="167"/>
      <c r="CX360" s="168"/>
      <c r="CY360" s="168"/>
      <c r="CZ360" s="168"/>
      <c r="DA360" s="168"/>
      <c r="DB360" s="168"/>
      <c r="DC360" s="168"/>
      <c r="DD360" s="172"/>
      <c r="DE360" s="172"/>
      <c r="DF360" s="172"/>
      <c r="DG360" s="172"/>
      <c r="DH360" s="172"/>
      <c r="DI360" s="172"/>
      <c r="DJ360" s="172"/>
      <c r="DK360" s="80" t="s">
        <v>1530</v>
      </c>
      <c r="DL360" s="129"/>
      <c r="DM360" s="129"/>
      <c r="DN360" s="129"/>
      <c r="DO360" s="129"/>
      <c r="DP360" s="129"/>
      <c r="DQ360" s="129"/>
      <c r="DR360" s="129"/>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5" t="s">
        <v>1531</v>
      </c>
      <c r="B361" s="5" t="s">
        <v>740</v>
      </c>
      <c r="C361" s="5" t="s">
        <v>788</v>
      </c>
      <c r="D361" s="5" t="s">
        <v>1213</v>
      </c>
      <c r="E361" s="5" t="s">
        <v>1525</v>
      </c>
      <c r="F361" s="5" t="s">
        <v>487</v>
      </c>
      <c r="G361" s="47" t="s">
        <v>1532</v>
      </c>
      <c r="H361" s="47" t="s">
        <v>659</v>
      </c>
      <c r="I361" s="253">
        <f>ROUND(23*1.333,2)</f>
        <v>30.66</v>
      </c>
      <c r="J361" s="253">
        <f>ROUND($I$361+($O$361-$I$361)/($O$4-$I$4)*($J$4-$I$4),2)</f>
        <v>29.45</v>
      </c>
      <c r="K361" s="253">
        <f>ROUND($I$361+($O$361-$I$361)/($O$4-$I$4)*($K$4-$I$4),2)</f>
        <v>27.42</v>
      </c>
      <c r="L361" s="253">
        <f>ROUND($I$361+($O$361-$I$361)/($O$4-$I$4)*($L$4-$I$4),2)</f>
        <v>25.4</v>
      </c>
      <c r="M361" s="253">
        <f>ROUND($I$361+($O$361-$I$361)/($O$4-$I$4)*($M$4-$I$4),2)</f>
        <v>23.37</v>
      </c>
      <c r="N361" s="253">
        <f>ROUND($I$361+($O$361-$I$361)/($O$4-$I$4)*($N$4-$I$4),2)</f>
        <v>21.35</v>
      </c>
      <c r="O361" s="253">
        <f t="shared" si="293"/>
        <v>19.32</v>
      </c>
      <c r="P361" s="93">
        <v>0</v>
      </c>
      <c r="Q361" s="253">
        <f t="shared" si="294"/>
        <v>1.23</v>
      </c>
      <c r="R361" s="253">
        <f t="shared" si="291"/>
        <v>1.18</v>
      </c>
      <c r="S361" s="253">
        <f t="shared" si="291"/>
        <v>1.1000000000000001</v>
      </c>
      <c r="T361" s="253">
        <f t="shared" si="291"/>
        <v>1.02</v>
      </c>
      <c r="U361" s="253">
        <f t="shared" si="291"/>
        <v>0.93</v>
      </c>
      <c r="V361" s="253">
        <f t="shared" si="291"/>
        <v>0.85</v>
      </c>
      <c r="W361" s="253">
        <f t="shared" si="291"/>
        <v>0.77</v>
      </c>
      <c r="X361" s="101">
        <v>0</v>
      </c>
      <c r="Y361" s="101">
        <v>0</v>
      </c>
      <c r="Z361" s="101">
        <v>0</v>
      </c>
      <c r="AA361" s="101">
        <v>0</v>
      </c>
      <c r="AB361" s="101">
        <v>0</v>
      </c>
      <c r="AC361" s="101">
        <v>0</v>
      </c>
      <c r="AD361" s="101">
        <v>0</v>
      </c>
      <c r="AE361" s="186">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289"/>
        <v>0</v>
      </c>
      <c r="BV361" s="27"/>
      <c r="BW361" s="27"/>
      <c r="BX361" s="27"/>
      <c r="BY361" s="27"/>
      <c r="BZ361" s="27"/>
      <c r="CA361" s="27"/>
      <c r="CB361" s="97"/>
      <c r="CC361" s="97">
        <v>50</v>
      </c>
      <c r="CD361" s="97">
        <v>1000</v>
      </c>
      <c r="CE361" s="97">
        <v>1000</v>
      </c>
      <c r="CF361" s="97">
        <v>1000</v>
      </c>
      <c r="CG361" s="97">
        <v>1000</v>
      </c>
      <c r="CH361" s="97">
        <v>1000</v>
      </c>
      <c r="CI361" s="173"/>
      <c r="CJ361" s="173"/>
      <c r="CK361" s="173"/>
      <c r="CL361" s="173"/>
      <c r="CM361" s="173"/>
      <c r="CN361" s="173"/>
      <c r="CO361" s="173"/>
      <c r="CP361" s="174"/>
      <c r="CQ361" s="174"/>
      <c r="CR361" s="174"/>
      <c r="CS361" s="174"/>
      <c r="CT361" s="174"/>
      <c r="CU361" s="174"/>
      <c r="CV361" s="174"/>
      <c r="CW361" s="165"/>
      <c r="CX361" s="166"/>
      <c r="CY361" s="166"/>
      <c r="CZ361" s="166"/>
      <c r="DA361" s="166"/>
      <c r="DB361" s="166"/>
      <c r="DC361" s="166"/>
      <c r="DD361" s="171"/>
      <c r="DE361" s="171"/>
      <c r="DF361" s="171"/>
      <c r="DG361" s="171"/>
      <c r="DH361" s="171"/>
      <c r="DI361" s="171"/>
      <c r="DJ361" s="171"/>
      <c r="DK361" s="79" t="s">
        <v>1527</v>
      </c>
      <c r="DL361" s="128"/>
      <c r="DM361" s="128"/>
      <c r="DN361" s="128"/>
      <c r="DO361" s="128"/>
      <c r="DP361" s="128"/>
      <c r="DQ361" s="128"/>
      <c r="DR361" s="128"/>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6" t="s">
        <v>1533</v>
      </c>
      <c r="B362" s="6" t="s">
        <v>740</v>
      </c>
      <c r="C362" s="6" t="s">
        <v>788</v>
      </c>
      <c r="D362" s="6" t="s">
        <v>1213</v>
      </c>
      <c r="E362" s="6" t="s">
        <v>1525</v>
      </c>
      <c r="F362" s="6" t="s">
        <v>487</v>
      </c>
      <c r="G362" s="48" t="s">
        <v>1534</v>
      </c>
      <c r="H362" s="48" t="s">
        <v>659</v>
      </c>
      <c r="I362" s="253">
        <f>ROUND(24.8*1.333,2)</f>
        <v>33.06</v>
      </c>
      <c r="J362" s="253">
        <f>ROUND($I$362+($O$362-$I$362)/($O$4-$I$4)*($J$4-$I$4),2)</f>
        <v>31.75</v>
      </c>
      <c r="K362" s="253">
        <f>ROUND($I$362+($O$362-$I$362)/($O$4-$I$4)*($K$4-$I$4),2)</f>
        <v>29.57</v>
      </c>
      <c r="L362" s="253">
        <f>ROUND($I$362+($O$362-$I$362)/($O$4-$I$4)*($L$4-$I$4),2)</f>
        <v>27.38</v>
      </c>
      <c r="M362" s="253">
        <f>ROUND($I$362+($O$362-$I$362)/($O$4-$I$4)*($M$4-$I$4),2)</f>
        <v>25.2</v>
      </c>
      <c r="N362" s="253">
        <f>ROUND($I$362+($O$362-$I$362)/($O$4-$I$4)*($N$4-$I$4),2)</f>
        <v>23.01</v>
      </c>
      <c r="O362" s="253">
        <f t="shared" si="293"/>
        <v>20.83</v>
      </c>
      <c r="P362" s="94">
        <v>0</v>
      </c>
      <c r="Q362" s="253">
        <f t="shared" si="294"/>
        <v>1.32</v>
      </c>
      <c r="R362" s="253">
        <f t="shared" si="291"/>
        <v>1.27</v>
      </c>
      <c r="S362" s="253">
        <f t="shared" si="291"/>
        <v>1.18</v>
      </c>
      <c r="T362" s="253">
        <f t="shared" si="291"/>
        <v>1.1000000000000001</v>
      </c>
      <c r="U362" s="253">
        <f t="shared" si="291"/>
        <v>1.01</v>
      </c>
      <c r="V362" s="253">
        <f t="shared" si="291"/>
        <v>0.92</v>
      </c>
      <c r="W362" s="253">
        <f t="shared" si="291"/>
        <v>0.83</v>
      </c>
      <c r="X362" s="102"/>
      <c r="Y362" s="102"/>
      <c r="Z362" s="102"/>
      <c r="AA362" s="102"/>
      <c r="AB362" s="102"/>
      <c r="AC362" s="102"/>
      <c r="AD362" s="102"/>
      <c r="AE362" s="186">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289"/>
        <v>0</v>
      </c>
      <c r="BV362" s="28"/>
      <c r="BW362" s="28"/>
      <c r="BX362" s="28"/>
      <c r="BY362" s="28"/>
      <c r="BZ362" s="28"/>
      <c r="CA362" s="28"/>
      <c r="CB362" s="99"/>
      <c r="CC362" s="99">
        <v>50</v>
      </c>
      <c r="CD362" s="99">
        <v>1000</v>
      </c>
      <c r="CE362" s="99">
        <v>1000</v>
      </c>
      <c r="CF362" s="99">
        <v>1000</v>
      </c>
      <c r="CG362" s="99">
        <v>1000</v>
      </c>
      <c r="CH362" s="99">
        <v>1000</v>
      </c>
      <c r="CI362" s="175"/>
      <c r="CJ362" s="175"/>
      <c r="CK362" s="175"/>
      <c r="CL362" s="175"/>
      <c r="CM362" s="175"/>
      <c r="CN362" s="175"/>
      <c r="CO362" s="175"/>
      <c r="CP362" s="176"/>
      <c r="CQ362" s="176"/>
      <c r="CR362" s="176"/>
      <c r="CS362" s="176"/>
      <c r="CT362" s="176"/>
      <c r="CU362" s="176"/>
      <c r="CV362" s="176"/>
      <c r="CW362" s="167"/>
      <c r="CX362" s="168"/>
      <c r="CY362" s="168"/>
      <c r="CZ362" s="168"/>
      <c r="DA362" s="168"/>
      <c r="DB362" s="168"/>
      <c r="DC362" s="168"/>
      <c r="DD362" s="172"/>
      <c r="DE362" s="172"/>
      <c r="DF362" s="172"/>
      <c r="DG362" s="172"/>
      <c r="DH362" s="172"/>
      <c r="DI362" s="172"/>
      <c r="DJ362" s="172"/>
      <c r="DK362" s="80" t="s">
        <v>1530</v>
      </c>
      <c r="DL362" s="129"/>
      <c r="DM362" s="129"/>
      <c r="DN362" s="129"/>
      <c r="DO362" s="129"/>
      <c r="DP362" s="129"/>
      <c r="DQ362" s="129"/>
      <c r="DR362" s="129"/>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s="261" customFormat="1" x14ac:dyDescent="0.35">
      <c r="A363" s="256" t="s">
        <v>1535</v>
      </c>
      <c r="B363" s="256" t="s">
        <v>740</v>
      </c>
      <c r="C363" s="256" t="s">
        <v>788</v>
      </c>
      <c r="D363" s="256" t="s">
        <v>1213</v>
      </c>
      <c r="E363" s="256" t="s">
        <v>1525</v>
      </c>
      <c r="F363" s="256" t="s">
        <v>488</v>
      </c>
      <c r="G363" s="268" t="s">
        <v>1536</v>
      </c>
      <c r="H363" s="268" t="s">
        <v>659</v>
      </c>
      <c r="I363" s="253">
        <f>ROUND(23*1.333+(I367*-EnergyBalance!EG361),2)</f>
        <v>54.9</v>
      </c>
      <c r="J363" s="253">
        <f>ROUND($I363+($O363-$I363)/($O$4-$I$4)*($J$4-$I$4),2)</f>
        <v>52.72</v>
      </c>
      <c r="K363" s="253">
        <f>ROUND($I363+($O363-$I363)/($O$4-$I$4)*($K$4-$I$4),2)</f>
        <v>49.1</v>
      </c>
      <c r="L363" s="253">
        <f>ROUND($I363+($O363-$I363)/($O$4-$I$4)*($L$4-$I$4),2)</f>
        <v>45.47</v>
      </c>
      <c r="M363" s="253">
        <f>ROUND($I363+($O363-$I363)/($O$4-$I$4)*($M$4-$I$4),2)</f>
        <v>41.84</v>
      </c>
      <c r="N363" s="253">
        <f>ROUND($I363+($O363-$I363)/($O$4-$I$4)*($N$4-$I$4),2)</f>
        <v>38.22</v>
      </c>
      <c r="O363" s="253">
        <f t="shared" si="293"/>
        <v>34.590000000000003</v>
      </c>
      <c r="P363" s="269">
        <v>0</v>
      </c>
      <c r="Q363" s="253">
        <f t="shared" si="294"/>
        <v>2.2000000000000002</v>
      </c>
      <c r="R363" s="253">
        <f t="shared" si="291"/>
        <v>2.11</v>
      </c>
      <c r="S363" s="253">
        <f t="shared" si="291"/>
        <v>1.96</v>
      </c>
      <c r="T363" s="253">
        <f t="shared" si="291"/>
        <v>1.82</v>
      </c>
      <c r="U363" s="253">
        <f t="shared" si="291"/>
        <v>1.67</v>
      </c>
      <c r="V363" s="253">
        <f t="shared" si="291"/>
        <v>1.53</v>
      </c>
      <c r="W363" s="253">
        <f t="shared" si="291"/>
        <v>1.38</v>
      </c>
      <c r="X363" s="253">
        <v>0</v>
      </c>
      <c r="Y363" s="253">
        <v>0</v>
      </c>
      <c r="Z363" s="253">
        <v>0</v>
      </c>
      <c r="AA363" s="253">
        <v>0</v>
      </c>
      <c r="AB363" s="253">
        <v>0</v>
      </c>
      <c r="AC363" s="253">
        <v>0</v>
      </c>
      <c r="AD363" s="253">
        <v>0</v>
      </c>
      <c r="AE363" s="186">
        <v>0.08</v>
      </c>
      <c r="AF363" s="269"/>
      <c r="AG363" s="269">
        <v>30</v>
      </c>
      <c r="AH363" s="269">
        <v>30</v>
      </c>
      <c r="AI363" s="270">
        <v>1</v>
      </c>
      <c r="AJ363" s="270" t="s">
        <v>660</v>
      </c>
      <c r="AK363" s="270" t="s">
        <v>745</v>
      </c>
      <c r="AL363" s="270"/>
      <c r="AM363" s="271"/>
      <c r="AN363" s="271"/>
      <c r="AO363" s="271"/>
      <c r="AP363" s="271"/>
      <c r="AQ363" s="271"/>
      <c r="AR363" s="271"/>
      <c r="AS363" s="272"/>
      <c r="AT363" s="272"/>
      <c r="AU363" s="272"/>
      <c r="AV363" s="273"/>
      <c r="AW363" s="273"/>
      <c r="AX363" s="273"/>
      <c r="AY363" s="257" t="s">
        <v>662</v>
      </c>
      <c r="AZ363" s="257"/>
      <c r="BA363" s="257"/>
      <c r="BB363" s="287"/>
      <c r="BC363" s="287"/>
      <c r="BD363" s="287"/>
      <c r="BE363" s="287"/>
      <c r="BF363" s="287"/>
      <c r="BG363" s="287"/>
      <c r="BH363" s="288"/>
      <c r="BI363" s="288"/>
      <c r="BJ363" s="288"/>
      <c r="BK363" s="288"/>
      <c r="BL363" s="275"/>
      <c r="BM363" s="276"/>
      <c r="BN363" s="277">
        <v>0</v>
      </c>
      <c r="BO363" s="269"/>
      <c r="BP363" s="269"/>
      <c r="BQ363" s="269"/>
      <c r="BR363" s="269"/>
      <c r="BS363" s="269"/>
      <c r="BT363" s="269"/>
      <c r="BU363" s="257">
        <f t="shared" ref="BU363:BU366" si="295">IF(BL363=1,BN363,0)</f>
        <v>0</v>
      </c>
      <c r="BV363" s="257"/>
      <c r="BW363" s="257"/>
      <c r="BX363" s="257"/>
      <c r="BY363" s="257"/>
      <c r="BZ363" s="257"/>
      <c r="CA363" s="257"/>
      <c r="CB363" s="244"/>
      <c r="CC363" s="97"/>
      <c r="CD363" s="97"/>
      <c r="CE363" s="97"/>
      <c r="CF363" s="97"/>
      <c r="CG363" s="97"/>
      <c r="CH363" s="97"/>
      <c r="CI363" s="257"/>
      <c r="CJ363" s="257"/>
      <c r="CK363" s="257"/>
      <c r="CL363" s="257"/>
      <c r="CM363" s="257"/>
      <c r="CN363" s="257"/>
      <c r="CO363" s="257"/>
      <c r="CP363" s="258"/>
      <c r="CQ363" s="258"/>
      <c r="CR363" s="258"/>
      <c r="CS363" s="258"/>
      <c r="CT363" s="258"/>
      <c r="CU363" s="258"/>
      <c r="CV363" s="258"/>
      <c r="CW363" s="278"/>
      <c r="CX363" s="279"/>
      <c r="CY363" s="279"/>
      <c r="CZ363" s="279"/>
      <c r="DA363" s="279"/>
      <c r="DB363" s="279"/>
      <c r="DC363" s="279"/>
      <c r="DD363" s="279"/>
      <c r="DE363" s="279"/>
      <c r="DF363" s="279"/>
      <c r="DG363" s="279"/>
      <c r="DH363" s="279"/>
      <c r="DI363" s="279"/>
      <c r="DJ363" s="279"/>
      <c r="DK363" s="265" t="s">
        <v>1527</v>
      </c>
      <c r="DL363" s="278"/>
      <c r="DM363" s="278"/>
      <c r="DN363" s="278"/>
      <c r="DO363" s="278"/>
      <c r="DP363" s="278"/>
      <c r="DQ363" s="278"/>
      <c r="DR363" s="278"/>
      <c r="DS363" s="280"/>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1" customFormat="1" x14ac:dyDescent="0.35">
      <c r="A364" s="256" t="s">
        <v>1537</v>
      </c>
      <c r="B364" s="256" t="s">
        <v>740</v>
      </c>
      <c r="C364" s="256" t="s">
        <v>788</v>
      </c>
      <c r="D364" s="256" t="s">
        <v>1213</v>
      </c>
      <c r="E364" s="256" t="s">
        <v>1525</v>
      </c>
      <c r="F364" s="256" t="s">
        <v>488</v>
      </c>
      <c r="G364" s="268" t="s">
        <v>1538</v>
      </c>
      <c r="H364" s="268" t="s">
        <v>659</v>
      </c>
      <c r="I364" s="253">
        <f>ROUND(24.8*1.333+(I372*-EnergyBalance!EI362),2)</f>
        <v>52.76</v>
      </c>
      <c r="J364" s="253">
        <f>ROUND($I364+($O364-$I364)/($O$4-$I$4)*($J$4-$I$4),2)</f>
        <v>50.67</v>
      </c>
      <c r="K364" s="253">
        <f>ROUND($I364+($O364-$I364)/($O$4-$I$4)*($K$4-$I$4),2)</f>
        <v>47.18</v>
      </c>
      <c r="L364" s="253">
        <f>ROUND($I364+($O364-$I364)/($O$4-$I$4)*($L$4-$I$4),2)</f>
        <v>43.7</v>
      </c>
      <c r="M364" s="253">
        <f>ROUND($I364+($O364-$I364)/($O$4-$I$4)*($M$4-$I$4),2)</f>
        <v>40.21</v>
      </c>
      <c r="N364" s="253">
        <f>ROUND($I364+($O364-$I364)/($O$4-$I$4)*($N$4-$I$4),2)</f>
        <v>36.729999999999997</v>
      </c>
      <c r="O364" s="253">
        <f t="shared" si="293"/>
        <v>33.24</v>
      </c>
      <c r="P364" s="269">
        <v>0</v>
      </c>
      <c r="Q364" s="253">
        <f t="shared" si="294"/>
        <v>2.11</v>
      </c>
      <c r="R364" s="253">
        <f t="shared" si="291"/>
        <v>2.0299999999999998</v>
      </c>
      <c r="S364" s="253">
        <f t="shared" si="291"/>
        <v>1.89</v>
      </c>
      <c r="T364" s="253">
        <f t="shared" si="291"/>
        <v>1.75</v>
      </c>
      <c r="U364" s="253">
        <f t="shared" si="291"/>
        <v>1.61</v>
      </c>
      <c r="V364" s="253">
        <f t="shared" si="291"/>
        <v>1.47</v>
      </c>
      <c r="W364" s="253">
        <f t="shared" si="291"/>
        <v>1.33</v>
      </c>
      <c r="X364" s="253"/>
      <c r="Y364" s="253"/>
      <c r="Z364" s="253"/>
      <c r="AA364" s="253"/>
      <c r="AB364" s="253"/>
      <c r="AC364" s="253"/>
      <c r="AD364" s="253"/>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57"/>
      <c r="BC364" s="257"/>
      <c r="BD364" s="257"/>
      <c r="BE364" s="257"/>
      <c r="BF364" s="257"/>
      <c r="BG364" s="257"/>
      <c r="BH364" s="274"/>
      <c r="BI364" s="274"/>
      <c r="BJ364" s="274"/>
      <c r="BK364" s="274"/>
      <c r="BL364" s="275"/>
      <c r="BM364" s="276"/>
      <c r="BN364" s="277">
        <v>0</v>
      </c>
      <c r="BO364" s="269"/>
      <c r="BP364" s="269"/>
      <c r="BQ364" s="269"/>
      <c r="BR364" s="269"/>
      <c r="BS364" s="269"/>
      <c r="BT364" s="269"/>
      <c r="BU364" s="257">
        <f t="shared" si="295"/>
        <v>0</v>
      </c>
      <c r="BV364" s="257"/>
      <c r="BW364" s="257"/>
      <c r="BX364" s="257"/>
      <c r="BY364" s="257"/>
      <c r="BZ364" s="257"/>
      <c r="CA364" s="257"/>
      <c r="CB364" s="244"/>
      <c r="CC364" s="99"/>
      <c r="CD364" s="99"/>
      <c r="CE364" s="99"/>
      <c r="CF364" s="99"/>
      <c r="CG364" s="99"/>
      <c r="CH364" s="99"/>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1530</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3">
        <v>61.176390923174552</v>
      </c>
      <c r="J365" s="253">
        <v>61.176390923174552</v>
      </c>
      <c r="K365" s="253">
        <v>61.176390923174552</v>
      </c>
      <c r="L365" s="253">
        <v>61.176390923174552</v>
      </c>
      <c r="M365" s="253">
        <v>61.176390923174552</v>
      </c>
      <c r="N365" s="253">
        <v>61.176390923174552</v>
      </c>
      <c r="O365" s="253">
        <v>61.176390923174552</v>
      </c>
      <c r="P365" s="93">
        <v>0</v>
      </c>
      <c r="Q365" s="253">
        <f>ROUND(I365*0.03,2)</f>
        <v>1.84</v>
      </c>
      <c r="R365" s="253">
        <f t="shared" ref="R365:W366" si="296">ROUND(J365*0.03,2)</f>
        <v>1.84</v>
      </c>
      <c r="S365" s="253">
        <f t="shared" si="296"/>
        <v>1.84</v>
      </c>
      <c r="T365" s="253">
        <f t="shared" si="296"/>
        <v>1.84</v>
      </c>
      <c r="U365" s="253">
        <f t="shared" si="296"/>
        <v>1.84</v>
      </c>
      <c r="V365" s="253">
        <f t="shared" si="296"/>
        <v>1.84</v>
      </c>
      <c r="W365" s="253">
        <f t="shared" si="296"/>
        <v>1.84</v>
      </c>
      <c r="X365" s="101">
        <v>0</v>
      </c>
      <c r="Y365" s="101">
        <v>0</v>
      </c>
      <c r="Z365" s="101">
        <v>0</v>
      </c>
      <c r="AA365" s="101">
        <v>0</v>
      </c>
      <c r="AB365" s="101">
        <v>0</v>
      </c>
      <c r="AC365" s="101">
        <v>0</v>
      </c>
      <c r="AD365" s="101">
        <v>0</v>
      </c>
      <c r="AE365" s="186">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295"/>
        <v>0</v>
      </c>
      <c r="BV365" s="27"/>
      <c r="BW365" s="27"/>
      <c r="BX365" s="27"/>
      <c r="BY365" s="27"/>
      <c r="BZ365" s="27"/>
      <c r="CA365" s="27"/>
      <c r="CB365" s="97"/>
      <c r="CC365" s="97">
        <v>50</v>
      </c>
      <c r="CD365" s="97">
        <v>100</v>
      </c>
      <c r="CE365" s="97">
        <v>100</v>
      </c>
      <c r="CF365" s="97">
        <v>200</v>
      </c>
      <c r="CG365" s="97">
        <v>200</v>
      </c>
      <c r="CH365" s="97">
        <v>200</v>
      </c>
      <c r="CI365" s="173"/>
      <c r="CJ365" s="173"/>
      <c r="CK365" s="173"/>
      <c r="CL365" s="173"/>
      <c r="CM365" s="173"/>
      <c r="CN365" s="173"/>
      <c r="CO365" s="173"/>
      <c r="CP365" s="174"/>
      <c r="CQ365" s="174"/>
      <c r="CR365" s="174"/>
      <c r="CS365" s="174"/>
      <c r="CT365" s="174"/>
      <c r="CU365" s="174"/>
      <c r="CV365" s="174"/>
      <c r="CW365" s="165"/>
      <c r="CX365" s="166"/>
      <c r="CY365" s="166"/>
      <c r="CZ365" s="166"/>
      <c r="DA365" s="166"/>
      <c r="DB365" s="166"/>
      <c r="DC365" s="166"/>
      <c r="DD365" s="171"/>
      <c r="DE365" s="171"/>
      <c r="DF365" s="171"/>
      <c r="DG365" s="171"/>
      <c r="DH365" s="171"/>
      <c r="DI365" s="171"/>
      <c r="DJ365" s="171"/>
      <c r="DK365" s="79" t="s">
        <v>1541</v>
      </c>
      <c r="DL365" s="128"/>
      <c r="DM365" s="128"/>
      <c r="DN365" s="128"/>
      <c r="DO365" s="128"/>
      <c r="DP365" s="128"/>
      <c r="DQ365" s="128"/>
      <c r="DR365" s="128"/>
      <c r="DS365" s="218"/>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row>
    <row r="366" spans="1:244" s="347" customFormat="1" x14ac:dyDescent="0.35">
      <c r="A366" s="327" t="s">
        <v>1542</v>
      </c>
      <c r="B366" s="327" t="s">
        <v>740</v>
      </c>
      <c r="C366" s="327" t="s">
        <v>788</v>
      </c>
      <c r="D366" s="327" t="s">
        <v>1213</v>
      </c>
      <c r="E366" s="327" t="s">
        <v>1500</v>
      </c>
      <c r="F366" s="327" t="s">
        <v>489</v>
      </c>
      <c r="G366" s="328" t="s">
        <v>1543</v>
      </c>
      <c r="H366" s="328" t="s">
        <v>659</v>
      </c>
      <c r="I366" s="329">
        <v>74.124183794860471</v>
      </c>
      <c r="J366" s="329">
        <v>74.124183794860471</v>
      </c>
      <c r="K366" s="329">
        <v>74.124183794860471</v>
      </c>
      <c r="L366" s="329">
        <v>74.124183794860471</v>
      </c>
      <c r="M366" s="329">
        <v>74.124183794860471</v>
      </c>
      <c r="N366" s="329">
        <v>74.124183794860471</v>
      </c>
      <c r="O366" s="329">
        <v>74.124183794860471</v>
      </c>
      <c r="P366" s="330"/>
      <c r="Q366" s="329">
        <f>ROUND(I366*0.03,2)</f>
        <v>2.2200000000000002</v>
      </c>
      <c r="R366" s="329">
        <f t="shared" si="296"/>
        <v>2.2200000000000002</v>
      </c>
      <c r="S366" s="329">
        <f t="shared" si="296"/>
        <v>2.2200000000000002</v>
      </c>
      <c r="T366" s="329">
        <f t="shared" si="296"/>
        <v>2.2200000000000002</v>
      </c>
      <c r="U366" s="329">
        <f t="shared" si="296"/>
        <v>2.2200000000000002</v>
      </c>
      <c r="V366" s="329">
        <f t="shared" si="296"/>
        <v>2.2200000000000002</v>
      </c>
      <c r="W366" s="329">
        <f t="shared" si="296"/>
        <v>2.2200000000000002</v>
      </c>
      <c r="X366" s="329">
        <v>0</v>
      </c>
      <c r="Y366" s="329">
        <v>0</v>
      </c>
      <c r="Z366" s="329">
        <v>0</v>
      </c>
      <c r="AA366" s="329">
        <v>0</v>
      </c>
      <c r="AB366" s="329">
        <v>0</v>
      </c>
      <c r="AC366" s="329">
        <v>0</v>
      </c>
      <c r="AD366" s="329">
        <v>0</v>
      </c>
      <c r="AE366" s="186">
        <v>0.08</v>
      </c>
      <c r="AF366" s="330"/>
      <c r="AG366" s="330">
        <v>30</v>
      </c>
      <c r="AH366" s="330">
        <v>30</v>
      </c>
      <c r="AI366" s="331">
        <v>1</v>
      </c>
      <c r="AJ366" s="331" t="s">
        <v>660</v>
      </c>
      <c r="AK366" s="331" t="s">
        <v>745</v>
      </c>
      <c r="AL366" s="331"/>
      <c r="AM366" s="332"/>
      <c r="AN366" s="332"/>
      <c r="AO366" s="332"/>
      <c r="AP366" s="332"/>
      <c r="AQ366" s="332"/>
      <c r="AR366" s="332"/>
      <c r="AS366" s="333"/>
      <c r="AT366" s="333"/>
      <c r="AU366" s="333"/>
      <c r="AV366" s="334"/>
      <c r="AW366" s="334"/>
      <c r="AX366" s="334"/>
      <c r="AY366" s="335" t="s">
        <v>662</v>
      </c>
      <c r="AZ366" s="335"/>
      <c r="BA366" s="336"/>
      <c r="BB366" s="337"/>
      <c r="BC366" s="337"/>
      <c r="BD366" s="337"/>
      <c r="BE366" s="337"/>
      <c r="BF366" s="337"/>
      <c r="BG366" s="337"/>
      <c r="BH366" s="338"/>
      <c r="BI366" s="338"/>
      <c r="BJ366" s="338"/>
      <c r="BK366" s="338"/>
      <c r="BL366" s="339"/>
      <c r="BM366" s="340"/>
      <c r="BN366" s="341">
        <v>0</v>
      </c>
      <c r="BO366" s="330"/>
      <c r="BP366" s="330"/>
      <c r="BQ366" s="330"/>
      <c r="BR366" s="330"/>
      <c r="BS366" s="330"/>
      <c r="BT366" s="330"/>
      <c r="BU366" s="335">
        <f t="shared" si="295"/>
        <v>0</v>
      </c>
      <c r="BV366" s="335"/>
      <c r="BW366" s="335"/>
      <c r="BX366" s="335"/>
      <c r="BY366" s="335"/>
      <c r="BZ366" s="335"/>
      <c r="CA366" s="335"/>
      <c r="CB366" s="342"/>
      <c r="CC366" s="342">
        <v>50</v>
      </c>
      <c r="CD366" s="97">
        <v>100</v>
      </c>
      <c r="CE366" s="97">
        <v>100</v>
      </c>
      <c r="CF366" s="97">
        <v>200</v>
      </c>
      <c r="CG366" s="97">
        <v>200</v>
      </c>
      <c r="CH366" s="97">
        <v>200</v>
      </c>
      <c r="CI366" s="335"/>
      <c r="CJ366" s="335"/>
      <c r="CK366" s="335"/>
      <c r="CL366" s="335"/>
      <c r="CM366" s="335"/>
      <c r="CN366" s="335"/>
      <c r="CO366" s="335"/>
      <c r="CP366" s="343"/>
      <c r="CQ366" s="343"/>
      <c r="CR366" s="343"/>
      <c r="CS366" s="343"/>
      <c r="CT366" s="343"/>
      <c r="CU366" s="343"/>
      <c r="CV366" s="343"/>
      <c r="CW366" s="344"/>
      <c r="CX366" s="345"/>
      <c r="CY366" s="345"/>
      <c r="CZ366" s="345"/>
      <c r="DA366" s="345"/>
      <c r="DB366" s="345"/>
      <c r="DC366" s="345"/>
      <c r="DD366" s="345"/>
      <c r="DE366" s="345"/>
      <c r="DF366" s="345"/>
      <c r="DG366" s="345"/>
      <c r="DH366" s="345"/>
      <c r="DI366" s="345"/>
      <c r="DJ366" s="345"/>
      <c r="DK366" s="79" t="s">
        <v>1541</v>
      </c>
      <c r="DL366" s="344"/>
      <c r="DM366" s="344"/>
      <c r="DN366" s="344"/>
      <c r="DO366" s="344"/>
      <c r="DP366" s="344"/>
      <c r="DQ366" s="344"/>
      <c r="DR366" s="344"/>
      <c r="DS366" s="346"/>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3">
        <v>15.147669221572489</v>
      </c>
      <c r="J367" s="253">
        <v>15.147669221572489</v>
      </c>
      <c r="K367" s="253">
        <v>15.147669221572489</v>
      </c>
      <c r="L367" s="253">
        <v>15.147669221572489</v>
      </c>
      <c r="M367" s="253">
        <v>15.147669221572489</v>
      </c>
      <c r="N367" s="253">
        <v>15.147669221572489</v>
      </c>
      <c r="O367" s="253">
        <v>15.147669221572489</v>
      </c>
      <c r="P367" s="283">
        <v>0</v>
      </c>
      <c r="Q367" s="253">
        <v>0.37869173053931227</v>
      </c>
      <c r="R367" s="253">
        <v>0.37869173053931227</v>
      </c>
      <c r="S367" s="253">
        <v>0.37869173053931227</v>
      </c>
      <c r="T367" s="253">
        <v>0.37869173053931227</v>
      </c>
      <c r="U367" s="253">
        <v>0.37869173053931227</v>
      </c>
      <c r="V367" s="253">
        <v>0.37869173053931227</v>
      </c>
      <c r="W367" s="253">
        <v>0.37869173053931227</v>
      </c>
      <c r="X367" s="102">
        <v>0</v>
      </c>
      <c r="Y367" s="102">
        <v>0</v>
      </c>
      <c r="Z367" s="102">
        <v>0</v>
      </c>
      <c r="AA367" s="102">
        <v>0</v>
      </c>
      <c r="AB367" s="102">
        <v>0</v>
      </c>
      <c r="AC367" s="102">
        <v>0</v>
      </c>
      <c r="AD367" s="102">
        <v>0</v>
      </c>
      <c r="AE367" s="186">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289"/>
        <v>0</v>
      </c>
      <c r="BV367" s="28"/>
      <c r="BW367" s="28"/>
      <c r="BX367" s="28"/>
      <c r="BY367" s="28"/>
      <c r="BZ367" s="28"/>
      <c r="CA367" s="28"/>
      <c r="CB367" s="99">
        <v>0</v>
      </c>
      <c r="CC367" s="99">
        <v>50</v>
      </c>
      <c r="CD367" s="99">
        <v>1000</v>
      </c>
      <c r="CE367" s="99">
        <v>1000</v>
      </c>
      <c r="CF367" s="99">
        <v>1000</v>
      </c>
      <c r="CG367" s="99">
        <v>1000</v>
      </c>
      <c r="CH367" s="99">
        <v>1000</v>
      </c>
      <c r="CI367" s="175"/>
      <c r="CJ367" s="175"/>
      <c r="CK367" s="175"/>
      <c r="CL367" s="175"/>
      <c r="CM367" s="175"/>
      <c r="CN367" s="175"/>
      <c r="CO367" s="175"/>
      <c r="CP367" s="176"/>
      <c r="CQ367" s="176"/>
      <c r="CR367" s="176"/>
      <c r="CS367" s="176"/>
      <c r="CT367" s="176"/>
      <c r="CU367" s="176"/>
      <c r="CV367" s="176"/>
      <c r="CW367" s="167"/>
      <c r="CX367" s="168"/>
      <c r="CY367" s="168"/>
      <c r="CZ367" s="168"/>
      <c r="DA367" s="168"/>
      <c r="DB367" s="168"/>
      <c r="DC367" s="168"/>
      <c r="DD367" s="172"/>
      <c r="DE367" s="172"/>
      <c r="DF367" s="172"/>
      <c r="DG367" s="172"/>
      <c r="DH367" s="172"/>
      <c r="DI367" s="172"/>
      <c r="DJ367" s="172"/>
      <c r="DK367" s="80" t="s">
        <v>792</v>
      </c>
      <c r="DL367" s="129">
        <v>1000</v>
      </c>
      <c r="DM367" s="129">
        <v>1000</v>
      </c>
      <c r="DN367" s="129">
        <v>1000</v>
      </c>
      <c r="DO367" s="129">
        <v>1000</v>
      </c>
      <c r="DP367" s="129">
        <v>1000</v>
      </c>
      <c r="DQ367" s="129">
        <v>1000</v>
      </c>
      <c r="DR367" s="129">
        <v>1000</v>
      </c>
      <c r="DS367" s="218"/>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6">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289"/>
        <v>0</v>
      </c>
      <c r="BV368" s="27"/>
      <c r="BW368" s="27"/>
      <c r="BX368" s="27"/>
      <c r="BY368" s="27"/>
      <c r="BZ368" s="27"/>
      <c r="CA368" s="27"/>
      <c r="CB368" s="97"/>
      <c r="CC368" s="97"/>
      <c r="CD368" s="97">
        <v>0</v>
      </c>
      <c r="CE368" s="97">
        <v>0</v>
      </c>
      <c r="CF368" s="97">
        <v>0</v>
      </c>
      <c r="CG368" s="97">
        <v>0</v>
      </c>
      <c r="CH368" s="97">
        <v>0</v>
      </c>
      <c r="CI368" s="173"/>
      <c r="CJ368" s="173"/>
      <c r="CK368" s="173"/>
      <c r="CL368" s="173"/>
      <c r="CM368" s="173"/>
      <c r="CN368" s="173"/>
      <c r="CO368" s="173"/>
      <c r="CP368" s="174"/>
      <c r="CQ368" s="174"/>
      <c r="CR368" s="174"/>
      <c r="CS368" s="174"/>
      <c r="CT368" s="174"/>
      <c r="CU368" s="174"/>
      <c r="CV368" s="174"/>
      <c r="CW368" s="165"/>
      <c r="CX368" s="166"/>
      <c r="CY368" s="166"/>
      <c r="CZ368" s="166"/>
      <c r="DA368" s="166"/>
      <c r="DB368" s="166"/>
      <c r="DC368" s="166"/>
      <c r="DD368" s="171"/>
      <c r="DE368" s="171"/>
      <c r="DF368" s="171"/>
      <c r="DG368" s="171"/>
      <c r="DH368" s="171"/>
      <c r="DI368" s="171"/>
      <c r="DJ368" s="171"/>
      <c r="DK368" s="79" t="s">
        <v>1548</v>
      </c>
      <c r="DL368" s="128">
        <v>500</v>
      </c>
      <c r="DM368" s="128">
        <v>500</v>
      </c>
      <c r="DN368" s="128">
        <v>500</v>
      </c>
      <c r="DO368" s="128">
        <v>500</v>
      </c>
      <c r="DP368" s="128">
        <v>500</v>
      </c>
      <c r="DQ368" s="128">
        <v>500</v>
      </c>
      <c r="DR368" s="128">
        <v>500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s="261" customFormat="1" x14ac:dyDescent="0.35">
      <c r="A369" s="256" t="s">
        <v>1549</v>
      </c>
      <c r="B369" s="256" t="s">
        <v>740</v>
      </c>
      <c r="C369" s="256" t="s">
        <v>788</v>
      </c>
      <c r="D369" s="256" t="s">
        <v>1213</v>
      </c>
      <c r="E369" s="256" t="s">
        <v>1475</v>
      </c>
      <c r="F369" s="256" t="s">
        <v>489</v>
      </c>
      <c r="G369" s="392" t="s">
        <v>1550</v>
      </c>
      <c r="H369" s="268" t="s">
        <v>659</v>
      </c>
      <c r="I369" s="282">
        <f>(80.99/3.6)*1.337</f>
        <v>30.078786111111107</v>
      </c>
      <c r="J369" s="282">
        <f t="shared" ref="J369:O369" si="297">(80.99/3.6)*1.337</f>
        <v>30.078786111111107</v>
      </c>
      <c r="K369" s="282">
        <f t="shared" si="297"/>
        <v>30.078786111111107</v>
      </c>
      <c r="L369" s="282">
        <f t="shared" si="297"/>
        <v>30.078786111111107</v>
      </c>
      <c r="M369" s="282">
        <f t="shared" si="297"/>
        <v>30.078786111111107</v>
      </c>
      <c r="N369" s="282">
        <f t="shared" si="297"/>
        <v>30.078786111111107</v>
      </c>
      <c r="O369" s="282">
        <f t="shared" si="297"/>
        <v>30.078786111111107</v>
      </c>
      <c r="P369" s="269">
        <v>0</v>
      </c>
      <c r="Q369" s="253">
        <f>ROUND(I369*0.04,2)</f>
        <v>1.2</v>
      </c>
      <c r="R369" s="253">
        <f t="shared" ref="R369:W369" si="298">ROUND(J369*0.04,2)</f>
        <v>1.2</v>
      </c>
      <c r="S369" s="253">
        <f t="shared" si="298"/>
        <v>1.2</v>
      </c>
      <c r="T369" s="253">
        <f t="shared" si="298"/>
        <v>1.2</v>
      </c>
      <c r="U369" s="253">
        <f t="shared" si="298"/>
        <v>1.2</v>
      </c>
      <c r="V369" s="253">
        <f t="shared" si="298"/>
        <v>1.2</v>
      </c>
      <c r="W369" s="253">
        <f t="shared" si="298"/>
        <v>1.2</v>
      </c>
      <c r="X369" s="253">
        <v>0</v>
      </c>
      <c r="Y369" s="253">
        <v>0</v>
      </c>
      <c r="Z369" s="253">
        <v>0</v>
      </c>
      <c r="AA369" s="253">
        <v>0</v>
      </c>
      <c r="AB369" s="253">
        <v>0</v>
      </c>
      <c r="AC369" s="253">
        <v>0</v>
      </c>
      <c r="AD369" s="253">
        <v>0</v>
      </c>
      <c r="AE369" s="186">
        <v>0.08</v>
      </c>
      <c r="AF369" s="269">
        <v>0</v>
      </c>
      <c r="AG369" s="269">
        <v>30</v>
      </c>
      <c r="AH369" s="269">
        <v>30</v>
      </c>
      <c r="AI369" s="270">
        <v>1</v>
      </c>
      <c r="AJ369" s="270" t="s">
        <v>660</v>
      </c>
      <c r="AK369" s="270" t="s">
        <v>745</v>
      </c>
      <c r="AL369" s="270"/>
      <c r="AM369" s="271"/>
      <c r="AN369" s="271"/>
      <c r="AO369" s="271"/>
      <c r="AP369" s="271"/>
      <c r="AQ369" s="271"/>
      <c r="AR369" s="271"/>
      <c r="AS369" s="272"/>
      <c r="AT369" s="272"/>
      <c r="AU369" s="272"/>
      <c r="AV369" s="273"/>
      <c r="AW369" s="273"/>
      <c r="AX369" s="273"/>
      <c r="AY369" s="257" t="s">
        <v>662</v>
      </c>
      <c r="AZ369" s="257"/>
      <c r="BA369" s="257"/>
      <c r="BB369" s="257"/>
      <c r="BC369" s="257"/>
      <c r="BD369" s="257"/>
      <c r="BE369" s="257"/>
      <c r="BF369" s="257"/>
      <c r="BG369" s="257"/>
      <c r="BH369" s="274"/>
      <c r="BI369" s="274"/>
      <c r="BJ369" s="274"/>
      <c r="BK369" s="274"/>
      <c r="BL369" s="275"/>
      <c r="BM369" s="276"/>
      <c r="BN369" s="277">
        <v>0</v>
      </c>
      <c r="BO369" s="269"/>
      <c r="BP369" s="269"/>
      <c r="BQ369" s="269"/>
      <c r="BR369" s="269"/>
      <c r="BS369" s="269"/>
      <c r="BT369" s="269"/>
      <c r="BU369" s="257">
        <f t="shared" ref="BU369" si="299">IF(BL369=1,BN369,0)</f>
        <v>0</v>
      </c>
      <c r="BV369" s="257"/>
      <c r="BW369" s="257"/>
      <c r="BX369" s="257"/>
      <c r="BY369" s="257"/>
      <c r="BZ369" s="257"/>
      <c r="CA369" s="257"/>
      <c r="CB369" s="244">
        <v>10</v>
      </c>
      <c r="CC369" s="244">
        <v>200</v>
      </c>
      <c r="CD369" s="389">
        <v>1000</v>
      </c>
      <c r="CE369" s="389">
        <v>1000</v>
      </c>
      <c r="CF369" s="389">
        <v>1000</v>
      </c>
      <c r="CG369" s="389">
        <v>1000</v>
      </c>
      <c r="CH369" s="389">
        <v>1000</v>
      </c>
      <c r="CI369" s="257"/>
      <c r="CJ369" s="257"/>
      <c r="CK369" s="257"/>
      <c r="CL369" s="257"/>
      <c r="CM369" s="257"/>
      <c r="CN369" s="257"/>
      <c r="CO369" s="257"/>
      <c r="CP369" s="258"/>
      <c r="CQ369" s="258"/>
      <c r="CR369" s="258"/>
      <c r="CS369" s="258"/>
      <c r="CT369" s="258"/>
      <c r="CU369" s="258"/>
      <c r="CV369" s="258"/>
      <c r="CW369" s="278"/>
      <c r="CX369" s="279"/>
      <c r="CY369" s="279"/>
      <c r="CZ369" s="279"/>
      <c r="DA369" s="279"/>
      <c r="DB369" s="279"/>
      <c r="DC369" s="279"/>
      <c r="DD369" s="279"/>
      <c r="DE369" s="279"/>
      <c r="DF369" s="279"/>
      <c r="DG369" s="279"/>
      <c r="DH369" s="279"/>
      <c r="DI369" s="279"/>
      <c r="DJ369" s="279"/>
      <c r="DK369" s="265" t="s">
        <v>1551</v>
      </c>
      <c r="DL369" s="278">
        <v>1000</v>
      </c>
      <c r="DM369" s="278">
        <v>1000</v>
      </c>
      <c r="DN369" s="278">
        <v>1000</v>
      </c>
      <c r="DO369" s="278">
        <v>1000</v>
      </c>
      <c r="DP369" s="278">
        <v>1000</v>
      </c>
      <c r="DQ369" s="278">
        <v>1000</v>
      </c>
      <c r="DR369" s="278">
        <v>1000</v>
      </c>
      <c r="DS369" s="280"/>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3">
        <v>11.589384376846876</v>
      </c>
      <c r="J370" s="253">
        <v>11.589384376846876</v>
      </c>
      <c r="K370" s="253">
        <v>11.589384376846876</v>
      </c>
      <c r="L370" s="253">
        <v>11.589384376846876</v>
      </c>
      <c r="M370" s="253">
        <v>11.589384376846876</v>
      </c>
      <c r="N370" s="253">
        <v>11.589384376846876</v>
      </c>
      <c r="O370" s="253">
        <v>11.589384376846876</v>
      </c>
      <c r="P370" s="94">
        <v>0</v>
      </c>
      <c r="Q370" s="253">
        <v>0.28973460942117191</v>
      </c>
      <c r="R370" s="253">
        <v>0.28973460942117191</v>
      </c>
      <c r="S370" s="253">
        <v>0.28973460942117191</v>
      </c>
      <c r="T370" s="253">
        <v>0.28973460942117191</v>
      </c>
      <c r="U370" s="253">
        <v>0.28973460942117191</v>
      </c>
      <c r="V370" s="253">
        <v>0.28973460942117191</v>
      </c>
      <c r="W370" s="253">
        <v>0.28973460942117191</v>
      </c>
      <c r="X370" s="102"/>
      <c r="Y370" s="102"/>
      <c r="Z370" s="102"/>
      <c r="AA370" s="102"/>
      <c r="AB370" s="102"/>
      <c r="AC370" s="102"/>
      <c r="AD370" s="102"/>
      <c r="AE370" s="186">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289"/>
        <v>0</v>
      </c>
      <c r="BV370" s="28"/>
      <c r="BW370" s="28"/>
      <c r="BX370" s="28"/>
      <c r="BY370" s="28"/>
      <c r="BZ370" s="28"/>
      <c r="CA370" s="28"/>
      <c r="CB370" s="244">
        <v>10</v>
      </c>
      <c r="CC370" s="244">
        <v>50</v>
      </c>
      <c r="CD370" s="244">
        <v>250</v>
      </c>
      <c r="CE370" s="244">
        <v>500</v>
      </c>
      <c r="CF370" s="244">
        <v>1000</v>
      </c>
      <c r="CG370" s="244">
        <v>1000</v>
      </c>
      <c r="CH370" s="244">
        <v>1000</v>
      </c>
      <c r="CI370" s="257"/>
      <c r="CJ370" s="175"/>
      <c r="CK370" s="175"/>
      <c r="CL370" s="175"/>
      <c r="CM370" s="175"/>
      <c r="CN370" s="175"/>
      <c r="CO370" s="175"/>
      <c r="CP370" s="176"/>
      <c r="CQ370" s="176"/>
      <c r="CR370" s="176"/>
      <c r="CS370" s="176"/>
      <c r="CT370" s="176"/>
      <c r="CU370" s="176"/>
      <c r="CV370" s="176"/>
      <c r="CW370" s="167"/>
      <c r="CX370" s="168"/>
      <c r="CY370" s="168"/>
      <c r="CZ370" s="168"/>
      <c r="DA370" s="168"/>
      <c r="DB370" s="168"/>
      <c r="DC370" s="168"/>
      <c r="DD370" s="172"/>
      <c r="DE370" s="172"/>
      <c r="DF370" s="172"/>
      <c r="DG370" s="172"/>
      <c r="DH370" s="172"/>
      <c r="DI370" s="172"/>
      <c r="DJ370" s="172"/>
      <c r="DK370" s="80" t="s">
        <v>1554</v>
      </c>
      <c r="DL370" s="129">
        <v>1000</v>
      </c>
      <c r="DM370" s="129">
        <v>1000</v>
      </c>
      <c r="DN370" s="129">
        <v>1000</v>
      </c>
      <c r="DO370" s="129">
        <v>1000</v>
      </c>
      <c r="DP370" s="129">
        <v>1000</v>
      </c>
      <c r="DQ370" s="129">
        <v>1000</v>
      </c>
      <c r="DR370" s="129">
        <v>1000</v>
      </c>
      <c r="DS370" s="218"/>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row>
    <row r="371" spans="1:244" x14ac:dyDescent="0.35">
      <c r="A371" s="5" t="s">
        <v>1555</v>
      </c>
      <c r="B371" s="5" t="s">
        <v>740</v>
      </c>
      <c r="C371" s="5" t="s">
        <v>788</v>
      </c>
      <c r="D371" s="5" t="s">
        <v>1213</v>
      </c>
      <c r="E371" s="5" t="s">
        <v>1525</v>
      </c>
      <c r="F371" s="5" t="s">
        <v>490</v>
      </c>
      <c r="G371" s="47" t="s">
        <v>1556</v>
      </c>
      <c r="H371" s="47" t="s">
        <v>659</v>
      </c>
      <c r="I371" s="253">
        <f>23/'Data Sources'!I9</f>
        <v>23.985197520584698</v>
      </c>
      <c r="J371" s="253">
        <f>I371</f>
        <v>23.985197520584698</v>
      </c>
      <c r="K371" s="253">
        <f t="shared" ref="K371:O371" si="300">J371</f>
        <v>23.985197520584698</v>
      </c>
      <c r="L371" s="253">
        <f t="shared" si="300"/>
        <v>23.985197520584698</v>
      </c>
      <c r="M371" s="253">
        <f t="shared" si="300"/>
        <v>23.985197520584698</v>
      </c>
      <c r="N371" s="253">
        <f t="shared" si="300"/>
        <v>23.985197520584698</v>
      </c>
      <c r="O371" s="253">
        <f t="shared" si="300"/>
        <v>23.985197520584698</v>
      </c>
      <c r="P371" s="93">
        <v>0</v>
      </c>
      <c r="Q371" s="253">
        <f t="shared" ref="Q371" si="301">ROUND(I371*0.04,2)</f>
        <v>0.96</v>
      </c>
      <c r="R371" s="253">
        <f t="shared" ref="R371" si="302">ROUND(J371*0.04,2)</f>
        <v>0.96</v>
      </c>
      <c r="S371" s="253">
        <f t="shared" ref="S371" si="303">ROUND(K371*0.04,2)</f>
        <v>0.96</v>
      </c>
      <c r="T371" s="253">
        <f t="shared" ref="T371" si="304">ROUND(L371*0.04,2)</f>
        <v>0.96</v>
      </c>
      <c r="U371" s="253">
        <f t="shared" ref="U371" si="305">ROUND(M371*0.04,2)</f>
        <v>0.96</v>
      </c>
      <c r="V371" s="253">
        <f t="shared" ref="V371" si="306">ROUND(N371*0.04,2)</f>
        <v>0.96</v>
      </c>
      <c r="W371" s="253">
        <f t="shared" ref="W371" si="307">ROUND(O371*0.04,2)</f>
        <v>0.96</v>
      </c>
      <c r="X371" s="101">
        <v>0</v>
      </c>
      <c r="Y371" s="101">
        <v>0</v>
      </c>
      <c r="Z371" s="101">
        <v>0</v>
      </c>
      <c r="AA371" s="101">
        <v>0</v>
      </c>
      <c r="AB371" s="101">
        <v>0</v>
      </c>
      <c r="AC371" s="101">
        <v>0</v>
      </c>
      <c r="AD371" s="101">
        <v>0</v>
      </c>
      <c r="AE371" s="186">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289"/>
        <v>0</v>
      </c>
      <c r="BV371" s="27"/>
      <c r="BW371" s="27"/>
      <c r="BX371" s="27"/>
      <c r="BY371" s="27"/>
      <c r="BZ371" s="27"/>
      <c r="CA371" s="27"/>
      <c r="CB371" s="97">
        <v>0</v>
      </c>
      <c r="CC371" s="97">
        <v>0</v>
      </c>
      <c r="CD371" s="97"/>
      <c r="CE371" s="97"/>
      <c r="CF371" s="97">
        <v>250</v>
      </c>
      <c r="CG371" s="97">
        <v>500</v>
      </c>
      <c r="CH371" s="97">
        <v>1000</v>
      </c>
      <c r="CI371" s="173"/>
      <c r="CJ371" s="173"/>
      <c r="CK371" s="173"/>
      <c r="CL371" s="173"/>
      <c r="CM371" s="173"/>
      <c r="CN371" s="173"/>
      <c r="CO371" s="173"/>
      <c r="CP371" s="174"/>
      <c r="CQ371" s="174"/>
      <c r="CR371" s="174"/>
      <c r="CS371" s="174"/>
      <c r="CT371" s="174"/>
      <c r="CU371" s="174"/>
      <c r="CV371" s="174"/>
      <c r="CW371" s="165"/>
      <c r="CX371" s="166"/>
      <c r="CY371" s="166"/>
      <c r="CZ371" s="166"/>
      <c r="DA371" s="166"/>
      <c r="DB371" s="166"/>
      <c r="DC371" s="166"/>
      <c r="DD371" s="171"/>
      <c r="DE371" s="171"/>
      <c r="DF371" s="171"/>
      <c r="DG371" s="171"/>
      <c r="DH371" s="171"/>
      <c r="DI371" s="171"/>
      <c r="DJ371" s="171"/>
      <c r="DK371" s="79" t="s">
        <v>1557</v>
      </c>
      <c r="DL371" s="128">
        <v>500</v>
      </c>
      <c r="DM371" s="128">
        <v>500</v>
      </c>
      <c r="DN371" s="128">
        <v>500</v>
      </c>
      <c r="DO371" s="128">
        <v>500</v>
      </c>
      <c r="DP371" s="128">
        <v>500</v>
      </c>
      <c r="DQ371" s="128">
        <v>500</v>
      </c>
      <c r="DR371" s="128">
        <v>500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s="310" customFormat="1" x14ac:dyDescent="0.35">
      <c r="A372" s="290" t="s">
        <v>1558</v>
      </c>
      <c r="B372" s="290" t="s">
        <v>740</v>
      </c>
      <c r="C372" s="290" t="s">
        <v>788</v>
      </c>
      <c r="D372" s="290" t="s">
        <v>1213</v>
      </c>
      <c r="E372" s="290" t="s">
        <v>1525</v>
      </c>
      <c r="F372" s="290" t="s">
        <v>490</v>
      </c>
      <c r="G372" s="291" t="s">
        <v>1559</v>
      </c>
      <c r="H372" s="291" t="s">
        <v>659</v>
      </c>
      <c r="I372" s="292">
        <f>ROUND(11*1.054,2)</f>
        <v>11.59</v>
      </c>
      <c r="J372" s="292">
        <f>ROUND($I$371+($O$371-$I$371)/($O$4-$I$4)*($J$4-$I$4),2)</f>
        <v>23.99</v>
      </c>
      <c r="K372" s="292">
        <f>ROUND($I$371+($O$371-$I$371)/($O$4-$I$4)*($K$4-$I$4),2)</f>
        <v>23.99</v>
      </c>
      <c r="L372" s="292">
        <f>ROUND($I$371+($O$371-$I$371)/($O$4-$I$4)*($L$4-$I$4),2)</f>
        <v>23.99</v>
      </c>
      <c r="M372" s="292">
        <f>ROUND($I$371+($O$371-$I$371)/($O$4-$I$4)*($M$4-$I$4),2)</f>
        <v>23.99</v>
      </c>
      <c r="N372" s="292">
        <f>ROUND($I$371+($O$371-$I$371)/($O$4-$I$4)*($N$4-$I$4),2)</f>
        <v>23.99</v>
      </c>
      <c r="O372" s="292">
        <f>ROUND(7*1.054,2)</f>
        <v>7.38</v>
      </c>
      <c r="P372" s="293">
        <v>0</v>
      </c>
      <c r="Q372" s="292">
        <f t="shared" ref="Q372" si="308">ROUND(I372*0.04,2)</f>
        <v>0.46</v>
      </c>
      <c r="R372" s="292">
        <f t="shared" ref="R372" si="309">ROUND(J372*0.04,2)</f>
        <v>0.96</v>
      </c>
      <c r="S372" s="292">
        <f t="shared" ref="S372" si="310">ROUND(K372*0.04,2)</f>
        <v>0.96</v>
      </c>
      <c r="T372" s="292">
        <f t="shared" ref="T372" si="311">ROUND(L372*0.04,2)</f>
        <v>0.96</v>
      </c>
      <c r="U372" s="292">
        <f t="shared" ref="U372" si="312">ROUND(M372*0.04,2)</f>
        <v>0.96</v>
      </c>
      <c r="V372" s="292">
        <f t="shared" ref="V372" si="313">ROUND(N372*0.04,2)</f>
        <v>0.96</v>
      </c>
      <c r="W372" s="292">
        <f t="shared" ref="W372" si="314">ROUND(O372*0.04,2)</f>
        <v>0.3</v>
      </c>
      <c r="X372" s="292">
        <v>0</v>
      </c>
      <c r="Y372" s="292">
        <v>0</v>
      </c>
      <c r="Z372" s="292">
        <v>0</v>
      </c>
      <c r="AA372" s="292">
        <v>0</v>
      </c>
      <c r="AB372" s="292">
        <v>0</v>
      </c>
      <c r="AC372" s="292">
        <v>0</v>
      </c>
      <c r="AD372" s="292">
        <v>0</v>
      </c>
      <c r="AE372" s="186">
        <v>0.08</v>
      </c>
      <c r="AF372" s="293">
        <v>0</v>
      </c>
      <c r="AG372" s="293">
        <v>30</v>
      </c>
      <c r="AH372" s="293">
        <v>30</v>
      </c>
      <c r="AI372" s="294">
        <v>1</v>
      </c>
      <c r="AJ372" s="294" t="s">
        <v>660</v>
      </c>
      <c r="AK372" s="294" t="s">
        <v>745</v>
      </c>
      <c r="AL372" s="294"/>
      <c r="AM372" s="295"/>
      <c r="AN372" s="295"/>
      <c r="AO372" s="295"/>
      <c r="AP372" s="295"/>
      <c r="AQ372" s="295"/>
      <c r="AR372" s="295"/>
      <c r="AS372" s="296"/>
      <c r="AT372" s="296"/>
      <c r="AU372" s="296"/>
      <c r="AV372" s="297"/>
      <c r="AW372" s="297"/>
      <c r="AX372" s="297"/>
      <c r="AY372" s="298" t="s">
        <v>662</v>
      </c>
      <c r="AZ372" s="298"/>
      <c r="BA372" s="298"/>
      <c r="BB372" s="299"/>
      <c r="BC372" s="299"/>
      <c r="BD372" s="299"/>
      <c r="BE372" s="299"/>
      <c r="BF372" s="299"/>
      <c r="BG372" s="299"/>
      <c r="BH372" s="300"/>
      <c r="BI372" s="300"/>
      <c r="BJ372" s="300"/>
      <c r="BK372" s="300"/>
      <c r="BL372" s="301"/>
      <c r="BM372" s="302"/>
      <c r="BN372" s="303">
        <v>0</v>
      </c>
      <c r="BO372" s="293"/>
      <c r="BP372" s="293"/>
      <c r="BQ372" s="293"/>
      <c r="BR372" s="293"/>
      <c r="BS372" s="293"/>
      <c r="BT372" s="293"/>
      <c r="BU372" s="298">
        <f t="shared" ref="BU372" si="315">IF(BL372=1,BN372,0)</f>
        <v>0</v>
      </c>
      <c r="BV372" s="298"/>
      <c r="BW372" s="298"/>
      <c r="BX372" s="298"/>
      <c r="BY372" s="298"/>
      <c r="BZ372" s="298"/>
      <c r="CA372" s="298"/>
      <c r="CB372" s="304">
        <v>0</v>
      </c>
      <c r="CC372" s="244">
        <v>0</v>
      </c>
      <c r="CD372" s="244">
        <v>0</v>
      </c>
      <c r="CE372" s="244">
        <v>0</v>
      </c>
      <c r="CF372" s="244">
        <v>0</v>
      </c>
      <c r="CG372" s="244">
        <v>0</v>
      </c>
      <c r="CH372" s="244">
        <v>0</v>
      </c>
      <c r="CI372" s="298"/>
      <c r="CJ372" s="298"/>
      <c r="CK372" s="298"/>
      <c r="CL372" s="298"/>
      <c r="CM372" s="298"/>
      <c r="CN372" s="298"/>
      <c r="CO372" s="298"/>
      <c r="CP372" s="305"/>
      <c r="CQ372" s="305"/>
      <c r="CR372" s="305"/>
      <c r="CS372" s="305"/>
      <c r="CT372" s="305"/>
      <c r="CU372" s="305"/>
      <c r="CV372" s="305"/>
      <c r="CW372" s="306"/>
      <c r="CX372" s="307"/>
      <c r="CY372" s="307"/>
      <c r="CZ372" s="307"/>
      <c r="DA372" s="307"/>
      <c r="DB372" s="307"/>
      <c r="DC372" s="307"/>
      <c r="DD372" s="307"/>
      <c r="DE372" s="307"/>
      <c r="DF372" s="307"/>
      <c r="DG372" s="307"/>
      <c r="DH372" s="307"/>
      <c r="DI372" s="307"/>
      <c r="DJ372" s="307"/>
      <c r="DK372" s="308" t="s">
        <v>1557</v>
      </c>
      <c r="DL372" s="306">
        <v>500</v>
      </c>
      <c r="DM372" s="306">
        <v>500</v>
      </c>
      <c r="DN372" s="306">
        <v>500</v>
      </c>
      <c r="DO372" s="306">
        <v>500</v>
      </c>
      <c r="DP372" s="306">
        <v>500</v>
      </c>
      <c r="DQ372" s="306">
        <v>500</v>
      </c>
      <c r="DR372" s="306">
        <v>500</v>
      </c>
      <c r="DS372" s="309"/>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6">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289"/>
        <v>940</v>
      </c>
      <c r="BV373" s="28"/>
      <c r="BW373" s="28"/>
      <c r="BX373" s="28"/>
      <c r="BY373" s="28"/>
      <c r="BZ373" s="28"/>
      <c r="CA373" s="28"/>
      <c r="CB373" s="99">
        <v>940</v>
      </c>
      <c r="CC373" s="99">
        <f>CB373-BO373</f>
        <v>400</v>
      </c>
      <c r="CD373" s="99">
        <f t="shared" ref="CD373:CE373" si="316">CC373-BP373</f>
        <v>200</v>
      </c>
      <c r="CE373" s="99">
        <f t="shared" si="316"/>
        <v>0</v>
      </c>
      <c r="CF373" s="99">
        <v>0</v>
      </c>
      <c r="CG373" s="99">
        <v>0</v>
      </c>
      <c r="CH373" s="99"/>
      <c r="CI373" s="175"/>
      <c r="CJ373" s="175"/>
      <c r="CK373" s="175"/>
      <c r="CL373" s="175"/>
      <c r="CM373" s="175"/>
      <c r="CN373" s="175"/>
      <c r="CO373" s="175"/>
      <c r="CP373" s="176"/>
      <c r="CQ373" s="176"/>
      <c r="CR373" s="176"/>
      <c r="CS373" s="176"/>
      <c r="CT373" s="176"/>
      <c r="CU373" s="176"/>
      <c r="CV373" s="176"/>
      <c r="CW373" s="167"/>
      <c r="CX373" s="168"/>
      <c r="CY373" s="168"/>
      <c r="CZ373" s="168"/>
      <c r="DA373" s="168"/>
      <c r="DB373" s="168"/>
      <c r="DC373" s="168"/>
      <c r="DD373" s="172"/>
      <c r="DE373" s="172"/>
      <c r="DF373" s="172"/>
      <c r="DG373" s="172"/>
      <c r="DH373" s="172"/>
      <c r="DI373" s="172"/>
      <c r="DJ373" s="172"/>
      <c r="DK373" s="80" t="s">
        <v>415</v>
      </c>
      <c r="DL373" s="129">
        <v>400</v>
      </c>
      <c r="DM373" s="129">
        <v>400</v>
      </c>
      <c r="DN373" s="129">
        <v>400</v>
      </c>
      <c r="DO373" s="129">
        <v>400</v>
      </c>
      <c r="DP373" s="129">
        <v>400</v>
      </c>
      <c r="DQ373" s="129">
        <v>400</v>
      </c>
      <c r="DR373" s="129">
        <v>400</v>
      </c>
      <c r="DS373" s="218"/>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6">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5">
        <v>100</v>
      </c>
      <c r="CC374" s="97">
        <v>1000</v>
      </c>
      <c r="CD374" s="97">
        <v>1000</v>
      </c>
      <c r="CE374" s="97">
        <v>1000</v>
      </c>
      <c r="CF374" s="97">
        <v>1000</v>
      </c>
      <c r="CG374" s="97">
        <v>1000</v>
      </c>
      <c r="CH374" s="97">
        <v>1000</v>
      </c>
      <c r="CI374" s="173"/>
      <c r="CJ374" s="173"/>
      <c r="CK374" s="173"/>
      <c r="CL374" s="173"/>
      <c r="CM374" s="173"/>
      <c r="CN374" s="173"/>
      <c r="CO374" s="173"/>
      <c r="CP374" s="174"/>
      <c r="CQ374" s="174"/>
      <c r="CR374" s="174"/>
      <c r="CS374" s="174"/>
      <c r="CT374" s="174"/>
      <c r="CU374" s="174"/>
      <c r="CV374" s="174"/>
      <c r="CW374" s="165"/>
      <c r="CX374" s="166"/>
      <c r="CY374" s="166"/>
      <c r="CZ374" s="166"/>
      <c r="DA374" s="166"/>
      <c r="DB374" s="166"/>
      <c r="DC374" s="166"/>
      <c r="DD374" s="171"/>
      <c r="DE374" s="171"/>
      <c r="DF374" s="171"/>
      <c r="DG374" s="171"/>
      <c r="DH374" s="171"/>
      <c r="DI374" s="171"/>
      <c r="DJ374" s="171"/>
      <c r="DK374" s="79" t="s">
        <v>415</v>
      </c>
      <c r="DL374" s="128">
        <v>1000</v>
      </c>
      <c r="DM374" s="128">
        <v>1000</v>
      </c>
      <c r="DN374" s="128">
        <v>1000</v>
      </c>
      <c r="DO374" s="128">
        <v>1000</v>
      </c>
      <c r="DP374" s="128">
        <v>1000</v>
      </c>
      <c r="DQ374" s="128">
        <v>1000</v>
      </c>
      <c r="DR374" s="128">
        <v>1000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225" t="s">
        <v>1566</v>
      </c>
      <c r="B375" s="225" t="s">
        <v>740</v>
      </c>
      <c r="C375" s="225" t="s">
        <v>817</v>
      </c>
      <c r="D375" s="225" t="s">
        <v>1469</v>
      </c>
      <c r="E375" s="225" t="s">
        <v>1567</v>
      </c>
      <c r="F375" s="225" t="s">
        <v>491</v>
      </c>
      <c r="G375" s="229" t="s">
        <v>1568</v>
      </c>
      <c r="H375" s="226"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6">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289"/>
        <v>0</v>
      </c>
      <c r="BV375" s="28"/>
      <c r="BW375" s="28"/>
      <c r="BX375" s="28"/>
      <c r="BY375" s="28"/>
      <c r="BZ375" s="28"/>
      <c r="CA375" s="28"/>
      <c r="CB375" s="185">
        <v>2000</v>
      </c>
      <c r="CC375" s="185">
        <v>1500</v>
      </c>
      <c r="CD375" s="185">
        <v>1500</v>
      </c>
      <c r="CE375" s="185">
        <v>1500</v>
      </c>
      <c r="CF375" s="185">
        <v>1500</v>
      </c>
      <c r="CG375" s="185">
        <v>1500</v>
      </c>
      <c r="CH375" s="185">
        <v>1500</v>
      </c>
      <c r="CI375" s="175"/>
      <c r="CJ375" s="175"/>
      <c r="CK375" s="175"/>
      <c r="CL375" s="175"/>
      <c r="CM375" s="175"/>
      <c r="CN375" s="175"/>
      <c r="CO375" s="175"/>
      <c r="CP375" s="176"/>
      <c r="CQ375" s="176"/>
      <c r="CR375" s="176"/>
      <c r="CS375" s="176"/>
      <c r="CT375" s="176"/>
      <c r="CU375" s="176"/>
      <c r="CV375" s="176"/>
      <c r="CW375" s="167"/>
      <c r="CX375" s="168"/>
      <c r="CY375" s="168"/>
      <c r="CZ375" s="168"/>
      <c r="DA375" s="168"/>
      <c r="DB375" s="168"/>
      <c r="DC375" s="168"/>
      <c r="DD375" s="172"/>
      <c r="DE375" s="172"/>
      <c r="DF375" s="172"/>
      <c r="DG375" s="172"/>
      <c r="DH375" s="172"/>
      <c r="DI375" s="172"/>
      <c r="DJ375" s="172"/>
      <c r="DK375" s="80" t="s">
        <v>1570</v>
      </c>
      <c r="DL375" s="129">
        <v>2000</v>
      </c>
      <c r="DM375" s="129">
        <v>2000</v>
      </c>
      <c r="DN375" s="129">
        <v>2000</v>
      </c>
      <c r="DO375" s="129">
        <v>2000</v>
      </c>
      <c r="DP375" s="129">
        <v>2000</v>
      </c>
      <c r="DQ375" s="129">
        <v>2000</v>
      </c>
      <c r="DR375" s="129">
        <v>2000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6">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289"/>
        <v>390</v>
      </c>
      <c r="BV376" s="27"/>
      <c r="BW376" s="27"/>
      <c r="BX376" s="27"/>
      <c r="BY376" s="27"/>
      <c r="BZ376" s="27"/>
      <c r="CA376" s="27"/>
      <c r="CB376" s="97">
        <v>390</v>
      </c>
      <c r="CC376" s="97">
        <v>2000</v>
      </c>
      <c r="CD376" s="97">
        <v>2000</v>
      </c>
      <c r="CE376" s="97">
        <v>2000</v>
      </c>
      <c r="CF376" s="97">
        <v>2000</v>
      </c>
      <c r="CG376" s="97">
        <v>2000</v>
      </c>
      <c r="CH376" s="97">
        <v>2000</v>
      </c>
      <c r="CI376" s="173"/>
      <c r="CJ376" s="173"/>
      <c r="CK376" s="173"/>
      <c r="CL376" s="173"/>
      <c r="CM376" s="173"/>
      <c r="CN376" s="173"/>
      <c r="CO376" s="173"/>
      <c r="CP376" s="174"/>
      <c r="CQ376" s="174"/>
      <c r="CR376" s="174"/>
      <c r="CS376" s="174"/>
      <c r="CT376" s="174"/>
      <c r="CU376" s="174"/>
      <c r="CV376" s="174"/>
      <c r="CW376" s="165"/>
      <c r="CX376" s="166"/>
      <c r="CY376" s="166"/>
      <c r="CZ376" s="166"/>
      <c r="DA376" s="166"/>
      <c r="DB376" s="166"/>
      <c r="DC376" s="166"/>
      <c r="DD376" s="171"/>
      <c r="DE376" s="171"/>
      <c r="DF376" s="171"/>
      <c r="DG376" s="171"/>
      <c r="DH376" s="171"/>
      <c r="DI376" s="171"/>
      <c r="DJ376" s="171"/>
      <c r="DK376" s="79" t="s">
        <v>415</v>
      </c>
      <c r="DL376" s="128">
        <v>2000</v>
      </c>
      <c r="DM376" s="128">
        <v>2000</v>
      </c>
      <c r="DN376" s="128">
        <v>2000</v>
      </c>
      <c r="DO376" s="128">
        <v>2000</v>
      </c>
      <c r="DP376" s="128">
        <v>2000</v>
      </c>
      <c r="DQ376" s="128">
        <v>2000</v>
      </c>
      <c r="DR376" s="128">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6">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17">BP377</f>
        <v>56.666666666666664</v>
      </c>
      <c r="BR377" s="94">
        <f t="shared" si="317"/>
        <v>56.666666666666664</v>
      </c>
      <c r="BS377" s="94">
        <f t="shared" si="317"/>
        <v>56.666666666666664</v>
      </c>
      <c r="BT377" s="94">
        <f t="shared" si="317"/>
        <v>56.666666666666664</v>
      </c>
      <c r="BU377" s="28">
        <f t="shared" si="289"/>
        <v>0</v>
      </c>
      <c r="BV377" s="28"/>
      <c r="BW377" s="28"/>
      <c r="BX377" s="28"/>
      <c r="BY377" s="28"/>
      <c r="BZ377" s="28"/>
      <c r="CA377" s="28"/>
      <c r="CB377" s="99">
        <v>1000</v>
      </c>
      <c r="CC377" s="99">
        <v>1000</v>
      </c>
      <c r="CD377" s="99">
        <v>1000</v>
      </c>
      <c r="CE377" s="99">
        <v>1000</v>
      </c>
      <c r="CF377" s="99">
        <v>1000</v>
      </c>
      <c r="CG377" s="99">
        <v>1000</v>
      </c>
      <c r="CH377" s="99">
        <v>1000</v>
      </c>
      <c r="CI377" s="175"/>
      <c r="CJ377" s="175"/>
      <c r="CK377" s="175"/>
      <c r="CL377" s="175"/>
      <c r="CM377" s="175"/>
      <c r="CN377" s="175"/>
      <c r="CO377" s="175"/>
      <c r="CP377" s="176"/>
      <c r="CQ377" s="176"/>
      <c r="CR377" s="176"/>
      <c r="CS377" s="176"/>
      <c r="CT377" s="176"/>
      <c r="CU377" s="176"/>
      <c r="CV377" s="176"/>
      <c r="CW377" s="167"/>
      <c r="CX377" s="168"/>
      <c r="CY377" s="168"/>
      <c r="CZ377" s="168"/>
      <c r="DA377" s="168"/>
      <c r="DB377" s="168"/>
      <c r="DC377" s="168"/>
      <c r="DD377" s="172"/>
      <c r="DE377" s="172"/>
      <c r="DF377" s="172"/>
      <c r="DG377" s="172"/>
      <c r="DH377" s="172"/>
      <c r="DI377" s="172"/>
      <c r="DJ377" s="172"/>
      <c r="DK377" s="80" t="s">
        <v>415</v>
      </c>
      <c r="DL377" s="129">
        <v>1000</v>
      </c>
      <c r="DM377" s="129">
        <v>1000</v>
      </c>
      <c r="DN377" s="129">
        <v>1000</v>
      </c>
      <c r="DO377" s="129">
        <v>1000</v>
      </c>
      <c r="DP377" s="129">
        <v>1000</v>
      </c>
      <c r="DQ377" s="129">
        <v>1000</v>
      </c>
      <c r="DR377" s="129">
        <v>1000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6">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18">BP378</f>
        <v>91.666666666666671</v>
      </c>
      <c r="BR378" s="93">
        <f t="shared" si="318"/>
        <v>91.666666666666671</v>
      </c>
      <c r="BS378" s="93">
        <f t="shared" si="318"/>
        <v>91.666666666666671</v>
      </c>
      <c r="BT378" s="93">
        <f t="shared" si="318"/>
        <v>91.666666666666671</v>
      </c>
      <c r="BU378" s="27">
        <f t="shared" si="289"/>
        <v>0</v>
      </c>
      <c r="BV378" s="27"/>
      <c r="BW378" s="27"/>
      <c r="BX378" s="27"/>
      <c r="BY378" s="27"/>
      <c r="BZ378" s="27"/>
      <c r="CA378" s="27"/>
      <c r="CB378" s="185">
        <v>1000</v>
      </c>
      <c r="CC378" s="185">
        <v>1000</v>
      </c>
      <c r="CD378" s="185">
        <v>1000</v>
      </c>
      <c r="CE378" s="185">
        <v>1000</v>
      </c>
      <c r="CF378" s="185">
        <v>1000</v>
      </c>
      <c r="CG378" s="185">
        <v>1000</v>
      </c>
      <c r="CH378" s="185">
        <v>1000</v>
      </c>
      <c r="CI378" s="173"/>
      <c r="CJ378" s="173"/>
      <c r="CK378" s="173"/>
      <c r="CL378" s="173"/>
      <c r="CM378" s="173"/>
      <c r="CN378" s="173"/>
      <c r="CO378" s="173"/>
      <c r="CP378" s="174"/>
      <c r="CQ378" s="174"/>
      <c r="CR378" s="174"/>
      <c r="CS378" s="174"/>
      <c r="CT378" s="174"/>
      <c r="CU378" s="174"/>
      <c r="CV378" s="174"/>
      <c r="CW378" s="165"/>
      <c r="CX378" s="166"/>
      <c r="CY378" s="166"/>
      <c r="CZ378" s="166"/>
      <c r="DA378" s="166"/>
      <c r="DB378" s="166"/>
      <c r="DC378" s="166"/>
      <c r="DD378" s="171"/>
      <c r="DE378" s="171"/>
      <c r="DF378" s="171"/>
      <c r="DG378" s="171"/>
      <c r="DH378" s="171"/>
      <c r="DI378" s="171"/>
      <c r="DJ378" s="171"/>
      <c r="DK378" s="79" t="s">
        <v>415</v>
      </c>
      <c r="DL378" s="128">
        <v>2000</v>
      </c>
      <c r="DM378" s="128">
        <v>2000</v>
      </c>
      <c r="DN378" s="128">
        <v>2000</v>
      </c>
      <c r="DO378" s="128">
        <v>2000</v>
      </c>
      <c r="DP378" s="128">
        <v>2000</v>
      </c>
      <c r="DQ378" s="128">
        <v>2000</v>
      </c>
      <c r="DR378" s="128">
        <v>2000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6">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289"/>
        <v>0</v>
      </c>
      <c r="BV379" s="28"/>
      <c r="BW379" s="28"/>
      <c r="BX379" s="28"/>
      <c r="BY379" s="28"/>
      <c r="BZ379" s="28"/>
      <c r="CA379" s="28"/>
      <c r="CB379" s="185">
        <v>1000</v>
      </c>
      <c r="CC379" s="185">
        <v>1000</v>
      </c>
      <c r="CD379" s="185">
        <v>1000</v>
      </c>
      <c r="CE379" s="185">
        <v>1000</v>
      </c>
      <c r="CF379" s="185">
        <v>1000</v>
      </c>
      <c r="CG379" s="185">
        <v>1000</v>
      </c>
      <c r="CH379" s="185">
        <v>1000</v>
      </c>
      <c r="CI379" s="175"/>
      <c r="CJ379" s="175"/>
      <c r="CK379" s="175"/>
      <c r="CL379" s="175"/>
      <c r="CM379" s="175"/>
      <c r="CN379" s="175"/>
      <c r="CO379" s="175"/>
      <c r="CP379" s="176"/>
      <c r="CQ379" s="176"/>
      <c r="CR379" s="176"/>
      <c r="CS379" s="176"/>
      <c r="CT379" s="176"/>
      <c r="CU379" s="176"/>
      <c r="CV379" s="176"/>
      <c r="CW379" s="167"/>
      <c r="CX379" s="168"/>
      <c r="CY379" s="168"/>
      <c r="CZ379" s="168"/>
      <c r="DA379" s="168"/>
      <c r="DB379" s="168"/>
      <c r="DC379" s="168"/>
      <c r="DD379" s="172"/>
      <c r="DE379" s="172"/>
      <c r="DF379" s="172"/>
      <c r="DG379" s="172"/>
      <c r="DH379" s="172"/>
      <c r="DI379" s="172"/>
      <c r="DJ379" s="172"/>
      <c r="DK379" s="80" t="s">
        <v>415</v>
      </c>
      <c r="DL379" s="129">
        <v>3500</v>
      </c>
      <c r="DM379" s="129">
        <v>3500</v>
      </c>
      <c r="DN379" s="129">
        <v>3500</v>
      </c>
      <c r="DO379" s="129">
        <v>3500</v>
      </c>
      <c r="DP379" s="129">
        <v>3500</v>
      </c>
      <c r="DQ379" s="129">
        <v>3500</v>
      </c>
      <c r="DR379" s="129">
        <v>3500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6">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289"/>
        <v>14.6</v>
      </c>
      <c r="BV380" s="27"/>
      <c r="BW380" s="27"/>
      <c r="BX380" s="27"/>
      <c r="BY380" s="27"/>
      <c r="BZ380" s="27"/>
      <c r="CA380" s="27"/>
      <c r="CB380" s="97">
        <v>14.6</v>
      </c>
      <c r="CC380" s="97">
        <v>1000</v>
      </c>
      <c r="CD380" s="97">
        <v>1000</v>
      </c>
      <c r="CE380" s="97">
        <v>1000</v>
      </c>
      <c r="CF380" s="97">
        <v>1000</v>
      </c>
      <c r="CG380" s="97">
        <v>1000</v>
      </c>
      <c r="CH380" s="97">
        <v>1000</v>
      </c>
      <c r="CI380" s="173"/>
      <c r="CJ380" s="173"/>
      <c r="CK380" s="173"/>
      <c r="CL380" s="173"/>
      <c r="CM380" s="173"/>
      <c r="CN380" s="173"/>
      <c r="CO380" s="173"/>
      <c r="CP380" s="174"/>
      <c r="CQ380" s="174"/>
      <c r="CR380" s="174"/>
      <c r="CS380" s="174"/>
      <c r="CT380" s="174"/>
      <c r="CU380" s="174"/>
      <c r="CV380" s="174"/>
      <c r="CW380" s="165"/>
      <c r="CX380" s="166"/>
      <c r="CY380" s="166"/>
      <c r="CZ380" s="166"/>
      <c r="DA380" s="166"/>
      <c r="DB380" s="166"/>
      <c r="DC380" s="166"/>
      <c r="DD380" s="171"/>
      <c r="DE380" s="171"/>
      <c r="DF380" s="171"/>
      <c r="DG380" s="171"/>
      <c r="DH380" s="171"/>
      <c r="DI380" s="171"/>
      <c r="DJ380" s="171"/>
      <c r="DK380" s="79" t="s">
        <v>415</v>
      </c>
      <c r="DL380" s="128">
        <v>1000</v>
      </c>
      <c r="DM380" s="128">
        <v>1000</v>
      </c>
      <c r="DN380" s="128">
        <v>1000</v>
      </c>
      <c r="DO380" s="128">
        <v>1000</v>
      </c>
      <c r="DP380" s="128">
        <v>1000</v>
      </c>
      <c r="DQ380" s="128">
        <v>1000</v>
      </c>
      <c r="DR380" s="128">
        <v>1000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6">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289"/>
        <v>0</v>
      </c>
      <c r="BV381" s="28"/>
      <c r="BW381" s="28"/>
      <c r="BX381" s="28"/>
      <c r="BY381" s="28"/>
      <c r="BZ381" s="28"/>
      <c r="CA381" s="28"/>
      <c r="CB381" s="99"/>
      <c r="CC381" s="99">
        <v>1000</v>
      </c>
      <c r="CD381" s="99">
        <v>1000</v>
      </c>
      <c r="CE381" s="99">
        <v>1000</v>
      </c>
      <c r="CF381" s="99">
        <v>1000</v>
      </c>
      <c r="CG381" s="99">
        <v>1000</v>
      </c>
      <c r="CH381" s="99">
        <v>1000</v>
      </c>
      <c r="CI381" s="175"/>
      <c r="CJ381" s="175"/>
      <c r="CK381" s="175"/>
      <c r="CL381" s="175"/>
      <c r="CM381" s="175"/>
      <c r="CN381" s="175"/>
      <c r="CO381" s="175"/>
      <c r="CP381" s="176"/>
      <c r="CQ381" s="176"/>
      <c r="CR381" s="176"/>
      <c r="CS381" s="176"/>
      <c r="CT381" s="176"/>
      <c r="CU381" s="176"/>
      <c r="CV381" s="176"/>
      <c r="CW381" s="167"/>
      <c r="CX381" s="168"/>
      <c r="CY381" s="168"/>
      <c r="CZ381" s="168"/>
      <c r="DA381" s="168"/>
      <c r="DB381" s="168"/>
      <c r="DC381" s="168"/>
      <c r="DD381" s="172"/>
      <c r="DE381" s="172"/>
      <c r="DF381" s="172"/>
      <c r="DG381" s="172"/>
      <c r="DH381" s="172"/>
      <c r="DI381" s="172"/>
      <c r="DJ381" s="172"/>
      <c r="DK381" s="80" t="s">
        <v>415</v>
      </c>
      <c r="DL381" s="129">
        <v>1000</v>
      </c>
      <c r="DM381" s="129">
        <v>1000</v>
      </c>
      <c r="DN381" s="129">
        <v>1000</v>
      </c>
      <c r="DO381" s="129">
        <v>1000</v>
      </c>
      <c r="DP381" s="129">
        <v>1000</v>
      </c>
      <c r="DQ381" s="129">
        <v>1000</v>
      </c>
      <c r="DR381" s="129">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6">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289"/>
        <v>0</v>
      </c>
      <c r="BV382" s="27"/>
      <c r="BW382" s="27"/>
      <c r="BX382" s="27"/>
      <c r="BY382" s="27"/>
      <c r="BZ382" s="27"/>
      <c r="CA382" s="27"/>
      <c r="CB382" s="97"/>
      <c r="CC382" s="97">
        <v>1000</v>
      </c>
      <c r="CD382" s="97">
        <v>1000</v>
      </c>
      <c r="CE382" s="97">
        <v>1000</v>
      </c>
      <c r="CF382" s="97">
        <v>1000</v>
      </c>
      <c r="CG382" s="97">
        <v>1000</v>
      </c>
      <c r="CH382" s="97">
        <v>1000</v>
      </c>
      <c r="CI382" s="173"/>
      <c r="CJ382" s="173"/>
      <c r="CK382" s="173"/>
      <c r="CL382" s="173"/>
      <c r="CM382" s="173"/>
      <c r="CN382" s="173"/>
      <c r="CO382" s="173"/>
      <c r="CP382" s="174"/>
      <c r="CQ382" s="174"/>
      <c r="CR382" s="174"/>
      <c r="CS382" s="174"/>
      <c r="CT382" s="174"/>
      <c r="CU382" s="174"/>
      <c r="CV382" s="174"/>
      <c r="CW382" s="165"/>
      <c r="CX382" s="166"/>
      <c r="CY382" s="166"/>
      <c r="CZ382" s="166"/>
      <c r="DA382" s="166"/>
      <c r="DB382" s="166"/>
      <c r="DC382" s="166"/>
      <c r="DD382" s="171"/>
      <c r="DE382" s="171"/>
      <c r="DF382" s="171"/>
      <c r="DG382" s="171"/>
      <c r="DH382" s="171"/>
      <c r="DI382" s="171"/>
      <c r="DJ382" s="171"/>
      <c r="DK382" s="79" t="s">
        <v>415</v>
      </c>
      <c r="DL382" s="128">
        <v>1000</v>
      </c>
      <c r="DM382" s="128">
        <v>1000</v>
      </c>
      <c r="DN382" s="128">
        <v>1000</v>
      </c>
      <c r="DO382" s="128">
        <v>1000</v>
      </c>
      <c r="DP382" s="128">
        <v>1000</v>
      </c>
      <c r="DQ382" s="128">
        <v>1000</v>
      </c>
      <c r="DR382" s="128">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6">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289"/>
        <v>0</v>
      </c>
      <c r="BV383" s="28"/>
      <c r="BW383" s="28"/>
      <c r="BX383" s="28"/>
      <c r="BY383" s="28"/>
      <c r="BZ383" s="28"/>
      <c r="CA383" s="28"/>
      <c r="CB383" s="99">
        <v>0</v>
      </c>
      <c r="CC383" s="99">
        <v>250</v>
      </c>
      <c r="CD383" s="99">
        <v>500</v>
      </c>
      <c r="CE383" s="99">
        <v>1000</v>
      </c>
      <c r="CF383" s="99">
        <v>1000</v>
      </c>
      <c r="CG383" s="99">
        <v>1000</v>
      </c>
      <c r="CH383" s="99">
        <v>1000</v>
      </c>
      <c r="CI383" s="175"/>
      <c r="CJ383" s="175"/>
      <c r="CK383" s="175"/>
      <c r="CL383" s="175"/>
      <c r="CM383" s="175"/>
      <c r="CN383" s="175"/>
      <c r="CO383" s="175"/>
      <c r="CP383" s="176"/>
      <c r="CQ383" s="176"/>
      <c r="CR383" s="176"/>
      <c r="CS383" s="176"/>
      <c r="CT383" s="176"/>
      <c r="CU383" s="176"/>
      <c r="CV383" s="176"/>
      <c r="CW383" s="167"/>
      <c r="CX383" s="168"/>
      <c r="CY383" s="168"/>
      <c r="CZ383" s="168"/>
      <c r="DA383" s="168"/>
      <c r="DB383" s="168"/>
      <c r="DC383" s="168"/>
      <c r="DD383" s="172"/>
      <c r="DE383" s="172"/>
      <c r="DF383" s="172"/>
      <c r="DG383" s="172"/>
      <c r="DH383" s="172"/>
      <c r="DI383" s="172"/>
      <c r="DJ383" s="172"/>
      <c r="DK383" s="80" t="s">
        <v>415</v>
      </c>
      <c r="DL383" s="129">
        <v>1000</v>
      </c>
      <c r="DM383" s="129">
        <v>1000</v>
      </c>
      <c r="DN383" s="129">
        <v>1000</v>
      </c>
      <c r="DO383" s="129">
        <v>1000</v>
      </c>
      <c r="DP383" s="129">
        <v>1000</v>
      </c>
      <c r="DQ383" s="129">
        <v>1000</v>
      </c>
      <c r="DR383" s="129">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390"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1">
        <v>0</v>
      </c>
      <c r="Y384" s="391">
        <v>0</v>
      </c>
      <c r="Z384" s="391">
        <v>0</v>
      </c>
      <c r="AA384" s="391">
        <v>0</v>
      </c>
      <c r="AB384" s="391">
        <v>0</v>
      </c>
      <c r="AC384" s="391">
        <v>0</v>
      </c>
      <c r="AD384" s="391">
        <v>0</v>
      </c>
      <c r="AE384" s="186">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5">
        <v>1000</v>
      </c>
      <c r="CD384" s="185">
        <v>1000</v>
      </c>
      <c r="CE384" s="185">
        <v>1000</v>
      </c>
      <c r="CF384" s="185">
        <v>1000</v>
      </c>
      <c r="CG384" s="185">
        <v>1000</v>
      </c>
      <c r="CH384" s="185">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c r="DL384" s="129"/>
      <c r="DM384" s="129"/>
      <c r="DN384" s="129"/>
      <c r="DO384" s="129"/>
      <c r="DP384" s="129"/>
      <c r="DQ384" s="129"/>
      <c r="DR384" s="129"/>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6">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289"/>
        <v>0</v>
      </c>
      <c r="BV385" s="27"/>
      <c r="BW385" s="27"/>
      <c r="BX385" s="27"/>
      <c r="BY385" s="27"/>
      <c r="BZ385" s="27"/>
      <c r="CA385" s="27"/>
      <c r="CB385" s="185">
        <v>1000</v>
      </c>
      <c r="CC385" s="185">
        <v>1000</v>
      </c>
      <c r="CD385" s="185">
        <v>1000</v>
      </c>
      <c r="CE385" s="185">
        <v>1000</v>
      </c>
      <c r="CF385" s="185">
        <v>1000</v>
      </c>
      <c r="CG385" s="185">
        <v>1000</v>
      </c>
      <c r="CH385" s="185">
        <v>1000</v>
      </c>
      <c r="CI385" s="173"/>
      <c r="CJ385" s="173"/>
      <c r="CK385" s="173"/>
      <c r="CL385" s="173"/>
      <c r="CM385" s="173"/>
      <c r="CN385" s="173"/>
      <c r="CO385" s="173"/>
      <c r="CP385" s="174"/>
      <c r="CQ385" s="174"/>
      <c r="CR385" s="174"/>
      <c r="CS385" s="174"/>
      <c r="CT385" s="174"/>
      <c r="CU385" s="174"/>
      <c r="CV385" s="174"/>
      <c r="CW385" s="165"/>
      <c r="CX385" s="166"/>
      <c r="CY385" s="166"/>
      <c r="CZ385" s="166"/>
      <c r="DA385" s="166"/>
      <c r="DB385" s="166"/>
      <c r="DC385" s="166"/>
      <c r="DD385" s="171"/>
      <c r="DE385" s="171"/>
      <c r="DF385" s="171"/>
      <c r="DG385" s="171"/>
      <c r="DH385" s="171"/>
      <c r="DI385" s="171"/>
      <c r="DJ385" s="171"/>
      <c r="DK385" s="79" t="s">
        <v>415</v>
      </c>
      <c r="DL385" s="128">
        <v>3500</v>
      </c>
      <c r="DM385" s="128">
        <v>3500</v>
      </c>
      <c r="DN385" s="128">
        <v>3500</v>
      </c>
      <c r="DO385" s="128">
        <v>3500</v>
      </c>
      <c r="DP385" s="128">
        <v>3500</v>
      </c>
      <c r="DQ385" s="128">
        <v>3500</v>
      </c>
      <c r="DR385" s="128">
        <v>3500</v>
      </c>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225" t="s">
        <v>1593</v>
      </c>
      <c r="B386" s="225" t="s">
        <v>740</v>
      </c>
      <c r="C386" s="225" t="s">
        <v>817</v>
      </c>
      <c r="D386" s="225" t="s">
        <v>1469</v>
      </c>
      <c r="E386" s="225" t="s">
        <v>1567</v>
      </c>
      <c r="F386" s="225" t="s">
        <v>495</v>
      </c>
      <c r="G386" s="229" t="s">
        <v>1594</v>
      </c>
      <c r="H386" s="226"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6">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289"/>
        <v>0</v>
      </c>
      <c r="BV386" s="28"/>
      <c r="BW386" s="28"/>
      <c r="BX386" s="28"/>
      <c r="BY386" s="28"/>
      <c r="BZ386" s="28"/>
      <c r="CA386" s="28"/>
      <c r="CB386" s="185">
        <v>1000</v>
      </c>
      <c r="CC386" s="185">
        <v>1000</v>
      </c>
      <c r="CD386" s="185">
        <v>1000</v>
      </c>
      <c r="CE386" s="185">
        <v>1000</v>
      </c>
      <c r="CF386" s="185">
        <v>1000</v>
      </c>
      <c r="CG386" s="185">
        <v>1000</v>
      </c>
      <c r="CH386" s="185">
        <v>1000</v>
      </c>
      <c r="CI386" s="175"/>
      <c r="CJ386" s="175"/>
      <c r="CK386" s="175"/>
      <c r="CL386" s="175"/>
      <c r="CM386" s="175"/>
      <c r="CN386" s="175"/>
      <c r="CO386" s="175"/>
      <c r="CP386" s="176"/>
      <c r="CQ386" s="176"/>
      <c r="CR386" s="176"/>
      <c r="CS386" s="176"/>
      <c r="CT386" s="176"/>
      <c r="CU386" s="176"/>
      <c r="CV386" s="176"/>
      <c r="CW386" s="167"/>
      <c r="CX386" s="168"/>
      <c r="CY386" s="168"/>
      <c r="CZ386" s="168"/>
      <c r="DA386" s="168"/>
      <c r="DB386" s="168"/>
      <c r="DC386" s="168"/>
      <c r="DD386" s="172"/>
      <c r="DE386" s="172"/>
      <c r="DF386" s="172"/>
      <c r="DG386" s="172"/>
      <c r="DH386" s="172"/>
      <c r="DI386" s="172"/>
      <c r="DJ386" s="172"/>
      <c r="DK386" s="80" t="s">
        <v>415</v>
      </c>
      <c r="DL386" s="129">
        <v>2000</v>
      </c>
      <c r="DM386" s="129">
        <v>2000</v>
      </c>
      <c r="DN386" s="129">
        <v>2000</v>
      </c>
      <c r="DO386" s="129">
        <v>2000</v>
      </c>
      <c r="DP386" s="129">
        <v>2000</v>
      </c>
      <c r="DQ386" s="129">
        <v>2000</v>
      </c>
      <c r="DR386" s="129">
        <v>2000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5" t="s">
        <v>1595</v>
      </c>
      <c r="B387" s="5" t="s">
        <v>740</v>
      </c>
      <c r="C387" s="5" t="s">
        <v>788</v>
      </c>
      <c r="D387" s="5" t="s">
        <v>497</v>
      </c>
      <c r="E387" s="5" t="s">
        <v>1475</v>
      </c>
      <c r="F387" s="5" t="s">
        <v>496</v>
      </c>
      <c r="G387" s="47" t="s">
        <v>1596</v>
      </c>
      <c r="H387" s="47" t="s">
        <v>659</v>
      </c>
      <c r="I387" s="253">
        <f>19*1.054</f>
        <v>20.026</v>
      </c>
      <c r="J387" s="253">
        <f t="shared" ref="J387:O387" si="319">19*1.054</f>
        <v>20.026</v>
      </c>
      <c r="K387" s="253">
        <f t="shared" si="319"/>
        <v>20.026</v>
      </c>
      <c r="L387" s="253">
        <f t="shared" si="319"/>
        <v>20.026</v>
      </c>
      <c r="M387" s="253">
        <f t="shared" si="319"/>
        <v>20.026</v>
      </c>
      <c r="N387" s="253">
        <f t="shared" si="319"/>
        <v>20.026</v>
      </c>
      <c r="O387" s="253">
        <f t="shared" si="319"/>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6">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289"/>
        <v>0</v>
      </c>
      <c r="BV387" s="27"/>
      <c r="BW387" s="27"/>
      <c r="BX387" s="27"/>
      <c r="BY387" s="27"/>
      <c r="BZ387" s="27"/>
      <c r="CA387" s="27"/>
      <c r="CB387" s="97">
        <v>200</v>
      </c>
      <c r="CC387" s="97">
        <v>200</v>
      </c>
      <c r="CD387" s="97">
        <v>200</v>
      </c>
      <c r="CE387" s="97">
        <v>200</v>
      </c>
      <c r="CF387" s="97">
        <v>200</v>
      </c>
      <c r="CG387" s="97">
        <v>200</v>
      </c>
      <c r="CH387" s="97">
        <v>200</v>
      </c>
      <c r="CI387" s="173"/>
      <c r="CJ387" s="173"/>
      <c r="CK387" s="173"/>
      <c r="CL387" s="173"/>
      <c r="CM387" s="173"/>
      <c r="CN387" s="173"/>
      <c r="CO387" s="173"/>
      <c r="CP387" s="174"/>
      <c r="CQ387" s="174"/>
      <c r="CR387" s="174"/>
      <c r="CS387" s="174"/>
      <c r="CT387" s="174"/>
      <c r="CU387" s="174"/>
      <c r="CV387" s="174"/>
      <c r="CW387" s="165"/>
      <c r="CX387" s="166"/>
      <c r="CY387" s="166"/>
      <c r="CZ387" s="166"/>
      <c r="DA387" s="166"/>
      <c r="DB387" s="166"/>
      <c r="DC387" s="166"/>
      <c r="DD387" s="171"/>
      <c r="DE387" s="171"/>
      <c r="DF387" s="171"/>
      <c r="DG387" s="171"/>
      <c r="DH387" s="171"/>
      <c r="DI387" s="171"/>
      <c r="DJ387" s="171"/>
      <c r="DK387" s="79" t="s">
        <v>1597</v>
      </c>
      <c r="DL387" s="128">
        <v>200</v>
      </c>
      <c r="DM387" s="128">
        <v>200</v>
      </c>
      <c r="DN387" s="128">
        <v>200</v>
      </c>
      <c r="DO387" s="128">
        <v>200</v>
      </c>
      <c r="DP387" s="128">
        <v>200</v>
      </c>
      <c r="DQ387" s="128">
        <v>200</v>
      </c>
      <c r="DR387" s="128">
        <v>200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6" t="s">
        <v>1598</v>
      </c>
      <c r="B388" s="6" t="s">
        <v>740</v>
      </c>
      <c r="C388" s="6" t="s">
        <v>788</v>
      </c>
      <c r="D388" s="6" t="s">
        <v>497</v>
      </c>
      <c r="E388" s="6" t="s">
        <v>1475</v>
      </c>
      <c r="F388" s="6" t="s">
        <v>496</v>
      </c>
      <c r="G388" s="48" t="s">
        <v>1599</v>
      </c>
      <c r="H388" s="48" t="s">
        <v>659</v>
      </c>
      <c r="I388" s="253">
        <f>22.4*1.054</f>
        <v>23.6096</v>
      </c>
      <c r="J388" s="253">
        <f t="shared" ref="J388:O388" si="320">22.4*1.054</f>
        <v>23.6096</v>
      </c>
      <c r="K388" s="253">
        <f t="shared" si="320"/>
        <v>23.6096</v>
      </c>
      <c r="L388" s="253">
        <f t="shared" si="320"/>
        <v>23.6096</v>
      </c>
      <c r="M388" s="253">
        <f t="shared" si="320"/>
        <v>23.6096</v>
      </c>
      <c r="N388" s="253">
        <f t="shared" si="320"/>
        <v>23.6096</v>
      </c>
      <c r="O388" s="253">
        <f t="shared" si="320"/>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6">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289"/>
        <v>0</v>
      </c>
      <c r="BV388" s="28"/>
      <c r="BW388" s="28"/>
      <c r="BX388" s="28"/>
      <c r="BY388" s="28"/>
      <c r="BZ388" s="28"/>
      <c r="CA388" s="28"/>
      <c r="CB388" s="99"/>
      <c r="CC388" s="99">
        <v>50</v>
      </c>
      <c r="CD388" s="99">
        <v>100</v>
      </c>
      <c r="CE388" s="99">
        <v>200</v>
      </c>
      <c r="CF388" s="99">
        <v>200</v>
      </c>
      <c r="CG388" s="99">
        <v>200</v>
      </c>
      <c r="CH388" s="99">
        <v>200</v>
      </c>
      <c r="CI388" s="175"/>
      <c r="CJ388" s="175"/>
      <c r="CK388" s="175"/>
      <c r="CL388" s="175"/>
      <c r="CM388" s="175"/>
      <c r="CN388" s="175"/>
      <c r="CO388" s="175"/>
      <c r="CP388" s="176"/>
      <c r="CQ388" s="176"/>
      <c r="CR388" s="176"/>
      <c r="CS388" s="176"/>
      <c r="CT388" s="176"/>
      <c r="CU388" s="176"/>
      <c r="CV388" s="176"/>
      <c r="CW388" s="167"/>
      <c r="CX388" s="168"/>
      <c r="CY388" s="168"/>
      <c r="CZ388" s="168"/>
      <c r="DA388" s="168"/>
      <c r="DB388" s="168"/>
      <c r="DC388" s="168"/>
      <c r="DD388" s="172"/>
      <c r="DE388" s="172"/>
      <c r="DF388" s="172"/>
      <c r="DG388" s="172"/>
      <c r="DH388" s="172"/>
      <c r="DI388" s="172"/>
      <c r="DJ388" s="172"/>
      <c r="DK388" s="80" t="s">
        <v>1597</v>
      </c>
      <c r="DL388" s="129">
        <v>200</v>
      </c>
      <c r="DM388" s="129">
        <v>200</v>
      </c>
      <c r="DN388" s="129">
        <v>200</v>
      </c>
      <c r="DO388" s="129">
        <v>200</v>
      </c>
      <c r="DP388" s="129">
        <v>200</v>
      </c>
      <c r="DQ388" s="129">
        <v>200</v>
      </c>
      <c r="DR388" s="129">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6">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289"/>
        <v>0</v>
      </c>
      <c r="BV389" s="27"/>
      <c r="BW389" s="27"/>
      <c r="BX389" s="27"/>
      <c r="BY389" s="27"/>
      <c r="BZ389" s="27"/>
      <c r="CA389" s="27"/>
      <c r="CB389" s="97"/>
      <c r="CC389" s="97"/>
      <c r="CD389" s="97"/>
      <c r="CE389" s="97"/>
      <c r="CF389" s="97"/>
      <c r="CG389" s="97"/>
      <c r="CH389" s="97"/>
      <c r="CI389" s="173"/>
      <c r="CJ389" s="173"/>
      <c r="CK389" s="173"/>
      <c r="CL389" s="173"/>
      <c r="CM389" s="173"/>
      <c r="CN389" s="173"/>
      <c r="CO389" s="173"/>
      <c r="CP389" s="174"/>
      <c r="CQ389" s="174"/>
      <c r="CR389" s="174"/>
      <c r="CS389" s="174"/>
      <c r="CT389" s="174"/>
      <c r="CU389" s="174"/>
      <c r="CV389" s="174"/>
      <c r="CW389" s="165"/>
      <c r="CX389" s="166"/>
      <c r="CY389" s="166"/>
      <c r="CZ389" s="166"/>
      <c r="DA389" s="166"/>
      <c r="DB389" s="166"/>
      <c r="DC389" s="166"/>
      <c r="DD389" s="171"/>
      <c r="DE389" s="171"/>
      <c r="DF389" s="171"/>
      <c r="DG389" s="171"/>
      <c r="DH389" s="171"/>
      <c r="DI389" s="171"/>
      <c r="DJ389" s="171"/>
      <c r="DK389" s="79" t="s">
        <v>1603</v>
      </c>
      <c r="DL389" s="128"/>
      <c r="DM389" s="128"/>
      <c r="DN389" s="128"/>
      <c r="DO389" s="128"/>
      <c r="DP389" s="128"/>
      <c r="DQ389" s="128"/>
      <c r="DR389" s="128"/>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6" t="s">
        <v>1604</v>
      </c>
      <c r="B390" s="6" t="s">
        <v>740</v>
      </c>
      <c r="C390" s="6" t="s">
        <v>788</v>
      </c>
      <c r="D390" s="6" t="s">
        <v>497</v>
      </c>
      <c r="E390" s="6" t="s">
        <v>1525</v>
      </c>
      <c r="F390" s="6" t="s">
        <v>496</v>
      </c>
      <c r="G390" s="221" t="s">
        <v>1605</v>
      </c>
      <c r="H390" s="48" t="s">
        <v>1606</v>
      </c>
      <c r="I390" s="184">
        <f>1400*107.3/100</f>
        <v>1502.2</v>
      </c>
      <c r="J390" s="102">
        <f>($L$390-$I$390)/($L$4-$I$4)*(J4-I4)+I390</f>
        <v>1284.8671586715868</v>
      </c>
      <c r="K390" s="184">
        <v>560.42435424354244</v>
      </c>
      <c r="L390" s="102">
        <f>($M$390-$K$390)/($M$4-$K$4)*(L4-K4)+K390</f>
        <v>560.42435424354244</v>
      </c>
      <c r="M390" s="184">
        <f>K390</f>
        <v>560.42435424354244</v>
      </c>
      <c r="N390" s="102">
        <f>($O$390-$M$390)/($O$4-$M$4)*(N4-M4)+M390</f>
        <v>560.42435424354244</v>
      </c>
      <c r="O390" s="184">
        <f>K390</f>
        <v>560.42435424354244</v>
      </c>
      <c r="P390" s="94"/>
      <c r="Q390" s="184">
        <f>I390*0.05</f>
        <v>75.11</v>
      </c>
      <c r="R390" s="184">
        <f t="shared" ref="R390" si="321">J390*0.05</f>
        <v>64.243357933579347</v>
      </c>
      <c r="S390" s="184">
        <v>11.20848708487085</v>
      </c>
      <c r="T390" s="184">
        <v>11.20848708487085</v>
      </c>
      <c r="U390" s="184">
        <v>11.20848708487085</v>
      </c>
      <c r="V390" s="184">
        <v>11.20848708487085</v>
      </c>
      <c r="W390" s="184">
        <v>11.20848708487085</v>
      </c>
      <c r="X390" s="184">
        <f>0.23*I390/(0.0036*70000)</f>
        <v>1.3710555555555557</v>
      </c>
      <c r="Y390" s="184">
        <f>0.23*J390/(0.0036*80000)</f>
        <v>1.0261091892168923</v>
      </c>
      <c r="Z390" s="184">
        <f>0.23*K390/(0.0036*92000)</f>
        <v>0.38918357933579334</v>
      </c>
      <c r="AA390" s="184">
        <f>0.23*L390/(0.0036*94500)</f>
        <v>0.37888771744860306</v>
      </c>
      <c r="AB390" s="184">
        <f>0.23*M390/(0.0036*94500)</f>
        <v>0.37888771744860306</v>
      </c>
      <c r="AC390" s="184">
        <f>0.23*N390/(0.0036*101500)</f>
        <v>0.35275753003835458</v>
      </c>
      <c r="AD390" s="184">
        <f>0.23*O390/(0.0036*101500)</f>
        <v>0.35275753003835458</v>
      </c>
      <c r="AE390" s="186">
        <v>0.08</v>
      </c>
      <c r="AF390" s="94">
        <v>0</v>
      </c>
      <c r="AG390" s="94">
        <v>19</v>
      </c>
      <c r="AH390" s="94">
        <v>19</v>
      </c>
      <c r="AI390" s="17">
        <v>31.536000000000001</v>
      </c>
      <c r="AJ390" s="384" t="s">
        <v>765</v>
      </c>
      <c r="AK390" s="384" t="s">
        <v>745</v>
      </c>
      <c r="AL390" s="17"/>
      <c r="AM390" s="61"/>
      <c r="AN390" s="61"/>
      <c r="AO390" s="61"/>
      <c r="AP390" s="61"/>
      <c r="AQ390" s="61"/>
      <c r="AR390" s="61"/>
      <c r="AS390" s="189">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289"/>
        <v>0</v>
      </c>
      <c r="BV390" s="28"/>
      <c r="BW390" s="28"/>
      <c r="BX390" s="28"/>
      <c r="BY390" s="28"/>
      <c r="BZ390" s="28"/>
      <c r="CA390" s="28"/>
      <c r="CB390" s="99">
        <v>0</v>
      </c>
      <c r="CC390" s="99">
        <v>1000</v>
      </c>
      <c r="CD390" s="99">
        <v>1000</v>
      </c>
      <c r="CE390" s="99">
        <v>1000</v>
      </c>
      <c r="CF390" s="99">
        <v>1000</v>
      </c>
      <c r="CG390" s="99">
        <v>1000</v>
      </c>
      <c r="CH390" s="99">
        <v>1000</v>
      </c>
      <c r="CI390" s="175"/>
      <c r="CJ390" s="175"/>
      <c r="CK390" s="175"/>
      <c r="CL390" s="175"/>
      <c r="CM390" s="175"/>
      <c r="CN390" s="175"/>
      <c r="CO390" s="175"/>
      <c r="CP390" s="176"/>
      <c r="CQ390" s="176"/>
      <c r="CR390" s="176"/>
      <c r="CS390" s="176"/>
      <c r="CT390" s="176"/>
      <c r="CU390" s="176"/>
      <c r="CV390" s="176"/>
      <c r="CW390" s="167"/>
      <c r="CX390" s="168"/>
      <c r="CY390" s="168"/>
      <c r="CZ390" s="168"/>
      <c r="DA390" s="168"/>
      <c r="DB390" s="168"/>
      <c r="DC390" s="168"/>
      <c r="DD390" s="172"/>
      <c r="DE390" s="172"/>
      <c r="DF390" s="172"/>
      <c r="DG390" s="172"/>
      <c r="DH390" s="172"/>
      <c r="DI390" s="172"/>
      <c r="DJ390" s="172"/>
      <c r="DK390" s="200" t="s">
        <v>1607</v>
      </c>
      <c r="DL390" s="129">
        <v>1000</v>
      </c>
      <c r="DM390" s="129">
        <v>1000</v>
      </c>
      <c r="DN390" s="129">
        <v>1000</v>
      </c>
      <c r="DO390" s="129">
        <v>1000</v>
      </c>
      <c r="DP390" s="129">
        <v>1000</v>
      </c>
      <c r="DQ390" s="129">
        <v>1000</v>
      </c>
      <c r="DR390" s="129">
        <v>1000</v>
      </c>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5" t="s">
        <v>1608</v>
      </c>
      <c r="B391" s="5" t="s">
        <v>740</v>
      </c>
      <c r="C391" s="5" t="s">
        <v>788</v>
      </c>
      <c r="D391" s="5" t="s">
        <v>497</v>
      </c>
      <c r="E391" s="5" t="s">
        <v>1525</v>
      </c>
      <c r="F391" s="5" t="s">
        <v>496</v>
      </c>
      <c r="G391" s="221" t="s">
        <v>1609</v>
      </c>
      <c r="H391" s="47" t="s">
        <v>1606</v>
      </c>
      <c r="I391" s="184">
        <f>1800*107.3/100</f>
        <v>1931.4</v>
      </c>
      <c r="J391" s="102">
        <f>($L$341-$I$341)/($L$4-$I$4)*(J53-I53)+I391</f>
        <v>1931.4</v>
      </c>
      <c r="K391" s="184">
        <f>829.5</f>
        <v>829.5</v>
      </c>
      <c r="L391" s="102">
        <f>($O$390-$K$390)/($O$4-$K$4)*(L4-K4)+K391</f>
        <v>829.5</v>
      </c>
      <c r="M391" s="102">
        <f>($O$390-$K$390)/($O$4-$K$4)*(M4-L4)+L391</f>
        <v>829.5</v>
      </c>
      <c r="N391" s="102">
        <f>($O$390-$K$390)/($O$4-$K$4)*(N4-M4)+M391</f>
        <v>829.5</v>
      </c>
      <c r="O391" s="184">
        <f>K391</f>
        <v>829.5</v>
      </c>
      <c r="P391" s="93"/>
      <c r="Q391" s="184">
        <f>I391*0.02</f>
        <v>38.628</v>
      </c>
      <c r="R391" s="184">
        <f t="shared" ref="R391:W391" si="322">J391*0.02</f>
        <v>38.628</v>
      </c>
      <c r="S391" s="184">
        <f t="shared" si="322"/>
        <v>16.59</v>
      </c>
      <c r="T391" s="184">
        <f t="shared" si="322"/>
        <v>16.59</v>
      </c>
      <c r="U391" s="184">
        <f t="shared" si="322"/>
        <v>16.59</v>
      </c>
      <c r="V391" s="184">
        <f t="shared" si="322"/>
        <v>16.59</v>
      </c>
      <c r="W391" s="184">
        <f t="shared" si="322"/>
        <v>16.59</v>
      </c>
      <c r="X391" s="184">
        <f>0.37*I391/(0.0036*55000)</f>
        <v>3.6091818181818183</v>
      </c>
      <c r="Y391" s="184">
        <f>0.37*J391/(0.0036*65500)</f>
        <v>3.030610687022901</v>
      </c>
      <c r="Z391" s="184">
        <f>0.37*K391/(0.0036*77500)</f>
        <v>1.1000537634408603</v>
      </c>
      <c r="AA391" s="184">
        <f t="shared" ref="AA391" si="323">0.37*L391/(0.0036*77500)</f>
        <v>1.1000537634408603</v>
      </c>
      <c r="AB391" s="184">
        <f>0.37*M391/(0.0036*90000)</f>
        <v>0.94726851851851857</v>
      </c>
      <c r="AC391" s="184">
        <f>0.37*N391/(0.0036*90000)</f>
        <v>0.94726851851851857</v>
      </c>
      <c r="AD391" s="184">
        <f>0.37*O391/(0.0036*105000)</f>
        <v>0.81194444444444447</v>
      </c>
      <c r="AE391" s="186">
        <v>0.08</v>
      </c>
      <c r="AF391" s="93">
        <v>0</v>
      </c>
      <c r="AG391" s="93">
        <v>20</v>
      </c>
      <c r="AH391" s="93">
        <v>20</v>
      </c>
      <c r="AI391" s="16">
        <v>31.536000000000001</v>
      </c>
      <c r="AJ391" s="16" t="s">
        <v>765</v>
      </c>
      <c r="AK391" s="16" t="s">
        <v>745</v>
      </c>
      <c r="AL391" s="16"/>
      <c r="AM391" s="60"/>
      <c r="AN391" s="60"/>
      <c r="AO391" s="60"/>
      <c r="AP391" s="60"/>
      <c r="AQ391" s="60"/>
      <c r="AR391" s="60"/>
      <c r="AS391" s="189">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289"/>
        <v>0</v>
      </c>
      <c r="BV391" s="27"/>
      <c r="BW391" s="27"/>
      <c r="BX391" s="27"/>
      <c r="BY391" s="27"/>
      <c r="BZ391" s="27"/>
      <c r="CA391" s="27"/>
      <c r="CB391" s="97">
        <v>0</v>
      </c>
      <c r="CC391" s="97">
        <v>1000</v>
      </c>
      <c r="CD391" s="97">
        <v>1000</v>
      </c>
      <c r="CE391" s="97">
        <v>1000</v>
      </c>
      <c r="CF391" s="97">
        <v>1000</v>
      </c>
      <c r="CG391" s="97">
        <v>1000</v>
      </c>
      <c r="CH391" s="97">
        <v>1000</v>
      </c>
      <c r="CI391" s="173"/>
      <c r="CJ391" s="173"/>
      <c r="CK391" s="173"/>
      <c r="CL391" s="173"/>
      <c r="CM391" s="173"/>
      <c r="CN391" s="173"/>
      <c r="CO391" s="173"/>
      <c r="CP391" s="174"/>
      <c r="CQ391" s="174"/>
      <c r="CR391" s="174"/>
      <c r="CS391" s="174"/>
      <c r="CT391" s="174"/>
      <c r="CU391" s="174"/>
      <c r="CV391" s="174"/>
      <c r="CW391" s="165"/>
      <c r="CX391" s="166"/>
      <c r="CY391" s="166"/>
      <c r="CZ391" s="166"/>
      <c r="DA391" s="166"/>
      <c r="DB391" s="166"/>
      <c r="DC391" s="166"/>
      <c r="DD391" s="171"/>
      <c r="DE391" s="171"/>
      <c r="DF391" s="171"/>
      <c r="DG391" s="171"/>
      <c r="DH391" s="171"/>
      <c r="DI391" s="171"/>
      <c r="DJ391" s="171"/>
      <c r="DK391" s="200" t="s">
        <v>1610</v>
      </c>
      <c r="DL391" s="128">
        <v>1000</v>
      </c>
      <c r="DM391" s="128">
        <v>1000</v>
      </c>
      <c r="DN391" s="128">
        <v>1000</v>
      </c>
      <c r="DO391" s="128">
        <v>1000</v>
      </c>
      <c r="DP391" s="128">
        <v>1000</v>
      </c>
      <c r="DQ391" s="128">
        <v>1000</v>
      </c>
      <c r="DR391" s="128">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6" t="s">
        <v>1611</v>
      </c>
      <c r="B392" s="6" t="s">
        <v>740</v>
      </c>
      <c r="C392" s="6" t="s">
        <v>788</v>
      </c>
      <c r="D392" s="6" t="s">
        <v>497</v>
      </c>
      <c r="E392" s="6" t="s">
        <v>1525</v>
      </c>
      <c r="F392" s="6" t="s">
        <v>496</v>
      </c>
      <c r="G392" s="221" t="s">
        <v>1612</v>
      </c>
      <c r="H392" s="48" t="s">
        <v>1606</v>
      </c>
      <c r="I392" s="184">
        <f>2900</f>
        <v>2900</v>
      </c>
      <c r="J392" s="102">
        <v>3000</v>
      </c>
      <c r="K392" s="102">
        <v>2200</v>
      </c>
      <c r="L392" s="102">
        <v>1800</v>
      </c>
      <c r="M392" s="102">
        <v>1500</v>
      </c>
      <c r="N392" s="102">
        <v>1300</v>
      </c>
      <c r="O392" s="184">
        <f>K392</f>
        <v>2200</v>
      </c>
      <c r="P392" s="94"/>
      <c r="Q392" s="184">
        <f>I392*0.12</f>
        <v>348</v>
      </c>
      <c r="R392" s="184">
        <f t="shared" ref="R392:W392" si="324">J392*0.12</f>
        <v>360</v>
      </c>
      <c r="S392" s="184">
        <f t="shared" si="324"/>
        <v>264</v>
      </c>
      <c r="T392" s="184">
        <f t="shared" si="324"/>
        <v>216</v>
      </c>
      <c r="U392" s="184">
        <f t="shared" si="324"/>
        <v>180</v>
      </c>
      <c r="V392" s="184">
        <f t="shared" si="324"/>
        <v>156</v>
      </c>
      <c r="W392" s="184">
        <f t="shared" si="324"/>
        <v>264</v>
      </c>
      <c r="X392" s="184">
        <f>0.68*I392/(0.0036*21250)</f>
        <v>25.777777777777782</v>
      </c>
      <c r="Y392" s="184">
        <f>0.68*J392/(0.0036*34500)</f>
        <v>16.425120772946862</v>
      </c>
      <c r="Z392" s="184">
        <f>0.68*K392/(0.0036*50000)</f>
        <v>8.3111111111111118</v>
      </c>
      <c r="AA392" s="184">
        <f>0.68*L392/(0.0036*50000)</f>
        <v>6.8</v>
      </c>
      <c r="AB392" s="184">
        <f>0.68*M392/(0.0036*64500)</f>
        <v>4.3927648578811374</v>
      </c>
      <c r="AC392" s="184">
        <f>0.68*N392/(0.0036*64500)</f>
        <v>3.8070628768303192</v>
      </c>
      <c r="AD392" s="184">
        <f>0.68*O392/(0.0036*82500)</f>
        <v>5.0370370370370372</v>
      </c>
      <c r="AE392" s="186">
        <v>0.08</v>
      </c>
      <c r="AF392" s="94">
        <v>0</v>
      </c>
      <c r="AG392" s="94">
        <v>20</v>
      </c>
      <c r="AH392" s="94">
        <v>20</v>
      </c>
      <c r="AI392" s="17">
        <v>31.536000000000001</v>
      </c>
      <c r="AJ392" s="17" t="s">
        <v>765</v>
      </c>
      <c r="AK392" s="17" t="s">
        <v>745</v>
      </c>
      <c r="AL392" s="17"/>
      <c r="AM392" s="61"/>
      <c r="AN392" s="61"/>
      <c r="AO392" s="61"/>
      <c r="AP392" s="61"/>
      <c r="AQ392" s="61"/>
      <c r="AR392" s="61"/>
      <c r="AS392" s="189">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289"/>
        <v>0</v>
      </c>
      <c r="BV392" s="28"/>
      <c r="BW392" s="28"/>
      <c r="BX392" s="28"/>
      <c r="BY392" s="28"/>
      <c r="BZ392" s="28"/>
      <c r="CA392" s="28"/>
      <c r="CB392" s="99">
        <v>0</v>
      </c>
      <c r="CC392" s="185">
        <v>1000</v>
      </c>
      <c r="CD392" s="185">
        <v>1000</v>
      </c>
      <c r="CE392" s="185">
        <v>1000</v>
      </c>
      <c r="CF392" s="185">
        <v>1000</v>
      </c>
      <c r="CG392" s="185">
        <v>1000</v>
      </c>
      <c r="CH392" s="185">
        <v>1000</v>
      </c>
      <c r="CI392" s="175"/>
      <c r="CJ392" s="175"/>
      <c r="CK392" s="175"/>
      <c r="CL392" s="175"/>
      <c r="CM392" s="175"/>
      <c r="CN392" s="175"/>
      <c r="CO392" s="175"/>
      <c r="CP392" s="176"/>
      <c r="CQ392" s="176"/>
      <c r="CR392" s="176"/>
      <c r="CS392" s="176"/>
      <c r="CT392" s="176"/>
      <c r="CU392" s="176"/>
      <c r="CV392" s="176"/>
      <c r="CW392" s="167"/>
      <c r="CX392" s="168"/>
      <c r="CY392" s="168"/>
      <c r="CZ392" s="168"/>
      <c r="DA392" s="168"/>
      <c r="DB392" s="168"/>
      <c r="DC392" s="168"/>
      <c r="DD392" s="172"/>
      <c r="DE392" s="172"/>
      <c r="DF392" s="172"/>
      <c r="DG392" s="172"/>
      <c r="DH392" s="172"/>
      <c r="DI392" s="172"/>
      <c r="DJ392" s="172"/>
      <c r="DK392" s="200" t="s">
        <v>1613</v>
      </c>
      <c r="DL392" s="129">
        <v>1000</v>
      </c>
      <c r="DM392" s="129">
        <v>1000</v>
      </c>
      <c r="DN392" s="129">
        <v>1000</v>
      </c>
      <c r="DO392" s="129">
        <v>1000</v>
      </c>
      <c r="DP392" s="129">
        <v>1000</v>
      </c>
      <c r="DQ392" s="129">
        <v>1000</v>
      </c>
      <c r="DR392" s="129">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1614</v>
      </c>
      <c r="B393" s="6" t="s">
        <v>740</v>
      </c>
      <c r="C393" s="6" t="s">
        <v>788</v>
      </c>
      <c r="D393" s="6" t="s">
        <v>497</v>
      </c>
      <c r="E393" s="6" t="s">
        <v>1475</v>
      </c>
      <c r="F393" s="6" t="s">
        <v>496</v>
      </c>
      <c r="G393" s="221" t="s">
        <v>1615</v>
      </c>
      <c r="H393" s="48" t="s">
        <v>659</v>
      </c>
      <c r="I393" s="184">
        <f>20.708</f>
        <v>20.707999999999998</v>
      </c>
      <c r="J393" s="102">
        <f>I393</f>
        <v>20.707999999999998</v>
      </c>
      <c r="K393" s="102">
        <f t="shared" ref="K393:O393" si="325">J393</f>
        <v>20.707999999999998</v>
      </c>
      <c r="L393" s="102">
        <f t="shared" si="325"/>
        <v>20.707999999999998</v>
      </c>
      <c r="M393" s="102">
        <f t="shared" si="325"/>
        <v>20.707999999999998</v>
      </c>
      <c r="N393" s="102">
        <f t="shared" si="325"/>
        <v>20.707999999999998</v>
      </c>
      <c r="O393" s="102">
        <f t="shared" si="325"/>
        <v>20.707999999999998</v>
      </c>
      <c r="P393" s="94"/>
      <c r="Q393" s="184">
        <f>0.05*I393</f>
        <v>1.0353999999999999</v>
      </c>
      <c r="R393" s="184">
        <f t="shared" ref="R393:W393" si="326">0.05*J393</f>
        <v>1.0353999999999999</v>
      </c>
      <c r="S393" s="184">
        <f t="shared" si="326"/>
        <v>1.0353999999999999</v>
      </c>
      <c r="T393" s="184">
        <f t="shared" si="326"/>
        <v>1.0353999999999999</v>
      </c>
      <c r="U393" s="184">
        <f t="shared" si="326"/>
        <v>1.0353999999999999</v>
      </c>
      <c r="V393" s="184">
        <f t="shared" si="326"/>
        <v>1.0353999999999999</v>
      </c>
      <c r="W393" s="184">
        <f t="shared" si="326"/>
        <v>1.0353999999999999</v>
      </c>
      <c r="X393" s="184">
        <v>0</v>
      </c>
      <c r="Y393" s="184">
        <v>0</v>
      </c>
      <c r="Z393" s="184">
        <v>0</v>
      </c>
      <c r="AA393" s="184">
        <v>0</v>
      </c>
      <c r="AB393" s="184">
        <v>0</v>
      </c>
      <c r="AC393" s="184">
        <v>0</v>
      </c>
      <c r="AD393" s="184">
        <v>0</v>
      </c>
      <c r="AE393" s="186">
        <v>0.08</v>
      </c>
      <c r="AF393" s="94"/>
      <c r="AG393" s="94">
        <v>20</v>
      </c>
      <c r="AH393" s="94">
        <v>20</v>
      </c>
      <c r="AI393" s="17">
        <v>1</v>
      </c>
      <c r="AJ393" s="16" t="s">
        <v>660</v>
      </c>
      <c r="AK393" s="17" t="s">
        <v>745</v>
      </c>
      <c r="AL393" s="17"/>
      <c r="AM393" s="61"/>
      <c r="AN393" s="61"/>
      <c r="AO393" s="61"/>
      <c r="AP393" s="61"/>
      <c r="AQ393" s="61"/>
      <c r="AR393" s="61"/>
      <c r="AS393" s="189"/>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89"/>
        <v>0</v>
      </c>
      <c r="BV393" s="28"/>
      <c r="BW393" s="28"/>
      <c r="BX393" s="28"/>
      <c r="BY393" s="28"/>
      <c r="BZ393" s="28"/>
      <c r="CA393" s="28"/>
      <c r="CB393" s="99"/>
      <c r="CC393" s="185"/>
      <c r="CD393" s="185"/>
      <c r="CE393" s="185"/>
      <c r="CF393" s="185"/>
      <c r="CG393" s="185"/>
      <c r="CH393" s="185"/>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80" t="s">
        <v>792</v>
      </c>
      <c r="DL393" s="129"/>
      <c r="DM393" s="129"/>
      <c r="DN393" s="129"/>
      <c r="DO393" s="129"/>
      <c r="DP393" s="129"/>
      <c r="DQ393" s="129"/>
      <c r="DR393" s="129"/>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6">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289"/>
        <v>0</v>
      </c>
      <c r="BV394" s="27"/>
      <c r="BW394" s="27"/>
      <c r="BX394" s="27"/>
      <c r="BY394" s="27"/>
      <c r="BZ394" s="27"/>
      <c r="CA394" s="27"/>
      <c r="CB394" s="97">
        <v>100</v>
      </c>
      <c r="CC394" s="97">
        <v>100</v>
      </c>
      <c r="CD394" s="97">
        <v>100</v>
      </c>
      <c r="CE394" s="97">
        <v>1000</v>
      </c>
      <c r="CF394" s="97">
        <v>1000</v>
      </c>
      <c r="CG394" s="97">
        <v>1000</v>
      </c>
      <c r="CH394" s="97">
        <v>1000</v>
      </c>
      <c r="CI394" s="173"/>
      <c r="CJ394" s="173"/>
      <c r="CK394" s="173"/>
      <c r="CL394" s="173"/>
      <c r="CM394" s="173"/>
      <c r="CN394" s="173"/>
      <c r="CO394" s="173"/>
      <c r="CP394" s="174"/>
      <c r="CQ394" s="174"/>
      <c r="CR394" s="174"/>
      <c r="CS394" s="174"/>
      <c r="CT394" s="174"/>
      <c r="CU394" s="174"/>
      <c r="CV394" s="174"/>
      <c r="CW394" s="165"/>
      <c r="CX394" s="166"/>
      <c r="CY394" s="166"/>
      <c r="CZ394" s="166"/>
      <c r="DA394" s="166"/>
      <c r="DB394" s="166"/>
      <c r="DC394" s="166"/>
      <c r="DD394" s="171"/>
      <c r="DE394" s="171"/>
      <c r="DF394" s="171"/>
      <c r="DG394" s="171"/>
      <c r="DH394" s="171"/>
      <c r="DI394" s="171"/>
      <c r="DJ394" s="171"/>
      <c r="DK394" s="79" t="s">
        <v>415</v>
      </c>
      <c r="DL394" s="128">
        <v>1000</v>
      </c>
      <c r="DM394" s="128">
        <v>1000</v>
      </c>
      <c r="DN394" s="128">
        <v>1000</v>
      </c>
      <c r="DO394" s="128">
        <v>1000</v>
      </c>
      <c r="DP394" s="128">
        <v>1000</v>
      </c>
      <c r="DQ394" s="128">
        <v>1000</v>
      </c>
      <c r="DR394" s="128">
        <v>1000</v>
      </c>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6">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289"/>
        <v>0</v>
      </c>
      <c r="BV395" s="28"/>
      <c r="BW395" s="28"/>
      <c r="BX395" s="28"/>
      <c r="BY395" s="28"/>
      <c r="BZ395" s="28"/>
      <c r="CA395" s="28"/>
      <c r="CB395" s="99">
        <v>100</v>
      </c>
      <c r="CC395" s="99">
        <v>100</v>
      </c>
      <c r="CD395" s="99">
        <v>100</v>
      </c>
      <c r="CE395" s="99">
        <v>1000</v>
      </c>
      <c r="CF395" s="99">
        <v>1000</v>
      </c>
      <c r="CG395" s="99">
        <v>1000</v>
      </c>
      <c r="CH395" s="99">
        <v>1000</v>
      </c>
      <c r="CI395" s="175"/>
      <c r="CJ395" s="175"/>
      <c r="CK395" s="175"/>
      <c r="CL395" s="175"/>
      <c r="CM395" s="175"/>
      <c r="CN395" s="175"/>
      <c r="CO395" s="175"/>
      <c r="CP395" s="176"/>
      <c r="CQ395" s="176"/>
      <c r="CR395" s="176"/>
      <c r="CS395" s="176"/>
      <c r="CT395" s="176"/>
      <c r="CU395" s="176"/>
      <c r="CV395" s="176"/>
      <c r="CW395" s="167"/>
      <c r="CX395" s="168"/>
      <c r="CY395" s="168"/>
      <c r="CZ395" s="168"/>
      <c r="DA395" s="168"/>
      <c r="DB395" s="168"/>
      <c r="DC395" s="168"/>
      <c r="DD395" s="172"/>
      <c r="DE395" s="172"/>
      <c r="DF395" s="172"/>
      <c r="DG395" s="172"/>
      <c r="DH395" s="172"/>
      <c r="DI395" s="172"/>
      <c r="DJ395" s="172"/>
      <c r="DK395" s="80" t="s">
        <v>415</v>
      </c>
      <c r="DL395" s="129">
        <v>1000</v>
      </c>
      <c r="DM395" s="129">
        <v>1000</v>
      </c>
      <c r="DN395" s="129">
        <v>1000</v>
      </c>
      <c r="DO395" s="129">
        <v>1000</v>
      </c>
      <c r="DP395" s="129">
        <v>1000</v>
      </c>
      <c r="DQ395" s="129">
        <v>1000</v>
      </c>
      <c r="DR395" s="129">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223" t="s">
        <v>1620</v>
      </c>
      <c r="B396" s="223" t="s">
        <v>740</v>
      </c>
      <c r="C396" s="223" t="s">
        <v>817</v>
      </c>
      <c r="D396" s="223" t="s">
        <v>497</v>
      </c>
      <c r="E396" s="223" t="s">
        <v>1621</v>
      </c>
      <c r="F396" s="223" t="s">
        <v>496</v>
      </c>
      <c r="G396" s="229" t="s">
        <v>1622</v>
      </c>
      <c r="H396" s="224"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6">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289"/>
        <v>0</v>
      </c>
      <c r="BV396" s="27"/>
      <c r="BW396" s="27"/>
      <c r="BX396" s="27"/>
      <c r="BY396" s="27"/>
      <c r="BZ396" s="27"/>
      <c r="CA396" s="27"/>
      <c r="CB396" s="244"/>
      <c r="CC396" s="244"/>
      <c r="CD396" s="244"/>
      <c r="CE396" s="244"/>
      <c r="CF396" s="244"/>
      <c r="CG396" s="244"/>
      <c r="CH396" s="244"/>
      <c r="CI396" s="173"/>
      <c r="CJ396" s="173"/>
      <c r="CK396" s="173"/>
      <c r="CL396" s="173"/>
      <c r="CM396" s="173"/>
      <c r="CN396" s="173"/>
      <c r="CO396" s="173"/>
      <c r="CP396" s="174"/>
      <c r="CQ396" s="174"/>
      <c r="CR396" s="197"/>
      <c r="CS396" s="197"/>
      <c r="CT396" s="197"/>
      <c r="CU396" s="197"/>
      <c r="CV396" s="197"/>
      <c r="CW396" s="165"/>
      <c r="CX396" s="166"/>
      <c r="CY396" s="166"/>
      <c r="CZ396" s="166"/>
      <c r="DA396" s="166"/>
      <c r="DB396" s="166"/>
      <c r="DC396" s="166"/>
      <c r="DD396" s="171"/>
      <c r="DE396" s="171"/>
      <c r="DF396" s="171"/>
      <c r="DG396" s="171"/>
      <c r="DH396" s="171"/>
      <c r="DI396" s="171"/>
      <c r="DJ396" s="171"/>
      <c r="DK396" s="79"/>
      <c r="DL396" s="128"/>
      <c r="DM396" s="128"/>
      <c r="DN396" s="128"/>
      <c r="DO396" s="128"/>
      <c r="DP396" s="128"/>
      <c r="DQ396" s="128"/>
      <c r="DR396" s="128"/>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27">-1*Y396</f>
        <v>-36.696375663840492</v>
      </c>
      <c r="Z397" s="102">
        <f t="shared" si="327"/>
        <v>-35.652211990524748</v>
      </c>
      <c r="AA397" s="102">
        <f t="shared" si="327"/>
        <v>-35.305390850647534</v>
      </c>
      <c r="AB397" s="102">
        <f t="shared" si="327"/>
        <v>-34.953149010318384</v>
      </c>
      <c r="AC397" s="102">
        <f t="shared" si="327"/>
        <v>-34.426874126525668</v>
      </c>
      <c r="AD397" s="102">
        <f t="shared" si="327"/>
        <v>-33.904554540008832</v>
      </c>
      <c r="AE397" s="186">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289"/>
        <v>0</v>
      </c>
      <c r="BV397" s="281"/>
      <c r="BW397" s="281"/>
      <c r="BX397" s="281"/>
      <c r="BY397" s="281"/>
      <c r="BZ397" s="281"/>
      <c r="CA397" s="281"/>
      <c r="CB397" s="244"/>
      <c r="CC397" s="244"/>
      <c r="CD397" s="244"/>
      <c r="CE397" s="244"/>
      <c r="CF397" s="244"/>
      <c r="CG397" s="244"/>
      <c r="CH397" s="244"/>
      <c r="CI397" s="175"/>
      <c r="CJ397" s="175"/>
      <c r="CK397" s="175"/>
      <c r="CL397" s="175"/>
      <c r="CM397" s="175"/>
      <c r="CN397" s="175"/>
      <c r="CO397" s="175"/>
      <c r="CP397" s="176"/>
      <c r="CQ397" s="176"/>
      <c r="CR397" s="176"/>
      <c r="CS397" s="176"/>
      <c r="CT397" s="176"/>
      <c r="CU397" s="176"/>
      <c r="CV397" s="176"/>
      <c r="CW397" s="167"/>
      <c r="CX397" s="168"/>
      <c r="CY397" s="168"/>
      <c r="CZ397" s="168"/>
      <c r="DA397" s="168"/>
      <c r="DB397" s="168"/>
      <c r="DC397" s="168"/>
      <c r="DD397" s="172"/>
      <c r="DE397" s="172"/>
      <c r="DF397" s="172"/>
      <c r="DG397" s="172"/>
      <c r="DH397" s="172"/>
      <c r="DI397" s="172"/>
      <c r="DJ397" s="172"/>
      <c r="DK397" s="80"/>
      <c r="DL397" s="129"/>
      <c r="DM397" s="129"/>
      <c r="DN397" s="129"/>
      <c r="DO397" s="129"/>
      <c r="DP397" s="129"/>
      <c r="DQ397" s="129"/>
      <c r="DR397" s="129"/>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223" t="s">
        <v>1626</v>
      </c>
      <c r="B398" s="223" t="s">
        <v>740</v>
      </c>
      <c r="C398" s="223" t="s">
        <v>817</v>
      </c>
      <c r="D398" s="223" t="s">
        <v>497</v>
      </c>
      <c r="E398" s="223" t="s">
        <v>1624</v>
      </c>
      <c r="F398" s="223" t="s">
        <v>496</v>
      </c>
      <c r="G398" s="229" t="s">
        <v>1627</v>
      </c>
      <c r="H398" s="224"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6">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28">IF(BL398=1,BN398,0)</f>
        <v>0</v>
      </c>
      <c r="BV398" s="27"/>
      <c r="BW398" s="27"/>
      <c r="BX398" s="27"/>
      <c r="BY398" s="27"/>
      <c r="BZ398" s="27"/>
      <c r="CA398" s="27"/>
      <c r="CB398" s="99"/>
      <c r="CC398" s="99"/>
      <c r="CD398" s="99"/>
      <c r="CE398" s="99"/>
      <c r="CF398" s="99"/>
      <c r="CG398" s="99"/>
      <c r="CH398" s="99"/>
      <c r="CI398" s="173"/>
      <c r="CJ398" s="173"/>
      <c r="CK398" s="173"/>
      <c r="CL398" s="173"/>
      <c r="CM398" s="173"/>
      <c r="CN398" s="173"/>
      <c r="CO398" s="173"/>
      <c r="CP398" s="174"/>
      <c r="CQ398" s="174"/>
      <c r="CR398" s="197"/>
      <c r="CS398" s="197"/>
      <c r="CT398" s="197"/>
      <c r="CU398" s="197"/>
      <c r="CV398" s="197"/>
      <c r="CW398" s="165"/>
      <c r="CX398" s="166"/>
      <c r="CY398" s="166"/>
      <c r="CZ398" s="166"/>
      <c r="DA398" s="166"/>
      <c r="DB398" s="166"/>
      <c r="DC398" s="166"/>
      <c r="DD398" s="171"/>
      <c r="DE398" s="171"/>
      <c r="DF398" s="171"/>
      <c r="DG398" s="171"/>
      <c r="DH398" s="171"/>
      <c r="DI398" s="171"/>
      <c r="DJ398" s="171"/>
      <c r="DK398" s="79"/>
      <c r="DL398" s="128"/>
      <c r="DM398" s="128"/>
      <c r="DN398" s="128"/>
      <c r="DO398" s="128"/>
      <c r="DP398" s="128"/>
      <c r="DQ398" s="128"/>
      <c r="DR398" s="128"/>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6">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289"/>
        <v>0</v>
      </c>
      <c r="BV399" s="27"/>
      <c r="BW399" s="27"/>
      <c r="BX399" s="27"/>
      <c r="BY399" s="27"/>
      <c r="BZ399" s="27"/>
      <c r="CA399" s="27"/>
      <c r="CB399" s="185">
        <v>1000</v>
      </c>
      <c r="CC399" s="185">
        <v>1000</v>
      </c>
      <c r="CD399" s="185">
        <v>1000</v>
      </c>
      <c r="CE399" s="185">
        <v>1000</v>
      </c>
      <c r="CF399" s="185">
        <v>1000</v>
      </c>
      <c r="CG399" s="185">
        <v>1000</v>
      </c>
      <c r="CH399" s="185">
        <v>1000</v>
      </c>
      <c r="CI399" s="173"/>
      <c r="CJ399" s="173"/>
      <c r="CK399" s="173"/>
      <c r="CL399" s="173"/>
      <c r="CM399" s="173"/>
      <c r="CN399" s="173"/>
      <c r="CO399" s="173"/>
      <c r="CP399" s="174"/>
      <c r="CQ399" s="174"/>
      <c r="CR399" s="174"/>
      <c r="CS399" s="174"/>
      <c r="CT399" s="174"/>
      <c r="CU399" s="174"/>
      <c r="CV399" s="174"/>
      <c r="CW399" s="165"/>
      <c r="CX399" s="166"/>
      <c r="CY399" s="166"/>
      <c r="CZ399" s="166"/>
      <c r="DA399" s="166"/>
      <c r="DB399" s="166"/>
      <c r="DC399" s="166"/>
      <c r="DD399" s="171"/>
      <c r="DE399" s="171"/>
      <c r="DF399" s="171"/>
      <c r="DG399" s="171"/>
      <c r="DH399" s="171"/>
      <c r="DI399" s="171"/>
      <c r="DJ399" s="171"/>
      <c r="DK399" s="79" t="s">
        <v>415</v>
      </c>
      <c r="DL399" s="128">
        <v>3500</v>
      </c>
      <c r="DM399" s="128">
        <v>3500</v>
      </c>
      <c r="DN399" s="128">
        <v>3500</v>
      </c>
      <c r="DO399" s="128">
        <v>3500</v>
      </c>
      <c r="DP399" s="128">
        <v>3500</v>
      </c>
      <c r="DQ399" s="128">
        <v>3500</v>
      </c>
      <c r="DR399" s="128">
        <v>3500</v>
      </c>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6">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289"/>
        <v>0</v>
      </c>
      <c r="BV400" s="28"/>
      <c r="BW400" s="28"/>
      <c r="BX400" s="28"/>
      <c r="BY400" s="28"/>
      <c r="BZ400" s="28"/>
      <c r="CA400" s="28"/>
      <c r="CB400" s="185">
        <v>1000</v>
      </c>
      <c r="CC400" s="185">
        <v>1000</v>
      </c>
      <c r="CD400" s="185">
        <v>1000</v>
      </c>
      <c r="CE400" s="185">
        <v>1000</v>
      </c>
      <c r="CF400" s="185">
        <v>1000</v>
      </c>
      <c r="CG400" s="185">
        <v>1000</v>
      </c>
      <c r="CH400" s="185">
        <v>1000</v>
      </c>
      <c r="CI400" s="175"/>
      <c r="CJ400" s="175"/>
      <c r="CK400" s="175"/>
      <c r="CL400" s="175"/>
      <c r="CM400" s="175"/>
      <c r="CN400" s="175"/>
      <c r="CO400" s="175"/>
      <c r="CP400" s="176"/>
      <c r="CQ400" s="176"/>
      <c r="CR400" s="176"/>
      <c r="CS400" s="176"/>
      <c r="CT400" s="176"/>
      <c r="CU400" s="176"/>
      <c r="CV400" s="176"/>
      <c r="CW400" s="167"/>
      <c r="CX400" s="168"/>
      <c r="CY400" s="168"/>
      <c r="CZ400" s="168"/>
      <c r="DA400" s="168"/>
      <c r="DB400" s="168"/>
      <c r="DC400" s="168"/>
      <c r="DD400" s="172"/>
      <c r="DE400" s="172"/>
      <c r="DF400" s="172"/>
      <c r="DG400" s="172"/>
      <c r="DH400" s="172"/>
      <c r="DI400" s="172"/>
      <c r="DJ400" s="172"/>
      <c r="DK400" s="80" t="s">
        <v>415</v>
      </c>
      <c r="DL400" s="129">
        <v>3500</v>
      </c>
      <c r="DM400" s="129">
        <v>3500</v>
      </c>
      <c r="DN400" s="129">
        <v>3500</v>
      </c>
      <c r="DO400" s="129">
        <v>3500</v>
      </c>
      <c r="DP400" s="129">
        <v>3500</v>
      </c>
      <c r="DQ400" s="129">
        <v>3500</v>
      </c>
      <c r="DR400" s="129">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6">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289"/>
        <v>0</v>
      </c>
      <c r="BV401" s="27"/>
      <c r="BW401" s="27"/>
      <c r="BX401" s="27"/>
      <c r="BY401" s="27"/>
      <c r="BZ401" s="27"/>
      <c r="CA401" s="27"/>
      <c r="CB401" s="97">
        <f t="shared" ref="CB401:CH401" si="329">DL401</f>
        <v>60</v>
      </c>
      <c r="CC401" s="185">
        <v>60</v>
      </c>
      <c r="CD401" s="389">
        <v>250</v>
      </c>
      <c r="CE401" s="389">
        <v>250</v>
      </c>
      <c r="CF401" s="97">
        <v>250</v>
      </c>
      <c r="CG401" s="97">
        <f t="shared" si="329"/>
        <v>500</v>
      </c>
      <c r="CH401" s="97">
        <f t="shared" si="329"/>
        <v>500</v>
      </c>
      <c r="CI401" s="173"/>
      <c r="CJ401" s="173"/>
      <c r="CK401" s="173"/>
      <c r="CL401" s="173"/>
      <c r="CM401" s="173"/>
      <c r="CN401" s="173"/>
      <c r="CO401" s="173"/>
      <c r="CP401" s="174"/>
      <c r="CQ401" s="174"/>
      <c r="CR401" s="174"/>
      <c r="CS401" s="174"/>
      <c r="CT401" s="174"/>
      <c r="CU401" s="174"/>
      <c r="CV401" s="174"/>
      <c r="CW401" s="165"/>
      <c r="CX401" s="166"/>
      <c r="CY401" s="166"/>
      <c r="CZ401" s="166"/>
      <c r="DA401" s="166"/>
      <c r="DB401" s="166"/>
      <c r="DC401" s="166"/>
      <c r="DD401" s="171"/>
      <c r="DE401" s="171"/>
      <c r="DF401" s="171"/>
      <c r="DG401" s="171"/>
      <c r="DH401" s="171"/>
      <c r="DI401" s="171"/>
      <c r="DJ401" s="171"/>
      <c r="DK401" s="79" t="s">
        <v>1635</v>
      </c>
      <c r="DL401" s="128">
        <v>60</v>
      </c>
      <c r="DM401" s="128">
        <v>60</v>
      </c>
      <c r="DN401" s="128">
        <v>500</v>
      </c>
      <c r="DO401" s="128">
        <v>500</v>
      </c>
      <c r="DP401" s="128">
        <v>500</v>
      </c>
      <c r="DQ401" s="128">
        <v>500</v>
      </c>
      <c r="DR401" s="128">
        <v>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6">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289"/>
        <v>0</v>
      </c>
      <c r="BV402" s="28"/>
      <c r="BW402" s="28"/>
      <c r="BX402" s="28"/>
      <c r="BY402" s="28"/>
      <c r="BZ402" s="28"/>
      <c r="CA402" s="28"/>
      <c r="CB402" s="99"/>
      <c r="CC402" s="99">
        <v>30</v>
      </c>
      <c r="CD402" s="389">
        <v>250</v>
      </c>
      <c r="CE402" s="389">
        <v>250</v>
      </c>
      <c r="CF402" s="99">
        <v>250</v>
      </c>
      <c r="CG402" s="99">
        <v>500</v>
      </c>
      <c r="CH402" s="99">
        <v>501</v>
      </c>
      <c r="CI402" s="175"/>
      <c r="CJ402" s="175"/>
      <c r="CK402" s="175"/>
      <c r="CL402" s="175"/>
      <c r="CM402" s="175"/>
      <c r="CN402" s="175"/>
      <c r="CO402" s="175"/>
      <c r="CP402" s="176"/>
      <c r="CQ402" s="176"/>
      <c r="CR402" s="176"/>
      <c r="CS402" s="176"/>
      <c r="CT402" s="176"/>
      <c r="CU402" s="176"/>
      <c r="CV402" s="176"/>
      <c r="CW402" s="167"/>
      <c r="CX402" s="168"/>
      <c r="CY402" s="168"/>
      <c r="CZ402" s="168"/>
      <c r="DA402" s="168"/>
      <c r="DB402" s="168"/>
      <c r="DC402" s="168"/>
      <c r="DD402" s="172"/>
      <c r="DE402" s="172"/>
      <c r="DF402" s="172"/>
      <c r="DG402" s="172"/>
      <c r="DH402" s="172"/>
      <c r="DI402" s="172"/>
      <c r="DJ402" s="172"/>
      <c r="DK402" s="80" t="s">
        <v>1635</v>
      </c>
      <c r="DL402" s="129">
        <v>60</v>
      </c>
      <c r="DM402" s="129">
        <v>60</v>
      </c>
      <c r="DN402" s="129">
        <v>250</v>
      </c>
      <c r="DO402" s="129">
        <v>500</v>
      </c>
      <c r="DP402" s="129">
        <v>500</v>
      </c>
      <c r="DQ402" s="129">
        <v>500</v>
      </c>
      <c r="DR402" s="129">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30">J403</f>
        <v>21.242000000000001</v>
      </c>
      <c r="L403" s="101">
        <f t="shared" si="330"/>
        <v>21.242000000000001</v>
      </c>
      <c r="M403" s="101">
        <f t="shared" si="330"/>
        <v>21.242000000000001</v>
      </c>
      <c r="N403" s="101">
        <f t="shared" si="330"/>
        <v>21.242000000000001</v>
      </c>
      <c r="O403" s="101">
        <f t="shared" si="330"/>
        <v>21.242000000000001</v>
      </c>
      <c r="P403" s="93">
        <v>0</v>
      </c>
      <c r="Q403" s="101">
        <f>I403*0.05</f>
        <v>1.0621</v>
      </c>
      <c r="R403" s="101">
        <f t="shared" ref="R403:W403" si="331">J403*0.05</f>
        <v>1.0621</v>
      </c>
      <c r="S403" s="101">
        <f t="shared" si="331"/>
        <v>1.0621</v>
      </c>
      <c r="T403" s="101">
        <f t="shared" si="331"/>
        <v>1.0621</v>
      </c>
      <c r="U403" s="101">
        <f t="shared" si="331"/>
        <v>1.0621</v>
      </c>
      <c r="V403" s="101">
        <f t="shared" si="331"/>
        <v>1.0621</v>
      </c>
      <c r="W403" s="101">
        <f t="shared" si="331"/>
        <v>1.0621</v>
      </c>
      <c r="X403" s="101">
        <v>0</v>
      </c>
      <c r="Y403" s="101">
        <v>0</v>
      </c>
      <c r="Z403" s="101">
        <v>0</v>
      </c>
      <c r="AA403" s="101">
        <v>0</v>
      </c>
      <c r="AB403" s="101">
        <v>0</v>
      </c>
      <c r="AC403" s="101">
        <v>0</v>
      </c>
      <c r="AD403" s="101">
        <v>0</v>
      </c>
      <c r="AE403" s="186">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289"/>
        <v>0</v>
      </c>
      <c r="BV403" s="27"/>
      <c r="BW403" s="27"/>
      <c r="BX403" s="27"/>
      <c r="BY403" s="27"/>
      <c r="BZ403" s="27"/>
      <c r="CA403" s="27"/>
      <c r="CB403" s="97"/>
      <c r="CC403" s="97"/>
      <c r="CD403" s="97"/>
      <c r="CE403" s="97"/>
      <c r="CF403" s="97"/>
      <c r="CG403" s="97"/>
      <c r="CH403" s="97"/>
      <c r="CI403" s="173"/>
      <c r="CJ403" s="173"/>
      <c r="CK403" s="173"/>
      <c r="CL403" s="173"/>
      <c r="CM403" s="173"/>
      <c r="CN403" s="173"/>
      <c r="CO403" s="173"/>
      <c r="CP403" s="174"/>
      <c r="CQ403" s="174"/>
      <c r="CR403" s="174"/>
      <c r="CS403" s="174"/>
      <c r="CT403" s="174"/>
      <c r="CU403" s="174"/>
      <c r="CV403" s="174"/>
      <c r="CW403" s="165"/>
      <c r="CX403" s="166"/>
      <c r="CY403" s="166"/>
      <c r="CZ403" s="166"/>
      <c r="DA403" s="166"/>
      <c r="DB403" s="166"/>
      <c r="DC403" s="166"/>
      <c r="DD403" s="171"/>
      <c r="DE403" s="171"/>
      <c r="DF403" s="171"/>
      <c r="DG403" s="171"/>
      <c r="DH403" s="171"/>
      <c r="DI403" s="171"/>
      <c r="DJ403" s="171"/>
      <c r="DK403" s="79" t="s">
        <v>1635</v>
      </c>
      <c r="DL403" s="128">
        <v>60</v>
      </c>
      <c r="DM403" s="128">
        <v>60</v>
      </c>
      <c r="DN403" s="128">
        <v>100</v>
      </c>
      <c r="DO403" s="128">
        <v>250</v>
      </c>
      <c r="DP403" s="128">
        <v>500</v>
      </c>
      <c r="DQ403" s="128">
        <v>500</v>
      </c>
      <c r="DR403" s="128">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s="310" customFormat="1" x14ac:dyDescent="0.35">
      <c r="A404" s="290" t="s">
        <v>1640</v>
      </c>
      <c r="B404" s="290" t="s">
        <v>740</v>
      </c>
      <c r="C404" s="290" t="s">
        <v>788</v>
      </c>
      <c r="D404" s="290" t="s">
        <v>503</v>
      </c>
      <c r="E404" s="290" t="s">
        <v>503</v>
      </c>
      <c r="F404" s="290" t="s">
        <v>503</v>
      </c>
      <c r="G404" s="291" t="s">
        <v>1641</v>
      </c>
      <c r="H404" s="291" t="s">
        <v>659</v>
      </c>
      <c r="I404" s="292">
        <f>I403</f>
        <v>21.242000000000001</v>
      </c>
      <c r="J404" s="292">
        <f>J403</f>
        <v>21.242000000000001</v>
      </c>
      <c r="K404" s="292">
        <f t="shared" ref="K404:O404" si="332">K403</f>
        <v>21.242000000000001</v>
      </c>
      <c r="L404" s="292">
        <f t="shared" si="332"/>
        <v>21.242000000000001</v>
      </c>
      <c r="M404" s="292">
        <f t="shared" si="332"/>
        <v>21.242000000000001</v>
      </c>
      <c r="N404" s="292">
        <f t="shared" si="332"/>
        <v>21.242000000000001</v>
      </c>
      <c r="O404" s="292">
        <f t="shared" si="332"/>
        <v>21.242000000000001</v>
      </c>
      <c r="P404" s="293">
        <v>0</v>
      </c>
      <c r="Q404" s="292">
        <f>Q403</f>
        <v>1.0621</v>
      </c>
      <c r="R404" s="292">
        <f t="shared" ref="R404:W404" si="333">R403</f>
        <v>1.0621</v>
      </c>
      <c r="S404" s="292">
        <f t="shared" si="333"/>
        <v>1.0621</v>
      </c>
      <c r="T404" s="292">
        <f t="shared" si="333"/>
        <v>1.0621</v>
      </c>
      <c r="U404" s="292">
        <f t="shared" si="333"/>
        <v>1.0621</v>
      </c>
      <c r="V404" s="292">
        <f t="shared" si="333"/>
        <v>1.0621</v>
      </c>
      <c r="W404" s="292">
        <f t="shared" si="333"/>
        <v>1.0621</v>
      </c>
      <c r="X404" s="292">
        <v>0</v>
      </c>
      <c r="Y404" s="292">
        <v>0</v>
      </c>
      <c r="Z404" s="292">
        <v>0</v>
      </c>
      <c r="AA404" s="292">
        <v>0</v>
      </c>
      <c r="AB404" s="292">
        <v>0</v>
      </c>
      <c r="AC404" s="292">
        <v>0</v>
      </c>
      <c r="AD404" s="292">
        <v>0</v>
      </c>
      <c r="AE404" s="186">
        <v>0.08</v>
      </c>
      <c r="AF404" s="293">
        <v>0</v>
      </c>
      <c r="AG404" s="94">
        <v>25</v>
      </c>
      <c r="AH404" s="94">
        <v>25</v>
      </c>
      <c r="AI404" s="294">
        <v>1</v>
      </c>
      <c r="AJ404" s="294" t="s">
        <v>660</v>
      </c>
      <c r="AK404" s="294" t="s">
        <v>745</v>
      </c>
      <c r="AL404" s="294"/>
      <c r="AM404" s="295"/>
      <c r="AN404" s="295"/>
      <c r="AO404" s="295"/>
      <c r="AP404" s="295"/>
      <c r="AQ404" s="295"/>
      <c r="AR404" s="295"/>
      <c r="AS404" s="296"/>
      <c r="AT404" s="296"/>
      <c r="AU404" s="296"/>
      <c r="AV404" s="297"/>
      <c r="AW404" s="297"/>
      <c r="AX404" s="297"/>
      <c r="AY404" s="298" t="s">
        <v>662</v>
      </c>
      <c r="AZ404" s="298"/>
      <c r="BA404" s="298"/>
      <c r="BB404" s="299"/>
      <c r="BC404" s="299"/>
      <c r="BD404" s="299"/>
      <c r="BE404" s="299"/>
      <c r="BF404" s="299"/>
      <c r="BG404" s="299"/>
      <c r="BH404" s="300"/>
      <c r="BI404" s="300"/>
      <c r="BJ404" s="300"/>
      <c r="BK404" s="300"/>
      <c r="BL404" s="301"/>
      <c r="BM404" s="302"/>
      <c r="BN404" s="303">
        <v>0</v>
      </c>
      <c r="BO404" s="293"/>
      <c r="BP404" s="293"/>
      <c r="BQ404" s="293"/>
      <c r="BR404" s="293"/>
      <c r="BS404" s="293"/>
      <c r="BT404" s="293"/>
      <c r="BU404" s="298">
        <f t="shared" ref="BU404" si="334">IF(BL404=1,BN404,0)</f>
        <v>0</v>
      </c>
      <c r="BV404" s="298"/>
      <c r="BW404" s="298"/>
      <c r="BX404" s="298"/>
      <c r="BY404" s="298"/>
      <c r="BZ404" s="298"/>
      <c r="CA404" s="298"/>
      <c r="CB404" s="304"/>
      <c r="CC404" s="304">
        <v>0</v>
      </c>
      <c r="CD404" s="304">
        <v>0</v>
      </c>
      <c r="CE404" s="304">
        <v>0</v>
      </c>
      <c r="CF404" s="304">
        <v>0</v>
      </c>
      <c r="CG404" s="304">
        <v>0</v>
      </c>
      <c r="CH404" s="304">
        <v>0</v>
      </c>
      <c r="CI404" s="298"/>
      <c r="CJ404" s="298"/>
      <c r="CK404" s="298"/>
      <c r="CL404" s="298"/>
      <c r="CM404" s="298"/>
      <c r="CN404" s="298"/>
      <c r="CO404" s="298"/>
      <c r="CP404" s="305"/>
      <c r="CQ404" s="305"/>
      <c r="CR404" s="305"/>
      <c r="CS404" s="305"/>
      <c r="CT404" s="305"/>
      <c r="CU404" s="305"/>
      <c r="CV404" s="305"/>
      <c r="CW404" s="306"/>
      <c r="CX404" s="307"/>
      <c r="CY404" s="307"/>
      <c r="CZ404" s="307"/>
      <c r="DA404" s="307"/>
      <c r="DB404" s="307"/>
      <c r="DC404" s="307"/>
      <c r="DD404" s="307"/>
      <c r="DE404" s="307"/>
      <c r="DF404" s="307"/>
      <c r="DG404" s="307"/>
      <c r="DH404" s="307"/>
      <c r="DI404" s="307"/>
      <c r="DJ404" s="307"/>
      <c r="DK404" s="308" t="s">
        <v>1635</v>
      </c>
      <c r="DL404" s="306">
        <v>60</v>
      </c>
      <c r="DM404" s="306">
        <v>60</v>
      </c>
      <c r="DN404" s="306">
        <v>100</v>
      </c>
      <c r="DO404" s="306">
        <v>250</v>
      </c>
      <c r="DP404" s="306">
        <v>500</v>
      </c>
      <c r="DQ404" s="306">
        <v>500</v>
      </c>
      <c r="DR404" s="306">
        <v>500</v>
      </c>
      <c r="DS404" s="309"/>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6">
        <v>0.08</v>
      </c>
      <c r="AF405" s="94">
        <v>0</v>
      </c>
      <c r="AG405" s="94">
        <v>19</v>
      </c>
      <c r="AH405" s="94">
        <v>19</v>
      </c>
      <c r="AI405" s="17">
        <v>1</v>
      </c>
      <c r="AJ405" s="384" t="s">
        <v>660</v>
      </c>
      <c r="AK405" s="17" t="s">
        <v>745</v>
      </c>
      <c r="AL405" s="17"/>
      <c r="AM405" s="61"/>
      <c r="AN405" s="61"/>
      <c r="AO405" s="61"/>
      <c r="AP405" s="61"/>
      <c r="AQ405" s="61"/>
      <c r="AR405" s="61"/>
      <c r="AS405" s="64"/>
      <c r="AT405" s="64"/>
      <c r="AU405" s="64"/>
      <c r="AV405" s="132"/>
      <c r="AW405" s="132"/>
      <c r="AX405" s="132"/>
      <c r="AY405" s="298" t="s">
        <v>662</v>
      </c>
      <c r="AZ405" s="298"/>
      <c r="BA405" s="298"/>
      <c r="BB405" s="299"/>
      <c r="BC405" s="299"/>
      <c r="BD405" s="299"/>
      <c r="BE405" s="299"/>
      <c r="BF405" s="28"/>
      <c r="BG405" s="28"/>
      <c r="BH405" s="106"/>
      <c r="BI405" s="106"/>
      <c r="BJ405" s="106"/>
      <c r="BK405" s="106"/>
      <c r="BL405" s="137"/>
      <c r="BM405" s="123"/>
      <c r="BN405" s="139">
        <v>0</v>
      </c>
      <c r="BO405" s="94"/>
      <c r="BP405" s="94"/>
      <c r="BQ405" s="94"/>
      <c r="BR405" s="94"/>
      <c r="BS405" s="94"/>
      <c r="BT405" s="94"/>
      <c r="BU405" s="28">
        <f t="shared" si="289"/>
        <v>0</v>
      </c>
      <c r="BV405" s="28"/>
      <c r="BW405" s="28"/>
      <c r="BX405" s="28"/>
      <c r="BY405" s="28"/>
      <c r="BZ405" s="28"/>
      <c r="CA405" s="28"/>
      <c r="CB405" s="244">
        <v>0</v>
      </c>
      <c r="CC405" s="97">
        <v>50</v>
      </c>
      <c r="CD405" s="389">
        <v>250</v>
      </c>
      <c r="CE405" s="389">
        <v>250</v>
      </c>
      <c r="CF405" s="97">
        <v>250</v>
      </c>
      <c r="CG405" s="97">
        <v>500</v>
      </c>
      <c r="CH405" s="97">
        <v>1000</v>
      </c>
      <c r="CI405" s="175"/>
      <c r="CJ405" s="175"/>
      <c r="CK405" s="175"/>
      <c r="CL405" s="175"/>
      <c r="CM405" s="175"/>
      <c r="CN405" s="175"/>
      <c r="CO405" s="175"/>
      <c r="CP405" s="176"/>
      <c r="CQ405" s="176"/>
      <c r="CR405" s="176"/>
      <c r="CS405" s="176"/>
      <c r="CT405" s="176"/>
      <c r="CU405" s="176"/>
      <c r="CV405" s="176"/>
      <c r="CW405" s="167"/>
      <c r="CX405" s="168"/>
      <c r="CY405" s="168"/>
      <c r="CZ405" s="168"/>
      <c r="DA405" s="168"/>
      <c r="DB405" s="168"/>
      <c r="DC405" s="168"/>
      <c r="DD405" s="172"/>
      <c r="DE405" s="172"/>
      <c r="DF405" s="172"/>
      <c r="DG405" s="172"/>
      <c r="DH405" s="172"/>
      <c r="DI405" s="172"/>
      <c r="DJ405" s="172"/>
      <c r="DK405" s="80" t="s">
        <v>1635</v>
      </c>
      <c r="DL405" s="129">
        <v>60</v>
      </c>
      <c r="DM405" s="129">
        <v>60</v>
      </c>
      <c r="DN405" s="129">
        <v>100</v>
      </c>
      <c r="DO405" s="129">
        <v>200</v>
      </c>
      <c r="DP405" s="129">
        <v>300</v>
      </c>
      <c r="DQ405" s="129">
        <v>400</v>
      </c>
      <c r="DR405" s="129">
        <v>500</v>
      </c>
      <c r="DS405" s="218"/>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6">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8" t="s">
        <v>662</v>
      </c>
      <c r="AZ406" s="298"/>
      <c r="BA406" s="298"/>
      <c r="BB406" s="299"/>
      <c r="BC406" s="299"/>
      <c r="BD406" s="299"/>
      <c r="BE406" s="299"/>
      <c r="BF406" s="30"/>
      <c r="BG406" s="30"/>
      <c r="BH406" s="107"/>
      <c r="BI406" s="107"/>
      <c r="BJ406" s="107"/>
      <c r="BK406" s="107"/>
      <c r="BL406" s="136"/>
      <c r="BM406" s="122"/>
      <c r="BN406" s="138">
        <v>0</v>
      </c>
      <c r="BO406" s="93"/>
      <c r="BP406" s="93"/>
      <c r="BQ406" s="93"/>
      <c r="BR406" s="93"/>
      <c r="BS406" s="93"/>
      <c r="BT406" s="93"/>
      <c r="BU406" s="27">
        <f t="shared" si="289"/>
        <v>0</v>
      </c>
      <c r="BV406" s="27"/>
      <c r="BW406" s="27"/>
      <c r="BX406" s="27"/>
      <c r="BY406" s="27"/>
      <c r="BZ406" s="27"/>
      <c r="CA406" s="27"/>
      <c r="CB406" s="97">
        <v>0</v>
      </c>
      <c r="CC406" s="97">
        <v>0</v>
      </c>
      <c r="CD406" s="97">
        <v>0</v>
      </c>
      <c r="CE406" s="97">
        <v>0</v>
      </c>
      <c r="CF406" s="97">
        <v>0</v>
      </c>
      <c r="CG406" s="97">
        <v>0</v>
      </c>
      <c r="CH406" s="97"/>
      <c r="CI406" s="173"/>
      <c r="CJ406" s="173"/>
      <c r="CK406" s="173"/>
      <c r="CL406" s="173"/>
      <c r="CM406" s="173"/>
      <c r="CN406" s="173"/>
      <c r="CO406" s="173"/>
      <c r="CP406" s="174"/>
      <c r="CQ406" s="174"/>
      <c r="CR406" s="174"/>
      <c r="CS406" s="174"/>
      <c r="CT406" s="174"/>
      <c r="CU406" s="174"/>
      <c r="CV406" s="174"/>
      <c r="CW406" s="165"/>
      <c r="CX406" s="166"/>
      <c r="CY406" s="166"/>
      <c r="CZ406" s="166"/>
      <c r="DA406" s="166"/>
      <c r="DB406" s="166"/>
      <c r="DC406" s="166"/>
      <c r="DD406" s="171"/>
      <c r="DE406" s="171"/>
      <c r="DF406" s="171"/>
      <c r="DG406" s="171"/>
      <c r="DH406" s="171"/>
      <c r="DI406" s="171"/>
      <c r="DJ406" s="171"/>
      <c r="DK406" s="79" t="s">
        <v>1635</v>
      </c>
      <c r="DL406" s="128">
        <v>60</v>
      </c>
      <c r="DM406" s="128">
        <v>60</v>
      </c>
      <c r="DN406" s="128">
        <v>100</v>
      </c>
      <c r="DO406" s="128">
        <v>200</v>
      </c>
      <c r="DP406" s="128">
        <v>300</v>
      </c>
      <c r="DQ406" s="128">
        <v>400</v>
      </c>
      <c r="DR406" s="128">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225" t="s">
        <v>1646</v>
      </c>
      <c r="B407" s="225" t="s">
        <v>740</v>
      </c>
      <c r="C407" s="225" t="s">
        <v>817</v>
      </c>
      <c r="D407" s="225" t="s">
        <v>503</v>
      </c>
      <c r="E407" s="225" t="s">
        <v>1647</v>
      </c>
      <c r="F407" s="225" t="s">
        <v>503</v>
      </c>
      <c r="G407" s="229" t="s">
        <v>1648</v>
      </c>
      <c r="H407" s="226"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6">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8" t="s">
        <v>662</v>
      </c>
      <c r="AZ407" s="298"/>
      <c r="BA407" s="298"/>
      <c r="BB407" s="299"/>
      <c r="BC407" s="299"/>
      <c r="BD407" s="299"/>
      <c r="BE407" s="299"/>
      <c r="BF407" s="28"/>
      <c r="BG407" s="28"/>
      <c r="BH407" s="106"/>
      <c r="BI407" s="106"/>
      <c r="BJ407" s="106"/>
      <c r="BK407" s="106"/>
      <c r="BL407" s="137"/>
      <c r="BM407" s="123"/>
      <c r="BN407" s="139">
        <v>0</v>
      </c>
      <c r="BO407" s="94"/>
      <c r="BP407" s="94"/>
      <c r="BQ407" s="94"/>
      <c r="BR407" s="94"/>
      <c r="BS407" s="94"/>
      <c r="BT407" s="94"/>
      <c r="BU407" s="28">
        <f t="shared" ref="BU407" si="335">IF(BL407=1,BN407,0)</f>
        <v>0</v>
      </c>
      <c r="BV407" s="28"/>
      <c r="BW407" s="28"/>
      <c r="BX407" s="28"/>
      <c r="BY407" s="28"/>
      <c r="BZ407" s="28"/>
      <c r="CA407" s="28"/>
      <c r="CB407" s="99"/>
      <c r="CC407" s="99"/>
      <c r="CD407" s="99"/>
      <c r="CE407" s="99"/>
      <c r="CF407" s="99"/>
      <c r="CG407" s="99"/>
      <c r="CH407" s="185"/>
      <c r="CI407" s="175"/>
      <c r="CJ407" s="175"/>
      <c r="CK407" s="191"/>
      <c r="CL407" s="191"/>
      <c r="CM407" s="191"/>
      <c r="CN407" s="191"/>
      <c r="CO407" s="191"/>
      <c r="CP407" s="197"/>
      <c r="CQ407" s="197"/>
      <c r="CR407" s="197"/>
      <c r="CS407" s="197"/>
      <c r="CT407" s="197"/>
      <c r="CU407" s="197"/>
      <c r="CV407" s="197"/>
      <c r="CW407" s="167"/>
      <c r="CX407" s="168"/>
      <c r="CY407" s="168"/>
      <c r="CZ407" s="168"/>
      <c r="DA407" s="168"/>
      <c r="DB407" s="168"/>
      <c r="DC407" s="168"/>
      <c r="DD407" s="172"/>
      <c r="DE407" s="172"/>
      <c r="DF407" s="172"/>
      <c r="DG407" s="172"/>
      <c r="DH407" s="172"/>
      <c r="DI407" s="172"/>
      <c r="DJ407" s="172"/>
      <c r="DK407" s="80" t="s">
        <v>1635</v>
      </c>
      <c r="DL407" s="129">
        <v>60</v>
      </c>
      <c r="DM407" s="129">
        <v>60</v>
      </c>
      <c r="DN407" s="129">
        <v>100</v>
      </c>
      <c r="DO407" s="129">
        <v>200</v>
      </c>
      <c r="DP407" s="129">
        <v>300</v>
      </c>
      <c r="DQ407" s="129">
        <v>400</v>
      </c>
      <c r="DR407" s="129">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1649</v>
      </c>
      <c r="B408" s="225" t="s">
        <v>740</v>
      </c>
      <c r="C408" s="225" t="s">
        <v>788</v>
      </c>
      <c r="D408" s="225" t="s">
        <v>503</v>
      </c>
      <c r="E408" s="225" t="s">
        <v>503</v>
      </c>
      <c r="F408" s="225" t="s">
        <v>503</v>
      </c>
      <c r="G408" s="229" t="s">
        <v>1650</v>
      </c>
      <c r="H408" s="226"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6">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89">
        <v>250</v>
      </c>
      <c r="CE408" s="389">
        <v>250</v>
      </c>
      <c r="CF408" s="99">
        <f t="shared" ref="CF408:CH408" si="336">CF401</f>
        <v>250</v>
      </c>
      <c r="CG408" s="99">
        <f t="shared" si="336"/>
        <v>500</v>
      </c>
      <c r="CH408" s="99">
        <f t="shared" si="336"/>
        <v>500</v>
      </c>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792</v>
      </c>
      <c r="DL408" s="129"/>
      <c r="DM408" s="129"/>
      <c r="DN408" s="129"/>
      <c r="DO408" s="129"/>
      <c r="DP408" s="129"/>
      <c r="DQ408" s="129"/>
      <c r="DR408" s="129"/>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6">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289"/>
        <v>0</v>
      </c>
      <c r="BV409" s="27"/>
      <c r="BW409" s="27"/>
      <c r="BX409" s="27"/>
      <c r="BY409" s="27"/>
      <c r="BZ409" s="27"/>
      <c r="CA409" s="27"/>
      <c r="CB409" s="97">
        <v>1000</v>
      </c>
      <c r="CC409" s="97">
        <v>1000</v>
      </c>
      <c r="CD409" s="97">
        <v>1000</v>
      </c>
      <c r="CE409" s="97">
        <v>1000</v>
      </c>
      <c r="CF409" s="97">
        <v>1000</v>
      </c>
      <c r="CG409" s="97">
        <v>1000</v>
      </c>
      <c r="CH409" s="97">
        <v>1000</v>
      </c>
      <c r="CI409" s="173"/>
      <c r="CJ409" s="173"/>
      <c r="CK409" s="173"/>
      <c r="CL409" s="173"/>
      <c r="CM409" s="173"/>
      <c r="CN409" s="173"/>
      <c r="CO409" s="173"/>
      <c r="CP409" s="174"/>
      <c r="CQ409" s="174"/>
      <c r="CR409" s="174"/>
      <c r="CS409" s="174"/>
      <c r="CT409" s="174"/>
      <c r="CU409" s="174"/>
      <c r="CV409" s="174"/>
      <c r="CW409" s="165"/>
      <c r="CX409" s="166"/>
      <c r="CY409" s="166"/>
      <c r="CZ409" s="166"/>
      <c r="DA409" s="166"/>
      <c r="DB409" s="166"/>
      <c r="DC409" s="166"/>
      <c r="DD409" s="171"/>
      <c r="DE409" s="171"/>
      <c r="DF409" s="171"/>
      <c r="DG409" s="171"/>
      <c r="DH409" s="171"/>
      <c r="DI409" s="171"/>
      <c r="DJ409" s="171"/>
      <c r="DK409" s="79" t="s">
        <v>415</v>
      </c>
      <c r="DL409" s="128">
        <v>1000</v>
      </c>
      <c r="DM409" s="128">
        <v>1000</v>
      </c>
      <c r="DN409" s="128">
        <v>1000</v>
      </c>
      <c r="DO409" s="128">
        <v>1000</v>
      </c>
      <c r="DP409" s="128">
        <v>1000</v>
      </c>
      <c r="DQ409" s="128">
        <v>1000</v>
      </c>
      <c r="DR409" s="128">
        <v>1000</v>
      </c>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6">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289"/>
        <v>0</v>
      </c>
      <c r="BV410" s="28"/>
      <c r="BW410" s="28"/>
      <c r="BX410" s="28"/>
      <c r="BY410" s="28"/>
      <c r="BZ410" s="28"/>
      <c r="CA410" s="28"/>
      <c r="CB410" s="99">
        <v>1000</v>
      </c>
      <c r="CC410" s="99">
        <v>1000</v>
      </c>
      <c r="CD410" s="99">
        <v>1000</v>
      </c>
      <c r="CE410" s="99">
        <v>1000</v>
      </c>
      <c r="CF410" s="99">
        <v>1000</v>
      </c>
      <c r="CG410" s="99">
        <v>1000</v>
      </c>
      <c r="CH410" s="99">
        <v>1000</v>
      </c>
      <c r="CI410" s="175"/>
      <c r="CJ410" s="175"/>
      <c r="CK410" s="175"/>
      <c r="CL410" s="175"/>
      <c r="CM410" s="175"/>
      <c r="CN410" s="175"/>
      <c r="CO410" s="175"/>
      <c r="CP410" s="176"/>
      <c r="CQ410" s="176"/>
      <c r="CR410" s="176"/>
      <c r="CS410" s="176"/>
      <c r="CT410" s="176"/>
      <c r="CU410" s="176"/>
      <c r="CV410" s="176"/>
      <c r="CW410" s="167"/>
      <c r="CX410" s="168"/>
      <c r="CY410" s="168"/>
      <c r="CZ410" s="168"/>
      <c r="DA410" s="168"/>
      <c r="DB410" s="168"/>
      <c r="DC410" s="168"/>
      <c r="DD410" s="172"/>
      <c r="DE410" s="172"/>
      <c r="DF410" s="172"/>
      <c r="DG410" s="172"/>
      <c r="DH410" s="172"/>
      <c r="DI410" s="172"/>
      <c r="DJ410" s="172"/>
      <c r="DK410" s="80" t="s">
        <v>415</v>
      </c>
      <c r="DL410" s="129">
        <v>1000</v>
      </c>
      <c r="DM410" s="129">
        <v>1000</v>
      </c>
      <c r="DN410" s="129">
        <v>1000</v>
      </c>
      <c r="DO410" s="129">
        <v>1000</v>
      </c>
      <c r="DP410" s="129">
        <v>1000</v>
      </c>
      <c r="DQ410" s="129">
        <v>1000</v>
      </c>
      <c r="DR410" s="129">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6">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289"/>
        <v>0</v>
      </c>
      <c r="BV411" s="27"/>
      <c r="BW411" s="27"/>
      <c r="BX411" s="27"/>
      <c r="BY411" s="27"/>
      <c r="BZ411" s="27"/>
      <c r="CA411" s="27"/>
      <c r="CB411" s="97">
        <v>1000</v>
      </c>
      <c r="CC411" s="97">
        <v>1000</v>
      </c>
      <c r="CD411" s="97">
        <v>1000</v>
      </c>
      <c r="CE411" s="97">
        <v>1000</v>
      </c>
      <c r="CF411" s="97">
        <v>1000</v>
      </c>
      <c r="CG411" s="97">
        <v>1000</v>
      </c>
      <c r="CH411" s="97">
        <v>1000</v>
      </c>
      <c r="CI411" s="173"/>
      <c r="CJ411" s="173"/>
      <c r="CK411" s="173"/>
      <c r="CL411" s="173"/>
      <c r="CM411" s="173"/>
      <c r="CN411" s="173"/>
      <c r="CO411" s="173"/>
      <c r="CP411" s="174"/>
      <c r="CQ411" s="174"/>
      <c r="CR411" s="174"/>
      <c r="CS411" s="174"/>
      <c r="CT411" s="174"/>
      <c r="CU411" s="174"/>
      <c r="CV411" s="174"/>
      <c r="CW411" s="165"/>
      <c r="CX411" s="166"/>
      <c r="CY411" s="166"/>
      <c r="CZ411" s="166"/>
      <c r="DA411" s="166"/>
      <c r="DB411" s="166"/>
      <c r="DC411" s="166"/>
      <c r="DD411" s="171"/>
      <c r="DE411" s="171"/>
      <c r="DF411" s="171"/>
      <c r="DG411" s="171"/>
      <c r="DH411" s="171"/>
      <c r="DI411" s="171"/>
      <c r="DJ411" s="171"/>
      <c r="DK411" s="79" t="s">
        <v>415</v>
      </c>
      <c r="DL411" s="128">
        <v>1000</v>
      </c>
      <c r="DM411" s="128">
        <v>1000</v>
      </c>
      <c r="DN411" s="128">
        <v>1000</v>
      </c>
      <c r="DO411" s="128">
        <v>1000</v>
      </c>
      <c r="DP411" s="128">
        <v>1000</v>
      </c>
      <c r="DQ411" s="128">
        <v>1000</v>
      </c>
      <c r="DR411" s="128">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225" t="s">
        <v>1658</v>
      </c>
      <c r="B412" s="225" t="s">
        <v>740</v>
      </c>
      <c r="C412" s="225" t="s">
        <v>817</v>
      </c>
      <c r="D412" s="225" t="s">
        <v>1469</v>
      </c>
      <c r="E412" s="225" t="s">
        <v>1567</v>
      </c>
      <c r="F412" s="225" t="s">
        <v>468</v>
      </c>
      <c r="G412" s="229" t="s">
        <v>1659</v>
      </c>
      <c r="H412" s="226"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6">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289"/>
        <v>0</v>
      </c>
      <c r="BV412" s="28"/>
      <c r="BW412" s="28"/>
      <c r="BX412" s="28"/>
      <c r="BY412" s="28"/>
      <c r="BZ412" s="28"/>
      <c r="CA412" s="28"/>
      <c r="CB412" s="99">
        <v>1000</v>
      </c>
      <c r="CC412" s="99">
        <v>1000</v>
      </c>
      <c r="CD412" s="99">
        <v>1000</v>
      </c>
      <c r="CE412" s="99">
        <v>1000</v>
      </c>
      <c r="CF412" s="99">
        <v>1000</v>
      </c>
      <c r="CG412" s="99">
        <v>1000</v>
      </c>
      <c r="CH412" s="99">
        <v>1000</v>
      </c>
      <c r="CI412" s="175"/>
      <c r="CJ412" s="175"/>
      <c r="CK412" s="175"/>
      <c r="CL412" s="175"/>
      <c r="CM412" s="175"/>
      <c r="CN412" s="175"/>
      <c r="CO412" s="175"/>
      <c r="CP412" s="176"/>
      <c r="CQ412" s="176"/>
      <c r="CR412" s="176"/>
      <c r="CS412" s="176"/>
      <c r="CT412" s="176"/>
      <c r="CU412" s="176"/>
      <c r="CV412" s="176"/>
      <c r="CW412" s="167"/>
      <c r="CX412" s="168"/>
      <c r="CY412" s="168"/>
      <c r="CZ412" s="168"/>
      <c r="DA412" s="168"/>
      <c r="DB412" s="168"/>
      <c r="DC412" s="168"/>
      <c r="DD412" s="172"/>
      <c r="DE412" s="172"/>
      <c r="DF412" s="172"/>
      <c r="DG412" s="172"/>
      <c r="DH412" s="172"/>
      <c r="DI412" s="172"/>
      <c r="DJ412" s="172"/>
      <c r="DK412" s="80" t="s">
        <v>1570</v>
      </c>
      <c r="DL412" s="129">
        <v>1000</v>
      </c>
      <c r="DM412" s="129">
        <v>1000</v>
      </c>
      <c r="DN412" s="129">
        <v>1000</v>
      </c>
      <c r="DO412" s="129">
        <v>1000</v>
      </c>
      <c r="DP412" s="129">
        <v>1000</v>
      </c>
      <c r="DQ412" s="129">
        <v>1000</v>
      </c>
      <c r="DR412" s="129">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1469</v>
      </c>
      <c r="E413" s="225" t="s">
        <v>1567</v>
      </c>
      <c r="F413" s="225" t="s">
        <v>505</v>
      </c>
      <c r="G413" s="229" t="s">
        <v>1661</v>
      </c>
      <c r="H413" s="226"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6">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289"/>
        <v>0</v>
      </c>
      <c r="BV413" s="27"/>
      <c r="BW413" s="27"/>
      <c r="BX413" s="27"/>
      <c r="BY413" s="27"/>
      <c r="BZ413" s="27"/>
      <c r="CA413" s="27"/>
      <c r="CB413" s="185">
        <v>3000</v>
      </c>
      <c r="CC413" s="185">
        <v>3000</v>
      </c>
      <c r="CD413" s="185">
        <v>3000</v>
      </c>
      <c r="CE413" s="185">
        <v>3000</v>
      </c>
      <c r="CF413" s="185">
        <v>3000</v>
      </c>
      <c r="CG413" s="185">
        <v>3000</v>
      </c>
      <c r="CH413" s="185">
        <v>3000</v>
      </c>
      <c r="CI413" s="173"/>
      <c r="CJ413" s="173"/>
      <c r="CK413" s="173"/>
      <c r="CL413" s="173"/>
      <c r="CM413" s="173"/>
      <c r="CN413" s="173"/>
      <c r="CO413" s="173"/>
      <c r="CP413" s="174"/>
      <c r="CQ413" s="174"/>
      <c r="CR413" s="174"/>
      <c r="CS413" s="174"/>
      <c r="CT413" s="174"/>
      <c r="CU413" s="174"/>
      <c r="CV413" s="174"/>
      <c r="CW413" s="165"/>
      <c r="CX413" s="166"/>
      <c r="CY413" s="166"/>
      <c r="CZ413" s="166"/>
      <c r="DA413" s="166"/>
      <c r="DB413" s="166"/>
      <c r="DC413" s="166"/>
      <c r="DD413" s="171"/>
      <c r="DE413" s="171"/>
      <c r="DF413" s="171"/>
      <c r="DG413" s="171"/>
      <c r="DH413" s="171"/>
      <c r="DI413" s="171"/>
      <c r="DJ413" s="171"/>
      <c r="DK413" s="79" t="s">
        <v>1570</v>
      </c>
      <c r="DL413" s="128">
        <v>8000</v>
      </c>
      <c r="DM413" s="128">
        <v>8000</v>
      </c>
      <c r="DN413" s="128">
        <v>8000</v>
      </c>
      <c r="DO413" s="128">
        <v>8000</v>
      </c>
      <c r="DP413" s="128">
        <v>8000</v>
      </c>
      <c r="DQ413" s="128">
        <v>8000</v>
      </c>
      <c r="DR413" s="128">
        <v>8000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6">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289"/>
        <v>0</v>
      </c>
      <c r="BV414" s="28"/>
      <c r="BW414" s="28"/>
      <c r="BX414" s="28"/>
      <c r="BY414" s="28"/>
      <c r="BZ414" s="28"/>
      <c r="CA414" s="28"/>
      <c r="CB414" s="99">
        <v>1500</v>
      </c>
      <c r="CC414" s="99">
        <v>1250</v>
      </c>
      <c r="CD414" s="99">
        <v>1000</v>
      </c>
      <c r="CE414" s="99">
        <v>750</v>
      </c>
      <c r="CF414" s="99">
        <v>500</v>
      </c>
      <c r="CG414" s="99">
        <v>250</v>
      </c>
      <c r="CH414" s="99">
        <v>100</v>
      </c>
      <c r="CI414" s="175"/>
      <c r="CJ414" s="175"/>
      <c r="CK414" s="175"/>
      <c r="CL414" s="175"/>
      <c r="CM414" s="175"/>
      <c r="CN414" s="175"/>
      <c r="CO414" s="175"/>
      <c r="CP414" s="176"/>
      <c r="CQ414" s="176"/>
      <c r="CR414" s="176"/>
      <c r="CS414" s="176"/>
      <c r="CT414" s="176"/>
      <c r="CU414" s="176"/>
      <c r="CV414" s="176"/>
      <c r="CW414" s="167"/>
      <c r="CX414" s="168"/>
      <c r="CY414" s="168"/>
      <c r="CZ414" s="168"/>
      <c r="DA414" s="168"/>
      <c r="DB414" s="168"/>
      <c r="DC414" s="168"/>
      <c r="DD414" s="172"/>
      <c r="DE414" s="172"/>
      <c r="DF414" s="172"/>
      <c r="DG414" s="172"/>
      <c r="DH414" s="172"/>
      <c r="DI414" s="172"/>
      <c r="DJ414" s="172"/>
      <c r="DK414" s="80" t="s">
        <v>415</v>
      </c>
      <c r="DL414" s="129">
        <v>1000</v>
      </c>
      <c r="DM414" s="129">
        <v>1000</v>
      </c>
      <c r="DN414" s="129">
        <v>1000</v>
      </c>
      <c r="DO414" s="129">
        <v>1000</v>
      </c>
      <c r="DP414" s="129">
        <v>1000</v>
      </c>
      <c r="DQ414" s="129">
        <v>1000</v>
      </c>
      <c r="DR414" s="129">
        <v>1000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6">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37">IF(BL415=1,BN415,0)</f>
        <v>0</v>
      </c>
      <c r="BV415" s="27"/>
      <c r="BW415" s="27"/>
      <c r="BX415" s="27"/>
      <c r="BY415" s="27"/>
      <c r="BZ415" s="27"/>
      <c r="CA415" s="27"/>
      <c r="CB415" s="185">
        <v>500</v>
      </c>
      <c r="CC415" s="185">
        <v>500</v>
      </c>
      <c r="CD415" s="185">
        <v>500</v>
      </c>
      <c r="CE415" s="185">
        <v>500</v>
      </c>
      <c r="CF415" s="185">
        <v>500</v>
      </c>
      <c r="CG415" s="185">
        <v>500</v>
      </c>
      <c r="CH415" s="185">
        <v>500</v>
      </c>
      <c r="CI415" s="173"/>
      <c r="CJ415" s="173"/>
      <c r="CK415" s="173"/>
      <c r="CL415" s="173"/>
      <c r="CM415" s="173"/>
      <c r="CN415" s="173"/>
      <c r="CO415" s="173"/>
      <c r="CP415" s="174"/>
      <c r="CQ415" s="174"/>
      <c r="CR415" s="174"/>
      <c r="CS415" s="174"/>
      <c r="CT415" s="174"/>
      <c r="CU415" s="174"/>
      <c r="CV415" s="174"/>
      <c r="CW415" s="165"/>
      <c r="CX415" s="166"/>
      <c r="CY415" s="166"/>
      <c r="CZ415" s="166"/>
      <c r="DA415" s="166"/>
      <c r="DB415" s="166"/>
      <c r="DC415" s="166"/>
      <c r="DD415" s="171"/>
      <c r="DE415" s="171"/>
      <c r="DF415" s="171"/>
      <c r="DG415" s="171"/>
      <c r="DH415" s="171"/>
      <c r="DI415" s="171"/>
      <c r="DJ415" s="171"/>
      <c r="DK415" s="79" t="s">
        <v>1519</v>
      </c>
      <c r="DL415" s="128">
        <v>5000</v>
      </c>
      <c r="DM415" s="128">
        <v>5000</v>
      </c>
      <c r="DN415" s="128">
        <v>5000</v>
      </c>
      <c r="DO415" s="128">
        <v>5000</v>
      </c>
      <c r="DP415" s="128">
        <v>5000</v>
      </c>
      <c r="DQ415" s="128">
        <v>5000</v>
      </c>
      <c r="DR415" s="128">
        <v>5000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6">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37"/>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5"/>
      <c r="CJ416" s="175"/>
      <c r="CK416" s="175"/>
      <c r="CL416" s="175"/>
      <c r="CM416" s="175"/>
      <c r="CN416" s="175"/>
      <c r="CO416" s="175"/>
      <c r="CP416" s="176"/>
      <c r="CQ416" s="176"/>
      <c r="CR416" s="176"/>
      <c r="CS416" s="176"/>
      <c r="CT416" s="176"/>
      <c r="CU416" s="176"/>
      <c r="CV416" s="176"/>
      <c r="CW416" s="167"/>
      <c r="CX416" s="168"/>
      <c r="CY416" s="168"/>
      <c r="CZ416" s="168"/>
      <c r="DA416" s="168"/>
      <c r="DB416" s="168"/>
      <c r="DC416" s="168"/>
      <c r="DD416" s="172"/>
      <c r="DE416" s="172"/>
      <c r="DF416" s="172"/>
      <c r="DG416" s="172"/>
      <c r="DH416" s="172"/>
      <c r="DI416" s="172"/>
      <c r="DJ416" s="172"/>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1133</v>
      </c>
      <c r="E417" s="6" t="s">
        <v>441</v>
      </c>
      <c r="F417" s="6" t="s">
        <v>512</v>
      </c>
      <c r="G417" s="48" t="s">
        <v>1668</v>
      </c>
      <c r="H417" s="48" t="s">
        <v>1669</v>
      </c>
      <c r="I417" s="227">
        <v>0</v>
      </c>
      <c r="J417" s="227">
        <v>0</v>
      </c>
      <c r="K417" s="227">
        <v>0</v>
      </c>
      <c r="L417" s="227">
        <v>0</v>
      </c>
      <c r="M417" s="227">
        <v>0</v>
      </c>
      <c r="N417" s="227">
        <v>0</v>
      </c>
      <c r="O417" s="227">
        <v>0</v>
      </c>
      <c r="P417" s="94">
        <v>0</v>
      </c>
      <c r="Q417" s="227">
        <v>0</v>
      </c>
      <c r="R417" s="227">
        <v>0</v>
      </c>
      <c r="S417" s="227">
        <v>0</v>
      </c>
      <c r="T417" s="227">
        <v>0</v>
      </c>
      <c r="U417" s="227">
        <v>0</v>
      </c>
      <c r="V417" s="227">
        <v>0</v>
      </c>
      <c r="W417" s="227">
        <v>0</v>
      </c>
      <c r="X417" s="227">
        <v>427.07920102674001</v>
      </c>
      <c r="Y417" s="227">
        <v>427.07920102674001</v>
      </c>
      <c r="Z417" s="227">
        <v>427.07920102674001</v>
      </c>
      <c r="AA417" s="227">
        <v>427.07920102674001</v>
      </c>
      <c r="AB417" s="227">
        <v>427.07920102674001</v>
      </c>
      <c r="AC417" s="227">
        <v>427.07920102674001</v>
      </c>
      <c r="AD417" s="227">
        <v>427.07920102674001</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37"/>
        <v>0</v>
      </c>
      <c r="BV417" s="98">
        <v>0</v>
      </c>
      <c r="BW417" s="98"/>
      <c r="BX417" s="98"/>
      <c r="BY417" s="98"/>
      <c r="BZ417" s="98"/>
      <c r="CA417" s="98"/>
      <c r="CB417" s="376">
        <v>0.623</v>
      </c>
      <c r="CC417" s="376">
        <v>1</v>
      </c>
      <c r="CD417" s="376">
        <v>1</v>
      </c>
      <c r="CE417" s="376">
        <v>1</v>
      </c>
      <c r="CF417" s="376">
        <v>1</v>
      </c>
      <c r="CG417" s="376">
        <v>1</v>
      </c>
      <c r="CH417" s="376">
        <v>1</v>
      </c>
      <c r="CI417" s="176"/>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c r="DL417" s="129"/>
      <c r="DM417" s="129"/>
      <c r="DN417" s="129"/>
      <c r="DO417" s="129"/>
      <c r="DP417" s="129"/>
      <c r="DQ417" s="129"/>
      <c r="DR417" s="129"/>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256"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37"/>
        <v>0</v>
      </c>
      <c r="BV418" s="28"/>
      <c r="BW418" s="28"/>
      <c r="BX418" s="28"/>
      <c r="BY418" s="28"/>
      <c r="BZ418" s="28"/>
      <c r="CA418" s="28"/>
      <c r="CB418" s="364">
        <v>15</v>
      </c>
      <c r="CC418" s="364">
        <f>SUM(CD418,CB418)/2</f>
        <v>15.55</v>
      </c>
      <c r="CD418" s="364">
        <v>16.100000000000001</v>
      </c>
      <c r="CE418" s="364">
        <f>SUM(CF418,CD418)/2</f>
        <v>17.399999999999999</v>
      </c>
      <c r="CF418" s="364">
        <v>18.7</v>
      </c>
      <c r="CG418" s="364">
        <f>SUM(CH418,CF418)/2</f>
        <v>19.25</v>
      </c>
      <c r="CH418" s="364">
        <v>19.8</v>
      </c>
      <c r="CI418" s="175"/>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t="s">
        <v>1672</v>
      </c>
      <c r="DL418" s="129">
        <v>60</v>
      </c>
      <c r="DM418" s="129">
        <v>60</v>
      </c>
      <c r="DN418" s="129">
        <v>60</v>
      </c>
      <c r="DO418" s="129">
        <v>60</v>
      </c>
      <c r="DP418" s="129">
        <v>60</v>
      </c>
      <c r="DQ418" s="129">
        <v>60</v>
      </c>
      <c r="DR418" s="129">
        <v>60</v>
      </c>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28" t="s">
        <v>1673</v>
      </c>
      <c r="B419" s="225"/>
      <c r="C419" s="225" t="s">
        <v>817</v>
      </c>
      <c r="D419" s="225" t="s">
        <v>1496</v>
      </c>
      <c r="E419" s="225" t="s">
        <v>504</v>
      </c>
      <c r="F419" s="225" t="s">
        <v>516</v>
      </c>
      <c r="G419" s="229" t="s">
        <v>1674</v>
      </c>
      <c r="H419" s="226"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6">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37"/>
        <v>0</v>
      </c>
      <c r="BV419" s="27"/>
      <c r="BW419" s="27"/>
      <c r="BX419" s="27"/>
      <c r="BY419" s="27"/>
      <c r="BZ419" s="27"/>
      <c r="CA419" s="27"/>
      <c r="CB419" s="364"/>
      <c r="CC419" s="364">
        <f>(($CH$419-$CB$419)/($CH$5-$CB$5))*(CC$5-CB$5)+CB419</f>
        <v>87.375</v>
      </c>
      <c r="CD419" s="364">
        <f>(($CH$419-$CB$419)/($CH$5-$CB$5))*(CD$5-CC$5)+CC419</f>
        <v>233</v>
      </c>
      <c r="CE419" s="364">
        <f>(($CH$419-$CB$419)/($CH$5-$CB$5))*(CE$5-CD$5)+CD419</f>
        <v>378.625</v>
      </c>
      <c r="CF419" s="364">
        <f>(($CH$419-$CB$419)/($CH$5-$CB$5))*(CF$5-CE$5)+CE419</f>
        <v>524.25</v>
      </c>
      <c r="CG419" s="364">
        <f>(($CH$419-$CB$419)/($CH$5-$CB$5))*(CG$5-CF$5)+CF419</f>
        <v>669.875</v>
      </c>
      <c r="CH419" s="364">
        <f>(558+1073)/2</f>
        <v>815.5</v>
      </c>
      <c r="CI419" s="173"/>
      <c r="CJ419" s="173"/>
      <c r="CK419" s="173"/>
      <c r="CL419" s="173"/>
      <c r="CM419" s="173"/>
      <c r="CN419" s="173"/>
      <c r="CO419" s="173"/>
      <c r="CP419" s="174"/>
      <c r="CQ419" s="174"/>
      <c r="CR419" s="174"/>
      <c r="CS419" s="174"/>
      <c r="CT419" s="174"/>
      <c r="CU419" s="174"/>
      <c r="CV419" s="174"/>
      <c r="CW419" s="165"/>
      <c r="CX419" s="166"/>
      <c r="CY419" s="166"/>
      <c r="CZ419" s="166"/>
      <c r="DA419" s="166"/>
      <c r="DB419" s="166"/>
      <c r="DC419" s="166"/>
      <c r="DD419" s="171"/>
      <c r="DE419" s="171"/>
      <c r="DF419" s="171"/>
      <c r="DG419" s="171"/>
      <c r="DH419" s="171"/>
      <c r="DI419" s="171"/>
      <c r="DJ419" s="171"/>
      <c r="DK419" s="79" t="s">
        <v>1675</v>
      </c>
      <c r="DL419" s="128"/>
      <c r="DM419" s="128"/>
      <c r="DN419" s="128"/>
      <c r="DO419" s="128"/>
      <c r="DP419" s="128"/>
      <c r="DQ419" s="128"/>
      <c r="DR419" s="128"/>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1676</v>
      </c>
      <c r="B420" s="225"/>
      <c r="C420" s="225" t="s">
        <v>817</v>
      </c>
      <c r="D420" s="225" t="s">
        <v>1496</v>
      </c>
      <c r="E420" s="225" t="s">
        <v>504</v>
      </c>
      <c r="F420" s="225" t="s">
        <v>516</v>
      </c>
      <c r="G420" s="229" t="s">
        <v>1677</v>
      </c>
      <c r="H420" s="226"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6">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38">IF(BL420=1,BN420,0)</f>
        <v>0</v>
      </c>
      <c r="BV420" s="28"/>
      <c r="BW420" s="28"/>
      <c r="BX420" s="28"/>
      <c r="BY420" s="28"/>
      <c r="BZ420" s="28"/>
      <c r="CA420" s="28"/>
      <c r="CB420" s="364"/>
      <c r="CC420" s="364"/>
      <c r="CD420" s="364"/>
      <c r="CE420" s="364"/>
      <c r="CF420" s="364"/>
      <c r="CG420" s="364"/>
      <c r="CH420" s="364"/>
      <c r="CI420" s="175"/>
      <c r="CJ420" s="175"/>
      <c r="CK420" s="175"/>
      <c r="CL420" s="175"/>
      <c r="CM420" s="175"/>
      <c r="CN420" s="175"/>
      <c r="CO420" s="175"/>
      <c r="CP420" s="176"/>
      <c r="CQ420" s="176"/>
      <c r="CR420" s="176"/>
      <c r="CS420" s="176"/>
      <c r="CT420" s="176"/>
      <c r="CU420" s="176"/>
      <c r="CV420" s="176"/>
      <c r="CW420" s="167"/>
      <c r="CX420" s="168"/>
      <c r="CY420" s="168"/>
      <c r="CZ420" s="168"/>
      <c r="DA420" s="168"/>
      <c r="DB420" s="168"/>
      <c r="DC420" s="168"/>
      <c r="DD420" s="172"/>
      <c r="DE420" s="172"/>
      <c r="DF420" s="172"/>
      <c r="DG420" s="172"/>
      <c r="DH420" s="172"/>
      <c r="DI420" s="172"/>
      <c r="DJ420" s="172"/>
      <c r="DK420" s="79" t="s">
        <v>1675</v>
      </c>
      <c r="DL420" s="129"/>
      <c r="DM420" s="129"/>
      <c r="DN420" s="129"/>
      <c r="DO420" s="129"/>
      <c r="DP420" s="129"/>
      <c r="DQ420" s="129"/>
      <c r="DR420" s="129"/>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56"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6">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37"/>
        <v>0</v>
      </c>
      <c r="BV421" s="27"/>
      <c r="BW421" s="27"/>
      <c r="BX421" s="27"/>
      <c r="BY421" s="27"/>
      <c r="BZ421" s="27"/>
      <c r="CA421" s="27"/>
      <c r="CB421" s="364">
        <v>11.7</v>
      </c>
      <c r="CC421" s="364">
        <f>SUM(CD421,CB421)/2</f>
        <v>16.799999999999997</v>
      </c>
      <c r="CD421" s="364">
        <v>21.9</v>
      </c>
      <c r="CE421" s="364">
        <f>SUM(CF421,CD421)/2</f>
        <v>20.75</v>
      </c>
      <c r="CF421" s="364">
        <v>19.600000000000001</v>
      </c>
      <c r="CG421" s="364">
        <f>SUM(CH421,CF421)/2</f>
        <v>18.350000000000001</v>
      </c>
      <c r="CH421" s="364">
        <v>17.100000000000001</v>
      </c>
      <c r="CI421" s="173"/>
      <c r="CJ421" s="173"/>
      <c r="CK421" s="173"/>
      <c r="CL421" s="173"/>
      <c r="CM421" s="173"/>
      <c r="CN421" s="173"/>
      <c r="CO421" s="173"/>
      <c r="CP421" s="174"/>
      <c r="CQ421" s="174"/>
      <c r="CR421" s="174"/>
      <c r="CS421" s="174"/>
      <c r="CT421" s="174"/>
      <c r="CU421" s="174"/>
      <c r="CV421" s="174"/>
      <c r="CW421" s="165"/>
      <c r="CX421" s="166"/>
      <c r="CY421" s="166"/>
      <c r="CZ421" s="166"/>
      <c r="DA421" s="166"/>
      <c r="DB421" s="166"/>
      <c r="DC421" s="166"/>
      <c r="DD421" s="171"/>
      <c r="DE421" s="171"/>
      <c r="DF421" s="171"/>
      <c r="DG421" s="171"/>
      <c r="DH421" s="171"/>
      <c r="DI421" s="171"/>
      <c r="DJ421" s="171"/>
      <c r="DK421" s="79" t="s">
        <v>1672</v>
      </c>
      <c r="DL421" s="128">
        <v>23</v>
      </c>
      <c r="DM421" s="128">
        <v>23</v>
      </c>
      <c r="DN421" s="128">
        <v>23</v>
      </c>
      <c r="DO421" s="128">
        <v>23</v>
      </c>
      <c r="DP421" s="128">
        <v>23</v>
      </c>
      <c r="DQ421" s="128">
        <v>23</v>
      </c>
      <c r="DR421" s="128">
        <v>23</v>
      </c>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6">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37"/>
        <v>0</v>
      </c>
      <c r="BV422" s="28"/>
      <c r="BW422" s="28"/>
      <c r="BX422" s="28"/>
      <c r="BY422" s="28"/>
      <c r="BZ422" s="28"/>
      <c r="CA422" s="28"/>
      <c r="CB422" s="364">
        <v>5.3</v>
      </c>
      <c r="CC422" s="364">
        <f t="shared" ref="CC422:CG428" si="339">ROUND((CB422+CD422)/2,2)</f>
        <v>5.3</v>
      </c>
      <c r="CD422" s="364">
        <v>5.3</v>
      </c>
      <c r="CE422" s="364">
        <f t="shared" ref="CE422:CE428" si="340">ROUND((CD422+CF422)/2,2)</f>
        <v>5.5</v>
      </c>
      <c r="CF422" s="364">
        <v>5.7</v>
      </c>
      <c r="CG422" s="364">
        <f t="shared" ref="CG422:CG428" si="341">ROUND((CF422+CH422)/2,2)</f>
        <v>5.95</v>
      </c>
      <c r="CH422" s="364">
        <v>6.2</v>
      </c>
      <c r="CI422" s="175"/>
      <c r="CJ422" s="175"/>
      <c r="CK422" s="175"/>
      <c r="CL422" s="175"/>
      <c r="CM422" s="175"/>
      <c r="CN422" s="175"/>
      <c r="CO422" s="175"/>
      <c r="CP422" s="176"/>
      <c r="CQ422" s="176"/>
      <c r="CR422" s="176"/>
      <c r="CS422" s="176"/>
      <c r="CT422" s="176"/>
      <c r="CU422" s="176"/>
      <c r="CV422" s="176"/>
      <c r="CW422" s="167"/>
      <c r="CX422" s="168"/>
      <c r="CY422" s="168"/>
      <c r="CZ422" s="168"/>
      <c r="DA422" s="168"/>
      <c r="DB422" s="168"/>
      <c r="DC422" s="168"/>
      <c r="DD422" s="172"/>
      <c r="DE422" s="172"/>
      <c r="DF422" s="172"/>
      <c r="DG422" s="172"/>
      <c r="DH422" s="172"/>
      <c r="DI422" s="172"/>
      <c r="DJ422" s="172"/>
      <c r="DK422" s="80" t="s">
        <v>1672</v>
      </c>
      <c r="DL422" s="129">
        <v>9.52</v>
      </c>
      <c r="DM422" s="129">
        <v>9.52</v>
      </c>
      <c r="DN422" s="129">
        <v>9.52</v>
      </c>
      <c r="DO422" s="129">
        <v>9.52</v>
      </c>
      <c r="DP422" s="129">
        <v>9.52</v>
      </c>
      <c r="DQ422" s="129">
        <v>9.52</v>
      </c>
      <c r="DR422" s="129">
        <v>9.52</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6">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37"/>
        <v>0</v>
      </c>
      <c r="BV423" s="27"/>
      <c r="BW423" s="27"/>
      <c r="BX423" s="27"/>
      <c r="BY423" s="27"/>
      <c r="BZ423" s="27"/>
      <c r="CA423" s="27"/>
      <c r="CB423" s="364">
        <v>0.3</v>
      </c>
      <c r="CC423" s="364">
        <f t="shared" si="339"/>
        <v>0.35</v>
      </c>
      <c r="CD423" s="364">
        <v>0.4</v>
      </c>
      <c r="CE423" s="364">
        <f t="shared" si="339"/>
        <v>0.4</v>
      </c>
      <c r="CF423" s="364">
        <v>0.4</v>
      </c>
      <c r="CG423" s="364">
        <f t="shared" si="339"/>
        <v>0.45</v>
      </c>
      <c r="CH423" s="364">
        <v>0.5</v>
      </c>
      <c r="CI423" s="173"/>
      <c r="CJ423" s="173"/>
      <c r="CK423" s="173"/>
      <c r="CL423" s="173"/>
      <c r="CM423" s="173"/>
      <c r="CN423" s="173"/>
      <c r="CO423" s="173"/>
      <c r="CP423" s="174"/>
      <c r="CQ423" s="174"/>
      <c r="CR423" s="174"/>
      <c r="CS423" s="174"/>
      <c r="CT423" s="174"/>
      <c r="CU423" s="174"/>
      <c r="CV423" s="174"/>
      <c r="CW423" s="165"/>
      <c r="CX423" s="166"/>
      <c r="CY423" s="166"/>
      <c r="CZ423" s="166"/>
      <c r="DA423" s="166"/>
      <c r="DB423" s="166"/>
      <c r="DC423" s="166"/>
      <c r="DD423" s="171"/>
      <c r="DE423" s="171"/>
      <c r="DF423" s="171"/>
      <c r="DG423" s="171"/>
      <c r="DH423" s="171"/>
      <c r="DI423" s="171"/>
      <c r="DJ423" s="171"/>
      <c r="DK423" s="79" t="s">
        <v>1672</v>
      </c>
      <c r="DL423" s="128">
        <v>5.6</v>
      </c>
      <c r="DM423" s="128">
        <v>5.6</v>
      </c>
      <c r="DN423" s="128">
        <v>5.6</v>
      </c>
      <c r="DO423" s="128">
        <v>5.6</v>
      </c>
      <c r="DP423" s="128">
        <v>5.6</v>
      </c>
      <c r="DQ423" s="128">
        <v>5.6</v>
      </c>
      <c r="DR423" s="128">
        <v>5.6</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6">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37"/>
        <v>0</v>
      </c>
      <c r="BV424" s="28"/>
      <c r="BW424" s="28"/>
      <c r="BX424" s="28"/>
      <c r="BY424" s="28"/>
      <c r="BZ424" s="28"/>
      <c r="CA424" s="28"/>
      <c r="CB424" s="389">
        <v>71.900000000000006</v>
      </c>
      <c r="CC424" s="364">
        <f>SUM(CD424,CB424)/2</f>
        <v>71.900000000000006</v>
      </c>
      <c r="CD424" s="364">
        <v>71.900000000000006</v>
      </c>
      <c r="CE424" s="364">
        <f>SUM(CF424,CD424)/2</f>
        <v>71.900000000000006</v>
      </c>
      <c r="CF424" s="364">
        <v>71.900000000000006</v>
      </c>
      <c r="CG424" s="364">
        <f>SUM(CH424,CF424)/2</f>
        <v>71.900000000000006</v>
      </c>
      <c r="CH424" s="364">
        <v>71.900000000000006</v>
      </c>
      <c r="CI424" s="175"/>
      <c r="CJ424" s="175"/>
      <c r="CK424" s="175"/>
      <c r="CL424" s="175"/>
      <c r="CM424" s="175"/>
      <c r="CN424" s="175"/>
      <c r="CO424" s="175"/>
      <c r="CP424" s="176"/>
      <c r="CQ424" s="176"/>
      <c r="CR424" s="176"/>
      <c r="CS424" s="176"/>
      <c r="CT424" s="176"/>
      <c r="CU424" s="176"/>
      <c r="CV424" s="176"/>
      <c r="CW424" s="167"/>
      <c r="CX424" s="168"/>
      <c r="CY424" s="168"/>
      <c r="CZ424" s="168"/>
      <c r="DA424" s="168"/>
      <c r="DB424" s="168"/>
      <c r="DC424" s="168"/>
      <c r="DD424" s="172"/>
      <c r="DE424" s="172"/>
      <c r="DF424" s="172"/>
      <c r="DG424" s="172"/>
      <c r="DH424" s="172"/>
      <c r="DI424" s="172"/>
      <c r="DJ424" s="172"/>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6">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37"/>
        <v>0</v>
      </c>
      <c r="BV425" s="27"/>
      <c r="BW425" s="27"/>
      <c r="BX425" s="27"/>
      <c r="BY425" s="27"/>
      <c r="BZ425" s="27"/>
      <c r="CA425" s="27"/>
      <c r="CB425" s="364">
        <v>14.2</v>
      </c>
      <c r="CC425" s="364">
        <f>SUM(CD425,CB425)/2</f>
        <v>17.549999999999997</v>
      </c>
      <c r="CD425" s="364">
        <v>20.9</v>
      </c>
      <c r="CE425" s="364">
        <f>SUM(CF425,CD425)/2</f>
        <v>19.25</v>
      </c>
      <c r="CF425" s="364">
        <v>17.600000000000001</v>
      </c>
      <c r="CG425" s="364">
        <f>SUM(CH425,CF425)/2</f>
        <v>16</v>
      </c>
      <c r="CH425" s="364">
        <v>14.4</v>
      </c>
      <c r="CI425" s="173"/>
      <c r="CJ425" s="173"/>
      <c r="CK425" s="173"/>
      <c r="CL425" s="173"/>
      <c r="CM425" s="173"/>
      <c r="CN425" s="173"/>
      <c r="CO425" s="173"/>
      <c r="CP425" s="174"/>
      <c r="CQ425" s="174"/>
      <c r="CR425" s="174"/>
      <c r="CS425" s="174"/>
      <c r="CT425" s="174"/>
      <c r="CU425" s="174"/>
      <c r="CV425" s="174"/>
      <c r="CW425" s="165"/>
      <c r="CX425" s="166"/>
      <c r="CY425" s="166"/>
      <c r="CZ425" s="166"/>
      <c r="DA425" s="166"/>
      <c r="DB425" s="166"/>
      <c r="DC425" s="166"/>
      <c r="DD425" s="171"/>
      <c r="DE425" s="171"/>
      <c r="DF425" s="171"/>
      <c r="DG425" s="171"/>
      <c r="DH425" s="171"/>
      <c r="DI425" s="171"/>
      <c r="DJ425" s="171"/>
      <c r="DK425" s="79" t="s">
        <v>1672</v>
      </c>
      <c r="DL425" s="128">
        <v>15.79</v>
      </c>
      <c r="DM425" s="128">
        <v>15.79</v>
      </c>
      <c r="DN425" s="128">
        <v>15.79</v>
      </c>
      <c r="DO425" s="128">
        <v>15.79</v>
      </c>
      <c r="DP425" s="128">
        <v>15.79</v>
      </c>
      <c r="DQ425" s="128">
        <v>15.79</v>
      </c>
      <c r="DR425" s="128">
        <v>15.79</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6">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37"/>
        <v>0</v>
      </c>
      <c r="BV426" s="28"/>
      <c r="BW426" s="28"/>
      <c r="BX426" s="28"/>
      <c r="BY426" s="28"/>
      <c r="BZ426" s="28"/>
      <c r="CA426" s="28"/>
      <c r="CB426" s="304"/>
      <c r="CC426" s="304"/>
      <c r="CD426" s="304"/>
      <c r="CE426" s="304"/>
      <c r="CF426" s="304"/>
      <c r="CG426" s="304"/>
      <c r="CH426" s="304"/>
      <c r="CI426" s="175"/>
      <c r="CJ426" s="175"/>
      <c r="CK426" s="175"/>
      <c r="CL426" s="175"/>
      <c r="CM426" s="175"/>
      <c r="CN426" s="175"/>
      <c r="CO426" s="175"/>
      <c r="CP426" s="176"/>
      <c r="CQ426" s="176"/>
      <c r="CR426" s="176"/>
      <c r="CS426" s="176"/>
      <c r="CT426" s="176"/>
      <c r="CU426" s="176"/>
      <c r="CV426" s="176"/>
      <c r="CW426" s="167"/>
      <c r="CX426" s="168"/>
      <c r="CY426" s="168"/>
      <c r="CZ426" s="168"/>
      <c r="DA426" s="168"/>
      <c r="DB426" s="168"/>
      <c r="DC426" s="168"/>
      <c r="DD426" s="172"/>
      <c r="DE426" s="172"/>
      <c r="DF426" s="172"/>
      <c r="DG426" s="172"/>
      <c r="DH426" s="172"/>
      <c r="DI426" s="172"/>
      <c r="DJ426" s="172"/>
      <c r="DK426" s="80" t="s">
        <v>1672</v>
      </c>
      <c r="DL426" s="129">
        <v>0.62</v>
      </c>
      <c r="DM426" s="129">
        <v>0.62</v>
      </c>
      <c r="DN426" s="129">
        <v>0.62</v>
      </c>
      <c r="DO426" s="129">
        <v>0.62</v>
      </c>
      <c r="DP426" s="129">
        <v>0.62</v>
      </c>
      <c r="DQ426" s="129">
        <v>0.62</v>
      </c>
      <c r="DR426" s="129">
        <v>0.62</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6">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37"/>
        <v>0</v>
      </c>
      <c r="BV427" s="27"/>
      <c r="BW427" s="27"/>
      <c r="BX427" s="27"/>
      <c r="BY427" s="27"/>
      <c r="BZ427" s="27"/>
      <c r="CA427" s="27"/>
      <c r="CB427" s="364">
        <v>0.1</v>
      </c>
      <c r="CC427" s="364">
        <f>SUM(CD427,CB427)/2</f>
        <v>0.1</v>
      </c>
      <c r="CD427" s="364">
        <v>0.1</v>
      </c>
      <c r="CE427" s="364">
        <f>SUM(CF427,CD427)/2</f>
        <v>0.1</v>
      </c>
      <c r="CF427" s="364">
        <v>0.1</v>
      </c>
      <c r="CG427" s="364">
        <f>SUM(CH427,CF427)/2</f>
        <v>0.1</v>
      </c>
      <c r="CH427" s="364">
        <v>0.1</v>
      </c>
      <c r="CI427" s="173"/>
      <c r="CJ427" s="173"/>
      <c r="CK427" s="173"/>
      <c r="CL427" s="173"/>
      <c r="CM427" s="173"/>
      <c r="CN427" s="173"/>
      <c r="CO427" s="173"/>
      <c r="CP427" s="174"/>
      <c r="CQ427" s="174"/>
      <c r="CR427" s="174"/>
      <c r="CS427" s="174"/>
      <c r="CT427" s="174"/>
      <c r="CU427" s="174"/>
      <c r="CV427" s="174"/>
      <c r="CW427" s="165"/>
      <c r="CX427" s="166"/>
      <c r="CY427" s="166"/>
      <c r="CZ427" s="166"/>
      <c r="DA427" s="166"/>
      <c r="DB427" s="166"/>
      <c r="DC427" s="166"/>
      <c r="DD427" s="171"/>
      <c r="DE427" s="171"/>
      <c r="DF427" s="171"/>
      <c r="DG427" s="171"/>
      <c r="DH427" s="171"/>
      <c r="DI427" s="171"/>
      <c r="DJ427" s="171"/>
      <c r="DK427" s="79" t="s">
        <v>1672</v>
      </c>
      <c r="DL427" s="128">
        <v>0.01</v>
      </c>
      <c r="DM427" s="128">
        <v>0.01</v>
      </c>
      <c r="DN427" s="128">
        <v>0.01</v>
      </c>
      <c r="DO427" s="128">
        <v>0.01</v>
      </c>
      <c r="DP427" s="128">
        <v>0.01</v>
      </c>
      <c r="DQ427" s="128">
        <v>0.01</v>
      </c>
      <c r="DR427" s="128">
        <v>0.01</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228" t="s">
        <v>1685</v>
      </c>
      <c r="B428" s="225"/>
      <c r="C428" s="225" t="s">
        <v>817</v>
      </c>
      <c r="D428" s="225" t="s">
        <v>1496</v>
      </c>
      <c r="E428" s="225" t="s">
        <v>1497</v>
      </c>
      <c r="F428" s="225" t="s">
        <v>523</v>
      </c>
      <c r="G428" s="229" t="s">
        <v>1686</v>
      </c>
      <c r="H428" s="226"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6">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37"/>
        <v>0</v>
      </c>
      <c r="BV428" s="28"/>
      <c r="BW428" s="28"/>
      <c r="BX428" s="28"/>
      <c r="BY428" s="28"/>
      <c r="BZ428" s="28"/>
      <c r="CA428" s="28"/>
      <c r="CB428" s="364">
        <f>67.2-CB427</f>
        <v>67.100000000000009</v>
      </c>
      <c r="CC428" s="364">
        <f t="shared" si="339"/>
        <v>66.95</v>
      </c>
      <c r="CD428" s="364">
        <f>66.9-CD427</f>
        <v>66.800000000000011</v>
      </c>
      <c r="CE428" s="364">
        <f t="shared" si="340"/>
        <v>58.95</v>
      </c>
      <c r="CF428" s="364">
        <f>51.2-CF427</f>
        <v>51.1</v>
      </c>
      <c r="CG428" s="364">
        <f t="shared" si="341"/>
        <v>44.65</v>
      </c>
      <c r="CH428" s="364">
        <f>38.3-CH427</f>
        <v>38.199999999999996</v>
      </c>
      <c r="CI428" s="175"/>
      <c r="CJ428" s="175"/>
      <c r="CK428" s="175"/>
      <c r="CL428" s="175"/>
      <c r="CM428" s="175"/>
      <c r="CN428" s="175"/>
      <c r="CO428" s="175"/>
      <c r="CP428" s="176"/>
      <c r="CQ428" s="176"/>
      <c r="CR428" s="176"/>
      <c r="CS428" s="176"/>
      <c r="CT428" s="176"/>
      <c r="CU428" s="176"/>
      <c r="CV428" s="176"/>
      <c r="CW428" s="167"/>
      <c r="CX428" s="168"/>
      <c r="CY428" s="168"/>
      <c r="CZ428" s="168"/>
      <c r="DA428" s="168"/>
      <c r="DB428" s="168"/>
      <c r="DC428" s="168"/>
      <c r="DD428" s="172"/>
      <c r="DE428" s="172"/>
      <c r="DF428" s="172"/>
      <c r="DG428" s="172"/>
      <c r="DH428" s="172"/>
      <c r="DI428" s="172"/>
      <c r="DJ428" s="172"/>
      <c r="DK428" s="80" t="s">
        <v>1672</v>
      </c>
      <c r="DL428" s="129"/>
      <c r="DM428" s="129"/>
      <c r="DN428" s="129"/>
      <c r="DO428" s="129"/>
      <c r="DP428" s="129"/>
      <c r="DQ428" s="129"/>
      <c r="DR428" s="129"/>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390" t="s">
        <v>1687</v>
      </c>
      <c r="B429" s="225"/>
      <c r="C429" s="225" t="s">
        <v>817</v>
      </c>
      <c r="D429" s="225" t="s">
        <v>1496</v>
      </c>
      <c r="E429" s="225" t="s">
        <v>1497</v>
      </c>
      <c r="F429" s="225" t="s">
        <v>524</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1">
        <f>22*(104/105.4)/1.1195</f>
        <v>19.390602846045564</v>
      </c>
      <c r="Y429" s="391">
        <f t="shared" ref="Y429:AD429" si="342">22*(104/105.4)/1.1195</f>
        <v>19.390602846045564</v>
      </c>
      <c r="Z429" s="391">
        <f t="shared" si="342"/>
        <v>19.390602846045564</v>
      </c>
      <c r="AA429" s="391">
        <f t="shared" si="342"/>
        <v>19.390602846045564</v>
      </c>
      <c r="AB429" s="391">
        <f t="shared" si="342"/>
        <v>19.390602846045564</v>
      </c>
      <c r="AC429" s="391">
        <f t="shared" si="342"/>
        <v>19.390602846045564</v>
      </c>
      <c r="AD429" s="391">
        <f t="shared" si="342"/>
        <v>19.390602846045564</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7"/>
        <v>0</v>
      </c>
      <c r="BV429" s="28"/>
      <c r="BW429" s="28"/>
      <c r="BX429" s="28"/>
      <c r="BY429" s="28"/>
      <c r="BZ429" s="28"/>
      <c r="CA429" s="28"/>
      <c r="CB429" s="364">
        <v>1</v>
      </c>
      <c r="CC429" s="364">
        <f>SUM(CD429,CB429)/2</f>
        <v>36.450000000000003</v>
      </c>
      <c r="CD429" s="364">
        <v>71.900000000000006</v>
      </c>
      <c r="CE429" s="364">
        <f>SUM(CF429,CD429)/2</f>
        <v>71.900000000000006</v>
      </c>
      <c r="CF429" s="364">
        <v>71.900000000000006</v>
      </c>
      <c r="CG429" s="364">
        <f>SUM(CH429,CF429)/2</f>
        <v>71.900000000000006</v>
      </c>
      <c r="CH429" s="364">
        <v>71.900000000000006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6">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37"/>
        <v>0</v>
      </c>
      <c r="BV430" s="27"/>
      <c r="BW430" s="27"/>
      <c r="BX430" s="27"/>
      <c r="BY430" s="27"/>
      <c r="BZ430" s="27"/>
      <c r="CA430" s="27"/>
      <c r="CB430" s="185">
        <v>1000</v>
      </c>
      <c r="CC430" s="185">
        <v>1000</v>
      </c>
      <c r="CD430" s="185">
        <v>1000</v>
      </c>
      <c r="CE430" s="185">
        <v>1000</v>
      </c>
      <c r="CF430" s="185">
        <v>1000</v>
      </c>
      <c r="CG430" s="185">
        <v>1000</v>
      </c>
      <c r="CH430" s="185">
        <v>1000</v>
      </c>
      <c r="CI430" s="173"/>
      <c r="CJ430" s="173"/>
      <c r="CK430" s="173"/>
      <c r="CL430" s="173"/>
      <c r="CM430" s="173"/>
      <c r="CN430" s="173"/>
      <c r="CO430" s="173"/>
      <c r="CP430" s="174"/>
      <c r="CQ430" s="174"/>
      <c r="CR430" s="174"/>
      <c r="CS430" s="174"/>
      <c r="CT430" s="174"/>
      <c r="CU430" s="174"/>
      <c r="CV430" s="174"/>
      <c r="CW430" s="165"/>
      <c r="CX430" s="166"/>
      <c r="CY430" s="166"/>
      <c r="CZ430" s="166"/>
      <c r="DA430" s="166"/>
      <c r="DB430" s="166"/>
      <c r="DC430" s="166"/>
      <c r="DD430" s="171"/>
      <c r="DE430" s="171"/>
      <c r="DF430" s="171"/>
      <c r="DG430" s="171"/>
      <c r="DH430" s="171"/>
      <c r="DI430" s="171"/>
      <c r="DJ430" s="171"/>
      <c r="DK430" s="79" t="s">
        <v>415</v>
      </c>
      <c r="DL430" s="128">
        <v>5000</v>
      </c>
      <c r="DM430" s="128">
        <v>5000</v>
      </c>
      <c r="DN430" s="128">
        <v>5000</v>
      </c>
      <c r="DO430" s="128">
        <v>5000</v>
      </c>
      <c r="DP430" s="128">
        <v>5000</v>
      </c>
      <c r="DQ430" s="128">
        <v>5000</v>
      </c>
      <c r="DR430" s="128">
        <v>5000</v>
      </c>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6">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37"/>
        <v>0</v>
      </c>
      <c r="BV431" s="28"/>
      <c r="BW431" s="28"/>
      <c r="BX431" s="28"/>
      <c r="BY431" s="28"/>
      <c r="BZ431" s="28"/>
      <c r="CA431" s="28"/>
      <c r="CB431" s="185">
        <v>1000</v>
      </c>
      <c r="CC431" s="185">
        <v>1000</v>
      </c>
      <c r="CD431" s="185">
        <v>1000</v>
      </c>
      <c r="CE431" s="185">
        <v>1000</v>
      </c>
      <c r="CF431" s="185">
        <v>1000</v>
      </c>
      <c r="CG431" s="185">
        <v>1000</v>
      </c>
      <c r="CH431" s="185">
        <v>1000</v>
      </c>
      <c r="CI431" s="175"/>
      <c r="CJ431" s="175"/>
      <c r="CK431" s="175"/>
      <c r="CL431" s="175"/>
      <c r="CM431" s="175"/>
      <c r="CN431" s="175"/>
      <c r="CO431" s="175"/>
      <c r="CP431" s="176"/>
      <c r="CQ431" s="176"/>
      <c r="CR431" s="176"/>
      <c r="CS431" s="176"/>
      <c r="CT431" s="176"/>
      <c r="CU431" s="176"/>
      <c r="CV431" s="176"/>
      <c r="CW431" s="167"/>
      <c r="CX431" s="168"/>
      <c r="CY431" s="168"/>
      <c r="CZ431" s="168"/>
      <c r="DA431" s="168"/>
      <c r="DB431" s="168"/>
      <c r="DC431" s="168"/>
      <c r="DD431" s="172"/>
      <c r="DE431" s="172"/>
      <c r="DF431" s="172"/>
      <c r="DG431" s="172"/>
      <c r="DH431" s="172"/>
      <c r="DI431" s="172"/>
      <c r="DJ431" s="172"/>
      <c r="DK431" s="80" t="s">
        <v>415</v>
      </c>
      <c r="DL431" s="129">
        <v>5000</v>
      </c>
      <c r="DM431" s="129">
        <v>5000</v>
      </c>
      <c r="DN431" s="129">
        <v>5000</v>
      </c>
      <c r="DO431" s="129">
        <v>5000</v>
      </c>
      <c r="DP431" s="129">
        <v>5000</v>
      </c>
      <c r="DQ431" s="129">
        <v>5000</v>
      </c>
      <c r="DR431" s="129">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6">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37"/>
        <v>0</v>
      </c>
      <c r="BV432" s="27"/>
      <c r="BW432" s="27"/>
      <c r="BX432" s="27"/>
      <c r="BY432" s="27"/>
      <c r="BZ432" s="27"/>
      <c r="CA432" s="27"/>
      <c r="CB432" s="97">
        <v>1000</v>
      </c>
      <c r="CC432" s="97">
        <f t="shared" ref="CC432:CC433" si="343">ROUND((CB432+CD432)/2,2)</f>
        <v>1000</v>
      </c>
      <c r="CD432" s="97">
        <v>1000</v>
      </c>
      <c r="CE432" s="97">
        <f t="shared" ref="CE432:CE433" si="344">ROUND((CD432+CF432)/2,2)</f>
        <v>1000</v>
      </c>
      <c r="CF432" s="97">
        <f t="shared" ref="CF432:CF433" si="345">ROUND((CD432+CH432)/2,2)</f>
        <v>1000</v>
      </c>
      <c r="CG432" s="97">
        <f t="shared" ref="CG432:CG433" si="346">ROUND((CF432+CH432)/2,2)</f>
        <v>1000</v>
      </c>
      <c r="CH432" s="97">
        <v>1000</v>
      </c>
      <c r="CI432" s="173"/>
      <c r="CJ432" s="173"/>
      <c r="CK432" s="173"/>
      <c r="CL432" s="173"/>
      <c r="CM432" s="173"/>
      <c r="CN432" s="173"/>
      <c r="CO432" s="173"/>
      <c r="CP432" s="174"/>
      <c r="CQ432" s="174"/>
      <c r="CR432" s="174"/>
      <c r="CS432" s="174"/>
      <c r="CT432" s="174"/>
      <c r="CU432" s="174"/>
      <c r="CV432" s="174"/>
      <c r="CW432" s="165"/>
      <c r="CX432" s="166"/>
      <c r="CY432" s="166"/>
      <c r="CZ432" s="166"/>
      <c r="DA432" s="166"/>
      <c r="DB432" s="166"/>
      <c r="DC432" s="166"/>
      <c r="DD432" s="171"/>
      <c r="DE432" s="171"/>
      <c r="DF432" s="171"/>
      <c r="DG432" s="171"/>
      <c r="DH432" s="171"/>
      <c r="DI432" s="171"/>
      <c r="DJ432" s="171"/>
      <c r="DK432" s="79" t="s">
        <v>415</v>
      </c>
      <c r="DL432" s="128">
        <v>1000</v>
      </c>
      <c r="DM432" s="128">
        <v>1000</v>
      </c>
      <c r="DN432" s="128">
        <v>1000</v>
      </c>
      <c r="DO432" s="128">
        <v>1000</v>
      </c>
      <c r="DP432" s="128">
        <v>1000</v>
      </c>
      <c r="DQ432" s="128">
        <v>1000</v>
      </c>
      <c r="DR432" s="128">
        <v>1000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6">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37"/>
        <v>0</v>
      </c>
      <c r="BV433" s="28"/>
      <c r="BW433" s="28"/>
      <c r="BX433" s="28"/>
      <c r="BY433" s="28"/>
      <c r="BZ433" s="28"/>
      <c r="CA433" s="28"/>
      <c r="CB433" s="99">
        <v>20</v>
      </c>
      <c r="CC433" s="99">
        <f t="shared" si="343"/>
        <v>35</v>
      </c>
      <c r="CD433" s="99">
        <v>50</v>
      </c>
      <c r="CE433" s="99">
        <f t="shared" si="344"/>
        <v>87.5</v>
      </c>
      <c r="CF433" s="99">
        <f t="shared" si="345"/>
        <v>125</v>
      </c>
      <c r="CG433" s="99">
        <f t="shared" si="346"/>
        <v>162.5</v>
      </c>
      <c r="CH433" s="99">
        <v>200</v>
      </c>
      <c r="CI433" s="175"/>
      <c r="CJ433" s="175"/>
      <c r="CK433" s="175"/>
      <c r="CL433" s="175"/>
      <c r="CM433" s="175"/>
      <c r="CN433" s="175"/>
      <c r="CO433" s="175"/>
      <c r="CP433" s="176"/>
      <c r="CQ433" s="176"/>
      <c r="CR433" s="176"/>
      <c r="CS433" s="176"/>
      <c r="CT433" s="176"/>
      <c r="CU433" s="176"/>
      <c r="CV433" s="176"/>
      <c r="CW433" s="167"/>
      <c r="CX433" s="168"/>
      <c r="CY433" s="168"/>
      <c r="CZ433" s="168"/>
      <c r="DA433" s="168"/>
      <c r="DB433" s="168"/>
      <c r="DC433" s="168"/>
      <c r="DD433" s="172"/>
      <c r="DE433" s="172"/>
      <c r="DF433" s="172"/>
      <c r="DG433" s="172"/>
      <c r="DH433" s="172"/>
      <c r="DI433" s="172"/>
      <c r="DJ433" s="172"/>
      <c r="DK433" s="80" t="s">
        <v>415</v>
      </c>
      <c r="DL433" s="129">
        <v>200</v>
      </c>
      <c r="DM433" s="129">
        <v>200</v>
      </c>
      <c r="DN433" s="129">
        <v>200</v>
      </c>
      <c r="DO433" s="129">
        <v>200</v>
      </c>
      <c r="DP433" s="129">
        <v>200</v>
      </c>
      <c r="DQ433" s="129">
        <v>200</v>
      </c>
      <c r="DR433" s="129">
        <v>200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6">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37"/>
        <v>0</v>
      </c>
      <c r="BV434" s="27"/>
      <c r="BW434" s="27"/>
      <c r="BX434" s="27"/>
      <c r="BY434" s="27"/>
      <c r="BZ434" s="27"/>
      <c r="CA434" s="27"/>
      <c r="CB434" s="97">
        <v>500</v>
      </c>
      <c r="CC434" s="97">
        <v>500</v>
      </c>
      <c r="CD434" s="97">
        <v>500</v>
      </c>
      <c r="CE434" s="97">
        <v>500</v>
      </c>
      <c r="CF434" s="97">
        <v>500</v>
      </c>
      <c r="CG434" s="97">
        <v>500</v>
      </c>
      <c r="CH434" s="97">
        <v>500</v>
      </c>
      <c r="CI434" s="173"/>
      <c r="CJ434" s="173"/>
      <c r="CK434" s="173"/>
      <c r="CL434" s="173"/>
      <c r="CM434" s="173"/>
      <c r="CN434" s="173"/>
      <c r="CO434" s="173"/>
      <c r="CP434" s="174"/>
      <c r="CQ434" s="174"/>
      <c r="CR434" s="174"/>
      <c r="CS434" s="174"/>
      <c r="CT434" s="174"/>
      <c r="CU434" s="174"/>
      <c r="CV434" s="174"/>
      <c r="CW434" s="165"/>
      <c r="CX434" s="166"/>
      <c r="CY434" s="166"/>
      <c r="CZ434" s="166"/>
      <c r="DA434" s="166"/>
      <c r="DB434" s="166"/>
      <c r="DC434" s="166"/>
      <c r="DD434" s="171"/>
      <c r="DE434" s="171"/>
      <c r="DF434" s="171"/>
      <c r="DG434" s="171"/>
      <c r="DH434" s="171"/>
      <c r="DI434" s="171"/>
      <c r="DJ434" s="171"/>
      <c r="DK434" s="79" t="s">
        <v>415</v>
      </c>
      <c r="DL434" s="128">
        <v>500</v>
      </c>
      <c r="DM434" s="128">
        <v>500</v>
      </c>
      <c r="DN434" s="128">
        <v>500</v>
      </c>
      <c r="DO434" s="128">
        <v>500</v>
      </c>
      <c r="DP434" s="128">
        <v>500</v>
      </c>
      <c r="DQ434" s="128">
        <v>500</v>
      </c>
      <c r="DR434" s="128">
        <v>500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6">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37"/>
        <v>0</v>
      </c>
      <c r="BV435" s="28"/>
      <c r="BW435" s="28"/>
      <c r="BX435" s="28"/>
      <c r="BY435" s="28"/>
      <c r="BZ435" s="28"/>
      <c r="CA435" s="28"/>
      <c r="CB435" s="185">
        <v>500</v>
      </c>
      <c r="CC435" s="185">
        <v>500</v>
      </c>
      <c r="CD435" s="185">
        <v>500</v>
      </c>
      <c r="CE435" s="185">
        <v>500</v>
      </c>
      <c r="CF435" s="185">
        <v>500</v>
      </c>
      <c r="CG435" s="185">
        <v>500</v>
      </c>
      <c r="CH435" s="185">
        <v>500</v>
      </c>
      <c r="CI435" s="175"/>
      <c r="CJ435" s="175"/>
      <c r="CK435" s="175"/>
      <c r="CL435" s="175"/>
      <c r="CM435" s="175"/>
      <c r="CN435" s="175"/>
      <c r="CO435" s="175"/>
      <c r="CP435" s="176"/>
      <c r="CQ435" s="176"/>
      <c r="CR435" s="176"/>
      <c r="CS435" s="176"/>
      <c r="CT435" s="176"/>
      <c r="CU435" s="176"/>
      <c r="CV435" s="176"/>
      <c r="CW435" s="167"/>
      <c r="CX435" s="168"/>
      <c r="CY435" s="168"/>
      <c r="CZ435" s="168"/>
      <c r="DA435" s="168"/>
      <c r="DB435" s="168"/>
      <c r="DC435" s="168"/>
      <c r="DD435" s="172"/>
      <c r="DE435" s="172"/>
      <c r="DF435" s="172"/>
      <c r="DG435" s="172"/>
      <c r="DH435" s="172"/>
      <c r="DI435" s="172"/>
      <c r="DJ435" s="172"/>
      <c r="DK435" s="80" t="s">
        <v>415</v>
      </c>
      <c r="DL435" s="129">
        <v>500</v>
      </c>
      <c r="DM435" s="129">
        <v>500</v>
      </c>
      <c r="DN435" s="129">
        <v>500</v>
      </c>
      <c r="DO435" s="129">
        <v>500</v>
      </c>
      <c r="DP435" s="129">
        <v>500</v>
      </c>
      <c r="DQ435" s="129">
        <v>500</v>
      </c>
      <c r="DR435" s="129">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6">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37"/>
        <v>0</v>
      </c>
      <c r="BV436" s="27"/>
      <c r="BW436" s="27"/>
      <c r="BX436" s="27"/>
      <c r="BY436" s="27"/>
      <c r="BZ436" s="27"/>
      <c r="CA436" s="27"/>
      <c r="CB436" s="185">
        <v>500</v>
      </c>
      <c r="CC436" s="185">
        <v>500</v>
      </c>
      <c r="CD436" s="185">
        <v>500</v>
      </c>
      <c r="CE436" s="185">
        <v>500</v>
      </c>
      <c r="CF436" s="185">
        <v>500</v>
      </c>
      <c r="CG436" s="185">
        <v>500</v>
      </c>
      <c r="CH436" s="185">
        <v>500</v>
      </c>
      <c r="CI436" s="173"/>
      <c r="CJ436" s="173"/>
      <c r="CK436" s="173"/>
      <c r="CL436" s="173"/>
      <c r="CM436" s="173"/>
      <c r="CN436" s="173"/>
      <c r="CO436" s="173"/>
      <c r="CP436" s="174"/>
      <c r="CQ436" s="174"/>
      <c r="CR436" s="174"/>
      <c r="CS436" s="174"/>
      <c r="CT436" s="174"/>
      <c r="CU436" s="174"/>
      <c r="CV436" s="174"/>
      <c r="CW436" s="165"/>
      <c r="CX436" s="166"/>
      <c r="CY436" s="166"/>
      <c r="CZ436" s="166"/>
      <c r="DA436" s="166"/>
      <c r="DB436" s="166"/>
      <c r="DC436" s="166"/>
      <c r="DD436" s="171"/>
      <c r="DE436" s="171"/>
      <c r="DF436" s="171"/>
      <c r="DG436" s="171"/>
      <c r="DH436" s="171"/>
      <c r="DI436" s="171"/>
      <c r="DJ436" s="171"/>
      <c r="DK436" s="79" t="s">
        <v>415</v>
      </c>
      <c r="DL436" s="128">
        <v>500</v>
      </c>
      <c r="DM436" s="128">
        <v>500</v>
      </c>
      <c r="DN436" s="128">
        <v>500</v>
      </c>
      <c r="DO436" s="128">
        <v>500</v>
      </c>
      <c r="DP436" s="128">
        <v>500</v>
      </c>
      <c r="DQ436" s="128">
        <v>500</v>
      </c>
      <c r="DR436" s="128">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7"/>
        <v>0</v>
      </c>
      <c r="BV437" s="27"/>
      <c r="BW437" s="27"/>
      <c r="BX437" s="27"/>
      <c r="BY437" s="27"/>
      <c r="BZ437" s="27"/>
      <c r="CA437" s="27"/>
      <c r="CB437" s="185">
        <v>50</v>
      </c>
      <c r="CC437" s="185">
        <v>50</v>
      </c>
      <c r="CD437" s="185">
        <v>50</v>
      </c>
      <c r="CE437" s="185">
        <v>50</v>
      </c>
      <c r="CF437" s="185">
        <v>50</v>
      </c>
      <c r="CG437" s="185">
        <v>50</v>
      </c>
      <c r="CH437" s="185">
        <v>50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7"/>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47">Y440*0.1</f>
        <v>6.4098324994561686</v>
      </c>
      <c r="Z439" s="101">
        <f t="shared" si="347"/>
        <v>6.4098324994561686</v>
      </c>
      <c r="AA439" s="101">
        <f t="shared" si="347"/>
        <v>6.4098324994561686</v>
      </c>
      <c r="AB439" s="101">
        <f t="shared" si="347"/>
        <v>6.4098324994561686</v>
      </c>
      <c r="AC439" s="101">
        <f t="shared" si="347"/>
        <v>6.4098324994561686</v>
      </c>
      <c r="AD439" s="101">
        <f t="shared" si="347"/>
        <v>6.4098324994561686</v>
      </c>
      <c r="AE439" s="186">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7"/>
        <v>0</v>
      </c>
      <c r="BV439" s="27"/>
      <c r="BW439" s="27"/>
      <c r="BX439" s="27"/>
      <c r="BY439" s="27"/>
      <c r="BZ439" s="27"/>
      <c r="CA439" s="27"/>
      <c r="CB439" s="185">
        <v>10</v>
      </c>
      <c r="CC439" s="185">
        <v>10</v>
      </c>
      <c r="CD439" s="185">
        <v>10</v>
      </c>
      <c r="CE439" s="185">
        <v>10</v>
      </c>
      <c r="CF439" s="185">
        <v>10</v>
      </c>
      <c r="CG439" s="185">
        <v>10</v>
      </c>
      <c r="CH439" s="185">
        <v>10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c r="DL439" s="128"/>
      <c r="DM439" s="128"/>
      <c r="DN439" s="128"/>
      <c r="DO439" s="128"/>
      <c r="DP439" s="128"/>
      <c r="DQ439" s="128"/>
      <c r="DR439" s="128"/>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7"/>
        <v>0</v>
      </c>
      <c r="BV440" s="27"/>
      <c r="BW440" s="27"/>
      <c r="BX440" s="27"/>
      <c r="BY440" s="27"/>
      <c r="BZ440" s="27"/>
      <c r="CA440" s="27"/>
      <c r="CB440" s="185">
        <v>0.55100000000000005</v>
      </c>
      <c r="CC440" s="185">
        <v>0.55100000000000005</v>
      </c>
      <c r="CD440" s="185">
        <v>0.55100000000000005</v>
      </c>
      <c r="CE440" s="185">
        <v>0.55100000000000005</v>
      </c>
      <c r="CF440" s="185">
        <v>0.55100000000000005</v>
      </c>
      <c r="CG440" s="185">
        <v>0.55100000000000005</v>
      </c>
      <c r="CH440" s="185">
        <v>0.55100000000000005</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5">
        <v>5</v>
      </c>
      <c r="CC441" s="185">
        <v>5</v>
      </c>
      <c r="CD441" s="185">
        <v>5</v>
      </c>
      <c r="CE441" s="185">
        <v>5</v>
      </c>
      <c r="CF441" s="185">
        <v>5</v>
      </c>
      <c r="CG441" s="185">
        <v>5</v>
      </c>
      <c r="CH441" s="185">
        <v>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48">J442</f>
        <v>106.72488960075711</v>
      </c>
      <c r="L442" s="101">
        <f t="shared" si="348"/>
        <v>106.72488960075711</v>
      </c>
      <c r="M442" s="101">
        <f t="shared" si="348"/>
        <v>106.72488960075711</v>
      </c>
      <c r="N442" s="101">
        <f t="shared" si="348"/>
        <v>106.72488960075711</v>
      </c>
      <c r="O442" s="101">
        <f t="shared" si="348"/>
        <v>106.72488960075711</v>
      </c>
      <c r="P442" s="93"/>
      <c r="Q442" s="101">
        <f>I442*0.05</f>
        <v>5.3362444800378555</v>
      </c>
      <c r="R442" s="101">
        <f t="shared" ref="R442:W442" si="349">J442*0.05</f>
        <v>5.3362444800378555</v>
      </c>
      <c r="S442" s="101">
        <f t="shared" si="349"/>
        <v>5.3362444800378555</v>
      </c>
      <c r="T442" s="101">
        <f t="shared" si="349"/>
        <v>5.3362444800378555</v>
      </c>
      <c r="U442" s="101">
        <f t="shared" si="349"/>
        <v>5.3362444800378555</v>
      </c>
      <c r="V442" s="101">
        <f t="shared" si="349"/>
        <v>5.3362444800378555</v>
      </c>
      <c r="W442" s="101">
        <f t="shared" si="349"/>
        <v>5.3362444800378555</v>
      </c>
      <c r="X442" s="101">
        <v>0</v>
      </c>
      <c r="Y442" s="101">
        <v>0</v>
      </c>
      <c r="Z442" s="101">
        <v>0</v>
      </c>
      <c r="AA442" s="101">
        <v>0</v>
      </c>
      <c r="AB442" s="101">
        <v>0</v>
      </c>
      <c r="AC442" s="101">
        <v>0</v>
      </c>
      <c r="AD442" s="101">
        <v>0</v>
      </c>
      <c r="AE442" s="186">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7</v>
      </c>
      <c r="CC442" s="185">
        <f>CB442</f>
        <v>7</v>
      </c>
      <c r="CD442" s="185">
        <f t="shared" ref="CD442:CH442" si="350">CC442</f>
        <v>7</v>
      </c>
      <c r="CE442" s="185">
        <f t="shared" si="350"/>
        <v>7</v>
      </c>
      <c r="CF442" s="185">
        <f t="shared" si="350"/>
        <v>7</v>
      </c>
      <c r="CG442" s="185">
        <f t="shared" si="350"/>
        <v>7</v>
      </c>
      <c r="CH442" s="185">
        <f t="shared" si="350"/>
        <v>7</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s="211" customFormat="1" x14ac:dyDescent="0.35">
      <c r="A443" s="211" t="s">
        <v>2048</v>
      </c>
      <c r="C443" s="6" t="s">
        <v>817</v>
      </c>
      <c r="D443" s="211" t="s">
        <v>419</v>
      </c>
      <c r="E443" s="211" t="s">
        <v>2049</v>
      </c>
      <c r="F443" s="211" t="s">
        <v>2022</v>
      </c>
      <c r="G443" s="356" t="s">
        <v>2050</v>
      </c>
      <c r="H443" s="356" t="s">
        <v>2051</v>
      </c>
      <c r="I443" s="211">
        <v>0</v>
      </c>
      <c r="J443" s="211">
        <v>0</v>
      </c>
      <c r="K443" s="211">
        <v>0</v>
      </c>
      <c r="L443" s="211">
        <v>0</v>
      </c>
      <c r="M443" s="211">
        <v>0</v>
      </c>
      <c r="N443" s="211">
        <v>0</v>
      </c>
      <c r="O443" s="211">
        <v>0</v>
      </c>
      <c r="Q443" s="211">
        <v>0</v>
      </c>
      <c r="R443" s="211">
        <v>0</v>
      </c>
      <c r="S443" s="211">
        <v>0</v>
      </c>
      <c r="T443" s="211">
        <v>0</v>
      </c>
      <c r="U443" s="211">
        <v>0</v>
      </c>
      <c r="V443" s="211">
        <v>0</v>
      </c>
      <c r="W443" s="211">
        <v>0</v>
      </c>
      <c r="X443" s="211">
        <f>[1]Commodity_prices_MEUR2019!C$42</f>
        <v>9.6087766700829214</v>
      </c>
      <c r="Y443" s="211">
        <f>[1]Commodity_prices_MEUR2019!D$42</f>
        <v>9.6087766700829214</v>
      </c>
      <c r="Z443" s="211">
        <f>[1]Commodity_prices_MEUR2019!E$42</f>
        <v>9.6087766700829214</v>
      </c>
      <c r="AA443" s="211">
        <f>[1]Commodity_prices_MEUR2019!F$42</f>
        <v>9.6087766700829214</v>
      </c>
      <c r="AB443" s="211">
        <f>[1]Commodity_prices_MEUR2019!G$42</f>
        <v>9.6087766700829214</v>
      </c>
      <c r="AC443" s="211">
        <f>[1]Commodity_prices_MEUR2019!H$42</f>
        <v>9.6087766700829214</v>
      </c>
      <c r="AD443" s="211">
        <f>[1]Commodity_prices_MEUR2019!I$42</f>
        <v>9.6087766700829214</v>
      </c>
      <c r="AE443" s="186">
        <v>0.08</v>
      </c>
      <c r="AG443" s="211">
        <v>1</v>
      </c>
      <c r="AH443" s="211">
        <v>1</v>
      </c>
      <c r="AI443" s="211">
        <v>1</v>
      </c>
      <c r="AJ443" s="211" t="s">
        <v>662</v>
      </c>
      <c r="AK443" s="211" t="s">
        <v>745</v>
      </c>
      <c r="AY443" s="211" t="s">
        <v>662</v>
      </c>
      <c r="BN443" s="211">
        <v>11</v>
      </c>
      <c r="BU443" s="211">
        <v>0</v>
      </c>
      <c r="CB443" s="211">
        <f>16.3-11.019</f>
        <v>5.2810000000000006</v>
      </c>
      <c r="CC443" s="211">
        <f t="shared" ref="CC443:CH443" si="351">16.3-11.019</f>
        <v>5.2810000000000006</v>
      </c>
      <c r="CD443" s="211">
        <f t="shared" si="351"/>
        <v>5.2810000000000006</v>
      </c>
      <c r="CE443" s="211">
        <f t="shared" si="351"/>
        <v>5.2810000000000006</v>
      </c>
      <c r="CF443" s="211">
        <f t="shared" si="351"/>
        <v>5.2810000000000006</v>
      </c>
      <c r="CG443" s="211">
        <f t="shared" si="351"/>
        <v>5.2810000000000006</v>
      </c>
      <c r="CH443" s="211">
        <f t="shared" si="351"/>
        <v>5.2810000000000006</v>
      </c>
      <c r="CW443" s="356"/>
      <c r="CX443" s="356"/>
      <c r="CY443" s="356"/>
      <c r="CZ443" s="356"/>
      <c r="DA443" s="356"/>
      <c r="DB443" s="356"/>
      <c r="DC443" s="356"/>
      <c r="DD443" s="356"/>
      <c r="DE443" s="356"/>
      <c r="DF443" s="356"/>
      <c r="DG443" s="356"/>
      <c r="DH443" s="356"/>
      <c r="DI443" s="356"/>
      <c r="DJ443" s="356"/>
      <c r="DL443" s="356"/>
      <c r="DM443" s="356"/>
      <c r="DN443" s="356"/>
      <c r="DO443" s="356"/>
      <c r="DP443" s="356"/>
      <c r="DQ443" s="356"/>
      <c r="DR443" s="356"/>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x14ac:dyDescent="0.35">
      <c r="A444" s="211" t="s">
        <v>2052</v>
      </c>
      <c r="B444" s="211"/>
      <c r="C444" s="5" t="s">
        <v>817</v>
      </c>
      <c r="D444" s="211" t="s">
        <v>419</v>
      </c>
      <c r="E444" s="211" t="s">
        <v>2049</v>
      </c>
      <c r="F444" s="211" t="s">
        <v>2030</v>
      </c>
      <c r="G444" s="356" t="s">
        <v>2053</v>
      </c>
      <c r="H444" s="356" t="s">
        <v>2054</v>
      </c>
      <c r="I444" s="211">
        <v>0</v>
      </c>
      <c r="J444" s="211">
        <v>0</v>
      </c>
      <c r="K444" s="211">
        <v>0</v>
      </c>
      <c r="L444" s="211">
        <v>0</v>
      </c>
      <c r="M444" s="211">
        <v>0</v>
      </c>
      <c r="N444" s="211">
        <v>0</v>
      </c>
      <c r="O444" s="211">
        <v>0</v>
      </c>
      <c r="P444" s="211"/>
      <c r="Q444" s="211">
        <v>0</v>
      </c>
      <c r="R444" s="211">
        <v>0</v>
      </c>
      <c r="S444" s="211">
        <v>0</v>
      </c>
      <c r="T444" s="211">
        <v>0</v>
      </c>
      <c r="U444" s="211">
        <v>0</v>
      </c>
      <c r="V444" s="211">
        <v>0</v>
      </c>
      <c r="W444" s="211">
        <v>0</v>
      </c>
      <c r="X444" s="211">
        <f>X443/2</f>
        <v>4.8043883350414607</v>
      </c>
      <c r="Y444" s="211">
        <f t="shared" ref="Y444:AD444" si="352">Y443/2</f>
        <v>4.8043883350414607</v>
      </c>
      <c r="Z444" s="211">
        <f t="shared" si="352"/>
        <v>4.8043883350414607</v>
      </c>
      <c r="AA444" s="211">
        <f t="shared" si="352"/>
        <v>4.8043883350414607</v>
      </c>
      <c r="AB444" s="211">
        <f t="shared" si="352"/>
        <v>4.8043883350414607</v>
      </c>
      <c r="AC444" s="211">
        <f t="shared" si="352"/>
        <v>4.8043883350414607</v>
      </c>
      <c r="AD444" s="211">
        <f t="shared" si="352"/>
        <v>4.8043883350414607</v>
      </c>
      <c r="AE444" s="186">
        <v>0.08</v>
      </c>
      <c r="AF444" s="211"/>
      <c r="AG444" s="211">
        <v>1</v>
      </c>
      <c r="AH444" s="211">
        <v>1</v>
      </c>
      <c r="AI444" s="211">
        <v>1</v>
      </c>
      <c r="AJ444" s="211" t="s">
        <v>662</v>
      </c>
      <c r="AK444" s="211" t="s">
        <v>745</v>
      </c>
      <c r="AL444" s="211"/>
      <c r="AM444" s="211"/>
      <c r="AN444" s="211"/>
      <c r="AO444" s="211"/>
      <c r="AP444" s="211"/>
      <c r="AQ444" s="211"/>
      <c r="AR444" s="211"/>
      <c r="AS444" s="211"/>
      <c r="AT444" s="211"/>
      <c r="AU444" s="211"/>
      <c r="AV444" s="211"/>
      <c r="AW444" s="211"/>
      <c r="AX444" s="211"/>
      <c r="AY444" s="211" t="s">
        <v>662</v>
      </c>
      <c r="AZ444" s="211"/>
      <c r="BA444" s="211"/>
      <c r="BB444" s="211"/>
      <c r="BC444" s="211"/>
      <c r="BD444" s="211"/>
      <c r="BE444" s="211"/>
      <c r="BF444" s="211"/>
      <c r="BG444" s="211"/>
      <c r="BH444" s="211"/>
      <c r="BI444" s="211"/>
      <c r="BJ444" s="211"/>
      <c r="BK444" s="211"/>
      <c r="BL444" s="211"/>
      <c r="BM444" s="211"/>
      <c r="BN444" s="211">
        <v>0</v>
      </c>
      <c r="BO444" s="211"/>
      <c r="BP444" s="211"/>
      <c r="BQ444" s="211"/>
      <c r="BR444" s="211"/>
      <c r="BS444" s="211"/>
      <c r="BT444" s="211"/>
      <c r="BU444" s="211">
        <v>0</v>
      </c>
      <c r="BV444" s="211"/>
      <c r="BW444" s="211"/>
      <c r="BX444" s="211"/>
      <c r="BY444" s="211"/>
      <c r="BZ444" s="211"/>
      <c r="CA444" s="211"/>
      <c r="CB444" s="211">
        <v>0.02</v>
      </c>
      <c r="CC444" s="211">
        <v>0.02</v>
      </c>
      <c r="CD444" s="211">
        <v>0.02</v>
      </c>
      <c r="CE444" s="211">
        <v>0.02</v>
      </c>
      <c r="CF444" s="211">
        <v>0.02</v>
      </c>
      <c r="CG444" s="211">
        <v>0.02</v>
      </c>
      <c r="CH444" s="211">
        <v>0.02</v>
      </c>
      <c r="CI444" s="211"/>
      <c r="CJ444" s="211"/>
      <c r="CK444" s="211"/>
      <c r="CL444" s="211"/>
      <c r="CM444" s="211"/>
      <c r="CN444" s="211"/>
      <c r="CO444" s="211"/>
      <c r="CP444" s="211"/>
      <c r="CQ444" s="211"/>
      <c r="CR444" s="211"/>
      <c r="CS444" s="211"/>
      <c r="CT444" s="211"/>
      <c r="CU444" s="211"/>
      <c r="CV444" s="211"/>
      <c r="CW444" s="356"/>
      <c r="CX444" s="356"/>
      <c r="CY444" s="356"/>
      <c r="CZ444" s="356"/>
      <c r="DA444" s="356"/>
      <c r="DB444" s="356"/>
      <c r="DC444" s="356"/>
      <c r="DD444" s="356"/>
      <c r="DE444" s="356"/>
      <c r="DF444" s="356"/>
      <c r="DG444" s="356"/>
      <c r="DH444" s="356"/>
      <c r="DI444" s="356"/>
      <c r="DJ444" s="356"/>
      <c r="DK444" s="211"/>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2055</v>
      </c>
      <c r="B445" s="211" t="s">
        <v>740</v>
      </c>
      <c r="C445" s="211" t="s">
        <v>655</v>
      </c>
      <c r="D445" s="211" t="s">
        <v>741</v>
      </c>
      <c r="E445" s="211" t="s">
        <v>2056</v>
      </c>
      <c r="F445" s="211" t="s">
        <v>2017</v>
      </c>
      <c r="G445" s="356" t="s">
        <v>2057</v>
      </c>
      <c r="H445" s="356" t="s">
        <v>2058</v>
      </c>
      <c r="I445" s="395">
        <f>(7.78*((30*2400*8760)/10^9)*(138/115)/78.8)</f>
        <v>7.4725912690355334E-2</v>
      </c>
      <c r="J445" s="395">
        <f t="shared" ref="J445:O445" si="353">(7.78*((30*2400*8760)/10^9)*(138/115)/78.8)</f>
        <v>7.4725912690355334E-2</v>
      </c>
      <c r="K445" s="395">
        <f t="shared" si="353"/>
        <v>7.4725912690355334E-2</v>
      </c>
      <c r="L445" s="395">
        <f t="shared" si="353"/>
        <v>7.4725912690355334E-2</v>
      </c>
      <c r="M445" s="395">
        <f t="shared" si="353"/>
        <v>7.4725912690355334E-2</v>
      </c>
      <c r="N445" s="395">
        <f t="shared" si="353"/>
        <v>7.4725912690355334E-2</v>
      </c>
      <c r="O445" s="395">
        <f t="shared" si="353"/>
        <v>7.4725912690355334E-2</v>
      </c>
      <c r="P445" s="211"/>
      <c r="Q445" s="211">
        <f>I445*0.05</f>
        <v>3.736295634517767E-3</v>
      </c>
      <c r="R445" s="211">
        <f t="shared" ref="R445:W447" si="354">J445*0.05</f>
        <v>3.736295634517767E-3</v>
      </c>
      <c r="S445" s="211">
        <f t="shared" si="354"/>
        <v>3.736295634517767E-3</v>
      </c>
      <c r="T445" s="211">
        <f t="shared" si="354"/>
        <v>3.736295634517767E-3</v>
      </c>
      <c r="U445" s="211">
        <f t="shared" si="354"/>
        <v>3.736295634517767E-3</v>
      </c>
      <c r="V445" s="211">
        <f t="shared" si="354"/>
        <v>3.736295634517767E-3</v>
      </c>
      <c r="W445" s="211">
        <f t="shared" si="354"/>
        <v>3.736295634517767E-3</v>
      </c>
      <c r="X445" s="211">
        <v>0</v>
      </c>
      <c r="Y445" s="211">
        <v>0</v>
      </c>
      <c r="Z445" s="211">
        <v>0</v>
      </c>
      <c r="AA445" s="211">
        <v>0</v>
      </c>
      <c r="AB445" s="211">
        <v>0</v>
      </c>
      <c r="AC445" s="211">
        <v>0</v>
      </c>
      <c r="AD445" s="211">
        <v>0</v>
      </c>
      <c r="AE445" s="186">
        <v>0.08</v>
      </c>
      <c r="AF445" s="211"/>
      <c r="AG445" s="211">
        <v>30</v>
      </c>
      <c r="AH445" s="211">
        <v>30</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31.2</v>
      </c>
      <c r="BO445" s="211"/>
      <c r="BP445" s="211"/>
      <c r="BQ445" s="211"/>
      <c r="BR445" s="211"/>
      <c r="BS445" s="211"/>
      <c r="BT445" s="211"/>
      <c r="BU445" s="211">
        <v>0</v>
      </c>
      <c r="BV445" s="211"/>
      <c r="BW445" s="211"/>
      <c r="BX445" s="211"/>
      <c r="BY445" s="211"/>
      <c r="BZ445" s="211"/>
      <c r="CA445" s="211"/>
      <c r="CB445" s="396">
        <v>35</v>
      </c>
      <c r="CC445" s="396">
        <v>35</v>
      </c>
      <c r="CD445" s="396">
        <v>35</v>
      </c>
      <c r="CE445" s="396">
        <v>35</v>
      </c>
      <c r="CF445" s="396">
        <v>35</v>
      </c>
      <c r="CG445" s="396">
        <v>35</v>
      </c>
      <c r="CH445" s="396">
        <v>35</v>
      </c>
      <c r="CI445" s="211"/>
      <c r="CJ445" s="211"/>
      <c r="CK445" s="211"/>
      <c r="CL445" s="211"/>
      <c r="CM445" s="211"/>
      <c r="CN445" s="211"/>
      <c r="CO445" s="211"/>
      <c r="CP445" s="396"/>
      <c r="CQ445" s="396"/>
      <c r="CR445" s="396"/>
      <c r="CS445" s="396"/>
      <c r="CT445" s="396"/>
      <c r="CU445" s="396"/>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2059</v>
      </c>
      <c r="B446" s="211" t="s">
        <v>740</v>
      </c>
      <c r="C446" s="211" t="s">
        <v>655</v>
      </c>
      <c r="D446" s="211" t="s">
        <v>741</v>
      </c>
      <c r="E446" s="211" t="s">
        <v>2056</v>
      </c>
      <c r="F446" s="211" t="s">
        <v>2017</v>
      </c>
      <c r="G446" s="356" t="s">
        <v>2060</v>
      </c>
      <c r="H446" s="356" t="s">
        <v>2058</v>
      </c>
      <c r="I446" s="211">
        <f>I445*2</f>
        <v>0.14945182538071067</v>
      </c>
      <c r="J446" s="211">
        <f t="shared" ref="J446:O446" si="355">J445*2</f>
        <v>0.14945182538071067</v>
      </c>
      <c r="K446" s="211">
        <f t="shared" si="355"/>
        <v>0.14945182538071067</v>
      </c>
      <c r="L446" s="211">
        <f t="shared" si="355"/>
        <v>0.14945182538071067</v>
      </c>
      <c r="M446" s="211">
        <f t="shared" si="355"/>
        <v>0.14945182538071067</v>
      </c>
      <c r="N446" s="211">
        <f t="shared" si="355"/>
        <v>0.14945182538071067</v>
      </c>
      <c r="O446" s="211">
        <f t="shared" si="355"/>
        <v>0.14945182538071067</v>
      </c>
      <c r="P446" s="211"/>
      <c r="Q446" s="211">
        <f>I446*0.05</f>
        <v>7.4725912690355341E-3</v>
      </c>
      <c r="R446" s="211">
        <f t="shared" si="354"/>
        <v>7.4725912690355341E-3</v>
      </c>
      <c r="S446" s="211">
        <f t="shared" si="354"/>
        <v>7.4725912690355341E-3</v>
      </c>
      <c r="T446" s="211">
        <f t="shared" si="354"/>
        <v>7.4725912690355341E-3</v>
      </c>
      <c r="U446" s="211">
        <f t="shared" si="354"/>
        <v>7.4725912690355341E-3</v>
      </c>
      <c r="V446" s="211">
        <f t="shared" si="354"/>
        <v>7.4725912690355341E-3</v>
      </c>
      <c r="W446" s="211">
        <f t="shared" si="354"/>
        <v>7.4725912690355341E-3</v>
      </c>
      <c r="X446" s="211">
        <v>0</v>
      </c>
      <c r="Y446" s="211">
        <v>0</v>
      </c>
      <c r="Z446" s="211">
        <v>0</v>
      </c>
      <c r="AA446" s="211">
        <v>0</v>
      </c>
      <c r="AB446" s="211">
        <v>0</v>
      </c>
      <c r="AC446" s="211">
        <v>0</v>
      </c>
      <c r="AD446" s="211">
        <v>0</v>
      </c>
      <c r="AE446" s="186">
        <v>0.08</v>
      </c>
      <c r="AF446" s="211"/>
      <c r="AG446" s="211">
        <v>1</v>
      </c>
      <c r="AH446" s="211">
        <v>1</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c r="BO446" s="211"/>
      <c r="BP446" s="211"/>
      <c r="BQ446" s="211"/>
      <c r="BR446" s="211"/>
      <c r="BS446" s="211"/>
      <c r="BT446" s="211"/>
      <c r="BU446" s="211">
        <v>0</v>
      </c>
      <c r="BV446" s="211"/>
      <c r="BW446" s="211"/>
      <c r="BX446" s="211"/>
      <c r="BY446" s="211"/>
      <c r="BZ446" s="211"/>
      <c r="CA446" s="211"/>
      <c r="CB446" s="397">
        <v>0</v>
      </c>
      <c r="CC446" s="397">
        <f>(350*10^3*2.4)/10^6*0.1</f>
        <v>8.4000000000000005E-2</v>
      </c>
      <c r="CD446" s="397">
        <f>(350*10^3*2.4*2)/10^6*0.1</f>
        <v>0.16800000000000001</v>
      </c>
      <c r="CE446" s="397">
        <f>CD446*1.25</f>
        <v>0.21000000000000002</v>
      </c>
      <c r="CF446" s="397">
        <f>CD446*1.5</f>
        <v>0.252</v>
      </c>
      <c r="CG446" s="397">
        <f>CD446*1.75</f>
        <v>0.29400000000000004</v>
      </c>
      <c r="CH446" s="397">
        <f>(350*10^3*2.4*4)/10^6*0.1</f>
        <v>0.33600000000000002</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2056</v>
      </c>
      <c r="F447" s="211" t="s">
        <v>2017</v>
      </c>
      <c r="G447" s="356" t="s">
        <v>2062</v>
      </c>
      <c r="H447" s="356" t="s">
        <v>2058</v>
      </c>
      <c r="I447" s="211">
        <f>2*I445</f>
        <v>0.14945182538071067</v>
      </c>
      <c r="J447" s="211">
        <f t="shared" ref="J447:O447" si="356">2*J445</f>
        <v>0.14945182538071067</v>
      </c>
      <c r="K447" s="211">
        <f t="shared" si="356"/>
        <v>0.14945182538071067</v>
      </c>
      <c r="L447" s="211">
        <f t="shared" si="356"/>
        <v>0.14945182538071067</v>
      </c>
      <c r="M447" s="211">
        <f t="shared" si="356"/>
        <v>0.14945182538071067</v>
      </c>
      <c r="N447" s="211">
        <f t="shared" si="356"/>
        <v>0.14945182538071067</v>
      </c>
      <c r="O447" s="211">
        <f t="shared" si="356"/>
        <v>0.14945182538071067</v>
      </c>
      <c r="P447" s="211"/>
      <c r="Q447" s="211">
        <f>I447*0.05</f>
        <v>7.4725912690355341E-3</v>
      </c>
      <c r="R447" s="211">
        <f t="shared" si="354"/>
        <v>7.4725912690355341E-3</v>
      </c>
      <c r="S447" s="211">
        <f t="shared" si="354"/>
        <v>7.4725912690355341E-3</v>
      </c>
      <c r="T447" s="211">
        <f t="shared" si="354"/>
        <v>7.4725912690355341E-3</v>
      </c>
      <c r="U447" s="211">
        <f t="shared" si="354"/>
        <v>7.4725912690355341E-3</v>
      </c>
      <c r="V447" s="211">
        <f t="shared" si="354"/>
        <v>7.4725912690355341E-3</v>
      </c>
      <c r="W447" s="211">
        <f t="shared" si="354"/>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(75*10^3*6)/10^6*0.1</f>
        <v>4.5000000000000005E-2</v>
      </c>
      <c r="CD447" s="397">
        <f t="shared" ref="CD447:CH447" si="357">(75*10^3*6)/10^6*0.1</f>
        <v>4.5000000000000005E-2</v>
      </c>
      <c r="CE447" s="397">
        <f t="shared" si="357"/>
        <v>4.5000000000000005E-2</v>
      </c>
      <c r="CF447" s="397">
        <f t="shared" si="357"/>
        <v>4.5000000000000005E-2</v>
      </c>
      <c r="CG447" s="397">
        <f t="shared" si="357"/>
        <v>4.5000000000000005E-2</v>
      </c>
      <c r="CH447" s="397">
        <f t="shared" si="357"/>
        <v>4.5000000000000005E-2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43" t="s">
        <v>2063</v>
      </c>
      <c r="B448" s="243"/>
      <c r="C448" s="6" t="s">
        <v>817</v>
      </c>
      <c r="D448" s="243" t="s">
        <v>419</v>
      </c>
      <c r="E448" s="243" t="s">
        <v>1697</v>
      </c>
      <c r="F448" s="211" t="s">
        <v>2024</v>
      </c>
      <c r="G448" s="211" t="s">
        <v>2064</v>
      </c>
      <c r="H448" s="356" t="s">
        <v>2065</v>
      </c>
      <c r="I448" s="211">
        <v>0</v>
      </c>
      <c r="J448" s="211">
        <v>0</v>
      </c>
      <c r="K448" s="211">
        <v>0</v>
      </c>
      <c r="L448" s="211">
        <v>0</v>
      </c>
      <c r="M448" s="211">
        <v>0</v>
      </c>
      <c r="N448" s="211">
        <v>0</v>
      </c>
      <c r="O448" s="211">
        <v>0</v>
      </c>
      <c r="P448" s="211"/>
      <c r="Q448" s="211">
        <v>0</v>
      </c>
      <c r="R448" s="211">
        <v>0</v>
      </c>
      <c r="S448" s="211">
        <v>0</v>
      </c>
      <c r="T448" s="211">
        <v>0</v>
      </c>
      <c r="U448" s="211">
        <v>0</v>
      </c>
      <c r="V448" s="211">
        <v>0</v>
      </c>
      <c r="W448" s="211">
        <v>0</v>
      </c>
      <c r="X448" s="211">
        <f>[1]Commodity_prices_MEUR2019!C$44</f>
        <v>16.297184400363882</v>
      </c>
      <c r="Y448" s="211">
        <f>[1]Commodity_prices_MEUR2019!D$44</f>
        <v>16.297184400363882</v>
      </c>
      <c r="Z448" s="211">
        <f>[1]Commodity_prices_MEUR2019!E$44</f>
        <v>16.297184400363882</v>
      </c>
      <c r="AA448" s="211">
        <f>[1]Commodity_prices_MEUR2019!F$44</f>
        <v>16.297184400363882</v>
      </c>
      <c r="AB448" s="211">
        <f>[1]Commodity_prices_MEUR2019!G$44</f>
        <v>16.297184400363882</v>
      </c>
      <c r="AC448" s="211">
        <f>[1]Commodity_prices_MEUR2019!H$44</f>
        <v>16.297184400363882</v>
      </c>
      <c r="AD448" s="211">
        <f>[1]Commodity_prices_MEUR2019!I$44</f>
        <v>16.297184400363882</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v>10</v>
      </c>
      <c r="BO448" s="211"/>
      <c r="BP448" s="211"/>
      <c r="BQ448" s="211"/>
      <c r="BR448" s="211"/>
      <c r="BS448" s="211"/>
      <c r="BT448" s="211"/>
      <c r="BU448" s="211">
        <v>0</v>
      </c>
      <c r="BV448" s="211"/>
      <c r="BW448" s="211"/>
      <c r="BX448" s="211"/>
      <c r="BY448" s="211"/>
      <c r="BZ448" s="211"/>
      <c r="CA448" s="211"/>
      <c r="CB448" s="396">
        <v>35</v>
      </c>
      <c r="CC448" s="396">
        <v>35</v>
      </c>
      <c r="CD448" s="396">
        <v>35</v>
      </c>
      <c r="CE448" s="396">
        <v>35</v>
      </c>
      <c r="CF448" s="396">
        <v>35</v>
      </c>
      <c r="CG448" s="396">
        <v>35</v>
      </c>
      <c r="CH448" s="396">
        <v>35</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2066</v>
      </c>
      <c r="B449" s="243"/>
      <c r="C449" s="5" t="s">
        <v>817</v>
      </c>
      <c r="D449" s="243" t="s">
        <v>419</v>
      </c>
      <c r="E449" s="243" t="s">
        <v>1697</v>
      </c>
      <c r="F449" s="211" t="s">
        <v>2026</v>
      </c>
      <c r="G449" s="211" t="s">
        <v>2067</v>
      </c>
      <c r="H449" s="356" t="s">
        <v>2068</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[1]Commodity_prices_MEUR2019!C$45</f>
        <v>9.3342401937948374</v>
      </c>
      <c r="Y449" s="211">
        <f>[1]Commodity_prices_MEUR2019!D$45</f>
        <v>9.3342401937948374</v>
      </c>
      <c r="Z449" s="211">
        <f>[1]Commodity_prices_MEUR2019!E$45</f>
        <v>9.3342401937948374</v>
      </c>
      <c r="AA449" s="211">
        <f>[1]Commodity_prices_MEUR2019!F$45</f>
        <v>9.3342401937948374</v>
      </c>
      <c r="AB449" s="211">
        <f>[1]Commodity_prices_MEUR2019!G$45</f>
        <v>9.3342401937948374</v>
      </c>
      <c r="AC449" s="211">
        <f>[1]Commodity_prices_MEUR2019!H$45</f>
        <v>9.3342401937948374</v>
      </c>
      <c r="AD449" s="211">
        <f>[1]Commodity_prices_MEUR2019!I$45</f>
        <v>9.3342401937948374</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f>15*0.992</f>
        <v>14.879999999999999</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11" t="s">
        <v>2069</v>
      </c>
      <c r="B450" s="211"/>
      <c r="C450" s="6" t="s">
        <v>817</v>
      </c>
      <c r="D450" s="211" t="s">
        <v>419</v>
      </c>
      <c r="E450" s="211" t="s">
        <v>1697</v>
      </c>
      <c r="F450" s="211" t="s">
        <v>2028</v>
      </c>
      <c r="G450" s="211" t="s">
        <v>2070</v>
      </c>
      <c r="H450" s="356" t="s">
        <v>2071</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[1]Commodity_prices_MEUR2019!C$46</f>
        <v>77.053237678188765</v>
      </c>
      <c r="Y450" s="211">
        <f>[1]Commodity_prices_MEUR2019!D$46</f>
        <v>77.053237678188765</v>
      </c>
      <c r="Z450" s="211">
        <f>[1]Commodity_prices_MEUR2019!E$46</f>
        <v>77.053237678188765</v>
      </c>
      <c r="AA450" s="211">
        <f>[1]Commodity_prices_MEUR2019!F$46</f>
        <v>77.053237678188765</v>
      </c>
      <c r="AB450" s="211">
        <f>[1]Commodity_prices_MEUR2019!G$46</f>
        <v>77.053237678188765</v>
      </c>
      <c r="AC450" s="211">
        <f>[1]Commodity_prices_MEUR2019!H$46</f>
        <v>77.053237678188765</v>
      </c>
      <c r="AD450" s="211">
        <f>[1]Commodity_prices_MEUR2019!I$46</f>
        <v>77.053237678188765</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v>4.5</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2072</v>
      </c>
      <c r="B451" s="211"/>
      <c r="C451" s="5" t="s">
        <v>817</v>
      </c>
      <c r="D451" s="211" t="s">
        <v>419</v>
      </c>
      <c r="E451" s="211" t="s">
        <v>2049</v>
      </c>
      <c r="F451" s="211" t="s">
        <v>2028</v>
      </c>
      <c r="G451" s="356" t="s">
        <v>2073</v>
      </c>
      <c r="H451" s="356" t="s">
        <v>2071</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[1]Commodity_prices_MEUR2019!C$47</f>
        <v>183.02431752538899</v>
      </c>
      <c r="Y451" s="211">
        <f>[1]Commodity_prices_MEUR2019!D$47</f>
        <v>183.02431752538899</v>
      </c>
      <c r="Z451" s="211">
        <f>[1]Commodity_prices_MEUR2019!E$47</f>
        <v>183.02431752538899</v>
      </c>
      <c r="AA451" s="211">
        <f>[1]Commodity_prices_MEUR2019!F$47</f>
        <v>183.02431752538899</v>
      </c>
      <c r="AB451" s="211">
        <f>[1]Commodity_prices_MEUR2019!G$47</f>
        <v>183.02431752538899</v>
      </c>
      <c r="AC451" s="211">
        <f>[1]Commodity_prices_MEUR2019!H$47</f>
        <v>183.02431752538899</v>
      </c>
      <c r="AD451" s="211">
        <f>[1]Commodity_prices_MEUR2019!I$47</f>
        <v>183.02431752538899</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0</v>
      </c>
      <c r="BO451" s="211"/>
      <c r="BP451" s="211"/>
      <c r="BQ451" s="211"/>
      <c r="BR451" s="211"/>
      <c r="BS451" s="211"/>
      <c r="BT451" s="211"/>
      <c r="BU451" s="211">
        <v>0</v>
      </c>
      <c r="BV451" s="211"/>
      <c r="BW451" s="211"/>
      <c r="BX451" s="211"/>
      <c r="BY451" s="211"/>
      <c r="BZ451" s="211"/>
      <c r="CA451" s="211"/>
      <c r="CB451" s="396">
        <v>0</v>
      </c>
      <c r="CC451" s="396">
        <v>0</v>
      </c>
      <c r="CD451" s="396">
        <v>0</v>
      </c>
      <c r="CE451" s="396">
        <v>0</v>
      </c>
      <c r="CF451" s="396">
        <v>0</v>
      </c>
      <c r="CG451" s="396">
        <v>0</v>
      </c>
      <c r="CH451" s="396">
        <v>0</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1" t="s">
        <v>2074</v>
      </c>
      <c r="B452" s="243"/>
      <c r="C452" s="243" t="s">
        <v>419</v>
      </c>
      <c r="D452" s="243" t="s">
        <v>419</v>
      </c>
      <c r="E452" s="1" t="s">
        <v>2075</v>
      </c>
      <c r="F452" s="1" t="s">
        <v>2022</v>
      </c>
      <c r="G452" s="49" t="s">
        <v>2076</v>
      </c>
      <c r="H452" s="356" t="s">
        <v>2051</v>
      </c>
      <c r="I452" s="398">
        <f>(147.67+83.73+14.73)/10^6*(10^6/100)</f>
        <v>2.4612999999999996</v>
      </c>
      <c r="J452" s="398">
        <f t="shared" ref="J452:O452" si="358">(147.67+83.73+14.73)/10^6*(10^6/100)</f>
        <v>2.4612999999999996</v>
      </c>
      <c r="K452" s="398">
        <f t="shared" si="358"/>
        <v>2.4612999999999996</v>
      </c>
      <c r="L452" s="398">
        <f t="shared" si="358"/>
        <v>2.4612999999999996</v>
      </c>
      <c r="M452" s="398">
        <f t="shared" si="358"/>
        <v>2.4612999999999996</v>
      </c>
      <c r="N452" s="398">
        <f t="shared" si="358"/>
        <v>2.4612999999999996</v>
      </c>
      <c r="O452" s="398">
        <f t="shared" si="358"/>
        <v>2.4612999999999996</v>
      </c>
      <c r="P452" s="211"/>
      <c r="Q452" s="211">
        <f>I452*0.05</f>
        <v>0.12306499999999998</v>
      </c>
      <c r="R452" s="211">
        <f t="shared" ref="R452:W459" si="359">J452*0.05</f>
        <v>0.12306499999999998</v>
      </c>
      <c r="S452" s="211">
        <f t="shared" si="359"/>
        <v>0.12306499999999998</v>
      </c>
      <c r="T452" s="211">
        <f t="shared" si="359"/>
        <v>0.12306499999999998</v>
      </c>
      <c r="U452" s="211">
        <f t="shared" si="359"/>
        <v>0.12306499999999998</v>
      </c>
      <c r="V452" s="211">
        <f t="shared" si="359"/>
        <v>0.12306499999999998</v>
      </c>
      <c r="W452" s="211">
        <f t="shared" si="359"/>
        <v>0.12306499999999998</v>
      </c>
      <c r="X452" s="211">
        <v>0</v>
      </c>
      <c r="Y452" s="211">
        <v>0</v>
      </c>
      <c r="Z452" s="211">
        <v>0</v>
      </c>
      <c r="AA452" s="211">
        <v>0</v>
      </c>
      <c r="AB452" s="211">
        <v>0</v>
      </c>
      <c r="AC452" s="211">
        <v>0</v>
      </c>
      <c r="AD452" s="211">
        <v>0</v>
      </c>
      <c r="AE452" s="186">
        <v>0.08</v>
      </c>
      <c r="AF452" s="211"/>
      <c r="AG452" s="211">
        <v>10</v>
      </c>
      <c r="AH452" s="211">
        <v>10</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c r="CC452" s="396"/>
      <c r="CD452" s="396">
        <f t="shared" ref="CD452:CH452" si="360">CD443</f>
        <v>5.2810000000000006</v>
      </c>
      <c r="CE452" s="396">
        <f t="shared" si="360"/>
        <v>5.2810000000000006</v>
      </c>
      <c r="CF452" s="396">
        <f t="shared" si="360"/>
        <v>5.2810000000000006</v>
      </c>
      <c r="CG452" s="396">
        <f t="shared" si="360"/>
        <v>5.2810000000000006</v>
      </c>
      <c r="CH452" s="396">
        <f t="shared" si="360"/>
        <v>5.2810000000000006</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2077</v>
      </c>
      <c r="B453" s="243"/>
      <c r="C453" s="243" t="s">
        <v>419</v>
      </c>
      <c r="D453" s="243" t="s">
        <v>419</v>
      </c>
      <c r="E453" s="1" t="s">
        <v>2075</v>
      </c>
      <c r="F453" s="1" t="s">
        <v>2030</v>
      </c>
      <c r="G453" s="49" t="s">
        <v>2078</v>
      </c>
      <c r="H453" s="356" t="s">
        <v>2079</v>
      </c>
      <c r="I453" s="398">
        <f>(((1.651+1.68+0.9)*1.15)/0.115)*1.26/1.6549</f>
        <v>32.213789352830979</v>
      </c>
      <c r="J453" s="398">
        <f t="shared" ref="J453:O453" si="361">(((1.651+1.68+0.9)*1.15)/0.115)*1.26/1.6549</f>
        <v>32.213789352830979</v>
      </c>
      <c r="K453" s="398">
        <f t="shared" si="361"/>
        <v>32.213789352830979</v>
      </c>
      <c r="L453" s="398">
        <f t="shared" si="361"/>
        <v>32.213789352830979</v>
      </c>
      <c r="M453" s="398">
        <f t="shared" si="361"/>
        <v>32.213789352830979</v>
      </c>
      <c r="N453" s="398">
        <f t="shared" si="361"/>
        <v>32.213789352830979</v>
      </c>
      <c r="O453" s="398">
        <f t="shared" si="361"/>
        <v>32.213789352830979</v>
      </c>
      <c r="P453" s="211"/>
      <c r="Q453" s="399">
        <f>(0.2064/0.115)*1.26/1.6549</f>
        <v>1.3665031645153916</v>
      </c>
      <c r="R453" s="399">
        <f t="shared" ref="R453:W453" si="362">(0.2064/0.115)*1.26/1.6549</f>
        <v>1.3665031645153916</v>
      </c>
      <c r="S453" s="399">
        <f t="shared" si="362"/>
        <v>1.3665031645153916</v>
      </c>
      <c r="T453" s="399">
        <f t="shared" si="362"/>
        <v>1.3665031645153916</v>
      </c>
      <c r="U453" s="399">
        <f t="shared" si="362"/>
        <v>1.3665031645153916</v>
      </c>
      <c r="V453" s="399">
        <f t="shared" si="362"/>
        <v>1.3665031645153916</v>
      </c>
      <c r="W453" s="399">
        <f t="shared" si="362"/>
        <v>1.3665031645153916</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400"/>
      <c r="CC453" s="400"/>
      <c r="CD453" s="400">
        <f>[2]Activities!E$74*[2]EnergyBalance!$CH$442*-1*0.1</f>
        <v>1.6196960000000002</v>
      </c>
      <c r="CE453" s="400">
        <f>[2]Activities!F$74*[2]EnergyBalance!$CH$442*-1*0.15</f>
        <v>2.4295439999999999</v>
      </c>
      <c r="CF453" s="400">
        <f>[2]Activities!G$74*[2]EnergyBalance!$CH$442*-1*0.2</f>
        <v>3.2393920000000005</v>
      </c>
      <c r="CG453" s="400">
        <f>[2]Activities!H$74*[2]EnergyBalance!$CH$442*-1*0.25</f>
        <v>4.0492400000000002</v>
      </c>
      <c r="CH453" s="400">
        <f>[2]Activities!I$74*[2]EnergyBalance!$CH$442*-1*0.3</f>
        <v>4.8590879999999999</v>
      </c>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2080</v>
      </c>
      <c r="B454" s="243"/>
      <c r="C454" s="243" t="s">
        <v>419</v>
      </c>
      <c r="D454" s="243" t="s">
        <v>419</v>
      </c>
      <c r="E454" s="1" t="s">
        <v>2075</v>
      </c>
      <c r="F454" s="1" t="s">
        <v>2030</v>
      </c>
      <c r="G454" s="49" t="s">
        <v>2081</v>
      </c>
      <c r="H454" s="356" t="s">
        <v>2079</v>
      </c>
      <c r="I454" s="398">
        <f>I453+35</f>
        <v>67.213789352830986</v>
      </c>
      <c r="J454" s="398">
        <f t="shared" ref="J454:O454" si="363">J453+35</f>
        <v>67.213789352830986</v>
      </c>
      <c r="K454" s="398">
        <f t="shared" si="363"/>
        <v>67.213789352830986</v>
      </c>
      <c r="L454" s="398">
        <f t="shared" si="363"/>
        <v>67.213789352830986</v>
      </c>
      <c r="M454" s="398">
        <f t="shared" si="363"/>
        <v>67.213789352830986</v>
      </c>
      <c r="N454" s="398">
        <f t="shared" si="363"/>
        <v>67.213789352830986</v>
      </c>
      <c r="O454" s="398">
        <f t="shared" si="363"/>
        <v>67.213789352830986</v>
      </c>
      <c r="P454" s="211"/>
      <c r="Q454" s="399">
        <f>Q453+1.1</f>
        <v>2.4665031645153919</v>
      </c>
      <c r="R454" s="399">
        <f t="shared" ref="R454:W454" si="364">R453+1.1</f>
        <v>2.4665031645153919</v>
      </c>
      <c r="S454" s="399">
        <f t="shared" si="364"/>
        <v>2.4665031645153919</v>
      </c>
      <c r="T454" s="399">
        <f t="shared" si="364"/>
        <v>2.4665031645153919</v>
      </c>
      <c r="U454" s="399">
        <f t="shared" si="364"/>
        <v>2.4665031645153919</v>
      </c>
      <c r="V454" s="399">
        <f t="shared" si="364"/>
        <v>2.4665031645153919</v>
      </c>
      <c r="W454" s="399">
        <f t="shared" si="364"/>
        <v>2.4665031645153919</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[2]Activities!E$74*[2]EnergyBalance!$CI$442*-1*0.1</f>
        <v>0.49280400000000002</v>
      </c>
      <c r="CE454" s="400">
        <f>[2]Activities!F$74*[2]EnergyBalance!$CI$442*-1*0.15</f>
        <v>0.73920600000000003</v>
      </c>
      <c r="CF454" s="400">
        <f>[2]Activities!G$74*[2]EnergyBalance!$CI$442*-1*0.2</f>
        <v>0.98560800000000004</v>
      </c>
      <c r="CG454" s="400">
        <f>[2]Activities!H$74*[2]EnergyBalance!$CI$442*-1*0.25</f>
        <v>1.23201</v>
      </c>
      <c r="CH454" s="400">
        <f>[2]Activities!I$74*[2]EnergyBalance!$CI$442*-1*0.3</f>
        <v>1.4784120000000001</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2075</v>
      </c>
      <c r="F455" s="1" t="s">
        <v>2022</v>
      </c>
      <c r="G455" s="49" t="s">
        <v>2083</v>
      </c>
      <c r="H455" s="356" t="s">
        <v>2051</v>
      </c>
      <c r="I455" s="398">
        <f>(((1.684+1.632+1.2079+1.666)*1.15)/0.115)*1.26/1.6549</f>
        <v>47.128370294277588</v>
      </c>
      <c r="J455" s="398">
        <f t="shared" ref="J455:O455" si="365">(((1.684+1.632+1.2079+1.666)*1.15)/0.115)*1.26/1.6549</f>
        <v>47.128370294277588</v>
      </c>
      <c r="K455" s="398">
        <f t="shared" si="365"/>
        <v>47.128370294277588</v>
      </c>
      <c r="L455" s="398">
        <f t="shared" si="365"/>
        <v>47.128370294277588</v>
      </c>
      <c r="M455" s="398">
        <f t="shared" si="365"/>
        <v>47.128370294277588</v>
      </c>
      <c r="N455" s="398">
        <f t="shared" si="365"/>
        <v>47.128370294277588</v>
      </c>
      <c r="O455" s="398">
        <f t="shared" si="365"/>
        <v>47.128370294277588</v>
      </c>
      <c r="P455" s="211"/>
      <c r="Q455" s="399">
        <f>(0.296/0.115)*1.26/1.6549</f>
        <v>1.9597138405840886</v>
      </c>
      <c r="R455" s="399">
        <f t="shared" ref="R455:W455" si="366">(0.296/0.115)*1.26/1.6549</f>
        <v>1.9597138405840886</v>
      </c>
      <c r="S455" s="399">
        <f t="shared" si="366"/>
        <v>1.9597138405840886</v>
      </c>
      <c r="T455" s="399">
        <f t="shared" si="366"/>
        <v>1.9597138405840886</v>
      </c>
      <c r="U455" s="399">
        <f t="shared" si="366"/>
        <v>1.9597138405840886</v>
      </c>
      <c r="V455" s="399">
        <f t="shared" si="366"/>
        <v>1.9597138405840886</v>
      </c>
      <c r="W455" s="399">
        <f t="shared" si="366"/>
        <v>1.9597138405840886</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[2]Activities!E$74*[2]EnergyBalance!$CH$442*-1*0.5</f>
        <v>8.0984800000000003</v>
      </c>
      <c r="CE455" s="400">
        <f>(CF455+CD455)/2</f>
        <v>10.123100000000001</v>
      </c>
      <c r="CF455" s="400">
        <f>(CH455+CD455)/2</f>
        <v>12.14772</v>
      </c>
      <c r="CG455" s="400">
        <f>(CH455+CF455)/2</f>
        <v>14.17234</v>
      </c>
      <c r="CH455" s="400">
        <f>[2]Activities!I$74*-1*[2]EnergyBalance!$CH$442</f>
        <v>16.196960000000001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2075</v>
      </c>
      <c r="F456" s="1" t="s">
        <v>2030</v>
      </c>
      <c r="G456" s="49" t="s">
        <v>2085</v>
      </c>
      <c r="H456" s="356" t="s">
        <v>2079</v>
      </c>
      <c r="I456" s="398">
        <f>I454</f>
        <v>67.213789352830986</v>
      </c>
      <c r="J456" s="398">
        <f t="shared" ref="J456:O456" si="367">J454</f>
        <v>67.213789352830986</v>
      </c>
      <c r="K456" s="398">
        <f t="shared" si="367"/>
        <v>67.213789352830986</v>
      </c>
      <c r="L456" s="398">
        <f t="shared" si="367"/>
        <v>67.213789352830986</v>
      </c>
      <c r="M456" s="398">
        <f t="shared" si="367"/>
        <v>67.213789352830986</v>
      </c>
      <c r="N456" s="398">
        <f t="shared" si="367"/>
        <v>67.213789352830986</v>
      </c>
      <c r="O456" s="398">
        <f t="shared" si="367"/>
        <v>67.213789352830986</v>
      </c>
      <c r="P456" s="211"/>
      <c r="Q456" s="399">
        <f>Q454</f>
        <v>2.4665031645153919</v>
      </c>
      <c r="R456" s="399">
        <f t="shared" ref="R456:W456" si="368">R454</f>
        <v>2.4665031645153919</v>
      </c>
      <c r="S456" s="399">
        <f t="shared" si="368"/>
        <v>2.4665031645153919</v>
      </c>
      <c r="T456" s="399">
        <f t="shared" si="368"/>
        <v>2.4665031645153919</v>
      </c>
      <c r="U456" s="399">
        <f t="shared" si="368"/>
        <v>2.4665031645153919</v>
      </c>
      <c r="V456" s="399">
        <f t="shared" si="368"/>
        <v>2.4665031645153919</v>
      </c>
      <c r="W456" s="399">
        <f t="shared" si="368"/>
        <v>2.4665031645153919</v>
      </c>
      <c r="X456" s="211">
        <v>0</v>
      </c>
      <c r="Y456" s="211">
        <v>0</v>
      </c>
      <c r="Z456" s="211">
        <v>0</v>
      </c>
      <c r="AA456" s="211">
        <v>0</v>
      </c>
      <c r="AB456" s="211">
        <v>0</v>
      </c>
      <c r="AC456" s="211">
        <v>0</v>
      </c>
      <c r="AD456" s="211">
        <v>0</v>
      </c>
      <c r="AE456" s="186">
        <v>0.08</v>
      </c>
      <c r="AF456" s="211"/>
      <c r="AG456" s="211">
        <f>AG454</f>
        <v>10</v>
      </c>
      <c r="AH456" s="211">
        <f>AH454</f>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[2]Activities!E39*0.2</f>
        <v>0.371</v>
      </c>
      <c r="CE456" s="400">
        <f>[2]Activities!F39*0.25</f>
        <v>0.46375</v>
      </c>
      <c r="CF456" s="400">
        <f>[2]Activities!G39*0.3</f>
        <v>0.55649999999999999</v>
      </c>
      <c r="CG456" s="400">
        <f>[2]Activities!H39*0.4</f>
        <v>0.74199999999999999</v>
      </c>
      <c r="CH456" s="400">
        <f>[2]Activities!I39*0.5</f>
        <v>0.92749999999999999</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1" t="s">
        <v>740</v>
      </c>
      <c r="C457" s="1" t="s">
        <v>655</v>
      </c>
      <c r="D457" s="1" t="s">
        <v>741</v>
      </c>
      <c r="E457" s="1" t="s">
        <v>2056</v>
      </c>
      <c r="F457" s="1" t="s">
        <v>2017</v>
      </c>
      <c r="G457" s="49" t="s">
        <v>2087</v>
      </c>
      <c r="H457" s="356" t="s">
        <v>2058</v>
      </c>
      <c r="I457" s="395">
        <f>I445</f>
        <v>7.4725912690355334E-2</v>
      </c>
      <c r="J457" s="395">
        <f t="shared" ref="J457:O457" si="369">J445</f>
        <v>7.4725912690355334E-2</v>
      </c>
      <c r="K457" s="395">
        <f t="shared" si="369"/>
        <v>7.4725912690355334E-2</v>
      </c>
      <c r="L457" s="395">
        <f t="shared" si="369"/>
        <v>7.4725912690355334E-2</v>
      </c>
      <c r="M457" s="395">
        <f t="shared" si="369"/>
        <v>7.4725912690355334E-2</v>
      </c>
      <c r="N457" s="395">
        <f t="shared" si="369"/>
        <v>7.4725912690355334E-2</v>
      </c>
      <c r="O457" s="395">
        <f t="shared" si="369"/>
        <v>7.4725912690355334E-2</v>
      </c>
      <c r="P457" s="211"/>
      <c r="Q457" s="211">
        <f>I457*0.05</f>
        <v>3.736295634517767E-3</v>
      </c>
      <c r="R457" s="211">
        <f t="shared" si="359"/>
        <v>3.736295634517767E-3</v>
      </c>
      <c r="S457" s="211">
        <f t="shared" si="359"/>
        <v>3.736295634517767E-3</v>
      </c>
      <c r="T457" s="211">
        <f t="shared" si="359"/>
        <v>3.736295634517767E-3</v>
      </c>
      <c r="U457" s="211">
        <f t="shared" si="359"/>
        <v>3.736295634517767E-3</v>
      </c>
      <c r="V457" s="211">
        <f t="shared" si="359"/>
        <v>3.736295634517767E-3</v>
      </c>
      <c r="W457" s="211">
        <f t="shared" si="359"/>
        <v>3.736295634517767E-3</v>
      </c>
      <c r="X457" s="211">
        <v>0</v>
      </c>
      <c r="Y457" s="211">
        <v>0</v>
      </c>
      <c r="Z457" s="211">
        <v>0</v>
      </c>
      <c r="AA457" s="211">
        <v>0</v>
      </c>
      <c r="AB457" s="211">
        <v>0</v>
      </c>
      <c r="AC457" s="211">
        <v>0</v>
      </c>
      <c r="AD457" s="211">
        <v>0</v>
      </c>
      <c r="AE457" s="186">
        <v>0.08</v>
      </c>
      <c r="AF457" s="211"/>
      <c r="AG457" s="211">
        <v>30</v>
      </c>
      <c r="AH457" s="211">
        <v>30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396">
        <f>[3]Activities!C74</f>
        <v>31.2</v>
      </c>
      <c r="CC457" s="396">
        <f>[3]Activities!D74</f>
        <v>33.799999999999997</v>
      </c>
      <c r="CD457" s="396">
        <f>[3]Activities!E74</f>
        <v>33.799999999999997</v>
      </c>
      <c r="CE457" s="396">
        <f>[3]Activities!F74</f>
        <v>33.799999999999997</v>
      </c>
      <c r="CF457" s="396">
        <f>[3]Activities!G74</f>
        <v>33.799999999999997</v>
      </c>
      <c r="CG457" s="396">
        <f>[3]Activities!H74</f>
        <v>33.799999999999997</v>
      </c>
      <c r="CH457" s="396">
        <f>[3]Activities!I74</f>
        <v>33.799999999999997</v>
      </c>
      <c r="CI457" s="211"/>
      <c r="CJ457" s="211"/>
      <c r="CK457" s="211"/>
      <c r="CL457" s="211"/>
      <c r="CM457" s="211"/>
      <c r="CN457" s="211"/>
      <c r="CO457" s="211"/>
      <c r="CP457" s="396"/>
      <c r="CQ457" s="396"/>
      <c r="CR457" s="396"/>
      <c r="CS457" s="396"/>
      <c r="CT457" s="396"/>
      <c r="CU457" s="396"/>
      <c r="CV457" s="211"/>
      <c r="CW457" s="356"/>
      <c r="CX457" s="356"/>
      <c r="CY457" s="356"/>
      <c r="CZ457" s="356"/>
      <c r="DA457" s="356"/>
      <c r="DB457" s="356"/>
      <c r="DC457" s="356"/>
      <c r="DD457" s="356"/>
      <c r="DE457" s="356"/>
      <c r="DF457" s="356"/>
      <c r="DG457" s="356"/>
      <c r="DH457" s="356"/>
      <c r="DI457" s="356"/>
      <c r="DJ457" s="356"/>
      <c r="DK457" s="211"/>
      <c r="DL457" s="356"/>
      <c r="DM457" s="356"/>
      <c r="DN457" s="356"/>
      <c r="DO457" s="356"/>
      <c r="DP457" s="356"/>
      <c r="DQ457" s="356"/>
      <c r="DR457" s="356"/>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741</v>
      </c>
      <c r="F458" s="1" t="s">
        <v>331</v>
      </c>
      <c r="G458" s="49" t="s">
        <v>2089</v>
      </c>
      <c r="H458" s="356" t="s">
        <v>744</v>
      </c>
      <c r="I458" s="401">
        <f>I35*2</f>
        <v>1101</v>
      </c>
      <c r="J458" s="401">
        <f>J35*2</f>
        <v>1101</v>
      </c>
      <c r="K458" s="401">
        <f>K35*2</f>
        <v>1101</v>
      </c>
      <c r="L458" s="401">
        <f>L35*2</f>
        <v>1101</v>
      </c>
      <c r="M458" s="401">
        <f>M35*2</f>
        <v>1101</v>
      </c>
      <c r="N458" s="401">
        <f>N35*2</f>
        <v>1101</v>
      </c>
      <c r="O458" s="401">
        <f>O35*2</f>
        <v>1101</v>
      </c>
      <c r="P458" s="211"/>
      <c r="Q458" s="402">
        <f>I458*0.05</f>
        <v>55.050000000000004</v>
      </c>
      <c r="R458" s="402">
        <f t="shared" si="359"/>
        <v>55.050000000000004</v>
      </c>
      <c r="S458" s="402">
        <f t="shared" si="359"/>
        <v>55.050000000000004</v>
      </c>
      <c r="T458" s="402">
        <f t="shared" si="359"/>
        <v>55.050000000000004</v>
      </c>
      <c r="U458" s="402">
        <f t="shared" si="359"/>
        <v>55.050000000000004</v>
      </c>
      <c r="V458" s="402">
        <f t="shared" si="359"/>
        <v>55.050000000000004</v>
      </c>
      <c r="W458" s="402">
        <f t="shared" si="359"/>
        <v>55.050000000000004</v>
      </c>
      <c r="X458" s="211">
        <v>0</v>
      </c>
      <c r="Y458" s="211">
        <v>0</v>
      </c>
      <c r="Z458" s="211">
        <v>0</v>
      </c>
      <c r="AA458" s="211">
        <v>0</v>
      </c>
      <c r="AB458" s="211">
        <v>0</v>
      </c>
      <c r="AC458" s="211">
        <v>0</v>
      </c>
      <c r="AD458" s="211">
        <v>0</v>
      </c>
      <c r="AE458" s="186">
        <v>0.08</v>
      </c>
      <c r="AF458" s="211"/>
      <c r="AG458" s="211">
        <v>1</v>
      </c>
      <c r="AH458" s="211">
        <v>1</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c r="BO458" s="211"/>
      <c r="BP458" s="211"/>
      <c r="BQ458" s="211"/>
      <c r="BR458" s="211"/>
      <c r="BS458" s="211"/>
      <c r="BT458" s="211"/>
      <c r="BU458" s="211"/>
      <c r="BV458" s="211"/>
      <c r="BW458" s="211"/>
      <c r="BX458" s="211"/>
      <c r="BY458" s="211"/>
      <c r="BZ458" s="211"/>
      <c r="CA458" s="211"/>
      <c r="CB458" s="403">
        <f>[3]Activities!C18*((0.69-0.65)/0.65)</f>
        <v>0.37803076923076845</v>
      </c>
      <c r="CC458" s="403">
        <f>[3]Activities!D18*((0.69-0.65)/0.65)</f>
        <v>0.37803076923076845</v>
      </c>
      <c r="CD458" s="403">
        <f>[3]Activities!E18*((0.69-0.65)/0.65)</f>
        <v>0.37803076923076845</v>
      </c>
      <c r="CE458" s="403">
        <f>[3]Activities!F18*((0.69-0.65)/0.65)</f>
        <v>0.37803076923076845</v>
      </c>
      <c r="CF458" s="403">
        <f>[3]Activities!G18*((0.69-0.65)/0.65)</f>
        <v>0.37803076923076845</v>
      </c>
      <c r="CG458" s="403">
        <f>[3]Activities!H18*((0.69-0.65)/0.65)</f>
        <v>0.37803076923076845</v>
      </c>
      <c r="CH458" s="403">
        <f>[3]Activities!I18*((0.69-0.65)/0.65)</f>
        <v>0.37803076923076845</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367</v>
      </c>
      <c r="G459" s="49" t="s">
        <v>2091</v>
      </c>
      <c r="H459" s="356" t="s">
        <v>917</v>
      </c>
      <c r="I459" s="401">
        <f>I102*2</f>
        <v>9479.3131424477615</v>
      </c>
      <c r="J459" s="401">
        <f>J102*2</f>
        <v>9479.3131424477615</v>
      </c>
      <c r="K459" s="401">
        <f>K102*2</f>
        <v>9479.3131424477615</v>
      </c>
      <c r="L459" s="401">
        <f>L102*2</f>
        <v>9479.3131424477615</v>
      </c>
      <c r="M459" s="401">
        <f>M102*2</f>
        <v>9479.3131424477615</v>
      </c>
      <c r="N459" s="401">
        <f>N102*2</f>
        <v>9479.3131424477615</v>
      </c>
      <c r="O459" s="401">
        <f>O102*2</f>
        <v>9479.3131424477615</v>
      </c>
      <c r="P459" s="211"/>
      <c r="Q459" s="402">
        <f>I459*0.05</f>
        <v>473.96565712238811</v>
      </c>
      <c r="R459" s="402">
        <f t="shared" si="359"/>
        <v>473.96565712238811</v>
      </c>
      <c r="S459" s="402">
        <f t="shared" si="359"/>
        <v>473.96565712238811</v>
      </c>
      <c r="T459" s="402">
        <f t="shared" si="359"/>
        <v>473.96565712238811</v>
      </c>
      <c r="U459" s="402">
        <f t="shared" si="359"/>
        <v>473.96565712238811</v>
      </c>
      <c r="V459" s="402">
        <f t="shared" si="359"/>
        <v>473.96565712238811</v>
      </c>
      <c r="W459" s="402">
        <f t="shared" si="359"/>
        <v>473.96565712238811</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[3]Activities!C36*(0.95-0.9)/0.9</f>
        <v>5.1111111111111045E-2</v>
      </c>
      <c r="CC459" s="403">
        <f>[3]Activities!D36*(0.95-0.9)/0.9</f>
        <v>5.1111111111111045E-2</v>
      </c>
      <c r="CD459" s="403">
        <f>[3]Activities!E36*(0.95-0.9)/0.9</f>
        <v>5.1111111111111045E-2</v>
      </c>
      <c r="CE459" s="403">
        <f>[3]Activities!F36*(0.95-0.9)/0.9</f>
        <v>5.1111111111111045E-2</v>
      </c>
      <c r="CF459" s="403">
        <f>[3]Activities!G36*(0.95-0.9)/0.9</f>
        <v>5.1111111111111045E-2</v>
      </c>
      <c r="CG459" s="403">
        <f>[3]Activities!H36*(0.95-0.9)/0.9</f>
        <v>5.1111111111111045E-2</v>
      </c>
      <c r="CH459" s="403">
        <f>[3]Activities!I36*(0.95-0.9)/0.9</f>
        <v>5.1111111111111045E-2</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C460" s="1" t="s">
        <v>817</v>
      </c>
      <c r="D460" s="1" t="s">
        <v>419</v>
      </c>
      <c r="E460" s="1" t="s">
        <v>2049</v>
      </c>
      <c r="F460" s="1" t="s">
        <v>2037</v>
      </c>
      <c r="G460" s="49" t="s">
        <v>2093</v>
      </c>
      <c r="H460" s="356" t="s">
        <v>917</v>
      </c>
      <c r="I460" s="211">
        <v>0</v>
      </c>
      <c r="J460" s="211">
        <v>0</v>
      </c>
      <c r="K460" s="211">
        <v>0</v>
      </c>
      <c r="L460" s="211">
        <v>0</v>
      </c>
      <c r="M460" s="211">
        <v>0</v>
      </c>
      <c r="N460" s="211">
        <v>0</v>
      </c>
      <c r="O460" s="211">
        <v>0</v>
      </c>
      <c r="P460" s="211"/>
      <c r="Q460" s="211">
        <v>0</v>
      </c>
      <c r="R460" s="211">
        <v>0</v>
      </c>
      <c r="S460" s="211">
        <v>0</v>
      </c>
      <c r="T460" s="211">
        <v>0</v>
      </c>
      <c r="U460" s="211">
        <v>0</v>
      </c>
      <c r="V460" s="211">
        <v>0</v>
      </c>
      <c r="W460" s="211">
        <v>0</v>
      </c>
      <c r="X460" s="211">
        <f>[1]Commodity_prices_MEUR2019!C$50</f>
        <v>62.502804434920336</v>
      </c>
      <c r="Y460" s="211">
        <f>[1]Commodity_prices_MEUR2019!D$50</f>
        <v>62.502804434920336</v>
      </c>
      <c r="Z460" s="211">
        <f>[1]Commodity_prices_MEUR2019!E$50</f>
        <v>62.502804434920336</v>
      </c>
      <c r="AA460" s="211">
        <f>[1]Commodity_prices_MEUR2019!F$50</f>
        <v>62.502804434920336</v>
      </c>
      <c r="AB460" s="211">
        <f>[1]Commodity_prices_MEUR2019!G$50</f>
        <v>62.502804434920336</v>
      </c>
      <c r="AC460" s="211">
        <f>[1]Commodity_prices_MEUR2019!H$50</f>
        <v>62.502804434920336</v>
      </c>
      <c r="AD460" s="211">
        <f>[1]Commodity_prices_MEUR2019!I$50</f>
        <v>62.502804434920336</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396">
        <f>1.35</f>
        <v>1.35</v>
      </c>
      <c r="CC460" s="396">
        <f t="shared" ref="CC460:CH460" si="370">1.35</f>
        <v>1.35</v>
      </c>
      <c r="CD460" s="396">
        <f t="shared" si="370"/>
        <v>1.35</v>
      </c>
      <c r="CE460" s="396">
        <f t="shared" si="370"/>
        <v>1.35</v>
      </c>
      <c r="CF460" s="396">
        <f t="shared" si="370"/>
        <v>1.35</v>
      </c>
      <c r="CG460" s="396">
        <f t="shared" si="370"/>
        <v>1.35</v>
      </c>
      <c r="CH460" s="396">
        <f t="shared" si="370"/>
        <v>1.35</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6">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37"/>
        <v>0</v>
      </c>
      <c r="BV461" s="28"/>
      <c r="BW461" s="28"/>
      <c r="BX461" s="28"/>
      <c r="BY461" s="28"/>
      <c r="BZ461" s="28"/>
      <c r="CA461" s="28"/>
      <c r="CB461" s="99">
        <v>15</v>
      </c>
      <c r="CC461" s="99">
        <v>15</v>
      </c>
      <c r="CD461" s="99">
        <v>15</v>
      </c>
      <c r="CE461" s="99">
        <f t="shared" ref="CE461:CE498" si="371">ROUND((CD461+CF461)/2,2)</f>
        <v>15</v>
      </c>
      <c r="CF461" s="99">
        <f t="shared" ref="CF461:CF498" si="372">ROUND((CD461+CH461)/2,2)</f>
        <v>15</v>
      </c>
      <c r="CG461" s="99">
        <f t="shared" ref="CG461:CG498" si="373">ROUND((CF461+CH461)/2,2)</f>
        <v>15</v>
      </c>
      <c r="CH461" s="99">
        <v>15</v>
      </c>
      <c r="CI461" s="175"/>
      <c r="CJ461" s="175"/>
      <c r="CK461" s="175"/>
      <c r="CL461" s="175"/>
      <c r="CM461" s="175"/>
      <c r="CN461" s="175"/>
      <c r="CO461" s="175"/>
      <c r="CP461" s="176"/>
      <c r="CQ461" s="176"/>
      <c r="CR461" s="176"/>
      <c r="CS461" s="176"/>
      <c r="CT461" s="176"/>
      <c r="CU461" s="176"/>
      <c r="CV461" s="176"/>
      <c r="CW461" s="167"/>
      <c r="CX461" s="168"/>
      <c r="CY461" s="168"/>
      <c r="CZ461" s="168"/>
      <c r="DA461" s="168"/>
      <c r="DB461" s="168"/>
      <c r="DC461" s="168"/>
      <c r="DD461" s="172"/>
      <c r="DE461" s="172"/>
      <c r="DF461" s="172"/>
      <c r="DG461" s="172"/>
      <c r="DH461" s="172"/>
      <c r="DI461" s="172"/>
      <c r="DJ461" s="172"/>
      <c r="DK461" s="80" t="s">
        <v>415</v>
      </c>
      <c r="DL461" s="129"/>
      <c r="DM461" s="129"/>
      <c r="DN461" s="129"/>
      <c r="DO461" s="129"/>
      <c r="DP461" s="129"/>
      <c r="DQ461" s="129"/>
      <c r="DR461" s="129"/>
      <c r="DS461" s="218"/>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6">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37"/>
        <v>0</v>
      </c>
      <c r="BV462" s="27"/>
      <c r="BW462" s="27"/>
      <c r="BX462" s="27"/>
      <c r="BY462" s="27"/>
      <c r="BZ462" s="27"/>
      <c r="CA462" s="27"/>
      <c r="CB462" s="97">
        <v>0</v>
      </c>
      <c r="CC462" s="185">
        <v>1</v>
      </c>
      <c r="CD462" s="185">
        <v>2</v>
      </c>
      <c r="CE462" s="185">
        <v>3</v>
      </c>
      <c r="CF462" s="185">
        <v>4</v>
      </c>
      <c r="CG462" s="185">
        <v>5</v>
      </c>
      <c r="CH462" s="185">
        <f>CH461/3</f>
        <v>5</v>
      </c>
      <c r="CI462" s="173"/>
      <c r="CJ462" s="173"/>
      <c r="CK462" s="173"/>
      <c r="CL462" s="173"/>
      <c r="CM462" s="173"/>
      <c r="CN462" s="173"/>
      <c r="CO462" s="173"/>
      <c r="CP462" s="174"/>
      <c r="CQ462" s="174"/>
      <c r="CR462" s="174"/>
      <c r="CS462" s="174"/>
      <c r="CT462" s="174"/>
      <c r="CU462" s="174"/>
      <c r="CV462" s="174"/>
      <c r="CW462" s="165"/>
      <c r="CX462" s="166"/>
      <c r="CY462" s="166"/>
      <c r="CZ462" s="166"/>
      <c r="DA462" s="166"/>
      <c r="DB462" s="166"/>
      <c r="DC462" s="166"/>
      <c r="DD462" s="171"/>
      <c r="DE462" s="171"/>
      <c r="DF462" s="171"/>
      <c r="DG462" s="171"/>
      <c r="DH462" s="171"/>
      <c r="DI462" s="171"/>
      <c r="DJ462" s="171"/>
      <c r="DK462" s="79" t="s">
        <v>415</v>
      </c>
      <c r="DL462" s="128"/>
      <c r="DM462" s="128"/>
      <c r="DN462" s="128"/>
      <c r="DO462" s="128"/>
      <c r="DP462" s="128"/>
      <c r="DQ462" s="128"/>
      <c r="DR462" s="128"/>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6">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74">IF(BL463=1,BN463,0)</f>
        <v>0</v>
      </c>
      <c r="BV463" s="28"/>
      <c r="BW463" s="28"/>
      <c r="BX463" s="28"/>
      <c r="BY463" s="28"/>
      <c r="BZ463" s="28"/>
      <c r="CA463" s="28"/>
      <c r="CB463" s="99">
        <v>20</v>
      </c>
      <c r="CC463" s="99">
        <v>20</v>
      </c>
      <c r="CD463" s="99">
        <v>20</v>
      </c>
      <c r="CE463" s="99">
        <f t="shared" si="371"/>
        <v>20</v>
      </c>
      <c r="CF463" s="99">
        <f t="shared" si="372"/>
        <v>20</v>
      </c>
      <c r="CG463" s="99">
        <f t="shared" si="373"/>
        <v>20</v>
      </c>
      <c r="CH463" s="99">
        <v>20</v>
      </c>
      <c r="CI463" s="175"/>
      <c r="CJ463" s="175"/>
      <c r="CK463" s="175"/>
      <c r="CL463" s="175"/>
      <c r="CM463" s="175"/>
      <c r="CN463" s="175"/>
      <c r="CO463" s="175"/>
      <c r="CP463" s="176"/>
      <c r="CQ463" s="176"/>
      <c r="CR463" s="176"/>
      <c r="CS463" s="176"/>
      <c r="CT463" s="176"/>
      <c r="CU463" s="176"/>
      <c r="CV463" s="176"/>
      <c r="CW463" s="167"/>
      <c r="CX463" s="168"/>
      <c r="CY463" s="168"/>
      <c r="CZ463" s="168"/>
      <c r="DA463" s="168"/>
      <c r="DB463" s="168"/>
      <c r="DC463" s="168"/>
      <c r="DD463" s="172"/>
      <c r="DE463" s="172"/>
      <c r="DF463" s="172"/>
      <c r="DG463" s="172"/>
      <c r="DH463" s="172"/>
      <c r="DI463" s="172"/>
      <c r="DJ463" s="172"/>
      <c r="DK463" s="80" t="s">
        <v>415</v>
      </c>
      <c r="DL463" s="129"/>
      <c r="DM463" s="129"/>
      <c r="DN463" s="129"/>
      <c r="DO463" s="129"/>
      <c r="DP463" s="129"/>
      <c r="DQ463" s="129"/>
      <c r="DR463" s="129"/>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6">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75">IF(BL464=1,BN464,0)</f>
        <v>0</v>
      </c>
      <c r="BV464" s="27"/>
      <c r="BW464" s="27"/>
      <c r="BX464" s="27"/>
      <c r="BY464" s="27"/>
      <c r="BZ464" s="27"/>
      <c r="CA464" s="27"/>
      <c r="CB464" s="97"/>
      <c r="CC464" s="185">
        <v>1</v>
      </c>
      <c r="CD464" s="185">
        <v>2</v>
      </c>
      <c r="CE464" s="185">
        <v>3</v>
      </c>
      <c r="CF464" s="185">
        <v>4</v>
      </c>
      <c r="CG464" s="185">
        <v>5</v>
      </c>
      <c r="CH464" s="185">
        <f>CH463/3</f>
        <v>6.666666666666667</v>
      </c>
      <c r="CI464" s="173"/>
      <c r="CJ464" s="173"/>
      <c r="CK464" s="173"/>
      <c r="CL464" s="173"/>
      <c r="CM464" s="173"/>
      <c r="CN464" s="173"/>
      <c r="CO464" s="173"/>
      <c r="CP464" s="174"/>
      <c r="CQ464" s="174"/>
      <c r="CR464" s="174"/>
      <c r="CS464" s="174"/>
      <c r="CT464" s="174"/>
      <c r="CU464" s="174"/>
      <c r="CV464" s="174"/>
      <c r="CW464" s="165"/>
      <c r="CX464" s="166"/>
      <c r="CY464" s="166"/>
      <c r="CZ464" s="166"/>
      <c r="DA464" s="166"/>
      <c r="DB464" s="166"/>
      <c r="DC464" s="166"/>
      <c r="DD464" s="171"/>
      <c r="DE464" s="171"/>
      <c r="DF464" s="171"/>
      <c r="DG464" s="171"/>
      <c r="DH464" s="171"/>
      <c r="DI464" s="171"/>
      <c r="DJ464" s="171"/>
      <c r="DK464" s="79" t="s">
        <v>415</v>
      </c>
      <c r="DL464" s="128"/>
      <c r="DM464" s="128"/>
      <c r="DN464" s="128"/>
      <c r="DO464" s="128"/>
      <c r="DP464" s="128"/>
      <c r="DQ464" s="128"/>
      <c r="DR464" s="128"/>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6">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75"/>
        <v>0</v>
      </c>
      <c r="BV465" s="28"/>
      <c r="BW465" s="28"/>
      <c r="BX465" s="28"/>
      <c r="BY465" s="28"/>
      <c r="BZ465" s="28"/>
      <c r="CA465" s="28"/>
      <c r="CB465" s="99">
        <v>15</v>
      </c>
      <c r="CC465" s="99">
        <v>15</v>
      </c>
      <c r="CD465" s="99">
        <v>15</v>
      </c>
      <c r="CE465" s="99">
        <f t="shared" si="371"/>
        <v>15</v>
      </c>
      <c r="CF465" s="99">
        <f t="shared" si="372"/>
        <v>15</v>
      </c>
      <c r="CG465" s="99">
        <f t="shared" si="373"/>
        <v>15</v>
      </c>
      <c r="CH465" s="99">
        <v>15</v>
      </c>
      <c r="CI465" s="175"/>
      <c r="CJ465" s="175"/>
      <c r="CK465" s="175"/>
      <c r="CL465" s="175"/>
      <c r="CM465" s="175"/>
      <c r="CN465" s="175"/>
      <c r="CO465" s="175"/>
      <c r="CP465" s="176"/>
      <c r="CQ465" s="176"/>
      <c r="CR465" s="176"/>
      <c r="CS465" s="176"/>
      <c r="CT465" s="176"/>
      <c r="CU465" s="176"/>
      <c r="CV465" s="176"/>
      <c r="CW465" s="167"/>
      <c r="CX465" s="168"/>
      <c r="CY465" s="168"/>
      <c r="CZ465" s="168"/>
      <c r="DA465" s="168"/>
      <c r="DB465" s="168"/>
      <c r="DC465" s="168"/>
      <c r="DD465" s="172"/>
      <c r="DE465" s="172"/>
      <c r="DF465" s="172"/>
      <c r="DG465" s="172"/>
      <c r="DH465" s="172"/>
      <c r="DI465" s="172"/>
      <c r="DJ465" s="172"/>
      <c r="DK465" s="80" t="s">
        <v>415</v>
      </c>
      <c r="DL465" s="129"/>
      <c r="DM465" s="129"/>
      <c r="DN465" s="129"/>
      <c r="DO465" s="129"/>
      <c r="DP465" s="129"/>
      <c r="DQ465" s="129"/>
      <c r="DR465" s="129"/>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6">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75"/>
        <v>0</v>
      </c>
      <c r="BV466" s="27"/>
      <c r="BW466" s="27"/>
      <c r="BX466" s="27"/>
      <c r="BY466" s="27"/>
      <c r="BZ466" s="27"/>
      <c r="CA466" s="27"/>
      <c r="CB466" s="97"/>
      <c r="CC466" s="185">
        <v>1</v>
      </c>
      <c r="CD466" s="185">
        <v>2</v>
      </c>
      <c r="CE466" s="185">
        <v>3</v>
      </c>
      <c r="CF466" s="185">
        <v>4</v>
      </c>
      <c r="CG466" s="185">
        <v>5</v>
      </c>
      <c r="CH466" s="185">
        <f>CH465/3</f>
        <v>5</v>
      </c>
      <c r="CI466" s="173"/>
      <c r="CJ466" s="173"/>
      <c r="CK466" s="173"/>
      <c r="CL466" s="173"/>
      <c r="CM466" s="173"/>
      <c r="CN466" s="173"/>
      <c r="CO466" s="173"/>
      <c r="CP466" s="174"/>
      <c r="CQ466" s="174"/>
      <c r="CR466" s="174"/>
      <c r="CS466" s="174"/>
      <c r="CT466" s="174"/>
      <c r="CU466" s="174"/>
      <c r="CV466" s="174"/>
      <c r="CW466" s="165"/>
      <c r="CX466" s="166"/>
      <c r="CY466" s="166"/>
      <c r="CZ466" s="166"/>
      <c r="DA466" s="166"/>
      <c r="DB466" s="166"/>
      <c r="DC466" s="166"/>
      <c r="DD466" s="171"/>
      <c r="DE466" s="171"/>
      <c r="DF466" s="171"/>
      <c r="DG466" s="171"/>
      <c r="DH466" s="171"/>
      <c r="DI466" s="171"/>
      <c r="DJ466" s="171"/>
      <c r="DK466" s="79" t="s">
        <v>415</v>
      </c>
      <c r="DL466" s="128"/>
      <c r="DM466" s="128"/>
      <c r="DN466" s="128"/>
      <c r="DO466" s="128"/>
      <c r="DP466" s="128"/>
      <c r="DQ466" s="128"/>
      <c r="DR466" s="128"/>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6">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37"/>
        <v>0</v>
      </c>
      <c r="BV467" s="28"/>
      <c r="BW467" s="28"/>
      <c r="BX467" s="28"/>
      <c r="BY467" s="28"/>
      <c r="BZ467" s="28"/>
      <c r="CA467" s="28"/>
      <c r="CB467" s="99">
        <v>20</v>
      </c>
      <c r="CC467" s="99">
        <v>20</v>
      </c>
      <c r="CD467" s="99">
        <v>20</v>
      </c>
      <c r="CE467" s="99">
        <f t="shared" si="371"/>
        <v>20</v>
      </c>
      <c r="CF467" s="99">
        <f t="shared" si="372"/>
        <v>20</v>
      </c>
      <c r="CG467" s="99">
        <f t="shared" si="373"/>
        <v>20</v>
      </c>
      <c r="CH467" s="99">
        <v>20</v>
      </c>
      <c r="CI467" s="175"/>
      <c r="CJ467" s="175"/>
      <c r="CK467" s="175"/>
      <c r="CL467" s="175"/>
      <c r="CM467" s="175"/>
      <c r="CN467" s="175"/>
      <c r="CO467" s="175"/>
      <c r="CP467" s="176"/>
      <c r="CQ467" s="176"/>
      <c r="CR467" s="176"/>
      <c r="CS467" s="176"/>
      <c r="CT467" s="176"/>
      <c r="CU467" s="176"/>
      <c r="CV467" s="176"/>
      <c r="CW467" s="167"/>
      <c r="CX467" s="168"/>
      <c r="CY467" s="168"/>
      <c r="CZ467" s="168"/>
      <c r="DA467" s="168"/>
      <c r="DB467" s="168"/>
      <c r="DC467" s="168"/>
      <c r="DD467" s="172"/>
      <c r="DE467" s="172"/>
      <c r="DF467" s="172"/>
      <c r="DG467" s="172"/>
      <c r="DH467" s="172"/>
      <c r="DI467" s="172"/>
      <c r="DJ467" s="172"/>
      <c r="DK467" s="80" t="s">
        <v>415</v>
      </c>
      <c r="DL467" s="129"/>
      <c r="DM467" s="129"/>
      <c r="DN467" s="129"/>
      <c r="DO467" s="129"/>
      <c r="DP467" s="129"/>
      <c r="DQ467" s="129"/>
      <c r="DR467" s="129"/>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6">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37"/>
        <v>0</v>
      </c>
      <c r="BV468" s="27"/>
      <c r="BW468" s="27"/>
      <c r="BX468" s="27"/>
      <c r="BY468" s="27"/>
      <c r="BZ468" s="27"/>
      <c r="CA468" s="27"/>
      <c r="CB468" s="97">
        <v>0.435</v>
      </c>
      <c r="CC468" s="97">
        <v>0.5918589138024728</v>
      </c>
      <c r="CD468" s="97">
        <v>0.6</v>
      </c>
      <c r="CE468" s="97">
        <f t="shared" si="371"/>
        <v>0.56999999999999995</v>
      </c>
      <c r="CF468" s="97">
        <f t="shared" si="372"/>
        <v>0.53</v>
      </c>
      <c r="CG468" s="97">
        <f t="shared" si="373"/>
        <v>0.5</v>
      </c>
      <c r="CH468" s="97">
        <v>0.46</v>
      </c>
      <c r="CI468" s="173"/>
      <c r="CJ468" s="173"/>
      <c r="CK468" s="173"/>
      <c r="CL468" s="173"/>
      <c r="CM468" s="173"/>
      <c r="CN468" s="173"/>
      <c r="CO468" s="173"/>
      <c r="CP468" s="174"/>
      <c r="CQ468" s="174"/>
      <c r="CR468" s="174"/>
      <c r="CS468" s="174"/>
      <c r="CT468" s="174"/>
      <c r="CU468" s="174"/>
      <c r="CV468" s="174"/>
      <c r="CW468" s="165"/>
      <c r="CX468" s="166"/>
      <c r="CY468" s="166"/>
      <c r="CZ468" s="166"/>
      <c r="DA468" s="166"/>
      <c r="DB468" s="166"/>
      <c r="DC468" s="166"/>
      <c r="DD468" s="171"/>
      <c r="DE468" s="171"/>
      <c r="DF468" s="171"/>
      <c r="DG468" s="171"/>
      <c r="DH468" s="171"/>
      <c r="DI468" s="171"/>
      <c r="DJ468" s="171"/>
      <c r="DK468" s="79" t="s">
        <v>415</v>
      </c>
      <c r="DL468" s="128"/>
      <c r="DM468" s="128"/>
      <c r="DN468" s="128"/>
      <c r="DO468" s="128"/>
      <c r="DP468" s="128"/>
      <c r="DQ468" s="128"/>
      <c r="DR468" s="128"/>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6">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37"/>
        <v>0</v>
      </c>
      <c r="BV469" s="28"/>
      <c r="BW469" s="28"/>
      <c r="BX469" s="28"/>
      <c r="BY469" s="28"/>
      <c r="BZ469" s="28"/>
      <c r="CA469" s="28"/>
      <c r="CB469" s="99">
        <v>0.34799999999999998</v>
      </c>
      <c r="CC469" s="99">
        <v>0.46201918535185454</v>
      </c>
      <c r="CD469" s="99">
        <v>0.5</v>
      </c>
      <c r="CE469" s="99">
        <f t="shared" si="371"/>
        <v>0.47</v>
      </c>
      <c r="CF469" s="99">
        <f t="shared" si="372"/>
        <v>0.43</v>
      </c>
      <c r="CG469" s="99">
        <f t="shared" si="373"/>
        <v>0.4</v>
      </c>
      <c r="CH469" s="99">
        <v>0.36</v>
      </c>
      <c r="CI469" s="175"/>
      <c r="CJ469" s="175"/>
      <c r="CK469" s="175"/>
      <c r="CL469" s="175"/>
      <c r="CM469" s="175"/>
      <c r="CN469" s="175"/>
      <c r="CO469" s="175"/>
      <c r="CP469" s="176"/>
      <c r="CQ469" s="176"/>
      <c r="CR469" s="176"/>
      <c r="CS469" s="176"/>
      <c r="CT469" s="176"/>
      <c r="CU469" s="176"/>
      <c r="CV469" s="176"/>
      <c r="CW469" s="167"/>
      <c r="CX469" s="168"/>
      <c r="CY469" s="168"/>
      <c r="CZ469" s="168"/>
      <c r="DA469" s="168"/>
      <c r="DB469" s="168"/>
      <c r="DC469" s="168"/>
      <c r="DD469" s="172"/>
      <c r="DE469" s="172"/>
      <c r="DF469" s="172"/>
      <c r="DG469" s="172"/>
      <c r="DH469" s="172"/>
      <c r="DI469" s="172"/>
      <c r="DJ469" s="172"/>
      <c r="DK469" s="80" t="s">
        <v>415</v>
      </c>
      <c r="DL469" s="129"/>
      <c r="DM469" s="129"/>
      <c r="DN469" s="129"/>
      <c r="DO469" s="129"/>
      <c r="DP469" s="129"/>
      <c r="DQ469" s="129"/>
      <c r="DR469" s="129"/>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6">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37"/>
        <v>0</v>
      </c>
      <c r="BV470" s="27"/>
      <c r="BW470" s="27"/>
      <c r="BX470" s="27"/>
      <c r="BY470" s="27"/>
      <c r="BZ470" s="27"/>
      <c r="CA470" s="27"/>
      <c r="CB470" s="97">
        <v>0</v>
      </c>
      <c r="CC470" s="97">
        <v>5.7339728450618188E-2</v>
      </c>
      <c r="CD470" s="97">
        <v>0.1</v>
      </c>
      <c r="CE470" s="97">
        <f t="shared" si="371"/>
        <v>0.13</v>
      </c>
      <c r="CF470" s="97">
        <f t="shared" si="372"/>
        <v>0.15</v>
      </c>
      <c r="CG470" s="97">
        <f t="shared" si="373"/>
        <v>0.18</v>
      </c>
      <c r="CH470" s="97">
        <v>0.2</v>
      </c>
      <c r="CI470" s="173"/>
      <c r="CJ470" s="173"/>
      <c r="CK470" s="173"/>
      <c r="CL470" s="173"/>
      <c r="CM470" s="173"/>
      <c r="CN470" s="173"/>
      <c r="CO470" s="173"/>
      <c r="CP470" s="174"/>
      <c r="CQ470" s="174"/>
      <c r="CR470" s="174"/>
      <c r="CS470" s="174"/>
      <c r="CT470" s="174"/>
      <c r="CU470" s="174"/>
      <c r="CV470" s="174"/>
      <c r="CW470" s="165"/>
      <c r="CX470" s="166"/>
      <c r="CY470" s="166"/>
      <c r="CZ470" s="166"/>
      <c r="DA470" s="166"/>
      <c r="DB470" s="166"/>
      <c r="DC470" s="166"/>
      <c r="DD470" s="171"/>
      <c r="DE470" s="171"/>
      <c r="DF470" s="171"/>
      <c r="DG470" s="171"/>
      <c r="DH470" s="171"/>
      <c r="DI470" s="171"/>
      <c r="DJ470" s="171"/>
      <c r="DK470" s="79" t="s">
        <v>415</v>
      </c>
      <c r="DL470" s="128"/>
      <c r="DM470" s="128"/>
      <c r="DN470" s="128"/>
      <c r="DO470" s="128"/>
      <c r="DP470" s="128"/>
      <c r="DQ470" s="128"/>
      <c r="DR470" s="128"/>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6">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37"/>
        <v>0</v>
      </c>
      <c r="BV471" s="28"/>
      <c r="BW471" s="28"/>
      <c r="BX471" s="28"/>
      <c r="BY471" s="28"/>
      <c r="BZ471" s="28"/>
      <c r="CA471" s="28"/>
      <c r="CB471" s="99">
        <v>0.19500000000000001</v>
      </c>
      <c r="CC471" s="99">
        <v>0.37158485484745568</v>
      </c>
      <c r="CD471" s="99">
        <v>0.4</v>
      </c>
      <c r="CE471" s="99">
        <f t="shared" si="371"/>
        <v>0.4</v>
      </c>
      <c r="CF471" s="99">
        <f t="shared" si="372"/>
        <v>0.4</v>
      </c>
      <c r="CG471" s="99">
        <f t="shared" si="373"/>
        <v>0.4</v>
      </c>
      <c r="CH471" s="99">
        <v>0.4</v>
      </c>
      <c r="CI471" s="175"/>
      <c r="CJ471" s="175"/>
      <c r="CK471" s="175"/>
      <c r="CL471" s="175"/>
      <c r="CM471" s="175"/>
      <c r="CN471" s="175"/>
      <c r="CO471" s="175"/>
      <c r="CP471" s="176"/>
      <c r="CQ471" s="176"/>
      <c r="CR471" s="176"/>
      <c r="CS471" s="176"/>
      <c r="CT471" s="176"/>
      <c r="CU471" s="176"/>
      <c r="CV471" s="176"/>
      <c r="CW471" s="167"/>
      <c r="CX471" s="168"/>
      <c r="CY471" s="168"/>
      <c r="CZ471" s="168"/>
      <c r="DA471" s="168"/>
      <c r="DB471" s="168"/>
      <c r="DC471" s="168"/>
      <c r="DD471" s="172"/>
      <c r="DE471" s="172"/>
      <c r="DF471" s="172"/>
      <c r="DG471" s="172"/>
      <c r="DH471" s="172"/>
      <c r="DI471" s="172"/>
      <c r="DJ471" s="172"/>
      <c r="DK471" s="80" t="s">
        <v>415</v>
      </c>
      <c r="DL471" s="129"/>
      <c r="DM471" s="129"/>
      <c r="DN471" s="129"/>
      <c r="DO471" s="129"/>
      <c r="DP471" s="129"/>
      <c r="DQ471" s="129"/>
      <c r="DR471" s="129"/>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6">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37"/>
        <v>0</v>
      </c>
      <c r="BV472" s="27"/>
      <c r="BW472" s="27"/>
      <c r="BX472" s="27"/>
      <c r="BY472" s="27"/>
      <c r="BZ472" s="27"/>
      <c r="CA472" s="27"/>
      <c r="CB472" s="97">
        <v>0.39</v>
      </c>
      <c r="CC472" s="97">
        <v>0.4107784019886998</v>
      </c>
      <c r="CD472" s="97">
        <v>0.3</v>
      </c>
      <c r="CE472" s="97">
        <f t="shared" si="371"/>
        <v>0.3</v>
      </c>
      <c r="CF472" s="97">
        <f t="shared" si="372"/>
        <v>0.3</v>
      </c>
      <c r="CG472" s="97">
        <f t="shared" si="373"/>
        <v>0.3</v>
      </c>
      <c r="CH472" s="97">
        <v>0.3</v>
      </c>
      <c r="CI472" s="173"/>
      <c r="CJ472" s="173"/>
      <c r="CK472" s="173"/>
      <c r="CL472" s="173"/>
      <c r="CM472" s="173"/>
      <c r="CN472" s="173"/>
      <c r="CO472" s="173"/>
      <c r="CP472" s="174"/>
      <c r="CQ472" s="174"/>
      <c r="CR472" s="174"/>
      <c r="CS472" s="174"/>
      <c r="CT472" s="174"/>
      <c r="CU472" s="174"/>
      <c r="CV472" s="174"/>
      <c r="CW472" s="165"/>
      <c r="CX472" s="166"/>
      <c r="CY472" s="166"/>
      <c r="CZ472" s="166"/>
      <c r="DA472" s="166"/>
      <c r="DB472" s="166"/>
      <c r="DC472" s="166"/>
      <c r="DD472" s="171"/>
      <c r="DE472" s="171"/>
      <c r="DF472" s="171"/>
      <c r="DG472" s="171"/>
      <c r="DH472" s="171"/>
      <c r="DI472" s="171"/>
      <c r="DJ472" s="171"/>
      <c r="DK472" s="79" t="s">
        <v>415</v>
      </c>
      <c r="DL472" s="128"/>
      <c r="DM472" s="128"/>
      <c r="DN472" s="128"/>
      <c r="DO472" s="128"/>
      <c r="DP472" s="128"/>
      <c r="DQ472" s="128"/>
      <c r="DR472" s="128"/>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6">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37"/>
        <v>0</v>
      </c>
      <c r="BV473" s="28"/>
      <c r="BW473" s="28"/>
      <c r="BX473" s="28"/>
      <c r="BY473" s="28"/>
      <c r="BZ473" s="28"/>
      <c r="CA473" s="28"/>
      <c r="CB473" s="99">
        <v>0.9880000000000001</v>
      </c>
      <c r="CC473" s="99">
        <v>0.85458333333333347</v>
      </c>
      <c r="CD473" s="99">
        <v>0.36</v>
      </c>
      <c r="CE473" s="99">
        <f t="shared" si="371"/>
        <v>0.3</v>
      </c>
      <c r="CF473" s="99">
        <f t="shared" si="372"/>
        <v>0.23</v>
      </c>
      <c r="CG473" s="99">
        <f t="shared" si="373"/>
        <v>0.17</v>
      </c>
      <c r="CH473" s="99">
        <v>0.1</v>
      </c>
      <c r="CI473" s="175"/>
      <c r="CJ473" s="175"/>
      <c r="CK473" s="175"/>
      <c r="CL473" s="175"/>
      <c r="CM473" s="175"/>
      <c r="CN473" s="175"/>
      <c r="CO473" s="175"/>
      <c r="CP473" s="176"/>
      <c r="CQ473" s="176"/>
      <c r="CR473" s="176"/>
      <c r="CS473" s="176"/>
      <c r="CT473" s="176"/>
      <c r="CU473" s="176"/>
      <c r="CV473" s="176"/>
      <c r="CW473" s="167"/>
      <c r="CX473" s="168"/>
      <c r="CY473" s="168"/>
      <c r="CZ473" s="168"/>
      <c r="DA473" s="168"/>
      <c r="DB473" s="168"/>
      <c r="DC473" s="168"/>
      <c r="DD473" s="172"/>
      <c r="DE473" s="172"/>
      <c r="DF473" s="172"/>
      <c r="DG473" s="172"/>
      <c r="DH473" s="172"/>
      <c r="DI473" s="172"/>
      <c r="DJ473" s="172"/>
      <c r="DK473" s="80" t="s">
        <v>415</v>
      </c>
      <c r="DL473" s="129"/>
      <c r="DM473" s="129"/>
      <c r="DN473" s="129"/>
      <c r="DO473" s="129"/>
      <c r="DP473" s="129"/>
      <c r="DQ473" s="129"/>
      <c r="DR473" s="129"/>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6">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37"/>
        <v>0</v>
      </c>
      <c r="BV474" s="27"/>
      <c r="BW474" s="27"/>
      <c r="BX474" s="27"/>
      <c r="BY474" s="27"/>
      <c r="BZ474" s="27"/>
      <c r="CA474" s="27"/>
      <c r="CB474" s="97">
        <v>10</v>
      </c>
      <c r="CC474" s="97">
        <v>10</v>
      </c>
      <c r="CD474" s="97">
        <v>10</v>
      </c>
      <c r="CE474" s="97">
        <f t="shared" si="371"/>
        <v>10</v>
      </c>
      <c r="CF474" s="97">
        <f t="shared" si="372"/>
        <v>10</v>
      </c>
      <c r="CG474" s="97">
        <f t="shared" si="373"/>
        <v>10</v>
      </c>
      <c r="CH474" s="97">
        <v>10</v>
      </c>
      <c r="CI474" s="173"/>
      <c r="CJ474" s="173"/>
      <c r="CK474" s="173"/>
      <c r="CL474" s="173"/>
      <c r="CM474" s="173"/>
      <c r="CN474" s="173"/>
      <c r="CO474" s="173"/>
      <c r="CP474" s="174"/>
      <c r="CQ474" s="174"/>
      <c r="CR474" s="174"/>
      <c r="CS474" s="174"/>
      <c r="CT474" s="174"/>
      <c r="CU474" s="174"/>
      <c r="CV474" s="174"/>
      <c r="CW474" s="165"/>
      <c r="CX474" s="166"/>
      <c r="CY474" s="166"/>
      <c r="CZ474" s="166"/>
      <c r="DA474" s="166"/>
      <c r="DB474" s="166"/>
      <c r="DC474" s="166"/>
      <c r="DD474" s="171"/>
      <c r="DE474" s="171"/>
      <c r="DF474" s="171"/>
      <c r="DG474" s="171"/>
      <c r="DH474" s="171"/>
      <c r="DI474" s="171"/>
      <c r="DJ474" s="171"/>
      <c r="DK474" s="79" t="s">
        <v>415</v>
      </c>
      <c r="DL474" s="128"/>
      <c r="DM474" s="128"/>
      <c r="DN474" s="128"/>
      <c r="DO474" s="128"/>
      <c r="DP474" s="128"/>
      <c r="DQ474" s="128"/>
      <c r="DR474" s="128"/>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6">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37"/>
        <v>0</v>
      </c>
      <c r="BV475" s="28"/>
      <c r="BW475" s="28"/>
      <c r="BX475" s="28"/>
      <c r="BY475" s="28"/>
      <c r="BZ475" s="28"/>
      <c r="CA475" s="28"/>
      <c r="CB475" s="99">
        <v>6.2000000000000006E-2</v>
      </c>
      <c r="CC475" s="99">
        <v>0.11016666666666668</v>
      </c>
      <c r="CD475" s="99">
        <v>0.1</v>
      </c>
      <c r="CE475" s="99">
        <f t="shared" si="371"/>
        <v>0.1</v>
      </c>
      <c r="CF475" s="99">
        <f t="shared" si="372"/>
        <v>0.09</v>
      </c>
      <c r="CG475" s="99">
        <f t="shared" si="373"/>
        <v>0.09</v>
      </c>
      <c r="CH475" s="99">
        <v>0.08</v>
      </c>
      <c r="CI475" s="175"/>
      <c r="CJ475" s="175"/>
      <c r="CK475" s="175"/>
      <c r="CL475" s="175"/>
      <c r="CM475" s="175"/>
      <c r="CN475" s="175"/>
      <c r="CO475" s="175"/>
      <c r="CP475" s="176"/>
      <c r="CQ475" s="176"/>
      <c r="CR475" s="176"/>
      <c r="CS475" s="176"/>
      <c r="CT475" s="176"/>
      <c r="CU475" s="176"/>
      <c r="CV475" s="176"/>
      <c r="CW475" s="167"/>
      <c r="CX475" s="168"/>
      <c r="CY475" s="168"/>
      <c r="CZ475" s="168"/>
      <c r="DA475" s="168"/>
      <c r="DB475" s="168"/>
      <c r="DC475" s="168"/>
      <c r="DD475" s="172"/>
      <c r="DE475" s="172"/>
      <c r="DF475" s="172"/>
      <c r="DG475" s="172"/>
      <c r="DH475" s="172"/>
      <c r="DI475" s="172"/>
      <c r="DJ475" s="172"/>
      <c r="DK475" s="80" t="s">
        <v>1519</v>
      </c>
      <c r="DL475" s="129"/>
      <c r="DM475" s="129"/>
      <c r="DN475" s="129"/>
      <c r="DO475" s="129"/>
      <c r="DP475" s="129"/>
      <c r="DQ475" s="129"/>
      <c r="DR475" s="129"/>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6">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37"/>
        <v>0</v>
      </c>
      <c r="BV476" s="27"/>
      <c r="BW476" s="27"/>
      <c r="BX476" s="27"/>
      <c r="BY476" s="27"/>
      <c r="BZ476" s="27"/>
      <c r="CA476" s="27"/>
      <c r="CB476" s="97">
        <v>0.15500000000000003</v>
      </c>
      <c r="CC476" s="97">
        <v>0.2506666666666667</v>
      </c>
      <c r="CD476" s="97">
        <v>0.2</v>
      </c>
      <c r="CE476" s="97">
        <f t="shared" si="371"/>
        <v>0.2</v>
      </c>
      <c r="CF476" s="97">
        <f t="shared" si="372"/>
        <v>0.19</v>
      </c>
      <c r="CG476" s="97">
        <f t="shared" si="373"/>
        <v>0.18</v>
      </c>
      <c r="CH476" s="97">
        <v>0.17</v>
      </c>
      <c r="CI476" s="173"/>
      <c r="CJ476" s="173"/>
      <c r="CK476" s="173"/>
      <c r="CL476" s="173"/>
      <c r="CM476" s="173"/>
      <c r="CN476" s="173"/>
      <c r="CO476" s="173"/>
      <c r="CP476" s="174"/>
      <c r="CQ476" s="174"/>
      <c r="CR476" s="174"/>
      <c r="CS476" s="174"/>
      <c r="CT476" s="174"/>
      <c r="CU476" s="174"/>
      <c r="CV476" s="174"/>
      <c r="CW476" s="165"/>
      <c r="CX476" s="166"/>
      <c r="CY476" s="166"/>
      <c r="CZ476" s="166"/>
      <c r="DA476" s="166"/>
      <c r="DB476" s="166"/>
      <c r="DC476" s="166"/>
      <c r="DD476" s="171"/>
      <c r="DE476" s="171"/>
      <c r="DF476" s="171"/>
      <c r="DG476" s="171"/>
      <c r="DH476" s="171"/>
      <c r="DI476" s="171"/>
      <c r="DJ476" s="171"/>
      <c r="DK476" s="79" t="s">
        <v>415</v>
      </c>
      <c r="DL476" s="128"/>
      <c r="DM476" s="128"/>
      <c r="DN476" s="128"/>
      <c r="DO476" s="128"/>
      <c r="DP476" s="128"/>
      <c r="DQ476" s="128"/>
      <c r="DR476" s="128"/>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6">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37"/>
        <v>0</v>
      </c>
      <c r="BV477" s="28"/>
      <c r="BW477" s="28"/>
      <c r="BX477" s="28"/>
      <c r="BY477" s="28"/>
      <c r="BZ477" s="28"/>
      <c r="CA477" s="28"/>
      <c r="CB477" s="99">
        <v>0</v>
      </c>
      <c r="CC477" s="99">
        <v>3.1500000000000007E-2</v>
      </c>
      <c r="CD477" s="99">
        <v>0.06</v>
      </c>
      <c r="CE477" s="99">
        <f t="shared" si="371"/>
        <v>0.06</v>
      </c>
      <c r="CF477" s="99">
        <f t="shared" si="372"/>
        <v>0.05</v>
      </c>
      <c r="CG477" s="99">
        <f t="shared" si="373"/>
        <v>0.05</v>
      </c>
      <c r="CH477" s="99">
        <v>0.04</v>
      </c>
      <c r="CI477" s="175"/>
      <c r="CJ477" s="175"/>
      <c r="CK477" s="175"/>
      <c r="CL477" s="175"/>
      <c r="CM477" s="175"/>
      <c r="CN477" s="175"/>
      <c r="CO477" s="175"/>
      <c r="CP477" s="176"/>
      <c r="CQ477" s="176"/>
      <c r="CR477" s="176"/>
      <c r="CS477" s="176"/>
      <c r="CT477" s="176"/>
      <c r="CU477" s="176"/>
      <c r="CV477" s="176"/>
      <c r="CW477" s="167"/>
      <c r="CX477" s="168"/>
      <c r="CY477" s="168"/>
      <c r="CZ477" s="168"/>
      <c r="DA477" s="168"/>
      <c r="DB477" s="168"/>
      <c r="DC477" s="168"/>
      <c r="DD477" s="172"/>
      <c r="DE477" s="172"/>
      <c r="DF477" s="172"/>
      <c r="DG477" s="172"/>
      <c r="DH477" s="172"/>
      <c r="DI477" s="172"/>
      <c r="DJ477" s="172"/>
      <c r="DK477" s="80" t="s">
        <v>415</v>
      </c>
      <c r="DL477" s="129"/>
      <c r="DM477" s="129"/>
      <c r="DN477" s="129"/>
      <c r="DO477" s="129"/>
      <c r="DP477" s="129"/>
      <c r="DQ477" s="129"/>
      <c r="DR477" s="129"/>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6">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37"/>
        <v>0</v>
      </c>
      <c r="BV478" s="27"/>
      <c r="BW478" s="27"/>
      <c r="BX478" s="27"/>
      <c r="BY478" s="27"/>
      <c r="BZ478" s="27"/>
      <c r="CA478" s="27"/>
      <c r="CB478" s="97">
        <v>8.0000000000000016E-2</v>
      </c>
      <c r="CC478" s="97">
        <v>9.3901497133514242E-2</v>
      </c>
      <c r="CD478" s="97">
        <v>0.05</v>
      </c>
      <c r="CE478" s="97">
        <f t="shared" si="371"/>
        <v>0.05</v>
      </c>
      <c r="CF478" s="97">
        <f t="shared" si="372"/>
        <v>0.05</v>
      </c>
      <c r="CG478" s="97">
        <f t="shared" si="373"/>
        <v>0.05</v>
      </c>
      <c r="CH478" s="97">
        <v>0.04</v>
      </c>
      <c r="CI478" s="173"/>
      <c r="CJ478" s="173"/>
      <c r="CK478" s="173"/>
      <c r="CL478" s="173"/>
      <c r="CM478" s="173"/>
      <c r="CN478" s="173"/>
      <c r="CO478" s="173"/>
      <c r="CP478" s="174"/>
      <c r="CQ478" s="174"/>
      <c r="CR478" s="174"/>
      <c r="CS478" s="174"/>
      <c r="CT478" s="174"/>
      <c r="CU478" s="174"/>
      <c r="CV478" s="174"/>
      <c r="CW478" s="165"/>
      <c r="CX478" s="166"/>
      <c r="CY478" s="166"/>
      <c r="CZ478" s="166"/>
      <c r="DA478" s="166"/>
      <c r="DB478" s="166"/>
      <c r="DC478" s="166"/>
      <c r="DD478" s="171"/>
      <c r="DE478" s="171"/>
      <c r="DF478" s="171"/>
      <c r="DG478" s="171"/>
      <c r="DH478" s="171"/>
      <c r="DI478" s="171"/>
      <c r="DJ478" s="171"/>
      <c r="DK478" s="79" t="s">
        <v>415</v>
      </c>
      <c r="DL478" s="128"/>
      <c r="DM478" s="128"/>
      <c r="DN478" s="128"/>
      <c r="DO478" s="128"/>
      <c r="DP478" s="128"/>
      <c r="DQ478" s="128"/>
      <c r="DR478" s="128"/>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6">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37"/>
        <v>0</v>
      </c>
      <c r="BV479" s="28"/>
      <c r="BW479" s="28"/>
      <c r="BX479" s="28"/>
      <c r="BY479" s="28"/>
      <c r="BZ479" s="28"/>
      <c r="CA479" s="28"/>
      <c r="CB479" s="99">
        <v>6.4000000000000001E-2</v>
      </c>
      <c r="CC479" s="99">
        <v>6.967423161344187E-2</v>
      </c>
      <c r="CD479" s="99">
        <v>0.04</v>
      </c>
      <c r="CE479" s="99">
        <f t="shared" si="371"/>
        <v>0.04</v>
      </c>
      <c r="CF479" s="99">
        <f t="shared" si="372"/>
        <v>0.04</v>
      </c>
      <c r="CG479" s="99">
        <f t="shared" si="373"/>
        <v>0.04</v>
      </c>
      <c r="CH479" s="99">
        <v>0.03</v>
      </c>
      <c r="CI479" s="175"/>
      <c r="CJ479" s="175"/>
      <c r="CK479" s="175"/>
      <c r="CL479" s="175"/>
      <c r="CM479" s="175"/>
      <c r="CN479" s="175"/>
      <c r="CO479" s="175"/>
      <c r="CP479" s="176"/>
      <c r="CQ479" s="176"/>
      <c r="CR479" s="176"/>
      <c r="CS479" s="176"/>
      <c r="CT479" s="176"/>
      <c r="CU479" s="176"/>
      <c r="CV479" s="176"/>
      <c r="CW479" s="167"/>
      <c r="CX479" s="168"/>
      <c r="CY479" s="168"/>
      <c r="CZ479" s="168"/>
      <c r="DA479" s="168"/>
      <c r="DB479" s="168"/>
      <c r="DC479" s="168"/>
      <c r="DD479" s="172"/>
      <c r="DE479" s="172"/>
      <c r="DF479" s="172"/>
      <c r="DG479" s="172"/>
      <c r="DH479" s="172"/>
      <c r="DI479" s="172"/>
      <c r="DJ479" s="172"/>
      <c r="DK479" s="80" t="s">
        <v>415</v>
      </c>
      <c r="DL479" s="129"/>
      <c r="DM479" s="129"/>
      <c r="DN479" s="129"/>
      <c r="DO479" s="129"/>
      <c r="DP479" s="129"/>
      <c r="DQ479" s="129"/>
      <c r="DR479" s="129"/>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6">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37"/>
        <v>0</v>
      </c>
      <c r="BV480" s="27"/>
      <c r="BW480" s="27"/>
      <c r="BX480" s="27"/>
      <c r="BY480" s="27"/>
      <c r="BZ480" s="27"/>
      <c r="CA480" s="27"/>
      <c r="CB480" s="97">
        <v>0</v>
      </c>
      <c r="CC480" s="97">
        <v>7.6257525307173177E-3</v>
      </c>
      <c r="CD480" s="97">
        <v>0.01</v>
      </c>
      <c r="CE480" s="97">
        <f t="shared" si="371"/>
        <v>0.02</v>
      </c>
      <c r="CF480" s="97">
        <f t="shared" si="372"/>
        <v>0.02</v>
      </c>
      <c r="CG480" s="97">
        <f t="shared" si="373"/>
        <v>0.02</v>
      </c>
      <c r="CH480" s="97">
        <v>0.02</v>
      </c>
      <c r="CI480" s="173"/>
      <c r="CJ480" s="173"/>
      <c r="CK480" s="173"/>
      <c r="CL480" s="173"/>
      <c r="CM480" s="173"/>
      <c r="CN480" s="173"/>
      <c r="CO480" s="173"/>
      <c r="CP480" s="174"/>
      <c r="CQ480" s="174"/>
      <c r="CR480" s="174"/>
      <c r="CS480" s="174"/>
      <c r="CT480" s="174"/>
      <c r="CU480" s="174"/>
      <c r="CV480" s="174"/>
      <c r="CW480" s="165"/>
      <c r="CX480" s="166"/>
      <c r="CY480" s="166"/>
      <c r="CZ480" s="166"/>
      <c r="DA480" s="166"/>
      <c r="DB480" s="166"/>
      <c r="DC480" s="166"/>
      <c r="DD480" s="171"/>
      <c r="DE480" s="171"/>
      <c r="DF480" s="171"/>
      <c r="DG480" s="171"/>
      <c r="DH480" s="171"/>
      <c r="DI480" s="171"/>
      <c r="DJ480" s="171"/>
      <c r="DK480" s="79" t="s">
        <v>415</v>
      </c>
      <c r="DL480" s="128"/>
      <c r="DM480" s="128"/>
      <c r="DN480" s="128"/>
      <c r="DO480" s="128"/>
      <c r="DP480" s="128"/>
      <c r="DQ480" s="128"/>
      <c r="DR480" s="128"/>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6">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37"/>
        <v>0</v>
      </c>
      <c r="BV481" s="28"/>
      <c r="BW481" s="28"/>
      <c r="BX481" s="28"/>
      <c r="BY481" s="28"/>
      <c r="BZ481" s="28"/>
      <c r="CA481" s="28"/>
      <c r="CB481" s="99">
        <v>0.81200000000000006</v>
      </c>
      <c r="CC481" s="99">
        <v>0.95333333333333337</v>
      </c>
      <c r="CD481" s="99">
        <v>0.18</v>
      </c>
      <c r="CE481" s="99">
        <f t="shared" si="371"/>
        <v>0.16</v>
      </c>
      <c r="CF481" s="99">
        <f t="shared" si="372"/>
        <v>0.14000000000000001</v>
      </c>
      <c r="CG481" s="99">
        <f t="shared" si="373"/>
        <v>0.12</v>
      </c>
      <c r="CH481" s="99">
        <v>0.1</v>
      </c>
      <c r="CI481" s="175"/>
      <c r="CJ481" s="175"/>
      <c r="CK481" s="175"/>
      <c r="CL481" s="175"/>
      <c r="CM481" s="175"/>
      <c r="CN481" s="175"/>
      <c r="CO481" s="175"/>
      <c r="CP481" s="176"/>
      <c r="CQ481" s="176"/>
      <c r="CR481" s="176"/>
      <c r="CS481" s="176"/>
      <c r="CT481" s="176"/>
      <c r="CU481" s="176"/>
      <c r="CV481" s="176"/>
      <c r="CW481" s="167"/>
      <c r="CX481" s="168"/>
      <c r="CY481" s="168"/>
      <c r="CZ481" s="168"/>
      <c r="DA481" s="168"/>
      <c r="DB481" s="168"/>
      <c r="DC481" s="168"/>
      <c r="DD481" s="172"/>
      <c r="DE481" s="172"/>
      <c r="DF481" s="172"/>
      <c r="DG481" s="172"/>
      <c r="DH481" s="172"/>
      <c r="DI481" s="172"/>
      <c r="DJ481" s="172"/>
      <c r="DK481" s="80" t="s">
        <v>415</v>
      </c>
      <c r="DL481" s="129"/>
      <c r="DM481" s="129"/>
      <c r="DN481" s="129"/>
      <c r="DO481" s="129"/>
      <c r="DP481" s="129"/>
      <c r="DQ481" s="129"/>
      <c r="DR481" s="129"/>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6">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76">IF(BL482=1,BN482,0)</f>
        <v>0</v>
      </c>
      <c r="BV482" s="27"/>
      <c r="BW482" s="27"/>
      <c r="BX482" s="27"/>
      <c r="BY482" s="27"/>
      <c r="BZ482" s="27"/>
      <c r="CA482" s="27"/>
      <c r="CB482" s="97">
        <v>15</v>
      </c>
      <c r="CC482" s="97">
        <v>15</v>
      </c>
      <c r="CD482" s="97">
        <v>15</v>
      </c>
      <c r="CE482" s="97">
        <f t="shared" si="371"/>
        <v>15</v>
      </c>
      <c r="CF482" s="97">
        <f t="shared" si="372"/>
        <v>15</v>
      </c>
      <c r="CG482" s="97">
        <f t="shared" si="373"/>
        <v>15</v>
      </c>
      <c r="CH482" s="97">
        <v>15</v>
      </c>
      <c r="CI482" s="173"/>
      <c r="CJ482" s="173"/>
      <c r="CK482" s="173"/>
      <c r="CL482" s="173"/>
      <c r="CM482" s="173"/>
      <c r="CN482" s="173"/>
      <c r="CO482" s="173"/>
      <c r="CP482" s="174"/>
      <c r="CQ482" s="174"/>
      <c r="CR482" s="174"/>
      <c r="CS482" s="174"/>
      <c r="CT482" s="174"/>
      <c r="CU482" s="174"/>
      <c r="CV482" s="174"/>
      <c r="CW482" s="165"/>
      <c r="CX482" s="166"/>
      <c r="CY482" s="166"/>
      <c r="CZ482" s="166"/>
      <c r="DA482" s="166"/>
      <c r="DB482" s="166"/>
      <c r="DC482" s="166"/>
      <c r="DD482" s="171"/>
      <c r="DE482" s="171"/>
      <c r="DF482" s="171"/>
      <c r="DG482" s="171"/>
      <c r="DH482" s="171"/>
      <c r="DI482" s="171"/>
      <c r="DJ482" s="171"/>
      <c r="DK482" s="79" t="s">
        <v>415</v>
      </c>
      <c r="DL482" s="128"/>
      <c r="DM482" s="128"/>
      <c r="DN482" s="128"/>
      <c r="DO482" s="128"/>
      <c r="DP482" s="128"/>
      <c r="DQ482" s="128"/>
      <c r="DR482" s="128"/>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6">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76"/>
        <v>0</v>
      </c>
      <c r="BV483" s="28"/>
      <c r="BW483" s="28"/>
      <c r="BX483" s="28"/>
      <c r="BY483" s="28"/>
      <c r="BZ483" s="28"/>
      <c r="CA483" s="28"/>
      <c r="CB483" s="99">
        <v>0.66749999999999998</v>
      </c>
      <c r="CC483" s="99">
        <v>0.73958333333333337</v>
      </c>
      <c r="CD483" s="185">
        <f>CC483</f>
        <v>0.73958333333333337</v>
      </c>
      <c r="CE483" s="185">
        <f t="shared" si="371"/>
        <v>0.74</v>
      </c>
      <c r="CF483" s="185">
        <f t="shared" si="372"/>
        <v>0.74</v>
      </c>
      <c r="CG483" s="185">
        <f t="shared" si="373"/>
        <v>0.74</v>
      </c>
      <c r="CH483" s="185">
        <f>CC483</f>
        <v>0.73958333333333337</v>
      </c>
      <c r="CI483" s="175"/>
      <c r="CJ483" s="175"/>
      <c r="CK483" s="175"/>
      <c r="CL483" s="175"/>
      <c r="CM483" s="175"/>
      <c r="CN483" s="175"/>
      <c r="CO483" s="175"/>
      <c r="CP483" s="176"/>
      <c r="CQ483" s="176"/>
      <c r="CR483" s="176"/>
      <c r="CS483" s="176"/>
      <c r="CT483" s="176"/>
      <c r="CU483" s="176"/>
      <c r="CV483" s="176"/>
      <c r="CW483" s="167"/>
      <c r="CX483" s="168"/>
      <c r="CY483" s="168"/>
      <c r="CZ483" s="168"/>
      <c r="DA483" s="168"/>
      <c r="DB483" s="168"/>
      <c r="DC483" s="168"/>
      <c r="DD483" s="172"/>
      <c r="DE483" s="172"/>
      <c r="DF483" s="172"/>
      <c r="DG483" s="172"/>
      <c r="DH483" s="172"/>
      <c r="DI483" s="172"/>
      <c r="DJ483" s="172"/>
      <c r="DK483" s="80" t="s">
        <v>415</v>
      </c>
      <c r="DL483" s="129"/>
      <c r="DM483" s="129"/>
      <c r="DN483" s="129"/>
      <c r="DO483" s="129"/>
      <c r="DP483" s="129"/>
      <c r="DQ483" s="129"/>
      <c r="DR483" s="129"/>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6">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76"/>
        <v>0</v>
      </c>
      <c r="BV484" s="27"/>
      <c r="BW484" s="27"/>
      <c r="BX484" s="27"/>
      <c r="BY484" s="27"/>
      <c r="BZ484" s="27"/>
      <c r="CA484" s="27"/>
      <c r="CB484" s="97">
        <v>20</v>
      </c>
      <c r="CC484" s="97">
        <v>20</v>
      </c>
      <c r="CD484" s="97">
        <v>20</v>
      </c>
      <c r="CE484" s="97">
        <f t="shared" si="371"/>
        <v>20</v>
      </c>
      <c r="CF484" s="97">
        <f t="shared" si="372"/>
        <v>20</v>
      </c>
      <c r="CG484" s="97">
        <f t="shared" si="373"/>
        <v>20</v>
      </c>
      <c r="CH484" s="97">
        <v>20</v>
      </c>
      <c r="CI484" s="173"/>
      <c r="CJ484" s="173"/>
      <c r="CK484" s="173"/>
      <c r="CL484" s="173"/>
      <c r="CM484" s="173"/>
      <c r="CN484" s="173"/>
      <c r="CO484" s="173"/>
      <c r="CP484" s="174"/>
      <c r="CQ484" s="174"/>
      <c r="CR484" s="174"/>
      <c r="CS484" s="174"/>
      <c r="CT484" s="174"/>
      <c r="CU484" s="174"/>
      <c r="CV484" s="174"/>
      <c r="CW484" s="165"/>
      <c r="CX484" s="166"/>
      <c r="CY484" s="166"/>
      <c r="CZ484" s="166"/>
      <c r="DA484" s="166"/>
      <c r="DB484" s="166"/>
      <c r="DC484" s="166"/>
      <c r="DD484" s="171"/>
      <c r="DE484" s="171"/>
      <c r="DF484" s="171"/>
      <c r="DG484" s="171"/>
      <c r="DH484" s="171"/>
      <c r="DI484" s="171"/>
      <c r="DJ484" s="171"/>
      <c r="DK484" s="79" t="s">
        <v>415</v>
      </c>
      <c r="DL484" s="128"/>
      <c r="DM484" s="128"/>
      <c r="DN484" s="128"/>
      <c r="DO484" s="128"/>
      <c r="DP484" s="128"/>
      <c r="DQ484" s="128"/>
      <c r="DR484" s="128"/>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6">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76"/>
        <v>0</v>
      </c>
      <c r="BV485" s="28"/>
      <c r="BW485" s="28"/>
      <c r="BX485" s="28"/>
      <c r="BY485" s="28"/>
      <c r="BZ485" s="28"/>
      <c r="CA485" s="28"/>
      <c r="CB485" s="99">
        <v>0.9880000000000001</v>
      </c>
      <c r="CC485" s="99">
        <v>0.85458333333333347</v>
      </c>
      <c r="CD485" s="99">
        <v>1.345</v>
      </c>
      <c r="CE485" s="99">
        <f t="shared" si="371"/>
        <v>1.35</v>
      </c>
      <c r="CF485" s="99">
        <f t="shared" si="372"/>
        <v>1.35</v>
      </c>
      <c r="CG485" s="99">
        <f t="shared" si="373"/>
        <v>1.35</v>
      </c>
      <c r="CH485" s="99">
        <v>1.345</v>
      </c>
      <c r="CI485" s="175"/>
      <c r="CJ485" s="175"/>
      <c r="CK485" s="175"/>
      <c r="CL485" s="175"/>
      <c r="CM485" s="175"/>
      <c r="CN485" s="175"/>
      <c r="CO485" s="175"/>
      <c r="CP485" s="176"/>
      <c r="CQ485" s="176"/>
      <c r="CR485" s="176"/>
      <c r="CS485" s="176"/>
      <c r="CT485" s="176"/>
      <c r="CU485" s="176"/>
      <c r="CV485" s="176"/>
      <c r="CW485" s="167"/>
      <c r="CX485" s="168"/>
      <c r="CY485" s="168"/>
      <c r="CZ485" s="168"/>
      <c r="DA485" s="168"/>
      <c r="DB485" s="168"/>
      <c r="DC485" s="168"/>
      <c r="DD485" s="172"/>
      <c r="DE485" s="172"/>
      <c r="DF485" s="172"/>
      <c r="DG485" s="172"/>
      <c r="DH485" s="172"/>
      <c r="DI485" s="172"/>
      <c r="DJ485" s="172"/>
      <c r="DK485" s="80" t="s">
        <v>415</v>
      </c>
      <c r="DL485" s="129"/>
      <c r="DM485" s="129"/>
      <c r="DN485" s="129"/>
      <c r="DO485" s="129"/>
      <c r="DP485" s="129"/>
      <c r="DQ485" s="129"/>
      <c r="DR485" s="129"/>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6">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76"/>
        <v>0</v>
      </c>
      <c r="BV486" s="27"/>
      <c r="BW486" s="27"/>
      <c r="BX486" s="27"/>
      <c r="BY486" s="27"/>
      <c r="BZ486" s="27"/>
      <c r="CA486" s="27"/>
      <c r="CB486" s="97">
        <v>10</v>
      </c>
      <c r="CC486" s="97">
        <v>10</v>
      </c>
      <c r="CD486" s="97">
        <v>10</v>
      </c>
      <c r="CE486" s="97">
        <f t="shared" si="371"/>
        <v>10</v>
      </c>
      <c r="CF486" s="97">
        <f t="shared" si="372"/>
        <v>10</v>
      </c>
      <c r="CG486" s="97">
        <f t="shared" si="373"/>
        <v>10</v>
      </c>
      <c r="CH486" s="97">
        <v>10</v>
      </c>
      <c r="CI486" s="173"/>
      <c r="CJ486" s="173"/>
      <c r="CK486" s="173"/>
      <c r="CL486" s="173"/>
      <c r="CM486" s="173"/>
      <c r="CN486" s="173"/>
      <c r="CO486" s="173"/>
      <c r="CP486" s="174"/>
      <c r="CQ486" s="174"/>
      <c r="CR486" s="174"/>
      <c r="CS486" s="174"/>
      <c r="CT486" s="174"/>
      <c r="CU486" s="174"/>
      <c r="CV486" s="174"/>
      <c r="CW486" s="165"/>
      <c r="CX486" s="166"/>
      <c r="CY486" s="166"/>
      <c r="CZ486" s="166"/>
      <c r="DA486" s="166"/>
      <c r="DB486" s="166"/>
      <c r="DC486" s="166"/>
      <c r="DD486" s="171"/>
      <c r="DE486" s="171"/>
      <c r="DF486" s="171"/>
      <c r="DG486" s="171"/>
      <c r="DH486" s="171"/>
      <c r="DI486" s="171"/>
      <c r="DJ486" s="171"/>
      <c r="DK486" s="79" t="s">
        <v>415</v>
      </c>
      <c r="DL486" s="128"/>
      <c r="DM486" s="128"/>
      <c r="DN486" s="128"/>
      <c r="DO486" s="128"/>
      <c r="DP486" s="128"/>
      <c r="DQ486" s="128"/>
      <c r="DR486" s="128"/>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6">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76"/>
        <v>0</v>
      </c>
      <c r="BV487" s="28"/>
      <c r="BW487" s="28"/>
      <c r="BX487" s="28"/>
      <c r="BY487" s="28"/>
      <c r="BZ487" s="28"/>
      <c r="CA487" s="28"/>
      <c r="CB487" s="99">
        <v>0.81200000000000006</v>
      </c>
      <c r="CC487" s="99">
        <v>0.95333333333333337</v>
      </c>
      <c r="CD487" s="99">
        <v>0.35899999999999999</v>
      </c>
      <c r="CE487" s="99">
        <f t="shared" si="371"/>
        <v>0.36</v>
      </c>
      <c r="CF487" s="99">
        <f t="shared" si="372"/>
        <v>0.36</v>
      </c>
      <c r="CG487" s="99">
        <f t="shared" si="373"/>
        <v>0.36</v>
      </c>
      <c r="CH487" s="99">
        <v>0.35899999999999999</v>
      </c>
      <c r="CI487" s="175"/>
      <c r="CJ487" s="175"/>
      <c r="CK487" s="175"/>
      <c r="CL487" s="175"/>
      <c r="CM487" s="175"/>
      <c r="CN487" s="175"/>
      <c r="CO487" s="175"/>
      <c r="CP487" s="176"/>
      <c r="CQ487" s="176"/>
      <c r="CR487" s="176"/>
      <c r="CS487" s="176"/>
      <c r="CT487" s="176"/>
      <c r="CU487" s="176"/>
      <c r="CV487" s="176"/>
      <c r="CW487" s="167"/>
      <c r="CX487" s="168"/>
      <c r="CY487" s="168"/>
      <c r="CZ487" s="168"/>
      <c r="DA487" s="168"/>
      <c r="DB487" s="168"/>
      <c r="DC487" s="168"/>
      <c r="DD487" s="172"/>
      <c r="DE487" s="172"/>
      <c r="DF487" s="172"/>
      <c r="DG487" s="172"/>
      <c r="DH487" s="172"/>
      <c r="DI487" s="172"/>
      <c r="DJ487" s="172"/>
      <c r="DK487" s="80" t="s">
        <v>415</v>
      </c>
      <c r="DL487" s="129"/>
      <c r="DM487" s="129"/>
      <c r="DN487" s="129"/>
      <c r="DO487" s="129"/>
      <c r="DP487" s="129"/>
      <c r="DQ487" s="129"/>
      <c r="DR487" s="129"/>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6">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37"/>
        <v>0</v>
      </c>
      <c r="BV488" s="27"/>
      <c r="BW488" s="27"/>
      <c r="BX488" s="27"/>
      <c r="BY488" s="27"/>
      <c r="BZ488" s="27"/>
      <c r="CA488" s="27"/>
      <c r="CB488" s="97">
        <v>5</v>
      </c>
      <c r="CC488" s="97">
        <v>5</v>
      </c>
      <c r="CD488" s="97">
        <v>5</v>
      </c>
      <c r="CE488" s="97">
        <f t="shared" si="371"/>
        <v>5</v>
      </c>
      <c r="CF488" s="97">
        <f t="shared" si="372"/>
        <v>5</v>
      </c>
      <c r="CG488" s="97">
        <f t="shared" si="373"/>
        <v>5</v>
      </c>
      <c r="CH488" s="97">
        <v>5</v>
      </c>
      <c r="CI488" s="173"/>
      <c r="CJ488" s="173"/>
      <c r="CK488" s="173"/>
      <c r="CL488" s="173"/>
      <c r="CM488" s="173"/>
      <c r="CN488" s="173"/>
      <c r="CO488" s="173"/>
      <c r="CP488" s="174"/>
      <c r="CQ488" s="174"/>
      <c r="CR488" s="174"/>
      <c r="CS488" s="174"/>
      <c r="CT488" s="174"/>
      <c r="CU488" s="174"/>
      <c r="CV488" s="174"/>
      <c r="CW488" s="165"/>
      <c r="CX488" s="166"/>
      <c r="CY488" s="166"/>
      <c r="CZ488" s="166"/>
      <c r="DA488" s="166"/>
      <c r="DB488" s="166"/>
      <c r="DC488" s="166"/>
      <c r="DD488" s="171"/>
      <c r="DE488" s="171"/>
      <c r="DF488" s="171"/>
      <c r="DG488" s="171"/>
      <c r="DH488" s="171"/>
      <c r="DI488" s="171"/>
      <c r="DJ488" s="171"/>
      <c r="DK488" s="79" t="s">
        <v>415</v>
      </c>
      <c r="DL488" s="128"/>
      <c r="DM488" s="128"/>
      <c r="DN488" s="128"/>
      <c r="DO488" s="128"/>
      <c r="DP488" s="128"/>
      <c r="DQ488" s="128"/>
      <c r="DR488" s="128"/>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6">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37"/>
        <v>0</v>
      </c>
      <c r="BV489" s="28"/>
      <c r="BW489" s="28"/>
      <c r="BX489" s="28"/>
      <c r="BY489" s="28"/>
      <c r="BZ489" s="28"/>
      <c r="CA489" s="28"/>
      <c r="CB489" s="99">
        <v>1.0499999999999998</v>
      </c>
      <c r="CC489" s="99">
        <v>1.0874999999999999</v>
      </c>
      <c r="CD489" s="185">
        <f>CC489</f>
        <v>1.0874999999999999</v>
      </c>
      <c r="CE489" s="185">
        <f t="shared" si="371"/>
        <v>1.0900000000000001</v>
      </c>
      <c r="CF489" s="185">
        <f t="shared" si="372"/>
        <v>1.0900000000000001</v>
      </c>
      <c r="CG489" s="185">
        <f t="shared" si="373"/>
        <v>1.0900000000000001</v>
      </c>
      <c r="CH489" s="185">
        <f>CC489</f>
        <v>1.0874999999999999</v>
      </c>
      <c r="CI489" s="175"/>
      <c r="CJ489" s="175"/>
      <c r="CK489" s="175"/>
      <c r="CL489" s="175"/>
      <c r="CM489" s="175"/>
      <c r="CN489" s="175"/>
      <c r="CO489" s="175"/>
      <c r="CP489" s="176"/>
      <c r="CQ489" s="176"/>
      <c r="CR489" s="176"/>
      <c r="CS489" s="176"/>
      <c r="CT489" s="176"/>
      <c r="CU489" s="176"/>
      <c r="CV489" s="176"/>
      <c r="CW489" s="167"/>
      <c r="CX489" s="168"/>
      <c r="CY489" s="168"/>
      <c r="CZ489" s="168"/>
      <c r="DA489" s="168"/>
      <c r="DB489" s="168"/>
      <c r="DC489" s="168"/>
      <c r="DD489" s="172"/>
      <c r="DE489" s="172"/>
      <c r="DF489" s="172"/>
      <c r="DG489" s="172"/>
      <c r="DH489" s="172"/>
      <c r="DI489" s="172"/>
      <c r="DJ489" s="172"/>
      <c r="DK489" s="80" t="s">
        <v>415</v>
      </c>
      <c r="DL489" s="129"/>
      <c r="DM489" s="129"/>
      <c r="DN489" s="129"/>
      <c r="DO489" s="129"/>
      <c r="DP489" s="129"/>
      <c r="DQ489" s="129"/>
      <c r="DR489" s="129"/>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6">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37"/>
        <v>0</v>
      </c>
      <c r="BV490" s="27"/>
      <c r="BW490" s="27"/>
      <c r="BX490" s="27"/>
      <c r="BY490" s="27"/>
      <c r="BZ490" s="27"/>
      <c r="CA490" s="27"/>
      <c r="CB490" s="97">
        <v>0.15000000000000002</v>
      </c>
      <c r="CC490" s="97">
        <v>0.15750000000000003</v>
      </c>
      <c r="CD490" s="185">
        <f t="shared" ref="CD490:CD497" si="377">CC490</f>
        <v>0.15750000000000003</v>
      </c>
      <c r="CE490" s="185">
        <f t="shared" ref="CE490:CE491" si="378">ROUND((CD490+CF490)/2,2)</f>
        <v>0.16</v>
      </c>
      <c r="CF490" s="185">
        <f t="shared" ref="CF490:CF491" si="379">ROUND((CD490+CH490)/2,2)</f>
        <v>0.16</v>
      </c>
      <c r="CG490" s="185">
        <f t="shared" ref="CG490:CG491" si="380">ROUND((CF490+CH490)/2,2)</f>
        <v>0.16</v>
      </c>
      <c r="CH490" s="185">
        <f t="shared" ref="CH490:CH491" si="381">CC490</f>
        <v>0.15750000000000003</v>
      </c>
      <c r="CI490" s="173"/>
      <c r="CJ490" s="173"/>
      <c r="CK490" s="173"/>
      <c r="CL490" s="173"/>
      <c r="CM490" s="173"/>
      <c r="CN490" s="173"/>
      <c r="CO490" s="173"/>
      <c r="CP490" s="174"/>
      <c r="CQ490" s="174"/>
      <c r="CR490" s="174"/>
      <c r="CS490" s="174"/>
      <c r="CT490" s="174"/>
      <c r="CU490" s="174"/>
      <c r="CV490" s="174"/>
      <c r="CW490" s="165"/>
      <c r="CX490" s="166"/>
      <c r="CY490" s="166"/>
      <c r="CZ490" s="166"/>
      <c r="DA490" s="166"/>
      <c r="DB490" s="166"/>
      <c r="DC490" s="166"/>
      <c r="DD490" s="171"/>
      <c r="DE490" s="171"/>
      <c r="DF490" s="171"/>
      <c r="DG490" s="171"/>
      <c r="DH490" s="171"/>
      <c r="DI490" s="171"/>
      <c r="DJ490" s="171"/>
      <c r="DK490" s="79" t="s">
        <v>415</v>
      </c>
      <c r="DL490" s="128"/>
      <c r="DM490" s="128"/>
      <c r="DN490" s="128"/>
      <c r="DO490" s="128"/>
      <c r="DP490" s="128"/>
      <c r="DQ490" s="128"/>
      <c r="DR490" s="128"/>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6">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37"/>
        <v>0</v>
      </c>
      <c r="BV491" s="28"/>
      <c r="BW491" s="28"/>
      <c r="BX491" s="28"/>
      <c r="BY491" s="28"/>
      <c r="BZ491" s="28"/>
      <c r="CA491" s="28"/>
      <c r="CB491" s="99">
        <v>0.32000000000000006</v>
      </c>
      <c r="CC491" s="99">
        <v>0.30000000000000004</v>
      </c>
      <c r="CD491" s="185">
        <f t="shared" si="377"/>
        <v>0.30000000000000004</v>
      </c>
      <c r="CE491" s="185">
        <f t="shared" si="378"/>
        <v>0.3</v>
      </c>
      <c r="CF491" s="185">
        <f t="shared" si="379"/>
        <v>0.3</v>
      </c>
      <c r="CG491" s="185">
        <f t="shared" si="380"/>
        <v>0.3</v>
      </c>
      <c r="CH491" s="185">
        <f t="shared" si="381"/>
        <v>0.30000000000000004</v>
      </c>
      <c r="CI491" s="175"/>
      <c r="CJ491" s="175"/>
      <c r="CK491" s="175"/>
      <c r="CL491" s="175"/>
      <c r="CM491" s="175"/>
      <c r="CN491" s="175"/>
      <c r="CO491" s="175"/>
      <c r="CP491" s="176"/>
      <c r="CQ491" s="176"/>
      <c r="CR491" s="176"/>
      <c r="CS491" s="176"/>
      <c r="CT491" s="176"/>
      <c r="CU491" s="176"/>
      <c r="CV491" s="176"/>
      <c r="CW491" s="167"/>
      <c r="CX491" s="168"/>
      <c r="CY491" s="168"/>
      <c r="CZ491" s="168"/>
      <c r="DA491" s="168"/>
      <c r="DB491" s="168"/>
      <c r="DC491" s="168"/>
      <c r="DD491" s="172"/>
      <c r="DE491" s="172"/>
      <c r="DF491" s="172"/>
      <c r="DG491" s="172"/>
      <c r="DH491" s="172"/>
      <c r="DI491" s="172"/>
      <c r="DJ491" s="172"/>
      <c r="DK491" s="80" t="s">
        <v>415</v>
      </c>
      <c r="DL491" s="129"/>
      <c r="DM491" s="129"/>
      <c r="DN491" s="129"/>
      <c r="DO491" s="129"/>
      <c r="DP491" s="129"/>
      <c r="DQ491" s="129"/>
      <c r="DR491" s="129"/>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6">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37"/>
        <v>0</v>
      </c>
      <c r="BV492" s="27"/>
      <c r="BW492" s="27"/>
      <c r="BX492" s="27"/>
      <c r="BY492" s="27"/>
      <c r="BZ492" s="27"/>
      <c r="CA492" s="27"/>
      <c r="CB492" s="97">
        <v>20</v>
      </c>
      <c r="CC492" s="97">
        <v>20</v>
      </c>
      <c r="CD492" s="97">
        <v>20</v>
      </c>
      <c r="CE492" s="97">
        <f t="shared" si="371"/>
        <v>20</v>
      </c>
      <c r="CF492" s="97">
        <f t="shared" si="372"/>
        <v>20</v>
      </c>
      <c r="CG492" s="97">
        <f t="shared" si="373"/>
        <v>20</v>
      </c>
      <c r="CH492" s="97">
        <v>20</v>
      </c>
      <c r="CI492" s="173"/>
      <c r="CJ492" s="173"/>
      <c r="CK492" s="173"/>
      <c r="CL492" s="173"/>
      <c r="CM492" s="173"/>
      <c r="CN492" s="173"/>
      <c r="CO492" s="173"/>
      <c r="CP492" s="174"/>
      <c r="CQ492" s="174"/>
      <c r="CR492" s="174"/>
      <c r="CS492" s="174"/>
      <c r="CT492" s="174"/>
      <c r="CU492" s="174"/>
      <c r="CV492" s="174"/>
      <c r="CW492" s="165"/>
      <c r="CX492" s="166"/>
      <c r="CY492" s="166"/>
      <c r="CZ492" s="166"/>
      <c r="DA492" s="166"/>
      <c r="DB492" s="166"/>
      <c r="DC492" s="166"/>
      <c r="DD492" s="171"/>
      <c r="DE492" s="171"/>
      <c r="DF492" s="171"/>
      <c r="DG492" s="171"/>
      <c r="DH492" s="171"/>
      <c r="DI492" s="171"/>
      <c r="DJ492" s="171"/>
      <c r="DK492" s="79" t="s">
        <v>415</v>
      </c>
      <c r="DL492" s="128"/>
      <c r="DM492" s="128"/>
      <c r="DN492" s="128"/>
      <c r="DO492" s="128"/>
      <c r="DP492" s="128"/>
      <c r="DQ492" s="128"/>
      <c r="DR492" s="128"/>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6">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37"/>
        <v>0</v>
      </c>
      <c r="BV493" s="28"/>
      <c r="BW493" s="28"/>
      <c r="BX493" s="28"/>
      <c r="BY493" s="28"/>
      <c r="BZ493" s="28"/>
      <c r="CA493" s="28"/>
      <c r="CB493" s="99">
        <v>0.9880000000000001</v>
      </c>
      <c r="CC493" s="99">
        <v>0.85458333333333347</v>
      </c>
      <c r="CD493" s="185">
        <f t="shared" si="377"/>
        <v>0.85458333333333347</v>
      </c>
      <c r="CE493" s="185">
        <f t="shared" si="371"/>
        <v>0.85</v>
      </c>
      <c r="CF493" s="185">
        <f t="shared" si="372"/>
        <v>0.85</v>
      </c>
      <c r="CG493" s="185">
        <f t="shared" si="373"/>
        <v>0.85</v>
      </c>
      <c r="CH493" s="185">
        <f t="shared" ref="CH493" si="382">CC493</f>
        <v>0.85458333333333347</v>
      </c>
      <c r="CI493" s="175"/>
      <c r="CJ493" s="175"/>
      <c r="CK493" s="175"/>
      <c r="CL493" s="175"/>
      <c r="CM493" s="175"/>
      <c r="CN493" s="175"/>
      <c r="CO493" s="175"/>
      <c r="CP493" s="176"/>
      <c r="CQ493" s="176"/>
      <c r="CR493" s="176"/>
      <c r="CS493" s="176"/>
      <c r="CT493" s="176"/>
      <c r="CU493" s="176"/>
      <c r="CV493" s="176"/>
      <c r="CW493" s="167"/>
      <c r="CX493" s="168"/>
      <c r="CY493" s="168"/>
      <c r="CZ493" s="168"/>
      <c r="DA493" s="168"/>
      <c r="DB493" s="168"/>
      <c r="DC493" s="168"/>
      <c r="DD493" s="172"/>
      <c r="DE493" s="172"/>
      <c r="DF493" s="172"/>
      <c r="DG493" s="172"/>
      <c r="DH493" s="172"/>
      <c r="DI493" s="172"/>
      <c r="DJ493" s="172"/>
      <c r="DK493" s="80" t="s">
        <v>415</v>
      </c>
      <c r="DL493" s="129"/>
      <c r="DM493" s="129"/>
      <c r="DN493" s="129"/>
      <c r="DO493" s="129"/>
      <c r="DP493" s="129"/>
      <c r="DQ493" s="129"/>
      <c r="DR493" s="129"/>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6">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37"/>
        <v>0</v>
      </c>
      <c r="BV494" s="27"/>
      <c r="BW494" s="27"/>
      <c r="BX494" s="27"/>
      <c r="BY494" s="27"/>
      <c r="BZ494" s="27"/>
      <c r="CA494" s="27"/>
      <c r="CB494" s="97">
        <v>10</v>
      </c>
      <c r="CC494" s="97">
        <v>10</v>
      </c>
      <c r="CD494" s="97">
        <v>10</v>
      </c>
      <c r="CE494" s="97">
        <f t="shared" si="371"/>
        <v>10</v>
      </c>
      <c r="CF494" s="97">
        <f t="shared" si="372"/>
        <v>10</v>
      </c>
      <c r="CG494" s="97">
        <f t="shared" si="373"/>
        <v>10</v>
      </c>
      <c r="CH494" s="97">
        <v>10</v>
      </c>
      <c r="CI494" s="173"/>
      <c r="CJ494" s="173"/>
      <c r="CK494" s="173"/>
      <c r="CL494" s="173"/>
      <c r="CM494" s="173"/>
      <c r="CN494" s="173"/>
      <c r="CO494" s="173"/>
      <c r="CP494" s="174"/>
      <c r="CQ494" s="174"/>
      <c r="CR494" s="174"/>
      <c r="CS494" s="174"/>
      <c r="CT494" s="174"/>
      <c r="CU494" s="174"/>
      <c r="CV494" s="174"/>
      <c r="CW494" s="165"/>
      <c r="CX494" s="166"/>
      <c r="CY494" s="166"/>
      <c r="CZ494" s="166"/>
      <c r="DA494" s="166"/>
      <c r="DB494" s="166"/>
      <c r="DC494" s="166"/>
      <c r="DD494" s="171"/>
      <c r="DE494" s="171"/>
      <c r="DF494" s="171"/>
      <c r="DG494" s="171"/>
      <c r="DH494" s="171"/>
      <c r="DI494" s="171"/>
      <c r="DJ494" s="171"/>
      <c r="DK494" s="79" t="s">
        <v>415</v>
      </c>
      <c r="DL494" s="128"/>
      <c r="DM494" s="128"/>
      <c r="DN494" s="128"/>
      <c r="DO494" s="128"/>
      <c r="DP494" s="128"/>
      <c r="DQ494" s="128"/>
      <c r="DR494" s="128"/>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6">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37"/>
        <v>0</v>
      </c>
      <c r="BV495" s="28"/>
      <c r="BW495" s="28"/>
      <c r="BX495" s="28"/>
      <c r="BY495" s="28"/>
      <c r="BZ495" s="28"/>
      <c r="CA495" s="28"/>
      <c r="CB495" s="99">
        <v>0.81200000000000006</v>
      </c>
      <c r="CC495" s="99">
        <v>0.95333333333333337</v>
      </c>
      <c r="CD495" s="185">
        <f t="shared" si="377"/>
        <v>0.95333333333333337</v>
      </c>
      <c r="CE495" s="185">
        <f t="shared" si="371"/>
        <v>0.95</v>
      </c>
      <c r="CF495" s="185">
        <f t="shared" si="372"/>
        <v>0.95</v>
      </c>
      <c r="CG495" s="185">
        <f t="shared" si="373"/>
        <v>0.95</v>
      </c>
      <c r="CH495" s="185">
        <f t="shared" ref="CH495" si="383">CC495</f>
        <v>0.95333333333333337</v>
      </c>
      <c r="CI495" s="175"/>
      <c r="CJ495" s="175"/>
      <c r="CK495" s="175"/>
      <c r="CL495" s="175"/>
      <c r="CM495" s="175"/>
      <c r="CN495" s="175"/>
      <c r="CO495" s="175"/>
      <c r="CP495" s="176"/>
      <c r="CQ495" s="176"/>
      <c r="CR495" s="176"/>
      <c r="CS495" s="176"/>
      <c r="CT495" s="176"/>
      <c r="CU495" s="176"/>
      <c r="CV495" s="176"/>
      <c r="CW495" s="167"/>
      <c r="CX495" s="168"/>
      <c r="CY495" s="168"/>
      <c r="CZ495" s="168"/>
      <c r="DA495" s="168"/>
      <c r="DB495" s="168"/>
      <c r="DC495" s="168"/>
      <c r="DD495" s="172"/>
      <c r="DE495" s="172"/>
      <c r="DF495" s="172"/>
      <c r="DG495" s="172"/>
      <c r="DH495" s="172"/>
      <c r="DI495" s="172"/>
      <c r="DJ495" s="172"/>
      <c r="DK495" s="80" t="s">
        <v>415</v>
      </c>
      <c r="DL495" s="129"/>
      <c r="DM495" s="129"/>
      <c r="DN495" s="129"/>
      <c r="DO495" s="129"/>
      <c r="DP495" s="129"/>
      <c r="DQ495" s="129"/>
      <c r="DR495" s="129"/>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6">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384">IF(BL496=1,BN496,0)</f>
        <v>0</v>
      </c>
      <c r="BV496" s="27"/>
      <c r="BW496" s="27"/>
      <c r="BX496" s="27"/>
      <c r="BY496" s="27"/>
      <c r="BZ496" s="27"/>
      <c r="CA496" s="27"/>
      <c r="CB496" s="97">
        <v>5</v>
      </c>
      <c r="CC496" s="97">
        <v>5</v>
      </c>
      <c r="CD496" s="97">
        <v>5</v>
      </c>
      <c r="CE496" s="97">
        <f t="shared" si="371"/>
        <v>5</v>
      </c>
      <c r="CF496" s="97">
        <f t="shared" si="372"/>
        <v>5</v>
      </c>
      <c r="CG496" s="97">
        <f t="shared" si="373"/>
        <v>5</v>
      </c>
      <c r="CH496" s="97">
        <v>5</v>
      </c>
      <c r="CI496" s="173"/>
      <c r="CJ496" s="173"/>
      <c r="CK496" s="173"/>
      <c r="CL496" s="173"/>
      <c r="CM496" s="173"/>
      <c r="CN496" s="173"/>
      <c r="CO496" s="173"/>
      <c r="CP496" s="174"/>
      <c r="CQ496" s="174"/>
      <c r="CR496" s="174"/>
      <c r="CS496" s="174"/>
      <c r="CT496" s="174"/>
      <c r="CU496" s="174"/>
      <c r="CV496" s="174"/>
      <c r="CW496" s="165"/>
      <c r="CX496" s="166"/>
      <c r="CY496" s="166"/>
      <c r="CZ496" s="166"/>
      <c r="DA496" s="166"/>
      <c r="DB496" s="166"/>
      <c r="DC496" s="166"/>
      <c r="DD496" s="171"/>
      <c r="DE496" s="171"/>
      <c r="DF496" s="171"/>
      <c r="DG496" s="171"/>
      <c r="DH496" s="171"/>
      <c r="DI496" s="171"/>
      <c r="DJ496" s="171"/>
      <c r="DK496" s="79" t="s">
        <v>415</v>
      </c>
      <c r="DL496" s="128"/>
      <c r="DM496" s="128"/>
      <c r="DN496" s="128"/>
      <c r="DO496" s="128"/>
      <c r="DP496" s="128"/>
      <c r="DQ496" s="128"/>
      <c r="DR496" s="128"/>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6">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384"/>
        <v>0</v>
      </c>
      <c r="BV497" s="28"/>
      <c r="BW497" s="28"/>
      <c r="BX497" s="28"/>
      <c r="BY497" s="28"/>
      <c r="BZ497" s="28"/>
      <c r="CA497" s="28"/>
      <c r="CB497" s="99">
        <v>0.32000000000000006</v>
      </c>
      <c r="CC497" s="99">
        <v>0.30000000000000004</v>
      </c>
      <c r="CD497" s="185">
        <f t="shared" si="377"/>
        <v>0.30000000000000004</v>
      </c>
      <c r="CE497" s="185">
        <f t="shared" si="371"/>
        <v>0.3</v>
      </c>
      <c r="CF497" s="185">
        <f t="shared" si="372"/>
        <v>0.3</v>
      </c>
      <c r="CG497" s="185">
        <f t="shared" si="373"/>
        <v>0.3</v>
      </c>
      <c r="CH497" s="185">
        <f t="shared" ref="CH497" si="385">CC497</f>
        <v>0.30000000000000004</v>
      </c>
      <c r="CI497" s="175"/>
      <c r="CJ497" s="175"/>
      <c r="CK497" s="175"/>
      <c r="CL497" s="175"/>
      <c r="CM497" s="175"/>
      <c r="CN497" s="175"/>
      <c r="CO497" s="175"/>
      <c r="CP497" s="176"/>
      <c r="CQ497" s="176"/>
      <c r="CR497" s="176"/>
      <c r="CS497" s="176"/>
      <c r="CT497" s="176"/>
      <c r="CU497" s="176"/>
      <c r="CV497" s="176"/>
      <c r="CW497" s="167"/>
      <c r="CX497" s="168"/>
      <c r="CY497" s="168"/>
      <c r="CZ497" s="168"/>
      <c r="DA497" s="168"/>
      <c r="DB497" s="168"/>
      <c r="DC497" s="168"/>
      <c r="DD497" s="172"/>
      <c r="DE497" s="172"/>
      <c r="DF497" s="172"/>
      <c r="DG497" s="172"/>
      <c r="DH497" s="172"/>
      <c r="DI497" s="172"/>
      <c r="DJ497" s="172"/>
      <c r="DK497" s="80" t="s">
        <v>415</v>
      </c>
      <c r="DL497" s="129"/>
      <c r="DM497" s="129"/>
      <c r="DN497" s="129"/>
      <c r="DO497" s="129"/>
      <c r="DP497" s="129"/>
      <c r="DQ497" s="129"/>
      <c r="DR497" s="129"/>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6">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384"/>
        <v>0</v>
      </c>
      <c r="BV498" s="27"/>
      <c r="BW498" s="27"/>
      <c r="BX498" s="27"/>
      <c r="BY498" s="27"/>
      <c r="BZ498" s="27"/>
      <c r="CA498" s="27"/>
      <c r="CB498" s="97">
        <v>15</v>
      </c>
      <c r="CC498" s="97">
        <v>15</v>
      </c>
      <c r="CD498" s="97">
        <v>15</v>
      </c>
      <c r="CE498" s="97">
        <f t="shared" si="371"/>
        <v>15</v>
      </c>
      <c r="CF498" s="97">
        <f t="shared" si="372"/>
        <v>15</v>
      </c>
      <c r="CG498" s="97">
        <f t="shared" si="373"/>
        <v>15</v>
      </c>
      <c r="CH498" s="97">
        <v>15</v>
      </c>
      <c r="CI498" s="173"/>
      <c r="CJ498" s="173"/>
      <c r="CK498" s="173"/>
      <c r="CL498" s="173"/>
      <c r="CM498" s="173"/>
      <c r="CN498" s="173"/>
      <c r="CO498" s="173"/>
      <c r="CP498" s="174"/>
      <c r="CQ498" s="174"/>
      <c r="CR498" s="174"/>
      <c r="CS498" s="174"/>
      <c r="CT498" s="174"/>
      <c r="CU498" s="174"/>
      <c r="CV498" s="174"/>
      <c r="CW498" s="165"/>
      <c r="CX498" s="166"/>
      <c r="CY498" s="166"/>
      <c r="CZ498" s="166"/>
      <c r="DA498" s="166"/>
      <c r="DB498" s="166"/>
      <c r="DC498" s="166"/>
      <c r="DD498" s="171"/>
      <c r="DE498" s="171"/>
      <c r="DF498" s="171"/>
      <c r="DG498" s="171"/>
      <c r="DH498" s="171"/>
      <c r="DI498" s="171"/>
      <c r="DJ498" s="171"/>
      <c r="DK498" s="79" t="s">
        <v>415</v>
      </c>
      <c r="DL498" s="128"/>
      <c r="DM498" s="128"/>
      <c r="DN498" s="128"/>
      <c r="DO498" s="128"/>
      <c r="DP498" s="128"/>
      <c r="DQ498" s="128"/>
      <c r="DR498" s="128"/>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6">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384"/>
        <v>0</v>
      </c>
      <c r="BV499" s="28"/>
      <c r="BW499" s="28"/>
      <c r="BX499" s="28"/>
      <c r="BY499" s="28"/>
      <c r="BZ499" s="28"/>
      <c r="CA499" s="28"/>
      <c r="CB499" s="99">
        <v>0.66749999999999998</v>
      </c>
      <c r="CC499" s="99">
        <v>0.73958333333333337</v>
      </c>
      <c r="CD499" s="99">
        <v>1.6040000000000001</v>
      </c>
      <c r="CE499" s="99">
        <f t="shared" ref="CE499" si="386">ROUND((CD499+CF499)/2,2)</f>
        <v>1.6</v>
      </c>
      <c r="CF499" s="99">
        <f t="shared" ref="CF499" si="387">ROUND((CD499+CH499)/2,2)</f>
        <v>1.6</v>
      </c>
      <c r="CG499" s="99">
        <f t="shared" ref="CG499" si="388">ROUND((CF499+CH499)/2,2)</f>
        <v>1.6</v>
      </c>
      <c r="CH499" s="99">
        <v>1.6040000000000001</v>
      </c>
      <c r="CI499" s="175"/>
      <c r="CJ499" s="175"/>
      <c r="CK499" s="175"/>
      <c r="CL499" s="175"/>
      <c r="CM499" s="175"/>
      <c r="CN499" s="175"/>
      <c r="CO499" s="175"/>
      <c r="CP499" s="176"/>
      <c r="CQ499" s="176"/>
      <c r="CR499" s="176"/>
      <c r="CS499" s="176"/>
      <c r="CT499" s="176"/>
      <c r="CU499" s="176"/>
      <c r="CV499" s="176"/>
      <c r="CW499" s="167"/>
      <c r="CX499" s="168"/>
      <c r="CY499" s="168"/>
      <c r="CZ499" s="168"/>
      <c r="DA499" s="168"/>
      <c r="DB499" s="168"/>
      <c r="DC499" s="168"/>
      <c r="DD499" s="172"/>
      <c r="DE499" s="172"/>
      <c r="DF499" s="172"/>
      <c r="DG499" s="172"/>
      <c r="DH499" s="172"/>
      <c r="DI499" s="172"/>
      <c r="DJ499" s="172"/>
      <c r="DK499" s="80" t="s">
        <v>415</v>
      </c>
      <c r="DL499" s="129"/>
      <c r="DM499" s="129"/>
      <c r="DN499" s="129"/>
      <c r="DO499" s="129"/>
      <c r="DP499" s="129"/>
      <c r="DQ499" s="129"/>
      <c r="DR499" s="129"/>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223" t="s">
        <v>1768</v>
      </c>
      <c r="B500" s="223" t="s">
        <v>740</v>
      </c>
      <c r="C500" s="223" t="s">
        <v>534</v>
      </c>
      <c r="D500" s="223" t="s">
        <v>741</v>
      </c>
      <c r="E500" s="223" t="s">
        <v>1769</v>
      </c>
      <c r="F500" s="223" t="s">
        <v>548</v>
      </c>
      <c r="G500" s="224" t="s">
        <v>1770</v>
      </c>
      <c r="H500" s="224"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6">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37"/>
        <v>0</v>
      </c>
      <c r="BV500" s="27"/>
      <c r="BW500" s="27"/>
      <c r="BX500" s="27"/>
      <c r="BY500" s="27"/>
      <c r="BZ500" s="27"/>
      <c r="CA500" s="27"/>
      <c r="CB500" s="244"/>
      <c r="CC500" s="244">
        <f t="shared" ref="CC500" si="389">ROUND((CB500+CD500)/2,2)</f>
        <v>4.8499999999999996</v>
      </c>
      <c r="CD500" s="244">
        <v>9.6999999999999993</v>
      </c>
      <c r="CE500" s="244">
        <v>24</v>
      </c>
      <c r="CF500" s="244">
        <v>40</v>
      </c>
      <c r="CG500" s="244">
        <v>45</v>
      </c>
      <c r="CH500" s="244">
        <v>50</v>
      </c>
      <c r="CI500" s="173"/>
      <c r="CJ500" s="173"/>
      <c r="CK500" s="173"/>
      <c r="CL500" s="173"/>
      <c r="CM500" s="173"/>
      <c r="CN500" s="173"/>
      <c r="CO500" s="173"/>
      <c r="CP500" s="174"/>
      <c r="CQ500" s="174"/>
      <c r="CR500" s="174"/>
      <c r="CS500" s="174"/>
      <c r="CT500" s="174"/>
      <c r="CU500" s="174"/>
      <c r="CV500" s="174"/>
      <c r="CW500" s="165"/>
      <c r="CX500" s="166"/>
      <c r="CY500" s="166"/>
      <c r="CZ500" s="166"/>
      <c r="DA500" s="166"/>
      <c r="DB500" s="166"/>
      <c r="DC500" s="166"/>
      <c r="DD500" s="171"/>
      <c r="DE500" s="171"/>
      <c r="DF500" s="171"/>
      <c r="DG500" s="171"/>
      <c r="DH500" s="171"/>
      <c r="DI500" s="171"/>
      <c r="DJ500" s="171"/>
      <c r="DK500" s="79" t="s">
        <v>415</v>
      </c>
      <c r="DL500" s="128"/>
      <c r="DM500" s="128"/>
      <c r="DN500" s="128"/>
      <c r="DO500" s="128"/>
      <c r="DP500" s="128"/>
      <c r="DQ500" s="128"/>
      <c r="DR500" s="128"/>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6">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37"/>
        <v>0</v>
      </c>
      <c r="BV501" s="28"/>
      <c r="BW501" s="28"/>
      <c r="BX501" s="28"/>
      <c r="BY501" s="28"/>
      <c r="BZ501" s="28"/>
      <c r="CA501" s="28"/>
      <c r="CB501" s="185">
        <v>0</v>
      </c>
      <c r="CC501" s="185">
        <v>0</v>
      </c>
      <c r="CD501" s="185"/>
      <c r="CE501" s="185">
        <v>2.5</v>
      </c>
      <c r="CF501" s="185">
        <v>5</v>
      </c>
      <c r="CG501" s="185">
        <v>7.5</v>
      </c>
      <c r="CH501" s="185">
        <v>10</v>
      </c>
      <c r="CI501" s="175"/>
      <c r="CJ501" s="175"/>
      <c r="CK501" s="175"/>
      <c r="CL501" s="175"/>
      <c r="CM501" s="175"/>
      <c r="CN501" s="175"/>
      <c r="CO501" s="175"/>
      <c r="CP501" s="176"/>
      <c r="CQ501" s="176"/>
      <c r="CR501" s="176"/>
      <c r="CS501" s="176"/>
      <c r="CT501" s="176"/>
      <c r="CU501" s="176"/>
      <c r="CV501" s="176"/>
      <c r="CW501" s="167"/>
      <c r="CX501" s="168"/>
      <c r="CY501" s="168"/>
      <c r="CZ501" s="168"/>
      <c r="DA501" s="168"/>
      <c r="DB501" s="168"/>
      <c r="DC501" s="168"/>
      <c r="DD501" s="172"/>
      <c r="DE501" s="172"/>
      <c r="DF501" s="172"/>
      <c r="DG501" s="172"/>
      <c r="DH501" s="172"/>
      <c r="DI501" s="172"/>
      <c r="DJ501" s="172"/>
      <c r="DK501" s="80" t="s">
        <v>415</v>
      </c>
      <c r="DL501" s="129"/>
      <c r="DM501" s="129"/>
      <c r="DN501" s="129"/>
      <c r="DO501" s="129"/>
      <c r="DP501" s="129"/>
      <c r="DQ501" s="129"/>
      <c r="DR501" s="129"/>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6">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37"/>
        <v>0</v>
      </c>
      <c r="BV502" s="27"/>
      <c r="BW502" s="27"/>
      <c r="BX502" s="27"/>
      <c r="BY502" s="27"/>
      <c r="BZ502" s="27"/>
      <c r="CA502" s="27"/>
      <c r="CB502" s="185">
        <v>0</v>
      </c>
      <c r="CC502" s="185">
        <v>0</v>
      </c>
      <c r="CD502" s="185"/>
      <c r="CE502" s="185">
        <v>2.5</v>
      </c>
      <c r="CF502" s="185">
        <v>5</v>
      </c>
      <c r="CG502" s="185">
        <v>7.5</v>
      </c>
      <c r="CH502" s="185">
        <v>10</v>
      </c>
      <c r="CI502" s="173"/>
      <c r="CJ502" s="173"/>
      <c r="CK502" s="173"/>
      <c r="CL502" s="173"/>
      <c r="CM502" s="173"/>
      <c r="CN502" s="173"/>
      <c r="CO502" s="173"/>
      <c r="CP502" s="174"/>
      <c r="CQ502" s="174"/>
      <c r="CR502" s="174"/>
      <c r="CS502" s="174"/>
      <c r="CT502" s="174"/>
      <c r="CU502" s="174"/>
      <c r="CV502" s="174"/>
      <c r="CW502" s="165"/>
      <c r="CX502" s="166"/>
      <c r="CY502" s="166"/>
      <c r="CZ502" s="166"/>
      <c r="DA502" s="166"/>
      <c r="DB502" s="166"/>
      <c r="DC502" s="166"/>
      <c r="DD502" s="171"/>
      <c r="DE502" s="171"/>
      <c r="DF502" s="171"/>
      <c r="DG502" s="171"/>
      <c r="DH502" s="171"/>
      <c r="DI502" s="171"/>
      <c r="DJ502" s="171"/>
      <c r="DK502" s="79" t="s">
        <v>415</v>
      </c>
      <c r="DL502" s="128"/>
      <c r="DM502" s="128"/>
      <c r="DN502" s="128"/>
      <c r="DO502" s="128"/>
      <c r="DP502" s="128"/>
      <c r="DQ502" s="128"/>
      <c r="DR502" s="128"/>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6">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37"/>
        <v>0</v>
      </c>
      <c r="BV503" s="28"/>
      <c r="BW503" s="28"/>
      <c r="BX503" s="28"/>
      <c r="BY503" s="28"/>
      <c r="BZ503" s="28"/>
      <c r="CA503" s="28"/>
      <c r="CB503" s="185">
        <v>100</v>
      </c>
      <c r="CC503" s="185">
        <v>100</v>
      </c>
      <c r="CD503" s="185">
        <v>100</v>
      </c>
      <c r="CE503" s="185">
        <v>100</v>
      </c>
      <c r="CF503" s="185">
        <v>100</v>
      </c>
      <c r="CG503" s="185">
        <v>100</v>
      </c>
      <c r="CH503" s="185">
        <v>100</v>
      </c>
      <c r="CI503" s="175"/>
      <c r="CJ503" s="175"/>
      <c r="CK503" s="175"/>
      <c r="CL503" s="175"/>
      <c r="CM503" s="175"/>
      <c r="CN503" s="175"/>
      <c r="CO503" s="175"/>
      <c r="CP503" s="176"/>
      <c r="CQ503" s="176"/>
      <c r="CR503" s="176"/>
      <c r="CS503" s="176"/>
      <c r="CT503" s="176"/>
      <c r="CU503" s="176"/>
      <c r="CV503" s="176"/>
      <c r="CW503" s="167"/>
      <c r="CX503" s="168"/>
      <c r="CY503" s="168"/>
      <c r="CZ503" s="168"/>
      <c r="DA503" s="168"/>
      <c r="DB503" s="168"/>
      <c r="DC503" s="168"/>
      <c r="DD503" s="172"/>
      <c r="DE503" s="172"/>
      <c r="DF503" s="172"/>
      <c r="DG503" s="172"/>
      <c r="DH503" s="172"/>
      <c r="DI503" s="172"/>
      <c r="DJ503" s="172"/>
      <c r="DK503" s="80" t="s">
        <v>415</v>
      </c>
      <c r="DL503" s="129"/>
      <c r="DM503" s="129"/>
      <c r="DN503" s="129"/>
      <c r="DO503" s="129"/>
      <c r="DP503" s="129"/>
      <c r="DQ503" s="129"/>
      <c r="DR503" s="129"/>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4">
        <f>41.75</f>
        <v>41.75</v>
      </c>
      <c r="Y504" s="184">
        <v>87.9</v>
      </c>
      <c r="Z504" s="184">
        <v>152.1</v>
      </c>
      <c r="AA504" s="184">
        <v>152.1</v>
      </c>
      <c r="AB504" s="184">
        <v>152.1</v>
      </c>
      <c r="AC504" s="184">
        <v>152.1</v>
      </c>
      <c r="AD504" s="184">
        <v>152.1</v>
      </c>
      <c r="AE504" s="186">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37"/>
        <v>0</v>
      </c>
      <c r="BV504" s="27"/>
      <c r="BW504" s="27"/>
      <c r="BX504" s="27"/>
      <c r="BY504" s="27"/>
      <c r="BZ504" s="27"/>
      <c r="CA504" s="27"/>
      <c r="CB504" s="185">
        <v>0</v>
      </c>
      <c r="CC504" s="185">
        <v>0</v>
      </c>
      <c r="CD504" s="185">
        <v>0</v>
      </c>
      <c r="CE504" s="185">
        <v>0</v>
      </c>
      <c r="CF504" s="185">
        <v>0</v>
      </c>
      <c r="CG504" s="185">
        <v>0</v>
      </c>
      <c r="CH504" s="185">
        <v>0</v>
      </c>
      <c r="CI504" s="173"/>
      <c r="CJ504" s="173"/>
      <c r="CK504" s="173"/>
      <c r="CL504" s="173"/>
      <c r="CM504" s="173"/>
      <c r="CN504" s="173"/>
      <c r="CO504" s="173"/>
      <c r="CP504" s="174"/>
      <c r="CQ504" s="174"/>
      <c r="CR504" s="174"/>
      <c r="CS504" s="174"/>
      <c r="CT504" s="174"/>
      <c r="CU504" s="174"/>
      <c r="CV504" s="174"/>
      <c r="CW504" s="165"/>
      <c r="CX504" s="166"/>
      <c r="CY504" s="166"/>
      <c r="CZ504" s="166"/>
      <c r="DA504" s="166"/>
      <c r="DB504" s="166"/>
      <c r="DC504" s="166"/>
      <c r="DD504" s="171"/>
      <c r="DE504" s="171"/>
      <c r="DF504" s="171"/>
      <c r="DG504" s="171"/>
      <c r="DH504" s="171"/>
      <c r="DI504" s="171"/>
      <c r="DJ504" s="171"/>
      <c r="DK504" s="79" t="s">
        <v>415</v>
      </c>
      <c r="DL504" s="128"/>
      <c r="DM504" s="128"/>
      <c r="DN504" s="128"/>
      <c r="DO504" s="128"/>
      <c r="DP504" s="128"/>
      <c r="DQ504" s="128"/>
      <c r="DR504" s="128"/>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6">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390">IF(BL505=1,BN505,0)</f>
        <v>0</v>
      </c>
      <c r="BV505" s="28"/>
      <c r="BW505" s="28"/>
      <c r="BX505" s="28"/>
      <c r="BY505" s="28"/>
      <c r="BZ505" s="28"/>
      <c r="CA505" s="28"/>
      <c r="CB505" s="185">
        <v>0</v>
      </c>
      <c r="CC505" s="185">
        <v>0</v>
      </c>
      <c r="CD505" s="185">
        <v>0</v>
      </c>
      <c r="CE505" s="185">
        <v>0</v>
      </c>
      <c r="CF505" s="185">
        <v>0</v>
      </c>
      <c r="CG505" s="185">
        <v>0</v>
      </c>
      <c r="CH505" s="185">
        <v>0</v>
      </c>
      <c r="CI505" s="175"/>
      <c r="CJ505" s="175"/>
      <c r="CK505" s="175"/>
      <c r="CL505" s="175"/>
      <c r="CM505" s="175"/>
      <c r="CN505" s="175"/>
      <c r="CO505" s="175"/>
      <c r="CP505" s="176"/>
      <c r="CQ505" s="176"/>
      <c r="CR505" s="176"/>
      <c r="CS505" s="176"/>
      <c r="CT505" s="176"/>
      <c r="CU505" s="176"/>
      <c r="CV505" s="176"/>
      <c r="CW505" s="167"/>
      <c r="CX505" s="168"/>
      <c r="CY505" s="168"/>
      <c r="CZ505" s="168"/>
      <c r="DA505" s="168"/>
      <c r="DB505" s="168"/>
      <c r="DC505" s="168"/>
      <c r="DD505" s="172"/>
      <c r="DE505" s="172"/>
      <c r="DF505" s="172"/>
      <c r="DG505" s="172"/>
      <c r="DH505" s="172"/>
      <c r="DI505" s="172"/>
      <c r="DJ505" s="172"/>
      <c r="DK505" s="80" t="s">
        <v>415</v>
      </c>
      <c r="DL505" s="129"/>
      <c r="DM505" s="129"/>
      <c r="DN505" s="129"/>
      <c r="DO505" s="129"/>
      <c r="DP505" s="129"/>
      <c r="DQ505" s="129"/>
      <c r="DR505" s="129"/>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6">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391">IF(AH506=1,0,1)</f>
        <v>0</v>
      </c>
      <c r="BM506" s="122"/>
      <c r="BN506" s="138"/>
      <c r="BO506" s="93"/>
      <c r="BP506" s="93"/>
      <c r="BQ506" s="93"/>
      <c r="BR506" s="93"/>
      <c r="BS506" s="93"/>
      <c r="BT506" s="93"/>
      <c r="BU506" s="28">
        <f t="shared" si="390"/>
        <v>0</v>
      </c>
      <c r="BV506" s="27"/>
      <c r="BW506" s="27"/>
      <c r="BX506" s="27"/>
      <c r="BY506" s="27"/>
      <c r="BZ506" s="27"/>
      <c r="CA506" s="27"/>
      <c r="CB506" s="244"/>
      <c r="CC506" s="244"/>
      <c r="CD506" s="244"/>
      <c r="CE506" s="244"/>
      <c r="CF506" s="244"/>
      <c r="CG506" s="244"/>
      <c r="CH506" s="244"/>
      <c r="CI506" s="173"/>
      <c r="CJ506" s="173"/>
      <c r="CK506" s="173"/>
      <c r="CL506" s="173"/>
      <c r="CM506" s="173"/>
      <c r="CN506" s="173"/>
      <c r="CO506" s="173"/>
      <c r="CP506" s="174"/>
      <c r="CQ506" s="174"/>
      <c r="CR506" s="174"/>
      <c r="CS506" s="174"/>
      <c r="CT506" s="174"/>
      <c r="CU506" s="174"/>
      <c r="CV506" s="174"/>
      <c r="CW506" s="165"/>
      <c r="CX506" s="166"/>
      <c r="CY506" s="166"/>
      <c r="CZ506" s="166"/>
      <c r="DA506" s="166"/>
      <c r="DB506" s="166"/>
      <c r="DC506" s="166"/>
      <c r="DD506" s="171"/>
      <c r="DE506" s="171"/>
      <c r="DF506" s="171"/>
      <c r="DG506" s="171"/>
      <c r="DH506" s="171"/>
      <c r="DI506" s="171"/>
      <c r="DJ506" s="171"/>
      <c r="DK506" s="79" t="s">
        <v>1519</v>
      </c>
      <c r="DL506" s="128"/>
      <c r="DM506" s="128"/>
      <c r="DN506" s="128"/>
      <c r="DO506" s="128"/>
      <c r="DP506" s="128"/>
      <c r="DQ506" s="128"/>
      <c r="DR506" s="128"/>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6">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392">IF(AH507=1,0,1)</f>
        <v>0</v>
      </c>
      <c r="BM507" s="123"/>
      <c r="BN507" s="139"/>
      <c r="BO507" s="94"/>
      <c r="BP507" s="94"/>
      <c r="BQ507" s="94"/>
      <c r="BR507" s="94"/>
      <c r="BS507" s="94"/>
      <c r="BT507" s="94"/>
      <c r="BU507" s="28">
        <f t="shared" si="390"/>
        <v>0</v>
      </c>
      <c r="BV507" s="28"/>
      <c r="BW507" s="28"/>
      <c r="BX507" s="28"/>
      <c r="BY507" s="28"/>
      <c r="BZ507" s="28"/>
      <c r="CA507" s="28"/>
      <c r="CB507" s="244"/>
      <c r="CC507" s="244"/>
      <c r="CD507" s="244"/>
      <c r="CE507" s="244"/>
      <c r="CF507" s="244"/>
      <c r="CG507" s="244"/>
      <c r="CH507" s="244"/>
      <c r="CI507" s="175"/>
      <c r="CJ507" s="175"/>
      <c r="CK507" s="175"/>
      <c r="CL507" s="175"/>
      <c r="CM507" s="175"/>
      <c r="CN507" s="175"/>
      <c r="CO507" s="175"/>
      <c r="CP507" s="176"/>
      <c r="CQ507" s="176"/>
      <c r="CR507" s="176"/>
      <c r="CS507" s="176"/>
      <c r="CT507" s="176"/>
      <c r="CU507" s="176"/>
      <c r="CV507" s="176"/>
      <c r="CW507" s="167"/>
      <c r="CX507" s="168"/>
      <c r="CY507" s="168"/>
      <c r="CZ507" s="168"/>
      <c r="DA507" s="168"/>
      <c r="DB507" s="168"/>
      <c r="DC507" s="168"/>
      <c r="DD507" s="172"/>
      <c r="DE507" s="172"/>
      <c r="DF507" s="172"/>
      <c r="DG507" s="172"/>
      <c r="DH507" s="172"/>
      <c r="DI507" s="172"/>
      <c r="DJ507" s="172"/>
      <c r="DK507" s="80" t="s">
        <v>1519</v>
      </c>
      <c r="DL507" s="129"/>
      <c r="DM507" s="129"/>
      <c r="DN507" s="129"/>
      <c r="DO507" s="129"/>
      <c r="DP507" s="129"/>
      <c r="DQ507" s="129"/>
      <c r="DR507" s="129"/>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GA123"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3" t="s">
        <v>556</v>
      </c>
      <c r="B2" s="413"/>
      <c r="C2" s="413"/>
      <c r="D2" s="413"/>
      <c r="E2" s="413"/>
      <c r="F2" s="413"/>
      <c r="G2" s="415"/>
      <c r="H2" s="415"/>
      <c r="I2" s="415"/>
      <c r="J2" s="415"/>
      <c r="K2" s="415"/>
      <c r="L2" s="415"/>
      <c r="M2" s="415"/>
      <c r="N2" s="415"/>
      <c r="O2" s="415"/>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1811</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1811</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1811</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1811</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1811</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1811</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1811</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1811</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1811</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1811</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1811</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1811</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1811</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3" si="28">ROUND(IF($C121="Primary",0,-$G121*(SUMPRODUCT($Q$4:$GA$4,$Q121:$GA121)+$J121)-$H121)*IF($N121=GC$4,1,0),4)</f>
        <v>0</v>
      </c>
      <c r="GD121" s="179">
        <f t="shared" ref="GD121:GD143" si="29">ROUND(IF($C121="Primary",0,$M121*(1-$O121)*($G121*(SUMPRODUCT($Q$4:$GA$4,$Q121:$GA121)+$J121)+$H121-SUMPRODUCT($Q$5:$GA$5,$Q121:$GA121)-$I121+$K121))*IF($N121=GD$4,1,0),4)</f>
        <v>0</v>
      </c>
      <c r="GE121" s="179">
        <f t="shared" ref="GE121:GE143" si="30">ROUND(IF($C121="Primary",0,(1-$M121)*(1-$O121)*($G121*(SUMPRODUCT($Q$4:$GA$4,$Q121:$GA121)+$J121)+$H121-SUMPRODUCT($Q$5:$GA$5,$Q121:$GA121)-$I121+$L121))*IF($N121=GD$4,1,0),4)</f>
        <v>4.7899999999999998E-2</v>
      </c>
      <c r="GF121" s="179">
        <f t="shared" ref="GF121:GF143"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-1.72E-2</v>
      </c>
      <c r="GF141" s="179">
        <f t="shared" si="31"/>
        <v>0</v>
      </c>
      <c r="GG141" s="179">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-1.6999999999999999E-3</v>
      </c>
      <c r="GF142" s="179">
        <f t="shared" si="31"/>
        <v>0</v>
      </c>
      <c r="GG142" s="179">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1.1545000000000001</v>
      </c>
      <c r="GF143" s="179">
        <f t="shared" si="31"/>
        <v>0</v>
      </c>
      <c r="GG143" s="179">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c r="GD144" s="179"/>
      <c r="GE144" s="179"/>
      <c r="GF144" s="179"/>
      <c r="GG144" s="179">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f t="shared" ref="GC145:GC191" si="32">ROUND(IF($C145="Primary",0,-$G145*(SUMPRODUCT($Q$4:$GA$4,$Q145:$GA145)+$J145)-$H145)*IF($N145=GC$4,1,0),4)</f>
        <v>0</v>
      </c>
      <c r="GD145" s="179">
        <f t="shared" ref="GD145:GD191" si="33">ROUND(IF($C145="Primary",0,$M145*(1-$O145)*($G145*(SUMPRODUCT($Q$4:$GA$4,$Q145:$GA145)+$J145)+$H145-SUMPRODUCT($Q$5:$GA$5,$Q145:$GA145)-$I145+$K145))*IF($N145=GD$4,1,0),4)</f>
        <v>0</v>
      </c>
      <c r="GE145" s="179">
        <f t="shared" ref="GE145:GE191" si="34">ROUND(IF($C145="Primary",0,(1-$M145)*(1-$O145)*($G145*(SUMPRODUCT($Q$4:$GA$4,$Q145:$GA145)+$J145)+$H145-SUMPRODUCT($Q$5:$GA$5,$Q145:$GA145)-$I145+$L145))*IF($N145=GD$4,1,0),4)</f>
        <v>6.5000000000000002E-2</v>
      </c>
      <c r="GF145" s="179">
        <f t="shared" ref="GF145:GF191" si="35">ROUND(IF($C145="Primary",0,$O145*($G145*(SUMPRODUCT($Q$4:$GA$4,$Q145:$GA145)+$J145)-SUMPRODUCT($Q$5:$GA$5,$Q145:$GA145)-$I145))*IF($N145=GD$4,1,0),4)</f>
        <v>0</v>
      </c>
      <c r="GG145" s="179">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8"/>
      <c r="GC146" s="178">
        <f t="shared" si="32"/>
        <v>0</v>
      </c>
      <c r="GD146" s="178">
        <f t="shared" si="33"/>
        <v>0</v>
      </c>
      <c r="GE146" s="178">
        <f t="shared" si="34"/>
        <v>0</v>
      </c>
      <c r="GF146" s="178">
        <f t="shared" si="35"/>
        <v>0</v>
      </c>
      <c r="GG146" s="178">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19"/>
      <c r="GC147" s="179">
        <f t="shared" si="32"/>
        <v>0</v>
      </c>
      <c r="GD147" s="179">
        <f t="shared" si="33"/>
        <v>0</v>
      </c>
      <c r="GE147" s="179">
        <f t="shared" si="34"/>
        <v>0.17269999999999999</v>
      </c>
      <c r="GF147" s="179">
        <f t="shared" si="35"/>
        <v>0</v>
      </c>
      <c r="GG147" s="179">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8"/>
      <c r="GC148" s="178">
        <f t="shared" si="32"/>
        <v>0</v>
      </c>
      <c r="GD148" s="178">
        <f t="shared" si="33"/>
        <v>0</v>
      </c>
      <c r="GE148" s="178">
        <f t="shared" si="34"/>
        <v>0.1108</v>
      </c>
      <c r="GF148" s="178">
        <f t="shared" si="35"/>
        <v>0</v>
      </c>
      <c r="GG148" s="178">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19"/>
      <c r="GC149" s="179">
        <f t="shared" si="32"/>
        <v>0</v>
      </c>
      <c r="GD149" s="179">
        <f t="shared" si="33"/>
        <v>0</v>
      </c>
      <c r="GE149" s="179">
        <f t="shared" si="34"/>
        <v>0</v>
      </c>
      <c r="GF149" s="179">
        <f t="shared" si="35"/>
        <v>0</v>
      </c>
      <c r="GG149" s="179">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8"/>
      <c r="GC150" s="178">
        <f t="shared" si="32"/>
        <v>0</v>
      </c>
      <c r="GD150" s="178">
        <f t="shared" si="33"/>
        <v>0</v>
      </c>
      <c r="GE150" s="178">
        <f t="shared" si="34"/>
        <v>0.1108</v>
      </c>
      <c r="GF150" s="178">
        <f t="shared" si="35"/>
        <v>0</v>
      </c>
      <c r="GG150" s="178">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19"/>
      <c r="GC151" s="179">
        <f t="shared" si="32"/>
        <v>0</v>
      </c>
      <c r="GD151" s="179">
        <f t="shared" si="33"/>
        <v>0</v>
      </c>
      <c r="GE151" s="179">
        <f t="shared" si="34"/>
        <v>0.11509999999999999</v>
      </c>
      <c r="GF151" s="179">
        <f t="shared" si="35"/>
        <v>0</v>
      </c>
      <c r="GG151" s="179">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8"/>
      <c r="GC152" s="178">
        <f t="shared" si="32"/>
        <v>0</v>
      </c>
      <c r="GD152" s="178">
        <f t="shared" si="33"/>
        <v>0</v>
      </c>
      <c r="GE152" s="178">
        <f t="shared" si="34"/>
        <v>0.1075</v>
      </c>
      <c r="GF152" s="178">
        <f t="shared" si="35"/>
        <v>0</v>
      </c>
      <c r="GG152" s="178">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19"/>
      <c r="GC153" s="179">
        <f t="shared" si="32"/>
        <v>0</v>
      </c>
      <c r="GD153" s="179">
        <f t="shared" si="33"/>
        <v>0</v>
      </c>
      <c r="GE153" s="179">
        <f t="shared" si="34"/>
        <v>8.0600000000000005E-2</v>
      </c>
      <c r="GF153" s="179">
        <f t="shared" si="35"/>
        <v>0</v>
      </c>
      <c r="GG153" s="179">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8"/>
      <c r="GC154" s="178">
        <f t="shared" si="32"/>
        <v>0</v>
      </c>
      <c r="GD154" s="178">
        <f t="shared" si="33"/>
        <v>0</v>
      </c>
      <c r="GE154" s="178">
        <f t="shared" si="34"/>
        <v>0</v>
      </c>
      <c r="GF154" s="178">
        <f t="shared" si="35"/>
        <v>0</v>
      </c>
      <c r="GG154" s="178">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19"/>
      <c r="GC155" s="179">
        <f t="shared" si="32"/>
        <v>0</v>
      </c>
      <c r="GD155" s="179">
        <f t="shared" si="33"/>
        <v>0</v>
      </c>
      <c r="GE155" s="179">
        <f t="shared" si="34"/>
        <v>0</v>
      </c>
      <c r="GF155" s="179">
        <f t="shared" si="35"/>
        <v>0</v>
      </c>
      <c r="GG155" s="179">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8"/>
      <c r="GC156" s="178">
        <f t="shared" si="32"/>
        <v>0</v>
      </c>
      <c r="GD156" s="178">
        <f t="shared" si="33"/>
        <v>0</v>
      </c>
      <c r="GE156" s="178">
        <f t="shared" si="34"/>
        <v>0</v>
      </c>
      <c r="GF156" s="178">
        <f t="shared" si="35"/>
        <v>0</v>
      </c>
      <c r="GG156" s="178">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19"/>
      <c r="GC157" s="179">
        <f t="shared" si="32"/>
        <v>0</v>
      </c>
      <c r="GD157" s="179">
        <f t="shared" si="33"/>
        <v>0</v>
      </c>
      <c r="GE157" s="179">
        <f t="shared" si="34"/>
        <v>0</v>
      </c>
      <c r="GF157" s="179">
        <f t="shared" si="35"/>
        <v>0</v>
      </c>
      <c r="GG157" s="179">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8"/>
      <c r="GC158" s="178">
        <f t="shared" si="32"/>
        <v>0</v>
      </c>
      <c r="GD158" s="178">
        <f t="shared" si="33"/>
        <v>0</v>
      </c>
      <c r="GE158" s="178">
        <f t="shared" si="34"/>
        <v>0.27160000000000001</v>
      </c>
      <c r="GF158" s="178">
        <f t="shared" si="35"/>
        <v>0</v>
      </c>
      <c r="GG158" s="178">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19"/>
      <c r="GC159" s="179">
        <f t="shared" si="32"/>
        <v>0</v>
      </c>
      <c r="GD159" s="179">
        <f t="shared" si="33"/>
        <v>0</v>
      </c>
      <c r="GE159" s="179">
        <f t="shared" si="34"/>
        <v>0.16719999999999999</v>
      </c>
      <c r="GF159" s="179">
        <f t="shared" si="35"/>
        <v>0</v>
      </c>
      <c r="GG159" s="179">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v>
      </c>
      <c r="GF160" s="179">
        <f t="shared" si="35"/>
        <v>0</v>
      </c>
      <c r="GG160" s="179">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0.16719999999999999</v>
      </c>
      <c r="GF161" s="179">
        <f t="shared" si="35"/>
        <v>0</v>
      </c>
      <c r="GG161" s="179">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8"/>
      <c r="GC162" s="178">
        <f t="shared" si="32"/>
        <v>0</v>
      </c>
      <c r="GD162" s="178">
        <f t="shared" si="33"/>
        <v>0</v>
      </c>
      <c r="GE162" s="178">
        <f t="shared" si="34"/>
        <v>9.0499999999999997E-2</v>
      </c>
      <c r="GF162" s="178">
        <f t="shared" si="35"/>
        <v>0</v>
      </c>
      <c r="GG162" s="178">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19"/>
      <c r="GC163" s="179">
        <f t="shared" si="32"/>
        <v>0</v>
      </c>
      <c r="GD163" s="179">
        <f t="shared" si="33"/>
        <v>0</v>
      </c>
      <c r="GE163" s="179">
        <f t="shared" si="34"/>
        <v>0</v>
      </c>
      <c r="GF163" s="179">
        <f t="shared" si="35"/>
        <v>0</v>
      </c>
      <c r="GG163" s="179">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8"/>
      <c r="GC164" s="178">
        <f t="shared" si="32"/>
        <v>0</v>
      </c>
      <c r="GD164" s="178">
        <f t="shared" si="33"/>
        <v>0</v>
      </c>
      <c r="GE164" s="178">
        <f t="shared" si="34"/>
        <v>0</v>
      </c>
      <c r="GF164" s="178">
        <f t="shared" si="35"/>
        <v>0</v>
      </c>
      <c r="GG164" s="178">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19"/>
      <c r="GC165" s="179">
        <f t="shared" si="32"/>
        <v>0</v>
      </c>
      <c r="GD165" s="179">
        <f t="shared" si="33"/>
        <v>0</v>
      </c>
      <c r="GE165" s="179">
        <f t="shared" si="34"/>
        <v>0</v>
      </c>
      <c r="GF165" s="179">
        <f t="shared" si="35"/>
        <v>0</v>
      </c>
      <c r="GG165" s="179">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8"/>
      <c r="GC166" s="178">
        <f t="shared" si="32"/>
        <v>0</v>
      </c>
      <c r="GD166" s="178">
        <f t="shared" si="33"/>
        <v>0</v>
      </c>
      <c r="GE166" s="178">
        <f t="shared" si="34"/>
        <v>1.1599999999999999</v>
      </c>
      <c r="GF166" s="178">
        <f t="shared" si="35"/>
        <v>0</v>
      </c>
      <c r="GG166" s="178">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19"/>
      <c r="GC167" s="179">
        <f t="shared" si="32"/>
        <v>0</v>
      </c>
      <c r="GD167" s="179">
        <f t="shared" si="33"/>
        <v>0</v>
      </c>
      <c r="GE167" s="179">
        <f t="shared" si="34"/>
        <v>1.0007999999999999</v>
      </c>
      <c r="GF167" s="179">
        <f t="shared" si="35"/>
        <v>0</v>
      </c>
      <c r="GG167" s="179">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0</v>
      </c>
      <c r="GF168" s="179">
        <f t="shared" si="35"/>
        <v>0</v>
      </c>
      <c r="GG168" s="179">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1.0007999999999999</v>
      </c>
      <c r="GF169" s="179">
        <f t="shared" si="35"/>
        <v>0</v>
      </c>
      <c r="GG169" s="179">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8"/>
      <c r="GC170" s="178">
        <f t="shared" si="32"/>
        <v>0</v>
      </c>
      <c r="GD170" s="178">
        <f t="shared" si="33"/>
        <v>0</v>
      </c>
      <c r="GE170" s="178">
        <f t="shared" si="34"/>
        <v>0.91639999999999999</v>
      </c>
      <c r="GF170" s="178">
        <f t="shared" si="35"/>
        <v>0</v>
      </c>
      <c r="GG170" s="178">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19"/>
      <c r="GC171" s="179">
        <f t="shared" si="32"/>
        <v>0</v>
      </c>
      <c r="GD171" s="179">
        <f t="shared" si="33"/>
        <v>0</v>
      </c>
      <c r="GE171" s="179">
        <f t="shared" si="34"/>
        <v>0</v>
      </c>
      <c r="GF171" s="179">
        <f t="shared" si="35"/>
        <v>0</v>
      </c>
      <c r="GG171" s="179">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8"/>
      <c r="GC172" s="178">
        <f t="shared" si="32"/>
        <v>0</v>
      </c>
      <c r="GD172" s="178">
        <f t="shared" si="33"/>
        <v>0</v>
      </c>
      <c r="GE172" s="178">
        <f t="shared" si="34"/>
        <v>0</v>
      </c>
      <c r="GF172" s="178">
        <f t="shared" si="35"/>
        <v>0</v>
      </c>
      <c r="GG172" s="178">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19"/>
      <c r="GC173" s="179">
        <f t="shared" si="32"/>
        <v>0</v>
      </c>
      <c r="GD173" s="179">
        <f t="shared" si="33"/>
        <v>0</v>
      </c>
      <c r="GE173" s="179">
        <f t="shared" si="34"/>
        <v>0</v>
      </c>
      <c r="GF173" s="179">
        <f t="shared" si="35"/>
        <v>0</v>
      </c>
      <c r="GG173" s="179">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8"/>
      <c r="GC174" s="178">
        <f t="shared" si="32"/>
        <v>0</v>
      </c>
      <c r="GD174" s="178">
        <f t="shared" si="33"/>
        <v>0</v>
      </c>
      <c r="GE174" s="178">
        <f t="shared" si="34"/>
        <v>1.1999999999999999E-3</v>
      </c>
      <c r="GF174" s="178">
        <f t="shared" si="35"/>
        <v>0</v>
      </c>
      <c r="GG174" s="178">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0</v>
      </c>
      <c r="GF175" s="178">
        <f t="shared" si="35"/>
        <v>0</v>
      </c>
      <c r="GG175" s="178">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1.1999999999999999E-3</v>
      </c>
      <c r="GF176" s="178">
        <f t="shared" si="35"/>
        <v>0</v>
      </c>
      <c r="GG176" s="178">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19"/>
      <c r="GC177" s="179">
        <f t="shared" si="32"/>
        <v>0</v>
      </c>
      <c r="GD177" s="179">
        <f t="shared" si="33"/>
        <v>0</v>
      </c>
      <c r="GE177" s="179">
        <f t="shared" si="34"/>
        <v>8.0000000000000004E-4</v>
      </c>
      <c r="GF177" s="179">
        <f t="shared" si="35"/>
        <v>0</v>
      </c>
      <c r="GG177" s="179">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8"/>
      <c r="GC178" s="178">
        <f t="shared" si="32"/>
        <v>0</v>
      </c>
      <c r="GD178" s="178">
        <f t="shared" si="33"/>
        <v>0</v>
      </c>
      <c r="GE178" s="178">
        <f t="shared" si="34"/>
        <v>5.0000000000000001E-4</v>
      </c>
      <c r="GF178" s="178">
        <f t="shared" si="35"/>
        <v>0</v>
      </c>
      <c r="GG178" s="178">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19"/>
      <c r="GC179" s="179">
        <f t="shared" si="32"/>
        <v>0</v>
      </c>
      <c r="GD179" s="179">
        <f t="shared" si="33"/>
        <v>0</v>
      </c>
      <c r="GE179" s="179">
        <f t="shared" si="34"/>
        <v>0</v>
      </c>
      <c r="GF179" s="179">
        <f t="shared" si="35"/>
        <v>0</v>
      </c>
      <c r="GG179" s="179">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8"/>
      <c r="GC180" s="178">
        <f t="shared" si="32"/>
        <v>0</v>
      </c>
      <c r="GD180" s="178">
        <f t="shared" si="33"/>
        <v>0</v>
      </c>
      <c r="GE180" s="178">
        <f t="shared" si="34"/>
        <v>0</v>
      </c>
      <c r="GF180" s="178">
        <f t="shared" si="35"/>
        <v>0</v>
      </c>
      <c r="GG180" s="178">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19"/>
      <c r="GC181" s="179">
        <f t="shared" si="32"/>
        <v>0</v>
      </c>
      <c r="GD181" s="179">
        <f t="shared" si="33"/>
        <v>0</v>
      </c>
      <c r="GE181" s="179">
        <f t="shared" si="34"/>
        <v>5.0000000000000001E-3</v>
      </c>
      <c r="GF181" s="179">
        <f t="shared" si="35"/>
        <v>0</v>
      </c>
      <c r="GG181" s="179">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8"/>
      <c r="GC182" s="178">
        <f t="shared" si="32"/>
        <v>0</v>
      </c>
      <c r="GD182" s="178">
        <f t="shared" si="33"/>
        <v>0</v>
      </c>
      <c r="GE182" s="178">
        <f t="shared" si="34"/>
        <v>0</v>
      </c>
      <c r="GF182" s="178">
        <f t="shared" si="35"/>
        <v>0</v>
      </c>
      <c r="GG182" s="178">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19"/>
      <c r="GC183" s="179">
        <f t="shared" si="32"/>
        <v>0</v>
      </c>
      <c r="GD183" s="179">
        <f t="shared" si="33"/>
        <v>0</v>
      </c>
      <c r="GE183" s="179">
        <f t="shared" si="34"/>
        <v>1.66E-2</v>
      </c>
      <c r="GF183" s="179">
        <f t="shared" si="35"/>
        <v>0</v>
      </c>
      <c r="GG183" s="179">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8"/>
      <c r="GC184" s="178">
        <f t="shared" si="32"/>
        <v>0</v>
      </c>
      <c r="GD184" s="178">
        <f t="shared" si="33"/>
        <v>0</v>
      </c>
      <c r="GE184" s="178">
        <f t="shared" si="34"/>
        <v>0</v>
      </c>
      <c r="GF184" s="178">
        <f t="shared" si="35"/>
        <v>0</v>
      </c>
      <c r="GG184" s="178">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19"/>
      <c r="GC185" s="179">
        <f t="shared" si="32"/>
        <v>0</v>
      </c>
      <c r="GD185" s="179">
        <f t="shared" si="33"/>
        <v>0</v>
      </c>
      <c r="GE185" s="179">
        <f t="shared" si="34"/>
        <v>1.4999999999999999E-2</v>
      </c>
      <c r="GF185" s="179">
        <f t="shared" si="35"/>
        <v>0</v>
      </c>
      <c r="GG185" s="179">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8"/>
      <c r="GC186" s="178">
        <f t="shared" si="32"/>
        <v>0</v>
      </c>
      <c r="GD186" s="178">
        <f t="shared" si="33"/>
        <v>0</v>
      </c>
      <c r="GE186" s="178">
        <f t="shared" si="34"/>
        <v>0</v>
      </c>
      <c r="GF186" s="178">
        <f t="shared" si="35"/>
        <v>0</v>
      </c>
      <c r="GG186" s="178">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19"/>
      <c r="GC187" s="179">
        <f t="shared" si="32"/>
        <v>0</v>
      </c>
      <c r="GD187" s="179">
        <f t="shared" si="33"/>
        <v>0</v>
      </c>
      <c r="GE187" s="179">
        <f t="shared" si="34"/>
        <v>1.4999999999999999E-2</v>
      </c>
      <c r="GF187" s="179">
        <f t="shared" si="35"/>
        <v>0</v>
      </c>
      <c r="GG187" s="179">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8"/>
      <c r="GC188" s="178">
        <f t="shared" si="32"/>
        <v>0</v>
      </c>
      <c r="GD188" s="178">
        <f t="shared" si="33"/>
        <v>0</v>
      </c>
      <c r="GE188" s="178">
        <f t="shared" si="34"/>
        <v>1.12E-2</v>
      </c>
      <c r="GF188" s="178">
        <f t="shared" si="35"/>
        <v>0</v>
      </c>
      <c r="GG188" s="178">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19"/>
      <c r="GC189" s="179">
        <f t="shared" si="32"/>
        <v>0</v>
      </c>
      <c r="GD189" s="179">
        <f t="shared" si="33"/>
        <v>0</v>
      </c>
      <c r="GE189" s="179">
        <f t="shared" si="34"/>
        <v>0</v>
      </c>
      <c r="GF189" s="179">
        <f t="shared" si="35"/>
        <v>0</v>
      </c>
      <c r="GG189" s="179">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8"/>
      <c r="GC190" s="178">
        <f t="shared" si="32"/>
        <v>0</v>
      </c>
      <c r="GD190" s="178">
        <f t="shared" si="33"/>
        <v>0</v>
      </c>
      <c r="GE190" s="178">
        <f t="shared" si="34"/>
        <v>7.2999999999999995E-2</v>
      </c>
      <c r="GF190" s="178">
        <f t="shared" si="35"/>
        <v>0</v>
      </c>
      <c r="GG190" s="178">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0</v>
      </c>
      <c r="GF191" s="178">
        <f t="shared" si="35"/>
        <v>0</v>
      </c>
      <c r="GG191" s="178">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c r="GD192" s="178"/>
      <c r="GE192" s="178"/>
      <c r="GF192" s="178"/>
      <c r="GG192" s="178">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19"/>
      <c r="GC193" s="179">
        <f t="shared" ref="GC193:GC224" si="37">ROUND(IF($C193="Primary",0,-$G193*(SUMPRODUCT($Q$4:$GA$4,$Q193:$GA193)+$J193)-$H193)*IF($N193=GC$4,1,0),4)</f>
        <v>0</v>
      </c>
      <c r="GD193" s="179">
        <f t="shared" ref="GD193:GD224" si="38">ROUND(IF($C193="Primary",0,$M193*(1-$O193)*($G193*(SUMPRODUCT($Q$4:$GA$4,$Q193:$GA193)+$J193)+$H193-SUMPRODUCT($Q$5:$GA$5,$Q193:$GA193)-$I193+$K193))*IF($N193=GD$4,1,0),4)</f>
        <v>0</v>
      </c>
      <c r="GE193" s="179">
        <f t="shared" ref="GE193:GE224" si="39">ROUND(IF($C193="Primary",0,(1-$M193)*(1-$O193)*($G193*(SUMPRODUCT($Q$4:$GA$4,$Q193:$GA193)+$J193)+$H193-SUMPRODUCT($Q$5:$GA$5,$Q193:$GA193)-$I193+$L193))*IF($N193=GD$4,1,0),4)</f>
        <v>0</v>
      </c>
      <c r="GF193" s="179">
        <f t="shared" ref="GF193:GF224" si="40">ROUND(IF($C193="Primary",0,$O193*($G193*(SUMPRODUCT($Q$4:$GA$4,$Q193:$GA193)+$J193)-SUMPRODUCT($Q$5:$GA$5,$Q193:$GA193)-$I193))*IF($N193=GD$4,1,0),4)</f>
        <v>0.32490000000000002</v>
      </c>
      <c r="GG193" s="179">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8"/>
      <c r="GC194" s="178">
        <f t="shared" si="37"/>
        <v>0</v>
      </c>
      <c r="GD194" s="178">
        <f t="shared" si="38"/>
        <v>0</v>
      </c>
      <c r="GE194" s="178">
        <f t="shared" si="39"/>
        <v>0</v>
      </c>
      <c r="GF194" s="178">
        <f t="shared" si="40"/>
        <v>0</v>
      </c>
      <c r="GG194" s="178">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19"/>
      <c r="GC195" s="179">
        <f t="shared" si="37"/>
        <v>0</v>
      </c>
      <c r="GD195" s="179">
        <f t="shared" si="38"/>
        <v>0</v>
      </c>
      <c r="GE195" s="179">
        <f t="shared" si="39"/>
        <v>0</v>
      </c>
      <c r="GF195" s="179">
        <f t="shared" si="40"/>
        <v>0.30220000000000002</v>
      </c>
      <c r="GG195" s="179">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8"/>
      <c r="GC196" s="178">
        <f t="shared" si="37"/>
        <v>0</v>
      </c>
      <c r="GD196" s="178">
        <f t="shared" si="38"/>
        <v>0</v>
      </c>
      <c r="GE196" s="178">
        <f t="shared" si="39"/>
        <v>0</v>
      </c>
      <c r="GF196" s="178">
        <f t="shared" si="40"/>
        <v>0</v>
      </c>
      <c r="GG196" s="178">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19"/>
      <c r="GC197" s="179">
        <f t="shared" si="37"/>
        <v>0</v>
      </c>
      <c r="GD197" s="179">
        <f t="shared" si="38"/>
        <v>0</v>
      </c>
      <c r="GE197" s="179">
        <f t="shared" si="39"/>
        <v>0</v>
      </c>
      <c r="GF197" s="179">
        <f t="shared" si="40"/>
        <v>0.30220000000000002</v>
      </c>
      <c r="GG197" s="179">
        <f t="shared" si="36"/>
        <v>0</v>
      </c>
    </row>
    <row r="198" spans="1:342" s="261" customFormat="1" x14ac:dyDescent="0.35">
      <c r="A198" s="256" t="s">
        <v>1152</v>
      </c>
      <c r="B198" s="256" t="str">
        <f>IF(Technologies!B198&lt;&gt;0,Technologies!B198,"")</f>
        <v>Bunkerbrandstoffen</v>
      </c>
      <c r="C198" s="256" t="str">
        <f>VLOOKUP($A198,Technologies!$A$7:$H$576,3,FALSE)</f>
        <v>Final</v>
      </c>
      <c r="D198" s="256" t="str">
        <f>VLOOKUP($A198,Technologies!$A$7:$H$576,4,FALSE)</f>
        <v>Transport</v>
      </c>
      <c r="E198" s="256" t="str">
        <f>VLOOKUP($A198,Technologies!$A$7:$H$576,6,FALSE)</f>
        <v>Bunker Navigation</v>
      </c>
      <c r="F198" s="256" t="str">
        <f>VLOOKUP($A198,Technologies!$A$7:$H$576,7,FALSE)</f>
        <v>LNG Ship - International</v>
      </c>
      <c r="G198" s="262"/>
      <c r="H198" s="262"/>
      <c r="I198" s="264" cm="1">
        <f t="array" ref="I198">-SUMPRODUCT((Feedstocks!$C$4:$C$141=A198)*Feedstocks!$E$4:$E$141,Feedstocks!$F$4:$F$141,Feedstocks!$H$4:$H$141,Feedstocks!$I$4:$I$141)</f>
        <v>0</v>
      </c>
      <c r="J198" s="264" cm="1">
        <f t="array" ref="J198">-SUMPRODUCT((Feedstocks!$C$4:$C$141=A198)*Feedstocks!$E$4:$E$141,Feedstocks!$H$4:$H$141,Feedstocks!$I$4:$I$141)</f>
        <v>0</v>
      </c>
      <c r="K198" s="264"/>
      <c r="L198" s="264"/>
      <c r="M198" s="262"/>
      <c r="N198" s="262" t="str">
        <f>VLOOKUP(E198,Activities!$A$9:$M$227,13,FALSE)</f>
        <v>NL</v>
      </c>
      <c r="O198" s="262">
        <v>1</v>
      </c>
      <c r="P198" s="265" t="s">
        <v>663</v>
      </c>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v>1</v>
      </c>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c r="DM198" s="266"/>
      <c r="DN198" s="266"/>
      <c r="DO198" s="266"/>
      <c r="DP198" s="266"/>
      <c r="DQ198" s="266"/>
      <c r="DR198" s="266"/>
      <c r="DS198" s="266"/>
      <c r="DT198" s="266"/>
      <c r="DU198" s="266"/>
      <c r="DV198" s="266"/>
      <c r="DW198" s="266"/>
      <c r="DX198" s="266"/>
      <c r="DY198" s="266"/>
      <c r="DZ198" s="266"/>
      <c r="EA198" s="266"/>
      <c r="EB198" s="266"/>
      <c r="EC198" s="266"/>
      <c r="ED198" s="266"/>
      <c r="EE198" s="266"/>
      <c r="EF198" s="266"/>
      <c r="EG198" s="266"/>
      <c r="EH198" s="266"/>
      <c r="EI198" s="266"/>
      <c r="EJ198" s="266"/>
      <c r="EK198" s="266"/>
      <c r="EL198" s="266">
        <v>-4.1399999999999997</v>
      </c>
      <c r="EM198" s="266"/>
      <c r="EN198" s="266"/>
      <c r="EO198" s="266"/>
      <c r="EP198" s="266"/>
      <c r="EQ198" s="266"/>
      <c r="ER198" s="266"/>
      <c r="ES198" s="266"/>
      <c r="ET198" s="266"/>
      <c r="EU198" s="266"/>
      <c r="EV198" s="266"/>
      <c r="EW198" s="266"/>
      <c r="EX198" s="266"/>
      <c r="EY198" s="266"/>
      <c r="EZ198" s="266"/>
      <c r="FA198" s="266"/>
      <c r="FB198" s="266"/>
      <c r="FC198" s="266"/>
      <c r="FD198" s="266"/>
      <c r="FE198" s="266"/>
      <c r="FF198" s="266"/>
      <c r="FG198" s="266"/>
      <c r="FH198" s="266"/>
      <c r="FI198" s="266"/>
      <c r="FJ198" s="266"/>
      <c r="FK198" s="266"/>
      <c r="FL198" s="266"/>
      <c r="FM198" s="266"/>
      <c r="FN198" s="266"/>
      <c r="FO198" s="266"/>
      <c r="FP198" s="266"/>
      <c r="FQ198" s="266"/>
      <c r="FR198" s="266"/>
      <c r="FS198" s="266"/>
      <c r="FT198" s="266"/>
      <c r="FU198" s="266"/>
      <c r="FV198" s="266"/>
      <c r="FW198" s="266"/>
      <c r="FX198" s="266"/>
      <c r="FY198" s="266"/>
      <c r="FZ198" s="266"/>
      <c r="GA198" s="266"/>
      <c r="GB198" s="321"/>
      <c r="GC198" s="267">
        <f t="shared" si="37"/>
        <v>0</v>
      </c>
      <c r="GD198" s="267">
        <f t="shared" si="38"/>
        <v>0</v>
      </c>
      <c r="GE198" s="267">
        <f t="shared" si="39"/>
        <v>0</v>
      </c>
      <c r="GF198" s="267">
        <f t="shared" si="40"/>
        <v>0.23430000000000001</v>
      </c>
      <c r="GG198" s="267">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19"/>
      <c r="GC199" s="179">
        <f t="shared" si="37"/>
        <v>0</v>
      </c>
      <c r="GD199" s="179">
        <f t="shared" si="38"/>
        <v>0</v>
      </c>
      <c r="GE199" s="179">
        <f t="shared" si="39"/>
        <v>0</v>
      </c>
      <c r="GF199" s="179">
        <f t="shared" si="40"/>
        <v>0</v>
      </c>
      <c r="GG199" s="179">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8"/>
      <c r="GC200" s="178">
        <f t="shared" si="37"/>
        <v>0</v>
      </c>
      <c r="GD200" s="178">
        <f t="shared" si="38"/>
        <v>0</v>
      </c>
      <c r="GE200" s="178">
        <f t="shared" si="39"/>
        <v>0</v>
      </c>
      <c r="GF200" s="178">
        <f t="shared" si="40"/>
        <v>0.28149999999999997</v>
      </c>
      <c r="GG200" s="178">
        <f t="shared" si="36"/>
        <v>0</v>
      </c>
    </row>
    <row r="201" spans="1:342" s="347" customFormat="1" x14ac:dyDescent="0.35">
      <c r="A201" s="327"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0"/>
      <c r="H201" s="350"/>
      <c r="I201" s="351"/>
      <c r="J201" s="351"/>
      <c r="K201" s="351"/>
      <c r="L201" s="351"/>
      <c r="M201" s="350"/>
      <c r="N201" s="23" t="str">
        <f>VLOOKUP(E201,Activities!$A$9:$M$227,13,FALSE)</f>
        <v>NL</v>
      </c>
      <c r="O201" s="23">
        <v>1</v>
      </c>
      <c r="P201" s="79" t="s">
        <v>502</v>
      </c>
      <c r="Q201" s="352"/>
      <c r="R201" s="352"/>
      <c r="S201" s="352"/>
      <c r="T201" s="352"/>
      <c r="U201" s="352"/>
      <c r="V201" s="352"/>
      <c r="W201" s="352"/>
      <c r="X201" s="352"/>
      <c r="Y201" s="352"/>
      <c r="Z201" s="352"/>
      <c r="AA201" s="352"/>
      <c r="AB201" s="352"/>
      <c r="AC201" s="352"/>
      <c r="AD201" s="352"/>
      <c r="AE201" s="352"/>
      <c r="AF201" s="352"/>
      <c r="AG201" s="352"/>
      <c r="AH201" s="352"/>
      <c r="AI201" s="352"/>
      <c r="AJ201" s="352"/>
      <c r="AK201" s="352"/>
      <c r="AL201" s="352"/>
      <c r="AM201" s="352"/>
      <c r="AN201" s="352"/>
      <c r="AO201" s="352"/>
      <c r="AP201" s="352"/>
      <c r="AQ201" s="352"/>
      <c r="AR201" s="352"/>
      <c r="AS201" s="352"/>
      <c r="AT201" s="352"/>
      <c r="AU201" s="352"/>
      <c r="AV201" s="352"/>
      <c r="AW201" s="352"/>
      <c r="AX201" s="352"/>
      <c r="AY201" s="352"/>
      <c r="AZ201" s="352"/>
      <c r="BA201" s="352"/>
      <c r="BB201" s="352"/>
      <c r="BC201" s="352"/>
      <c r="BD201" s="352"/>
      <c r="BE201" s="352"/>
      <c r="BF201" s="352"/>
      <c r="BG201" s="352"/>
      <c r="BH201" s="352"/>
      <c r="BI201" s="352"/>
      <c r="BJ201" s="352"/>
      <c r="BK201" s="352"/>
      <c r="BL201" s="352"/>
      <c r="BM201" s="352"/>
      <c r="BN201" s="352"/>
      <c r="BO201" s="352"/>
      <c r="BP201" s="352"/>
      <c r="BQ201" s="352"/>
      <c r="BR201" s="352"/>
      <c r="BS201" s="352"/>
      <c r="BT201" s="352"/>
      <c r="BU201" s="352"/>
      <c r="BV201" s="352"/>
      <c r="BW201" s="352"/>
      <c r="BX201" s="352"/>
      <c r="BY201" s="352"/>
      <c r="BZ201" s="352"/>
      <c r="CA201" s="352"/>
      <c r="CB201" s="352"/>
      <c r="CC201" s="352"/>
      <c r="CD201" s="352"/>
      <c r="CE201" s="352"/>
      <c r="CF201" s="352"/>
      <c r="CG201" s="352"/>
      <c r="CH201" s="352"/>
      <c r="CI201" s="352"/>
      <c r="CJ201" s="352"/>
      <c r="CK201" s="352"/>
      <c r="CL201" s="352"/>
      <c r="CM201" s="352"/>
      <c r="CN201" s="352"/>
      <c r="CO201" s="352"/>
      <c r="CP201" s="352"/>
      <c r="CQ201" s="352"/>
      <c r="CR201" s="352"/>
      <c r="CS201" s="352"/>
      <c r="CT201" s="352"/>
      <c r="CU201" s="352"/>
      <c r="CV201" s="352"/>
      <c r="CW201" s="352"/>
      <c r="CX201" s="352"/>
      <c r="CY201" s="352"/>
      <c r="CZ201" s="352"/>
      <c r="DA201" s="352"/>
      <c r="DB201" s="352"/>
      <c r="DC201" s="352"/>
      <c r="DD201" s="352"/>
      <c r="DE201" s="352"/>
      <c r="DF201" s="352"/>
      <c r="DG201" s="352"/>
      <c r="DH201" s="352"/>
      <c r="DI201" s="352"/>
      <c r="DJ201" s="352"/>
      <c r="DK201" s="352"/>
      <c r="DL201" s="352"/>
      <c r="DM201" s="352"/>
      <c r="DN201" s="352"/>
      <c r="DO201" s="352"/>
      <c r="DP201" s="352"/>
      <c r="DQ201" s="352"/>
      <c r="DR201" s="352"/>
      <c r="DS201" s="352"/>
      <c r="DT201" s="352"/>
      <c r="DU201" s="352"/>
      <c r="DV201" s="352"/>
      <c r="DW201" s="352"/>
      <c r="DX201" s="352"/>
      <c r="DY201" s="352"/>
      <c r="DZ201" s="352"/>
      <c r="EA201" s="352"/>
      <c r="EB201" s="352"/>
      <c r="EC201" s="352"/>
      <c r="ED201" s="352"/>
      <c r="EE201" s="352"/>
      <c r="EF201" s="352"/>
      <c r="EG201" s="352"/>
      <c r="EH201" s="352"/>
      <c r="EI201" s="352"/>
      <c r="EJ201" s="352"/>
      <c r="EK201" s="352"/>
      <c r="EL201" s="352"/>
      <c r="EM201" s="352"/>
      <c r="EN201" s="352"/>
      <c r="EO201" s="352">
        <v>-1</v>
      </c>
      <c r="EP201" s="352"/>
      <c r="EQ201" s="352"/>
      <c r="ER201" s="352"/>
      <c r="ES201" s="352"/>
      <c r="ET201" s="352"/>
      <c r="EU201" s="352"/>
      <c r="EV201" s="352"/>
      <c r="EW201" s="352"/>
      <c r="EX201" s="352"/>
      <c r="EY201" s="352"/>
      <c r="EZ201" s="352"/>
      <c r="FA201" s="352"/>
      <c r="FB201" s="352"/>
      <c r="FC201" s="352"/>
      <c r="FD201" s="352"/>
      <c r="FE201" s="352"/>
      <c r="FF201" s="352"/>
      <c r="FG201" s="352"/>
      <c r="FH201" s="352"/>
      <c r="FI201" s="352"/>
      <c r="FJ201" s="352"/>
      <c r="FK201" s="352"/>
      <c r="FL201" s="352"/>
      <c r="FM201" s="352"/>
      <c r="FN201" s="352"/>
      <c r="FO201" s="352"/>
      <c r="FP201" s="352"/>
      <c r="FQ201" s="352"/>
      <c r="FR201" s="352"/>
      <c r="FS201" s="352"/>
      <c r="FT201" s="352"/>
      <c r="FU201" s="352"/>
      <c r="FV201" s="352"/>
      <c r="FW201" s="352"/>
      <c r="FX201" s="352"/>
      <c r="FY201" s="352"/>
      <c r="FZ201" s="352"/>
      <c r="GA201" s="352"/>
      <c r="GB201" s="353"/>
      <c r="GC201" s="179">
        <f t="shared" si="37"/>
        <v>0</v>
      </c>
      <c r="GD201" s="179">
        <f t="shared" si="38"/>
        <v>0</v>
      </c>
      <c r="GE201" s="179">
        <f t="shared" si="39"/>
        <v>0</v>
      </c>
      <c r="GF201" s="179">
        <f t="shared" si="40"/>
        <v>0</v>
      </c>
      <c r="GG201" s="179">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7" customFormat="1" x14ac:dyDescent="0.35">
      <c r="A202" s="327"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v>-1</v>
      </c>
      <c r="GC202" s="178">
        <f t="shared" si="37"/>
        <v>0</v>
      </c>
      <c r="GD202" s="178">
        <f t="shared" si="38"/>
        <v>0</v>
      </c>
      <c r="GE202" s="178">
        <f t="shared" si="39"/>
        <v>0</v>
      </c>
      <c r="GF202" s="178">
        <f t="shared" si="40"/>
        <v>0</v>
      </c>
      <c r="GG202" s="178">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19"/>
      <c r="GC203" s="179">
        <f t="shared" si="37"/>
        <v>0</v>
      </c>
      <c r="GD203" s="179">
        <f t="shared" si="38"/>
        <v>0</v>
      </c>
      <c r="GE203" s="179">
        <f t="shared" si="39"/>
        <v>0</v>
      </c>
      <c r="GF203" s="179">
        <f t="shared" si="40"/>
        <v>1.9099999999999999E-2</v>
      </c>
      <c r="GG203" s="179">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8"/>
      <c r="GC204" s="178">
        <f t="shared" si="37"/>
        <v>0</v>
      </c>
      <c r="GD204" s="178">
        <f t="shared" si="38"/>
        <v>0</v>
      </c>
      <c r="GE204" s="178">
        <f t="shared" si="39"/>
        <v>0</v>
      </c>
      <c r="GF204" s="178">
        <f t="shared" si="40"/>
        <v>0</v>
      </c>
      <c r="GG204" s="178">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19"/>
      <c r="GC205" s="179">
        <f t="shared" si="37"/>
        <v>0</v>
      </c>
      <c r="GD205" s="179">
        <f t="shared" si="38"/>
        <v>0</v>
      </c>
      <c r="GE205" s="179">
        <f t="shared" si="39"/>
        <v>0</v>
      </c>
      <c r="GF205" s="179">
        <f t="shared" si="40"/>
        <v>1.9099999999999999E-2</v>
      </c>
      <c r="GG205" s="179">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8"/>
      <c r="GC206" s="178">
        <f t="shared" si="37"/>
        <v>0</v>
      </c>
      <c r="GD206" s="178">
        <f t="shared" si="38"/>
        <v>0</v>
      </c>
      <c r="GE206" s="178">
        <f t="shared" si="39"/>
        <v>0</v>
      </c>
      <c r="GF206" s="178">
        <f t="shared" si="40"/>
        <v>0</v>
      </c>
      <c r="GG206" s="178">
        <f t="shared" si="36"/>
        <v>0</v>
      </c>
    </row>
    <row r="207" spans="1:342" s="310" customFormat="1" x14ac:dyDescent="0.35">
      <c r="A207" s="290" t="s">
        <v>1172</v>
      </c>
      <c r="B207" s="290" t="str">
        <f>IF(Technologies!B207&lt;&gt;0,Technologies!B207,"")</f>
        <v>Bunkerbrandstoffen</v>
      </c>
      <c r="C207" s="290" t="str">
        <f>VLOOKUP($A207,Technologies!$A$7:$H$576,3,FALSE)</f>
        <v>Final</v>
      </c>
      <c r="D207" s="290" t="str">
        <f>VLOOKUP($A207,Technologies!$A$7:$H$576,4,FALSE)</f>
        <v>Transport</v>
      </c>
      <c r="E207" s="290" t="str">
        <f>VLOOKUP($A207,Technologies!$A$7:$H$576,6,FALSE)</f>
        <v>Bunker Aviation</v>
      </c>
      <c r="F207" s="291" t="str">
        <f>VLOOKUP($A207,Technologies!$A$7:$H$576,7,FALSE)</f>
        <v>E-Kerosene Airplane</v>
      </c>
      <c r="G207" s="311"/>
      <c r="H207" s="311"/>
      <c r="I207" s="313" cm="1">
        <f t="array" ref="I207">-SUMPRODUCT((Feedstocks!$C$4:$C$141=A207)*Feedstocks!$E$4:$E$141,Feedstocks!$F$4:$F$141,Feedstocks!$H$4:$H$141,Feedstocks!$I$4:$I$141)</f>
        <v>0</v>
      </c>
      <c r="J207" s="313" cm="1">
        <f t="array" ref="J207">-SUMPRODUCT((Feedstocks!$C$4:$C$141=A207)*Feedstocks!$E$4:$E$141,Feedstocks!$H$4:$H$141,Feedstocks!$I$4:$I$141)</f>
        <v>0</v>
      </c>
      <c r="K207" s="313"/>
      <c r="L207" s="313"/>
      <c r="M207" s="311"/>
      <c r="N207" s="311" t="str">
        <f>VLOOKUP(E207,Activities!$A$9:$M$227,13,FALSE)</f>
        <v>NL</v>
      </c>
      <c r="O207" s="311">
        <v>1</v>
      </c>
      <c r="P207" s="308" t="s">
        <v>452</v>
      </c>
      <c r="Q207" s="315"/>
      <c r="R207" s="315"/>
      <c r="S207" s="315"/>
      <c r="T207" s="315"/>
      <c r="U207" s="315"/>
      <c r="V207" s="315"/>
      <c r="W207" s="315"/>
      <c r="X207" s="315"/>
      <c r="Y207" s="315"/>
      <c r="Z207" s="315"/>
      <c r="AA207" s="315"/>
      <c r="AB207" s="315"/>
      <c r="AC207" s="315"/>
      <c r="AD207" s="315"/>
      <c r="AE207" s="315"/>
      <c r="AF207" s="315"/>
      <c r="AG207" s="315"/>
      <c r="AH207" s="315"/>
      <c r="AI207" s="315"/>
      <c r="AJ207" s="315"/>
      <c r="AK207" s="315"/>
      <c r="AL207" s="315"/>
      <c r="AM207" s="315"/>
      <c r="AN207" s="315"/>
      <c r="AO207" s="315"/>
      <c r="AP207" s="315"/>
      <c r="AQ207" s="315"/>
      <c r="AR207" s="315"/>
      <c r="AS207" s="315"/>
      <c r="AT207" s="315"/>
      <c r="AU207" s="315"/>
      <c r="AV207" s="315"/>
      <c r="AW207" s="315"/>
      <c r="AX207" s="315"/>
      <c r="AY207" s="315"/>
      <c r="AZ207" s="315"/>
      <c r="BA207" s="315"/>
      <c r="BB207" s="315"/>
      <c r="BC207" s="315"/>
      <c r="BD207" s="315"/>
      <c r="BE207" s="315"/>
      <c r="BF207" s="315"/>
      <c r="BG207" s="315"/>
      <c r="BH207" s="315"/>
      <c r="BI207" s="315"/>
      <c r="BJ207" s="315">
        <v>1</v>
      </c>
      <c r="BK207" s="315"/>
      <c r="BL207" s="315"/>
      <c r="BM207" s="315"/>
      <c r="BN207" s="315"/>
      <c r="BO207" s="315"/>
      <c r="BP207" s="315"/>
      <c r="BQ207" s="315"/>
      <c r="BR207" s="315"/>
      <c r="BS207" s="315"/>
      <c r="BT207" s="315"/>
      <c r="BU207" s="315"/>
      <c r="BV207" s="315"/>
      <c r="BW207" s="315"/>
      <c r="BX207" s="315"/>
      <c r="BY207" s="315"/>
      <c r="BZ207" s="315"/>
      <c r="CA207" s="315"/>
      <c r="CB207" s="315"/>
      <c r="CC207" s="315"/>
      <c r="CD207" s="315"/>
      <c r="CE207" s="315"/>
      <c r="CF207" s="315"/>
      <c r="CG207" s="315"/>
      <c r="CH207" s="315"/>
      <c r="CI207" s="315"/>
      <c r="CJ207" s="315"/>
      <c r="CK207" s="315"/>
      <c r="CL207" s="315"/>
      <c r="CM207" s="315"/>
      <c r="CN207" s="315"/>
      <c r="CO207" s="315"/>
      <c r="CP207" s="315"/>
      <c r="CQ207" s="315"/>
      <c r="CR207" s="315"/>
      <c r="CS207" s="315"/>
      <c r="CT207" s="315"/>
      <c r="CU207" s="315"/>
      <c r="CV207" s="315"/>
      <c r="CW207" s="315"/>
      <c r="CX207" s="315"/>
      <c r="CY207" s="315"/>
      <c r="CZ207" s="315"/>
      <c r="DA207" s="315"/>
      <c r="DB207" s="315"/>
      <c r="DC207" s="315"/>
      <c r="DD207" s="315"/>
      <c r="DE207" s="315"/>
      <c r="DF207" s="315"/>
      <c r="DG207" s="315"/>
      <c r="DH207" s="315"/>
      <c r="DI207" s="315"/>
      <c r="DJ207" s="315"/>
      <c r="DK207" s="315"/>
      <c r="DL207" s="315"/>
      <c r="DM207" s="315"/>
      <c r="DN207" s="315"/>
      <c r="DO207" s="315"/>
      <c r="DP207" s="315"/>
      <c r="DQ207" s="315"/>
      <c r="DR207" s="315"/>
      <c r="DS207" s="315"/>
      <c r="DT207" s="315"/>
      <c r="DU207" s="315"/>
      <c r="DV207" s="315"/>
      <c r="DW207" s="315"/>
      <c r="DX207" s="315"/>
      <c r="DY207" s="315"/>
      <c r="DZ207" s="315"/>
      <c r="EA207" s="315"/>
      <c r="EB207" s="315"/>
      <c r="EC207" s="315"/>
      <c r="ED207" s="315"/>
      <c r="EE207" s="315"/>
      <c r="EF207" s="315"/>
      <c r="EG207" s="315"/>
      <c r="EH207" s="315">
        <v>-0.27</v>
      </c>
      <c r="EI207" s="315"/>
      <c r="EJ207" s="315"/>
      <c r="EK207" s="315"/>
      <c r="EL207" s="315"/>
      <c r="EM207" s="315"/>
      <c r="EN207" s="315"/>
      <c r="EO207" s="315"/>
      <c r="EP207" s="315"/>
      <c r="EQ207" s="315"/>
      <c r="ER207" s="315"/>
      <c r="ES207" s="315"/>
      <c r="ET207" s="315"/>
      <c r="EU207" s="315"/>
      <c r="EV207" s="315"/>
      <c r="EW207" s="315"/>
      <c r="EX207" s="315"/>
      <c r="EY207" s="315"/>
      <c r="EZ207" s="315"/>
      <c r="FA207" s="315"/>
      <c r="FB207" s="315"/>
      <c r="FC207" s="315"/>
      <c r="FD207" s="315"/>
      <c r="FE207" s="315"/>
      <c r="FF207" s="315"/>
      <c r="FG207" s="315"/>
      <c r="FH207" s="315"/>
      <c r="FI207" s="315"/>
      <c r="FJ207" s="315"/>
      <c r="FK207" s="315"/>
      <c r="FL207" s="315"/>
      <c r="FM207" s="315"/>
      <c r="FN207" s="315"/>
      <c r="FO207" s="315"/>
      <c r="FP207" s="315"/>
      <c r="FQ207" s="315"/>
      <c r="FR207" s="315"/>
      <c r="FS207" s="315"/>
      <c r="FT207" s="315"/>
      <c r="FU207" s="315"/>
      <c r="FV207" s="315"/>
      <c r="FW207" s="315"/>
      <c r="FX207" s="315"/>
      <c r="FY207" s="315"/>
      <c r="FZ207" s="315"/>
      <c r="GA207" s="315"/>
      <c r="GB207" s="322"/>
      <c r="GC207" s="316">
        <f t="shared" si="37"/>
        <v>0</v>
      </c>
      <c r="GD207" s="316">
        <f t="shared" si="38"/>
        <v>0</v>
      </c>
      <c r="GE207" s="316">
        <f t="shared" si="39"/>
        <v>0</v>
      </c>
      <c r="GF207" s="316">
        <f t="shared" si="40"/>
        <v>1.9400000000000001E-2</v>
      </c>
      <c r="GG207" s="316">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7" customFormat="1" x14ac:dyDescent="0.35">
      <c r="A208" s="327" t="s">
        <v>1174</v>
      </c>
      <c r="B208" s="290" t="str">
        <f>IF(Technologies!B208&lt;&gt;0,Technologies!B208,"")</f>
        <v>Bunkerbrandstoffen</v>
      </c>
      <c r="C208" s="290" t="str">
        <f>VLOOKUP($A208,Technologies!$A$7:$H$576,3,FALSE)</f>
        <v>Final</v>
      </c>
      <c r="D208" s="290" t="str">
        <f>VLOOKUP($A208,Technologies!$A$7:$H$576,4,FALSE)</f>
        <v>Transport</v>
      </c>
      <c r="E208" s="290" t="str">
        <f>VLOOKUP($A208,Technologies!$A$7:$H$576,6,FALSE)</f>
        <v>Renewable H2 Credit</v>
      </c>
      <c r="F208" s="291" t="str">
        <f>VLOOKUP($A208,Technologies!$A$7:$H$576,7,FALSE)</f>
        <v xml:space="preserve">H2 Credits for Aviation </v>
      </c>
      <c r="G208" s="350"/>
      <c r="H208" s="350"/>
      <c r="I208" s="351"/>
      <c r="J208" s="351"/>
      <c r="K208" s="351"/>
      <c r="L208" s="351"/>
      <c r="M208" s="350"/>
      <c r="N208" s="311" t="str">
        <f>VLOOKUP(E208,Activities!$A$9:$M$227,13,FALSE)</f>
        <v>NL</v>
      </c>
      <c r="O208" s="350">
        <v>1</v>
      </c>
      <c r="P208" s="289"/>
      <c r="Q208" s="352"/>
      <c r="R208" s="352"/>
      <c r="S208" s="352"/>
      <c r="T208" s="352"/>
      <c r="U208" s="352"/>
      <c r="V208" s="352"/>
      <c r="W208" s="352"/>
      <c r="X208" s="352"/>
      <c r="Y208" s="352"/>
      <c r="Z208" s="352"/>
      <c r="AA208" s="352"/>
      <c r="AB208" s="352"/>
      <c r="AC208" s="352"/>
      <c r="AD208" s="352"/>
      <c r="AE208" s="352"/>
      <c r="AF208" s="352"/>
      <c r="AG208" s="352"/>
      <c r="AH208" s="352"/>
      <c r="AI208" s="352"/>
      <c r="AJ208" s="352"/>
      <c r="AK208" s="352"/>
      <c r="AL208" s="352"/>
      <c r="AM208" s="352"/>
      <c r="AN208" s="352"/>
      <c r="AO208" s="352"/>
      <c r="AP208" s="352"/>
      <c r="AQ208" s="352"/>
      <c r="AR208" s="352"/>
      <c r="AS208" s="352"/>
      <c r="AT208" s="352"/>
      <c r="AU208" s="352"/>
      <c r="AV208" s="352"/>
      <c r="AW208" s="352"/>
      <c r="AX208" s="352"/>
      <c r="AY208" s="352"/>
      <c r="AZ208" s="352"/>
      <c r="BA208" s="352"/>
      <c r="BB208" s="352"/>
      <c r="BC208" s="352"/>
      <c r="BD208" s="352"/>
      <c r="BE208" s="352"/>
      <c r="BF208" s="352"/>
      <c r="BG208" s="352"/>
      <c r="BH208" s="352"/>
      <c r="BI208" s="352"/>
      <c r="BJ208" s="352"/>
      <c r="BK208" s="352"/>
      <c r="BL208" s="352"/>
      <c r="BM208" s="352"/>
      <c r="BN208" s="352"/>
      <c r="BO208" s="352"/>
      <c r="BP208" s="352"/>
      <c r="BQ208" s="352"/>
      <c r="BR208" s="352"/>
      <c r="BS208" s="352"/>
      <c r="BT208" s="352"/>
      <c r="BU208" s="352"/>
      <c r="BV208" s="352"/>
      <c r="BW208" s="352"/>
      <c r="BX208" s="352"/>
      <c r="BY208" s="352"/>
      <c r="BZ208" s="352"/>
      <c r="CA208" s="352"/>
      <c r="CB208" s="352"/>
      <c r="CC208" s="352"/>
      <c r="CD208" s="352"/>
      <c r="CE208" s="352"/>
      <c r="CF208" s="352"/>
      <c r="CG208" s="352"/>
      <c r="CH208" s="352"/>
      <c r="CI208" s="352"/>
      <c r="CJ208" s="352"/>
      <c r="CK208" s="352"/>
      <c r="CL208" s="352"/>
      <c r="CM208" s="352"/>
      <c r="CN208" s="352"/>
      <c r="CO208" s="352"/>
      <c r="CP208" s="352"/>
      <c r="CQ208" s="352"/>
      <c r="CR208" s="352"/>
      <c r="CS208" s="352"/>
      <c r="CT208" s="352"/>
      <c r="CU208" s="352"/>
      <c r="CV208" s="352"/>
      <c r="CW208" s="352"/>
      <c r="CX208" s="352"/>
      <c r="CY208" s="352"/>
      <c r="CZ208" s="352"/>
      <c r="DA208" s="352"/>
      <c r="DB208" s="352"/>
      <c r="DC208" s="352"/>
      <c r="DD208" s="352"/>
      <c r="DE208" s="352"/>
      <c r="DF208" s="352"/>
      <c r="DG208" s="352"/>
      <c r="DH208" s="352"/>
      <c r="DI208" s="352"/>
      <c r="DJ208" s="352"/>
      <c r="DK208" s="352"/>
      <c r="DL208" s="352"/>
      <c r="DM208" s="352"/>
      <c r="DN208" s="352"/>
      <c r="DO208" s="352"/>
      <c r="DP208" s="352"/>
      <c r="DQ208" s="352"/>
      <c r="DR208" s="352"/>
      <c r="DS208" s="352"/>
      <c r="DT208" s="352"/>
      <c r="DU208" s="352"/>
      <c r="DV208" s="352"/>
      <c r="DW208" s="352"/>
      <c r="DX208" s="352"/>
      <c r="DY208" s="352"/>
      <c r="DZ208" s="352"/>
      <c r="EA208" s="352"/>
      <c r="EB208" s="352"/>
      <c r="EC208" s="352"/>
      <c r="ED208" s="352"/>
      <c r="EE208" s="352"/>
      <c r="EF208" s="352"/>
      <c r="EG208" s="352"/>
      <c r="EH208" s="352"/>
      <c r="EI208" s="352"/>
      <c r="EJ208" s="352"/>
      <c r="EK208" s="352"/>
      <c r="EL208" s="352"/>
      <c r="EM208" s="352"/>
      <c r="EN208" s="352"/>
      <c r="EO208" s="352">
        <v>-1</v>
      </c>
      <c r="EP208" s="352"/>
      <c r="EQ208" s="352"/>
      <c r="ER208" s="352"/>
      <c r="ES208" s="352"/>
      <c r="ET208" s="352"/>
      <c r="EU208" s="352"/>
      <c r="EV208" s="352"/>
      <c r="EW208" s="352"/>
      <c r="EX208" s="352"/>
      <c r="EY208" s="352"/>
      <c r="EZ208" s="352"/>
      <c r="FA208" s="352"/>
      <c r="FB208" s="352"/>
      <c r="FC208" s="352"/>
      <c r="FD208" s="352"/>
      <c r="FE208" s="352"/>
      <c r="FF208" s="352"/>
      <c r="FG208" s="352"/>
      <c r="FH208" s="352"/>
      <c r="FI208" s="352"/>
      <c r="FJ208" s="352"/>
      <c r="FK208" s="352"/>
      <c r="FL208" s="352"/>
      <c r="FM208" s="352"/>
      <c r="FN208" s="352"/>
      <c r="FO208" s="352"/>
      <c r="FP208" s="352"/>
      <c r="FQ208" s="352"/>
      <c r="FR208" s="352"/>
      <c r="FS208" s="352"/>
      <c r="FT208" s="352"/>
      <c r="FU208" s="352"/>
      <c r="FV208" s="352"/>
      <c r="FW208" s="352"/>
      <c r="FX208" s="352"/>
      <c r="FY208" s="352"/>
      <c r="FZ208" s="352"/>
      <c r="GA208" s="352"/>
      <c r="GB208" s="353"/>
      <c r="GC208" s="179">
        <f t="shared" si="37"/>
        <v>0</v>
      </c>
      <c r="GD208" s="179">
        <f t="shared" si="38"/>
        <v>0</v>
      </c>
      <c r="GE208" s="179">
        <f t="shared" si="39"/>
        <v>0</v>
      </c>
      <c r="GF208" s="179">
        <f t="shared" si="40"/>
        <v>0</v>
      </c>
      <c r="GG208" s="179">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VLOOKUP($A209,Technologies!$A$7:$H$576,3,FALSE)</f>
        <v>Final</v>
      </c>
      <c r="D209" s="290" t="str">
        <f>VLOOKUP($A209,Technologies!$A$7:$H$576,4,FALSE)</f>
        <v>Transport</v>
      </c>
      <c r="E209" s="290" t="str">
        <f>VLOOKUP($A209,Technologies!$A$7:$H$576,6,FALSE)</f>
        <v>Renewable CO2 Credit</v>
      </c>
      <c r="F209" s="291" t="str">
        <f>VLOOKUP($A209,Technologies!$A$7:$H$576,7,FALSE)</f>
        <v xml:space="preserve">CO2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v>-1</v>
      </c>
      <c r="GC209" s="178">
        <f t="shared" si="37"/>
        <v>0</v>
      </c>
      <c r="GD209" s="178">
        <f t="shared" si="38"/>
        <v>0</v>
      </c>
      <c r="GE209" s="178">
        <f t="shared" si="39"/>
        <v>0</v>
      </c>
      <c r="GF209" s="178">
        <f t="shared" si="40"/>
        <v>0</v>
      </c>
      <c r="GG209" s="178">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19"/>
      <c r="GC210" s="179">
        <f t="shared" si="37"/>
        <v>0</v>
      </c>
      <c r="GD210" s="179">
        <f t="shared" si="38"/>
        <v>0</v>
      </c>
      <c r="GE210" s="179">
        <f t="shared" si="39"/>
        <v>0</v>
      </c>
      <c r="GF210" s="179">
        <f t="shared" si="40"/>
        <v>0</v>
      </c>
      <c r="GG210" s="179">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8"/>
      <c r="GC211" s="178">
        <f t="shared" si="37"/>
        <v>0</v>
      </c>
      <c r="GD211" s="178">
        <f t="shared" si="38"/>
        <v>0</v>
      </c>
      <c r="GE211" s="178">
        <f t="shared" si="39"/>
        <v>0</v>
      </c>
      <c r="GF211" s="178">
        <f t="shared" si="40"/>
        <v>0</v>
      </c>
      <c r="GG211" s="178">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19"/>
      <c r="GC212" s="179">
        <f t="shared" si="37"/>
        <v>0</v>
      </c>
      <c r="GD212" s="179">
        <f t="shared" si="38"/>
        <v>0</v>
      </c>
      <c r="GE212" s="179">
        <f t="shared" si="39"/>
        <v>0</v>
      </c>
      <c r="GF212" s="179">
        <f t="shared" si="40"/>
        <v>0</v>
      </c>
      <c r="GG212" s="179">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8"/>
      <c r="GC213" s="178">
        <f t="shared" si="37"/>
        <v>0</v>
      </c>
      <c r="GD213" s="178">
        <f t="shared" si="38"/>
        <v>0</v>
      </c>
      <c r="GE213" s="178">
        <f t="shared" si="39"/>
        <v>0</v>
      </c>
      <c r="GF213" s="178">
        <f t="shared" si="40"/>
        <v>0</v>
      </c>
      <c r="GG213" s="178">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19"/>
      <c r="GC214" s="179">
        <f t="shared" si="37"/>
        <v>0</v>
      </c>
      <c r="GD214" s="179">
        <f t="shared" si="38"/>
        <v>0</v>
      </c>
      <c r="GE214" s="179">
        <f t="shared" si="39"/>
        <v>0</v>
      </c>
      <c r="GF214" s="179">
        <f t="shared" si="40"/>
        <v>0</v>
      </c>
      <c r="GG214" s="179">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8"/>
      <c r="GC215" s="178">
        <f t="shared" si="37"/>
        <v>0</v>
      </c>
      <c r="GD215" s="178">
        <f t="shared" si="38"/>
        <v>0</v>
      </c>
      <c r="GE215" s="178">
        <f t="shared" si="39"/>
        <v>0</v>
      </c>
      <c r="GF215" s="178">
        <f t="shared" si="40"/>
        <v>0</v>
      </c>
      <c r="GG215" s="178">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19"/>
      <c r="GC216" s="179">
        <f t="shared" si="37"/>
        <v>0</v>
      </c>
      <c r="GD216" s="179">
        <f t="shared" si="38"/>
        <v>0</v>
      </c>
      <c r="GE216" s="179">
        <f t="shared" si="39"/>
        <v>0</v>
      </c>
      <c r="GF216" s="179">
        <f t="shared" si="40"/>
        <v>0</v>
      </c>
      <c r="GG216" s="179">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8"/>
      <c r="GC217" s="178">
        <f t="shared" si="37"/>
        <v>0</v>
      </c>
      <c r="GD217" s="178">
        <f t="shared" si="38"/>
        <v>0</v>
      </c>
      <c r="GE217" s="178">
        <f t="shared" si="39"/>
        <v>0</v>
      </c>
      <c r="GF217" s="178">
        <f t="shared" si="40"/>
        <v>0</v>
      </c>
      <c r="GG217" s="178">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19"/>
      <c r="GC218" s="179">
        <f t="shared" si="37"/>
        <v>0</v>
      </c>
      <c r="GD218" s="179">
        <f t="shared" si="38"/>
        <v>0</v>
      </c>
      <c r="GE218" s="179">
        <f t="shared" si="39"/>
        <v>0</v>
      </c>
      <c r="GF218" s="179">
        <f t="shared" si="40"/>
        <v>0</v>
      </c>
      <c r="GG218" s="179">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8"/>
      <c r="GC219" s="178">
        <f t="shared" si="37"/>
        <v>0</v>
      </c>
      <c r="GD219" s="178">
        <f t="shared" si="38"/>
        <v>0</v>
      </c>
      <c r="GE219" s="178">
        <f t="shared" si="39"/>
        <v>0</v>
      </c>
      <c r="GF219" s="178">
        <f t="shared" si="40"/>
        <v>0</v>
      </c>
      <c r="GG219" s="178">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19"/>
      <c r="GC220" s="179">
        <f t="shared" si="37"/>
        <v>0</v>
      </c>
      <c r="GD220" s="179">
        <f t="shared" si="38"/>
        <v>0</v>
      </c>
      <c r="GE220" s="179">
        <f t="shared" si="39"/>
        <v>0</v>
      </c>
      <c r="GF220" s="179">
        <f t="shared" si="40"/>
        <v>0</v>
      </c>
      <c r="GG220" s="179">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8"/>
      <c r="GC221" s="178">
        <f t="shared" si="37"/>
        <v>0</v>
      </c>
      <c r="GD221" s="178">
        <f t="shared" si="38"/>
        <v>0</v>
      </c>
      <c r="GE221" s="178">
        <f t="shared" si="39"/>
        <v>0</v>
      </c>
      <c r="GF221" s="178">
        <f t="shared" si="40"/>
        <v>0</v>
      </c>
      <c r="GG221" s="178">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19"/>
      <c r="GC222" s="179">
        <f t="shared" si="37"/>
        <v>0</v>
      </c>
      <c r="GD222" s="179">
        <f t="shared" si="38"/>
        <v>0</v>
      </c>
      <c r="GE222" s="179">
        <f t="shared" si="39"/>
        <v>0</v>
      </c>
      <c r="GF222" s="179">
        <f t="shared" si="40"/>
        <v>0</v>
      </c>
      <c r="GG222" s="179">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8"/>
      <c r="GC223" s="178">
        <f t="shared" si="37"/>
        <v>0</v>
      </c>
      <c r="GD223" s="178">
        <f t="shared" si="38"/>
        <v>0</v>
      </c>
      <c r="GE223" s="178">
        <f t="shared" si="39"/>
        <v>0</v>
      </c>
      <c r="GF223" s="178">
        <f t="shared" si="40"/>
        <v>0</v>
      </c>
      <c r="GG223" s="178">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2"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19"/>
      <c r="GC224" s="179">
        <f t="shared" si="37"/>
        <v>0</v>
      </c>
      <c r="GD224" s="179">
        <f t="shared" si="38"/>
        <v>0</v>
      </c>
      <c r="GE224" s="179">
        <f t="shared" si="39"/>
        <v>0</v>
      </c>
      <c r="GF224" s="179">
        <f t="shared" si="40"/>
        <v>0</v>
      </c>
      <c r="GG224" s="179">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8"/>
      <c r="GC225" s="178">
        <f t="shared" ref="GC225:GC256" si="43">ROUND(IF($C225="Primary",0,-$G225*(SUMPRODUCT($Q$4:$GA$4,$Q225:$GA225)+$J225)-$H225)*IF($N225=GC$4,1,0),4)</f>
        <v>0</v>
      </c>
      <c r="GD225" s="178">
        <f t="shared" ref="GD225:GD256" si="44">ROUND(IF($C225="Primary",0,$M225*(1-$O225)*($G225*(SUMPRODUCT($Q$4:$GA$4,$Q225:$GA225)+$J225)+$H225-SUMPRODUCT($Q$5:$GA$5,$Q225:$GA225)-$I225+$K225))*IF($N225=GD$4,1,0),4)</f>
        <v>0</v>
      </c>
      <c r="GE225" s="178">
        <f t="shared" ref="GE225:GE256" si="45">ROUND(IF($C225="Primary",0,(1-$M225)*(1-$O225)*($G225*(SUMPRODUCT($Q$4:$GA$4,$Q225:$GA225)+$J225)+$H225-SUMPRODUCT($Q$5:$GA$5,$Q225:$GA225)-$I225+$L225))*IF($N225=GD$4,1,0),4)</f>
        <v>0</v>
      </c>
      <c r="GF225" s="178">
        <f t="shared" ref="GF225:GF256" si="46">ROUND(IF($C225="Primary",0,$O225*($G225*(SUMPRODUCT($Q$4:$GA$4,$Q225:$GA225)+$J225)-SUMPRODUCT($Q$5:$GA$5,$Q225:$GA225)-$I225))*IF($N225=GD$4,1,0),4)</f>
        <v>0</v>
      </c>
      <c r="GG225" s="178">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2"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19"/>
      <c r="GC226" s="179">
        <f t="shared" si="43"/>
        <v>0</v>
      </c>
      <c r="GD226" s="179">
        <f t="shared" si="44"/>
        <v>0</v>
      </c>
      <c r="GE226" s="179">
        <f t="shared" si="45"/>
        <v>0</v>
      </c>
      <c r="GF226" s="179">
        <f t="shared" si="46"/>
        <v>0</v>
      </c>
      <c r="GG226" s="178">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8"/>
      <c r="GC227" s="178">
        <f t="shared" si="43"/>
        <v>0</v>
      </c>
      <c r="GD227" s="178">
        <f t="shared" si="44"/>
        <v>0</v>
      </c>
      <c r="GE227" s="178">
        <f t="shared" si="45"/>
        <v>0</v>
      </c>
      <c r="GF227" s="178">
        <f t="shared" si="46"/>
        <v>0</v>
      </c>
      <c r="GG227" s="178">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2"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19"/>
      <c r="GC228" s="179">
        <f t="shared" si="43"/>
        <v>0</v>
      </c>
      <c r="GD228" s="179">
        <f t="shared" si="44"/>
        <v>0</v>
      </c>
      <c r="GE228" s="179">
        <f t="shared" si="45"/>
        <v>0</v>
      </c>
      <c r="GF228" s="179">
        <f t="shared" si="46"/>
        <v>0</v>
      </c>
      <c r="GG228" s="178">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8"/>
      <c r="GC229" s="178">
        <f t="shared" si="43"/>
        <v>0</v>
      </c>
      <c r="GD229" s="178">
        <f t="shared" si="44"/>
        <v>0</v>
      </c>
      <c r="GE229" s="178">
        <f t="shared" si="45"/>
        <v>0</v>
      </c>
      <c r="GF229" s="178">
        <f t="shared" si="46"/>
        <v>0</v>
      </c>
      <c r="GG229" s="178">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2"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19"/>
      <c r="GC230" s="179">
        <f t="shared" si="43"/>
        <v>0</v>
      </c>
      <c r="GD230" s="179">
        <f t="shared" si="44"/>
        <v>0</v>
      </c>
      <c r="GE230" s="179">
        <f t="shared" si="45"/>
        <v>0</v>
      </c>
      <c r="GF230" s="179">
        <f t="shared" si="46"/>
        <v>0</v>
      </c>
      <c r="GG230" s="178">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8"/>
      <c r="GC231" s="178">
        <f t="shared" si="43"/>
        <v>0</v>
      </c>
      <c r="GD231" s="178">
        <f t="shared" si="44"/>
        <v>0</v>
      </c>
      <c r="GE231" s="178">
        <f t="shared" si="45"/>
        <v>0</v>
      </c>
      <c r="GF231" s="178">
        <f t="shared" si="46"/>
        <v>0</v>
      </c>
      <c r="GG231" s="178">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2"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19"/>
      <c r="GC232" s="179">
        <f t="shared" si="43"/>
        <v>0</v>
      </c>
      <c r="GD232" s="179">
        <f t="shared" si="44"/>
        <v>0</v>
      </c>
      <c r="GE232" s="179">
        <f t="shared" si="45"/>
        <v>0</v>
      </c>
      <c r="GF232" s="179">
        <f t="shared" si="46"/>
        <v>0</v>
      </c>
      <c r="GG232" s="178">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8"/>
      <c r="GC233" s="178">
        <f t="shared" si="43"/>
        <v>0</v>
      </c>
      <c r="GD233" s="178">
        <f t="shared" si="44"/>
        <v>0</v>
      </c>
      <c r="GE233" s="178">
        <f t="shared" si="45"/>
        <v>0</v>
      </c>
      <c r="GF233" s="178">
        <f t="shared" si="46"/>
        <v>0</v>
      </c>
      <c r="GG233" s="178">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2"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19"/>
      <c r="GC234" s="179">
        <f t="shared" si="43"/>
        <v>0</v>
      </c>
      <c r="GD234" s="179">
        <f t="shared" si="44"/>
        <v>0</v>
      </c>
      <c r="GE234" s="179">
        <f t="shared" si="45"/>
        <v>0</v>
      </c>
      <c r="GF234" s="179">
        <f t="shared" si="46"/>
        <v>0</v>
      </c>
      <c r="GG234" s="179">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8"/>
      <c r="GC235" s="178">
        <f t="shared" si="43"/>
        <v>0</v>
      </c>
      <c r="GD235" s="178">
        <f t="shared" si="44"/>
        <v>0</v>
      </c>
      <c r="GE235" s="178">
        <f t="shared" si="45"/>
        <v>0</v>
      </c>
      <c r="GF235" s="178">
        <f t="shared" si="46"/>
        <v>0</v>
      </c>
      <c r="GG235" s="178">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2"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19"/>
      <c r="GC236" s="179">
        <f t="shared" si="43"/>
        <v>0</v>
      </c>
      <c r="GD236" s="179">
        <f t="shared" si="44"/>
        <v>0</v>
      </c>
      <c r="GE236" s="179">
        <f t="shared" si="45"/>
        <v>0</v>
      </c>
      <c r="GF236" s="179">
        <f t="shared" si="46"/>
        <v>0</v>
      </c>
      <c r="GG236" s="179">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8"/>
      <c r="GC237" s="178">
        <f t="shared" si="43"/>
        <v>0</v>
      </c>
      <c r="GD237" s="178">
        <f t="shared" si="44"/>
        <v>0</v>
      </c>
      <c r="GE237" s="178">
        <f t="shared" si="45"/>
        <v>0</v>
      </c>
      <c r="GF237" s="178">
        <f t="shared" si="46"/>
        <v>0</v>
      </c>
      <c r="GG237" s="178">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19"/>
      <c r="GC238" s="179">
        <f t="shared" si="43"/>
        <v>0</v>
      </c>
      <c r="GD238" s="179">
        <f t="shared" si="44"/>
        <v>0.23100000000000001</v>
      </c>
      <c r="GE238" s="179">
        <f t="shared" si="45"/>
        <v>0</v>
      </c>
      <c r="GF238" s="179">
        <f t="shared" si="46"/>
        <v>0</v>
      </c>
      <c r="GG238" s="179">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8"/>
      <c r="GC239" s="178">
        <f t="shared" si="43"/>
        <v>0</v>
      </c>
      <c r="GD239" s="178">
        <f t="shared" si="44"/>
        <v>0.15529999999999999</v>
      </c>
      <c r="GE239" s="178">
        <f t="shared" si="45"/>
        <v>0</v>
      </c>
      <c r="GF239" s="178">
        <f t="shared" si="46"/>
        <v>0</v>
      </c>
      <c r="GG239" s="178">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19"/>
      <c r="GC240" s="179">
        <f t="shared" si="43"/>
        <v>0.22159999999999999</v>
      </c>
      <c r="GD240" s="179">
        <f t="shared" si="44"/>
        <v>-2.7400000000000001E-2</v>
      </c>
      <c r="GE240" s="179">
        <f t="shared" si="45"/>
        <v>0</v>
      </c>
      <c r="GF240" s="179">
        <f t="shared" si="46"/>
        <v>0</v>
      </c>
      <c r="GG240" s="179">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8"/>
      <c r="GC241" s="178">
        <f t="shared" si="43"/>
        <v>0</v>
      </c>
      <c r="GD241" s="178">
        <f t="shared" si="44"/>
        <v>9.9099999999999994E-2</v>
      </c>
      <c r="GE241" s="178">
        <f t="shared" si="45"/>
        <v>0</v>
      </c>
      <c r="GF241" s="178">
        <f t="shared" si="46"/>
        <v>0</v>
      </c>
      <c r="GG241" s="178">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19"/>
      <c r="GC242" s="179">
        <f t="shared" si="43"/>
        <v>0.10340000000000001</v>
      </c>
      <c r="GD242" s="179">
        <f t="shared" si="44"/>
        <v>1.83E-2</v>
      </c>
      <c r="GE242" s="179">
        <f t="shared" si="45"/>
        <v>0</v>
      </c>
      <c r="GF242" s="179">
        <f t="shared" si="46"/>
        <v>0</v>
      </c>
      <c r="GG242" s="179">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8"/>
      <c r="GC243" s="178">
        <f t="shared" si="43"/>
        <v>0</v>
      </c>
      <c r="GD243" s="178">
        <f t="shared" si="44"/>
        <v>0.4849</v>
      </c>
      <c r="GE243" s="178">
        <f t="shared" si="45"/>
        <v>0</v>
      </c>
      <c r="GF243" s="178">
        <f t="shared" si="46"/>
        <v>0</v>
      </c>
      <c r="GG243" s="178">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19"/>
      <c r="GC244" s="179">
        <f t="shared" si="43"/>
        <v>0</v>
      </c>
      <c r="GD244" s="179">
        <f t="shared" si="44"/>
        <v>0.15509999999999999</v>
      </c>
      <c r="GE244" s="179">
        <f t="shared" si="45"/>
        <v>0</v>
      </c>
      <c r="GF244" s="179">
        <f t="shared" si="46"/>
        <v>0</v>
      </c>
      <c r="GG244" s="179">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8"/>
      <c r="GC245" s="178">
        <f t="shared" si="43"/>
        <v>0</v>
      </c>
      <c r="GD245" s="178">
        <f t="shared" si="44"/>
        <v>0</v>
      </c>
      <c r="GE245" s="178">
        <f t="shared" si="45"/>
        <v>0</v>
      </c>
      <c r="GF245" s="178">
        <f t="shared" si="46"/>
        <v>0</v>
      </c>
      <c r="GG245" s="178">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19"/>
      <c r="GC247" s="179">
        <f t="shared" si="43"/>
        <v>0</v>
      </c>
      <c r="GD247" s="179">
        <f t="shared" si="44"/>
        <v>0</v>
      </c>
      <c r="GE247" s="179">
        <f t="shared" si="45"/>
        <v>0</v>
      </c>
      <c r="GF247" s="179">
        <f t="shared" si="46"/>
        <v>0</v>
      </c>
      <c r="GG247" s="179">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8"/>
      <c r="GC248" s="178">
        <f t="shared" si="43"/>
        <v>0</v>
      </c>
      <c r="GD248" s="178">
        <f t="shared" si="44"/>
        <v>0</v>
      </c>
      <c r="GE248" s="178">
        <f t="shared" si="45"/>
        <v>0</v>
      </c>
      <c r="GF248" s="178">
        <f t="shared" si="46"/>
        <v>0</v>
      </c>
      <c r="GG248" s="178">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19"/>
      <c r="GC250" s="179">
        <f t="shared" si="43"/>
        <v>0</v>
      </c>
      <c r="GD250" s="179">
        <f t="shared" si="44"/>
        <v>0</v>
      </c>
      <c r="GE250" s="179">
        <f t="shared" si="45"/>
        <v>0</v>
      </c>
      <c r="GF250" s="179">
        <f t="shared" si="46"/>
        <v>0</v>
      </c>
      <c r="GG250" s="179">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8">
        <f>GC251</f>
        <v>0.1938</v>
      </c>
      <c r="GC251" s="178">
        <f t="shared" si="43"/>
        <v>0.1938</v>
      </c>
      <c r="GD251" s="178">
        <f t="shared" si="44"/>
        <v>-0.1938</v>
      </c>
      <c r="GE251" s="178">
        <f t="shared" si="45"/>
        <v>0</v>
      </c>
      <c r="GF251" s="178">
        <f t="shared" si="46"/>
        <v>0</v>
      </c>
      <c r="GG251" s="178">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19"/>
      <c r="GC252" s="179">
        <f t="shared" si="43"/>
        <v>0</v>
      </c>
      <c r="GD252" s="179">
        <f t="shared" si="44"/>
        <v>0</v>
      </c>
      <c r="GE252" s="179">
        <f t="shared" si="45"/>
        <v>0</v>
      </c>
      <c r="GF252" s="179">
        <f t="shared" si="46"/>
        <v>0</v>
      </c>
      <c r="GG252" s="179">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8"/>
      <c r="GC253" s="178">
        <f t="shared" si="43"/>
        <v>0</v>
      </c>
      <c r="GD253" s="178">
        <f t="shared" si="44"/>
        <v>0</v>
      </c>
      <c r="GE253" s="178">
        <f t="shared" si="45"/>
        <v>0</v>
      </c>
      <c r="GF253" s="178">
        <f t="shared" si="46"/>
        <v>0</v>
      </c>
      <c r="GG253" s="178">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19"/>
      <c r="GC254" s="179">
        <f t="shared" si="43"/>
        <v>0</v>
      </c>
      <c r="GD254" s="179">
        <f t="shared" si="44"/>
        <v>0</v>
      </c>
      <c r="GE254" s="179">
        <f t="shared" si="45"/>
        <v>0</v>
      </c>
      <c r="GF254" s="179">
        <f t="shared" si="46"/>
        <v>0</v>
      </c>
      <c r="GG254" s="179">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8"/>
      <c r="GC255" s="178">
        <f t="shared" si="43"/>
        <v>0</v>
      </c>
      <c r="GD255" s="178">
        <f t="shared" si="44"/>
        <v>0</v>
      </c>
      <c r="GE255" s="178">
        <f t="shared" si="45"/>
        <v>0</v>
      </c>
      <c r="GF255" s="178">
        <f t="shared" si="46"/>
        <v>0</v>
      </c>
      <c r="GG255" s="178">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19"/>
      <c r="GC256" s="179">
        <f t="shared" si="43"/>
        <v>0</v>
      </c>
      <c r="GD256" s="179">
        <f t="shared" si="44"/>
        <v>0</v>
      </c>
      <c r="GE256" s="179">
        <f t="shared" si="45"/>
        <v>0</v>
      </c>
      <c r="GF256" s="179">
        <f t="shared" si="46"/>
        <v>0</v>
      </c>
      <c r="GG256" s="179">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8"/>
      <c r="GC257" s="178">
        <f t="shared" ref="GC257:GC288" si="47">ROUND(IF($C257="Primary",0,-$G257*(SUMPRODUCT($Q$4:$GA$4,$Q257:$GA257)+$J257)-$H257)*IF($N257=GC$4,1,0),4)</f>
        <v>0</v>
      </c>
      <c r="GD257" s="178">
        <f t="shared" ref="GD257:GD288" si="48">ROUND(IF($C257="Primary",0,$M257*(1-$O257)*($G257*(SUMPRODUCT($Q$4:$GA$4,$Q257:$GA257)+$J257)+$H257-SUMPRODUCT($Q$5:$GA$5,$Q257:$GA257)-$I257+$K257))*IF($N257=GD$4,1,0),4)</f>
        <v>0</v>
      </c>
      <c r="GE257" s="178">
        <f t="shared" ref="GE257:GE288" si="49">ROUND(IF($C257="Primary",0,(1-$M257)*(1-$O257)*($G257*(SUMPRODUCT($Q$4:$GA$4,$Q257:$GA257)+$J257)+$H257-SUMPRODUCT($Q$5:$GA$5,$Q257:$GA257)-$I257+$L257))*IF($N257=GD$4,1,0),4)</f>
        <v>0</v>
      </c>
      <c r="GF257" s="178">
        <f t="shared" ref="GF257:GF288" si="50">ROUND(IF($C257="Primary",0,$O257*($G257*(SUMPRODUCT($Q$4:$GA$4,$Q257:$GA257)+$J257)-SUMPRODUCT($Q$5:$GA$5,$Q257:$GA257)-$I257))*IF($N257=GD$4,1,0),4)</f>
        <v>0</v>
      </c>
      <c r="GG257" s="178">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19"/>
      <c r="GC258" s="179">
        <f t="shared" si="47"/>
        <v>0</v>
      </c>
      <c r="GD258" s="179">
        <f t="shared" si="48"/>
        <v>0</v>
      </c>
      <c r="GE258" s="179">
        <f t="shared" si="49"/>
        <v>0</v>
      </c>
      <c r="GF258" s="179">
        <f t="shared" si="50"/>
        <v>0</v>
      </c>
      <c r="GG258" s="179">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8"/>
      <c r="GC259" s="178">
        <f t="shared" si="47"/>
        <v>0</v>
      </c>
      <c r="GD259" s="178">
        <f t="shared" si="48"/>
        <v>0</v>
      </c>
      <c r="GE259" s="178">
        <f t="shared" si="49"/>
        <v>0</v>
      </c>
      <c r="GF259" s="178">
        <f t="shared" si="50"/>
        <v>0</v>
      </c>
      <c r="GG259" s="178">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19"/>
      <c r="GC260" s="179">
        <f t="shared" si="47"/>
        <v>0</v>
      </c>
      <c r="GD260" s="179">
        <f t="shared" si="48"/>
        <v>0</v>
      </c>
      <c r="GE260" s="179">
        <f t="shared" si="49"/>
        <v>0</v>
      </c>
      <c r="GF260" s="179">
        <f t="shared" si="50"/>
        <v>0</v>
      </c>
      <c r="GG260" s="179">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8"/>
      <c r="GC261" s="178">
        <f t="shared" si="47"/>
        <v>0</v>
      </c>
      <c r="GD261" s="178">
        <f t="shared" si="48"/>
        <v>0</v>
      </c>
      <c r="GE261" s="178">
        <f t="shared" si="49"/>
        <v>0</v>
      </c>
      <c r="GF261" s="178">
        <f t="shared" si="50"/>
        <v>0</v>
      </c>
      <c r="GG261" s="178">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6">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19"/>
      <c r="GC262" s="179">
        <f t="shared" si="47"/>
        <v>0</v>
      </c>
      <c r="GD262" s="179">
        <f t="shared" si="48"/>
        <v>0</v>
      </c>
      <c r="GE262" s="179">
        <f t="shared" si="49"/>
        <v>0</v>
      </c>
      <c r="GF262" s="179">
        <f t="shared" si="50"/>
        <v>0</v>
      </c>
      <c r="GG262" s="179">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6">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8"/>
      <c r="GC263" s="178">
        <f t="shared" si="47"/>
        <v>0</v>
      </c>
      <c r="GD263" s="178">
        <f t="shared" si="48"/>
        <v>0</v>
      </c>
      <c r="GE263" s="178">
        <f t="shared" si="49"/>
        <v>0</v>
      </c>
      <c r="GF263" s="178">
        <f t="shared" si="50"/>
        <v>0</v>
      </c>
      <c r="GG263" s="178">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6">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19"/>
      <c r="GC264" s="179">
        <f t="shared" si="47"/>
        <v>0</v>
      </c>
      <c r="GD264" s="179">
        <f t="shared" si="48"/>
        <v>0</v>
      </c>
      <c r="GE264" s="179">
        <f t="shared" si="49"/>
        <v>0</v>
      </c>
      <c r="GF264" s="179">
        <f t="shared" si="50"/>
        <v>0</v>
      </c>
      <c r="GG264" s="179">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8"/>
      <c r="GC266" s="178">
        <f t="shared" si="47"/>
        <v>0</v>
      </c>
      <c r="GD266" s="178">
        <f t="shared" si="48"/>
        <v>0</v>
      </c>
      <c r="GE266" s="178">
        <f t="shared" si="49"/>
        <v>0</v>
      </c>
      <c r="GF266" s="178">
        <f t="shared" si="50"/>
        <v>0</v>
      </c>
      <c r="GG266" s="178">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19"/>
      <c r="GC267" s="179">
        <f t="shared" si="47"/>
        <v>0</v>
      </c>
      <c r="GD267" s="179">
        <f t="shared" si="48"/>
        <v>0</v>
      </c>
      <c r="GE267" s="179">
        <f t="shared" si="49"/>
        <v>0</v>
      </c>
      <c r="GF267" s="179">
        <f t="shared" si="50"/>
        <v>0</v>
      </c>
      <c r="GG267" s="179">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8"/>
      <c r="GC268" s="178">
        <f t="shared" si="47"/>
        <v>0</v>
      </c>
      <c r="GD268" s="178">
        <f t="shared" si="48"/>
        <v>0</v>
      </c>
      <c r="GE268" s="178">
        <f t="shared" si="49"/>
        <v>0</v>
      </c>
      <c r="GF268" s="178">
        <f t="shared" si="50"/>
        <v>0</v>
      </c>
      <c r="GG268" s="178">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19"/>
      <c r="GC269" s="179">
        <f t="shared" si="47"/>
        <v>0</v>
      </c>
      <c r="GD269" s="179">
        <f t="shared" si="48"/>
        <v>0</v>
      </c>
      <c r="GE269" s="179">
        <f t="shared" si="49"/>
        <v>5.9400000000000001E-2</v>
      </c>
      <c r="GF269" s="179">
        <f t="shared" si="50"/>
        <v>0</v>
      </c>
      <c r="GG269" s="179">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8"/>
      <c r="GC270" s="178">
        <f t="shared" si="47"/>
        <v>0</v>
      </c>
      <c r="GD270" s="178">
        <f t="shared" si="48"/>
        <v>0</v>
      </c>
      <c r="GE270" s="178">
        <f t="shared" si="49"/>
        <v>4.53E-2</v>
      </c>
      <c r="GF270" s="178">
        <f t="shared" si="50"/>
        <v>0</v>
      </c>
      <c r="GG270" s="178">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19"/>
      <c r="GC271" s="179">
        <f t="shared" si="47"/>
        <v>0</v>
      </c>
      <c r="GD271" s="179">
        <f t="shared" si="48"/>
        <v>0</v>
      </c>
      <c r="GE271" s="179">
        <f t="shared" si="49"/>
        <v>0</v>
      </c>
      <c r="GF271" s="179">
        <f t="shared" si="50"/>
        <v>0</v>
      </c>
      <c r="GG271" s="179">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8"/>
      <c r="GC272" s="178">
        <f t="shared" si="47"/>
        <v>0</v>
      </c>
      <c r="GD272" s="178">
        <f t="shared" si="48"/>
        <v>0</v>
      </c>
      <c r="GE272" s="178">
        <f t="shared" si="49"/>
        <v>1.1900000000000001E-2</v>
      </c>
      <c r="GF272" s="178">
        <f t="shared" si="50"/>
        <v>0</v>
      </c>
      <c r="GG272" s="178">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19"/>
      <c r="GC273" s="179">
        <f t="shared" si="47"/>
        <v>0</v>
      </c>
      <c r="GD273" s="179">
        <f t="shared" si="48"/>
        <v>0</v>
      </c>
      <c r="GE273" s="179">
        <f t="shared" si="49"/>
        <v>0</v>
      </c>
      <c r="GF273" s="179">
        <f t="shared" si="50"/>
        <v>0</v>
      </c>
      <c r="GG273" s="179">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8"/>
      <c r="GC274" s="178">
        <f t="shared" si="47"/>
        <v>0</v>
      </c>
      <c r="GD274" s="178">
        <f t="shared" si="48"/>
        <v>0</v>
      </c>
      <c r="GE274" s="178">
        <f t="shared" si="49"/>
        <v>0</v>
      </c>
      <c r="GF274" s="178">
        <f t="shared" si="50"/>
        <v>0</v>
      </c>
      <c r="GG274" s="178">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19"/>
      <c r="GC275" s="179">
        <f t="shared" si="47"/>
        <v>0</v>
      </c>
      <c r="GD275" s="179">
        <f t="shared" si="48"/>
        <v>0</v>
      </c>
      <c r="GE275" s="179">
        <f t="shared" si="49"/>
        <v>0</v>
      </c>
      <c r="GF275" s="179">
        <f t="shared" si="50"/>
        <v>0</v>
      </c>
      <c r="GG275" s="179">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8"/>
      <c r="GC276" s="178">
        <f t="shared" si="47"/>
        <v>0</v>
      </c>
      <c r="GD276" s="178">
        <f t="shared" si="48"/>
        <v>0</v>
      </c>
      <c r="GE276" s="178">
        <f t="shared" si="49"/>
        <v>5.6599999999999998E-2</v>
      </c>
      <c r="GF276" s="178">
        <f t="shared" si="50"/>
        <v>0</v>
      </c>
      <c r="GG276" s="178">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19"/>
      <c r="GC277" s="179">
        <f t="shared" si="47"/>
        <v>0</v>
      </c>
      <c r="GD277" s="179">
        <f t="shared" si="48"/>
        <v>0</v>
      </c>
      <c r="GE277" s="179">
        <f t="shared" si="49"/>
        <v>0</v>
      </c>
      <c r="GF277" s="179">
        <f t="shared" si="50"/>
        <v>0</v>
      </c>
      <c r="GG277" s="179">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8"/>
      <c r="GC278" s="178">
        <f t="shared" si="47"/>
        <v>0</v>
      </c>
      <c r="GD278" s="178">
        <f t="shared" si="48"/>
        <v>0</v>
      </c>
      <c r="GE278" s="178">
        <f t="shared" si="49"/>
        <v>0</v>
      </c>
      <c r="GF278" s="178">
        <f t="shared" si="50"/>
        <v>0</v>
      </c>
      <c r="GG278" s="178">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19"/>
      <c r="GC279" s="179">
        <f t="shared" si="47"/>
        <v>0</v>
      </c>
      <c r="GD279" s="179">
        <f t="shared" si="48"/>
        <v>0</v>
      </c>
      <c r="GE279" s="179">
        <f t="shared" si="49"/>
        <v>0</v>
      </c>
      <c r="GF279" s="179">
        <f t="shared" si="50"/>
        <v>0</v>
      </c>
      <c r="GG279" s="179">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8"/>
      <c r="GC280" s="178">
        <f t="shared" si="47"/>
        <v>0</v>
      </c>
      <c r="GD280" s="178">
        <f t="shared" si="48"/>
        <v>0</v>
      </c>
      <c r="GE280" s="178">
        <f t="shared" si="49"/>
        <v>6.2899999999999998E-2</v>
      </c>
      <c r="GF280" s="178">
        <f t="shared" si="50"/>
        <v>0</v>
      </c>
      <c r="GG280" s="178">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19"/>
      <c r="GC281" s="179">
        <f t="shared" si="47"/>
        <v>0</v>
      </c>
      <c r="GD281" s="179">
        <f t="shared" si="48"/>
        <v>0</v>
      </c>
      <c r="GE281" s="179">
        <f t="shared" si="49"/>
        <v>5.6599999999999998E-2</v>
      </c>
      <c r="GF281" s="179">
        <f t="shared" si="50"/>
        <v>0</v>
      </c>
      <c r="GG281" s="179">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8"/>
      <c r="GC282" s="178">
        <f t="shared" si="47"/>
        <v>0</v>
      </c>
      <c r="GD282" s="178">
        <f t="shared" si="48"/>
        <v>0</v>
      </c>
      <c r="GE282" s="178">
        <f t="shared" si="49"/>
        <v>0</v>
      </c>
      <c r="GF282" s="178">
        <f t="shared" si="50"/>
        <v>0</v>
      </c>
      <c r="GG282" s="178">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19"/>
      <c r="GC283" s="179">
        <f t="shared" si="47"/>
        <v>0</v>
      </c>
      <c r="GD283" s="179">
        <f t="shared" si="48"/>
        <v>0</v>
      </c>
      <c r="GE283" s="179">
        <f t="shared" si="49"/>
        <v>1.7899999999999999E-2</v>
      </c>
      <c r="GF283" s="179">
        <f t="shared" si="50"/>
        <v>0</v>
      </c>
      <c r="GG283" s="179">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8"/>
      <c r="GC284" s="178">
        <f t="shared" si="47"/>
        <v>0</v>
      </c>
      <c r="GD284" s="178">
        <f t="shared" si="48"/>
        <v>0</v>
      </c>
      <c r="GE284" s="178">
        <f t="shared" si="49"/>
        <v>0</v>
      </c>
      <c r="GF284" s="178">
        <f t="shared" si="50"/>
        <v>0</v>
      </c>
      <c r="GG284" s="178">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19"/>
      <c r="GC285" s="179">
        <f t="shared" si="47"/>
        <v>0</v>
      </c>
      <c r="GD285" s="179">
        <f t="shared" si="48"/>
        <v>0</v>
      </c>
      <c r="GE285" s="179">
        <f t="shared" si="49"/>
        <v>0</v>
      </c>
      <c r="GF285" s="179">
        <f t="shared" si="50"/>
        <v>0</v>
      </c>
      <c r="GG285" s="179">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8"/>
      <c r="GC286" s="178">
        <f t="shared" si="47"/>
        <v>0</v>
      </c>
      <c r="GD286" s="178">
        <f t="shared" si="48"/>
        <v>0</v>
      </c>
      <c r="GE286" s="178">
        <f t="shared" si="49"/>
        <v>0</v>
      </c>
      <c r="GF286" s="178">
        <f t="shared" si="50"/>
        <v>0</v>
      </c>
      <c r="GG286" s="178">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19"/>
      <c r="GC287" s="179">
        <f t="shared" si="47"/>
        <v>0</v>
      </c>
      <c r="GD287" s="179">
        <f t="shared" si="48"/>
        <v>0</v>
      </c>
      <c r="GE287" s="179">
        <f t="shared" si="49"/>
        <v>0.1104</v>
      </c>
      <c r="GF287" s="179">
        <f t="shared" si="50"/>
        <v>0</v>
      </c>
      <c r="GG287" s="179">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8"/>
      <c r="GC288" s="178">
        <f t="shared" si="47"/>
        <v>0</v>
      </c>
      <c r="GD288" s="178">
        <f t="shared" si="48"/>
        <v>0</v>
      </c>
      <c r="GE288" s="178">
        <f t="shared" si="49"/>
        <v>0</v>
      </c>
      <c r="GF288" s="178">
        <f t="shared" si="50"/>
        <v>0</v>
      </c>
      <c r="GG288" s="178">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19"/>
      <c r="GC289" s="179">
        <f t="shared" ref="GC289:GC296" si="52">ROUND(IF($C289="Primary",0,-$G289*(SUMPRODUCT($Q$4:$GA$4,$Q289:$GA289)+$J289)-$H289)*IF($N289=GC$4,1,0),4)</f>
        <v>0</v>
      </c>
      <c r="GD289" s="179">
        <f t="shared" ref="GD289:GD296" si="53">ROUND(IF($C289="Primary",0,$M289*(1-$O289)*($G289*(SUMPRODUCT($Q$4:$GA$4,$Q289:$GA289)+$J289)+$H289-SUMPRODUCT($Q$5:$GA$5,$Q289:$GA289)-$I289+$K289))*IF($N289=GD$4,1,0),4)</f>
        <v>0</v>
      </c>
      <c r="GE289" s="179">
        <f t="shared" ref="GE289:GE296" si="54">ROUND(IF($C289="Primary",0,(1-$M289)*(1-$O289)*($G289*(SUMPRODUCT($Q$4:$GA$4,$Q289:$GA289)+$J289)+$H289-SUMPRODUCT($Q$5:$GA$5,$Q289:$GA289)-$I289+$L289))*IF($N289=GD$4,1,0),4)</f>
        <v>0</v>
      </c>
      <c r="GF289" s="179">
        <f t="shared" ref="GF289:GF296" si="55">ROUND(IF($C289="Primary",0,$O289*($G289*(SUMPRODUCT($Q$4:$GA$4,$Q289:$GA289)+$J289)-SUMPRODUCT($Q$5:$GA$5,$Q289:$GA289)-$I289))*IF($N289=GD$4,1,0),4)</f>
        <v>0</v>
      </c>
      <c r="GG289" s="179">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8"/>
      <c r="GC290" s="178">
        <f t="shared" si="52"/>
        <v>0</v>
      </c>
      <c r="GD290" s="178">
        <f t="shared" si="53"/>
        <v>5.7700000000000001E-2</v>
      </c>
      <c r="GE290" s="178">
        <f t="shared" si="54"/>
        <v>0</v>
      </c>
      <c r="GF290" s="178">
        <f t="shared" si="55"/>
        <v>0</v>
      </c>
      <c r="GG290" s="178">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19"/>
      <c r="GC291" s="179">
        <f t="shared" si="52"/>
        <v>5.2999999999999999E-2</v>
      </c>
      <c r="GD291" s="179">
        <f t="shared" si="53"/>
        <v>1.32E-2</v>
      </c>
      <c r="GE291" s="179">
        <f t="shared" si="54"/>
        <v>0</v>
      </c>
      <c r="GF291" s="179">
        <f t="shared" si="55"/>
        <v>0</v>
      </c>
      <c r="GG291" s="179">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8"/>
      <c r="GC292" s="178">
        <f t="shared" si="52"/>
        <v>0</v>
      </c>
      <c r="GD292" s="178">
        <f t="shared" si="53"/>
        <v>0</v>
      </c>
      <c r="GE292" s="178">
        <f t="shared" si="54"/>
        <v>0</v>
      </c>
      <c r="GF292" s="178">
        <f t="shared" si="55"/>
        <v>0</v>
      </c>
      <c r="GG292" s="178">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19">
        <f>GC293</f>
        <v>0.12570000000000001</v>
      </c>
      <c r="GC293" s="179">
        <f t="shared" si="52"/>
        <v>0.12570000000000001</v>
      </c>
      <c r="GD293" s="179">
        <f t="shared" si="53"/>
        <v>-0.12570000000000001</v>
      </c>
      <c r="GE293" s="179">
        <f t="shared" si="54"/>
        <v>0</v>
      </c>
      <c r="GF293" s="179">
        <f t="shared" si="55"/>
        <v>0</v>
      </c>
      <c r="GG293" s="179">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8"/>
      <c r="GC294" s="178">
        <f t="shared" si="52"/>
        <v>0</v>
      </c>
      <c r="GD294" s="178">
        <f t="shared" si="53"/>
        <v>1.4200000000000001E-2</v>
      </c>
      <c r="GE294" s="178">
        <f t="shared" si="54"/>
        <v>0</v>
      </c>
      <c r="GF294" s="178">
        <f t="shared" si="55"/>
        <v>0</v>
      </c>
      <c r="GG294" s="178">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19"/>
      <c r="GC295" s="179">
        <f t="shared" si="52"/>
        <v>0</v>
      </c>
      <c r="GD295" s="179">
        <f t="shared" si="53"/>
        <v>0</v>
      </c>
      <c r="GE295" s="179">
        <f t="shared" si="54"/>
        <v>0</v>
      </c>
      <c r="GF295" s="179">
        <f t="shared" si="55"/>
        <v>0</v>
      </c>
      <c r="GG295" s="179">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8"/>
      <c r="GC296" s="178">
        <f t="shared" si="52"/>
        <v>0</v>
      </c>
      <c r="GD296" s="178">
        <f t="shared" si="53"/>
        <v>0</v>
      </c>
      <c r="GE296" s="178">
        <f t="shared" si="54"/>
        <v>0</v>
      </c>
      <c r="GF296" s="178">
        <f t="shared" si="55"/>
        <v>0</v>
      </c>
      <c r="GG296" s="178">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c r="GD297" s="178"/>
      <c r="GE297" s="178"/>
      <c r="GF297" s="178"/>
      <c r="GG297" s="178"/>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19"/>
      <c r="GC298" s="179">
        <f t="shared" ref="GC298:GC303" si="56">ROUND(IF($C298="Primary",0,-$G298*(SUMPRODUCT($Q$4:$GA$4,$Q298:$GA298)+$J298)-$H298)*IF($N298=GC$4,1,0),4)</f>
        <v>0</v>
      </c>
      <c r="GD298" s="179">
        <f t="shared" ref="GD298:GD303" si="57">ROUND(IF($C298="Primary",0,$M298*(1-$O298)*($G298*(SUMPRODUCT($Q$4:$GA$4,$Q298:$GA298)+$J298)+$H298-SUMPRODUCT($Q$5:$GA$5,$Q298:$GA298)-$I298+$K298))*IF($N298=GD$4,1,0),4)</f>
        <v>0</v>
      </c>
      <c r="GE298" s="179">
        <f t="shared" ref="GE298:GE303" si="58">ROUND(IF($C298="Primary",0,(1-$M298)*(1-$O298)*($G298*(SUMPRODUCT($Q$4:$GA$4,$Q298:$GA298)+$J298)+$H298-SUMPRODUCT($Q$5:$GA$5,$Q298:$GA298)-$I298+$L298))*IF($N298=GD$4,1,0),4)</f>
        <v>0.1075</v>
      </c>
      <c r="GF298" s="179">
        <f t="shared" ref="GF298:GF303" si="59">ROUND(IF($C298="Primary",0,$O298*($G298*(SUMPRODUCT($Q$4:$GA$4,$Q298:$GA298)+$J298)-SUMPRODUCT($Q$5:$GA$5,$Q298:$GA298)-$I298))*IF($N298=GD$4,1,0),4)</f>
        <v>0</v>
      </c>
      <c r="GG298" s="179">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8"/>
      <c r="GC299" s="178">
        <f t="shared" si="56"/>
        <v>0</v>
      </c>
      <c r="GD299" s="178">
        <f t="shared" si="57"/>
        <v>0</v>
      </c>
      <c r="GE299" s="178">
        <f t="shared" si="58"/>
        <v>5.9400000000000001E-2</v>
      </c>
      <c r="GF299" s="178">
        <f t="shared" si="59"/>
        <v>0</v>
      </c>
      <c r="GG299" s="178">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19"/>
      <c r="GC300" s="179">
        <f t="shared" si="56"/>
        <v>0</v>
      </c>
      <c r="GD300" s="179">
        <f t="shared" si="57"/>
        <v>0</v>
      </c>
      <c r="GE300" s="179">
        <f t="shared" si="58"/>
        <v>0</v>
      </c>
      <c r="GF300" s="179">
        <f t="shared" si="59"/>
        <v>0</v>
      </c>
      <c r="GG300" s="179">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8"/>
      <c r="GC301" s="178">
        <f t="shared" si="56"/>
        <v>0</v>
      </c>
      <c r="GD301" s="178">
        <f t="shared" si="57"/>
        <v>0</v>
      </c>
      <c r="GE301" s="178">
        <f t="shared" si="58"/>
        <v>0</v>
      </c>
      <c r="GF301" s="178">
        <f t="shared" si="59"/>
        <v>0</v>
      </c>
      <c r="GG301" s="178">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19"/>
      <c r="GC302" s="179">
        <f t="shared" si="56"/>
        <v>0</v>
      </c>
      <c r="GD302" s="179">
        <f t="shared" si="57"/>
        <v>0</v>
      </c>
      <c r="GE302" s="179">
        <f t="shared" si="58"/>
        <v>0</v>
      </c>
      <c r="GF302" s="179">
        <f t="shared" si="59"/>
        <v>0</v>
      </c>
      <c r="GG302" s="179">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8"/>
      <c r="GC303" s="178">
        <f t="shared" si="56"/>
        <v>0</v>
      </c>
      <c r="GD303" s="178">
        <f t="shared" si="57"/>
        <v>0</v>
      </c>
      <c r="GE303" s="178">
        <f t="shared" si="58"/>
        <v>0</v>
      </c>
      <c r="GF303" s="178">
        <f t="shared" si="59"/>
        <v>0</v>
      </c>
      <c r="GG303" s="178">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c r="GD304" s="178"/>
      <c r="GE304" s="178"/>
      <c r="GF304" s="178"/>
      <c r="GG304" s="178"/>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19"/>
      <c r="GC305" s="179">
        <f t="shared" ref="GC305:GC336" si="60">ROUND(IF($C305="Primary",0,-$G305*(SUMPRODUCT($Q$4:$GA$4,$Q305:$GA305)+$J305)-$H305)*IF($N305=GC$4,1,0),4)</f>
        <v>0</v>
      </c>
      <c r="GD305" s="179">
        <f t="shared" ref="GD305:GD336" si="61">ROUND(IF($C305="Primary",0,$M305*(1-$O305)*($G305*(SUMPRODUCT($Q$4:$GA$4,$Q305:$GA305)+$J305)+$H305-SUMPRODUCT($Q$5:$GA$5,$Q305:$GA305)-$I305+$K305))*IF($N305=GD$4,1,0),4)</f>
        <v>6.1499999999999999E-2</v>
      </c>
      <c r="GE305" s="179">
        <f t="shared" ref="GE305:GE336" si="62">ROUND(IF($C305="Primary",0,(1-$M305)*(1-$O305)*($G305*(SUMPRODUCT($Q$4:$GA$4,$Q305:$GA305)+$J305)+$H305-SUMPRODUCT($Q$5:$GA$5,$Q305:$GA305)-$I305+$L305))*IF($N305=GD$4,1,0),4)</f>
        <v>0</v>
      </c>
      <c r="GF305" s="179">
        <f t="shared" ref="GF305:GF336" si="63">ROUND(IF($C305="Primary",0,$O305*($G305*(SUMPRODUCT($Q$4:$GA$4,$Q305:$GA305)+$J305)-SUMPRODUCT($Q$5:$GA$5,$Q305:$GA305)-$I305))*IF($N305=GD$4,1,0),4)</f>
        <v>0</v>
      </c>
      <c r="GG305" s="179">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8"/>
      <c r="GC306" s="178">
        <f t="shared" si="60"/>
        <v>5.2900000000000003E-2</v>
      </c>
      <c r="GD306" s="178">
        <f t="shared" si="61"/>
        <v>1.32E-2</v>
      </c>
      <c r="GE306" s="178">
        <f t="shared" si="62"/>
        <v>0</v>
      </c>
      <c r="GF306" s="178">
        <f t="shared" si="63"/>
        <v>0</v>
      </c>
      <c r="GG306" s="178">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19"/>
      <c r="GC307" s="179">
        <f t="shared" si="60"/>
        <v>0</v>
      </c>
      <c r="GD307" s="179">
        <f t="shared" si="61"/>
        <v>3.0700000000000002E-2</v>
      </c>
      <c r="GE307" s="179">
        <f t="shared" si="62"/>
        <v>0</v>
      </c>
      <c r="GF307" s="179">
        <f t="shared" si="63"/>
        <v>0</v>
      </c>
      <c r="GG307" s="179">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8"/>
      <c r="GC308" s="178">
        <f t="shared" si="60"/>
        <v>2.64E-2</v>
      </c>
      <c r="GD308" s="178">
        <f t="shared" si="61"/>
        <v>6.6E-3</v>
      </c>
      <c r="GE308" s="178">
        <f t="shared" si="62"/>
        <v>0</v>
      </c>
      <c r="GF308" s="178">
        <f t="shared" si="63"/>
        <v>0</v>
      </c>
      <c r="GG308" s="178">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19"/>
      <c r="GC309" s="179">
        <f t="shared" si="60"/>
        <v>0</v>
      </c>
      <c r="GD309" s="179">
        <f t="shared" si="61"/>
        <v>0.12139999999999999</v>
      </c>
      <c r="GE309" s="179">
        <f t="shared" si="62"/>
        <v>0</v>
      </c>
      <c r="GF309" s="179">
        <f t="shared" si="63"/>
        <v>0</v>
      </c>
      <c r="GG309" s="179">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8"/>
      <c r="GC310" s="178">
        <f t="shared" si="60"/>
        <v>0.10440000000000001</v>
      </c>
      <c r="GD310" s="178">
        <f t="shared" si="61"/>
        <v>2.6100000000000002E-2</v>
      </c>
      <c r="GE310" s="178">
        <f t="shared" si="62"/>
        <v>0</v>
      </c>
      <c r="GF310" s="178">
        <f t="shared" si="63"/>
        <v>0</v>
      </c>
      <c r="GG310" s="178">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19"/>
      <c r="GC311" s="179">
        <f t="shared" si="60"/>
        <v>0</v>
      </c>
      <c r="GD311" s="179">
        <f t="shared" si="61"/>
        <v>0</v>
      </c>
      <c r="GE311" s="179">
        <f t="shared" si="62"/>
        <v>0</v>
      </c>
      <c r="GF311" s="179">
        <f t="shared" si="63"/>
        <v>0</v>
      </c>
      <c r="GG311" s="179">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8">
        <f>GC312</f>
        <v>0.1178</v>
      </c>
      <c r="GC312" s="178">
        <f t="shared" si="60"/>
        <v>0.1178</v>
      </c>
      <c r="GD312" s="178">
        <f t="shared" si="61"/>
        <v>-0.1178</v>
      </c>
      <c r="GE312" s="178">
        <f t="shared" si="62"/>
        <v>0</v>
      </c>
      <c r="GF312" s="178">
        <f t="shared" si="63"/>
        <v>0</v>
      </c>
      <c r="GG312" s="178">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19"/>
      <c r="GC313" s="179">
        <f t="shared" si="60"/>
        <v>0</v>
      </c>
      <c r="GD313" s="179">
        <f t="shared" si="61"/>
        <v>0.1075</v>
      </c>
      <c r="GE313" s="179">
        <f t="shared" si="62"/>
        <v>0</v>
      </c>
      <c r="GF313" s="179">
        <f t="shared" si="63"/>
        <v>0</v>
      </c>
      <c r="GG313" s="179">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8"/>
      <c r="GC314" s="178">
        <f t="shared" si="60"/>
        <v>9.06E-2</v>
      </c>
      <c r="GD314" s="178">
        <f t="shared" si="61"/>
        <v>2.2599999999999999E-2</v>
      </c>
      <c r="GE314" s="178">
        <f t="shared" si="62"/>
        <v>0</v>
      </c>
      <c r="GF314" s="178">
        <f t="shared" si="63"/>
        <v>0</v>
      </c>
      <c r="GG314" s="178">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19"/>
      <c r="GC315" s="179">
        <f t="shared" si="60"/>
        <v>0</v>
      </c>
      <c r="GD315" s="179">
        <f t="shared" si="61"/>
        <v>0.1132</v>
      </c>
      <c r="GE315" s="179">
        <f t="shared" si="62"/>
        <v>0</v>
      </c>
      <c r="GF315" s="179">
        <f t="shared" si="63"/>
        <v>0</v>
      </c>
      <c r="GG315" s="179">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8"/>
      <c r="GC316" s="178">
        <f t="shared" si="60"/>
        <v>9.74E-2</v>
      </c>
      <c r="GD316" s="178">
        <f t="shared" si="61"/>
        <v>2.4299999999999999E-2</v>
      </c>
      <c r="GE316" s="178">
        <f t="shared" si="62"/>
        <v>0</v>
      </c>
      <c r="GF316" s="178">
        <f t="shared" si="63"/>
        <v>0</v>
      </c>
      <c r="GG316" s="178">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19"/>
      <c r="GC317" s="179">
        <f t="shared" si="60"/>
        <v>0</v>
      </c>
      <c r="GD317" s="179">
        <f t="shared" si="61"/>
        <v>0.64570000000000005</v>
      </c>
      <c r="GE317" s="179">
        <f t="shared" si="62"/>
        <v>0</v>
      </c>
      <c r="GF317" s="179">
        <f t="shared" si="63"/>
        <v>0</v>
      </c>
      <c r="GG317" s="179">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8"/>
      <c r="GC318" s="178">
        <f t="shared" si="60"/>
        <v>0</v>
      </c>
      <c r="GD318" s="178">
        <f t="shared" si="61"/>
        <v>0</v>
      </c>
      <c r="GE318" s="178">
        <f t="shared" si="62"/>
        <v>0</v>
      </c>
      <c r="GF318" s="178">
        <f t="shared" si="63"/>
        <v>0</v>
      </c>
      <c r="GG318" s="178">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19">
        <f>GC319</f>
        <v>0.32440000000000002</v>
      </c>
      <c r="GC319" s="179">
        <f t="shared" si="60"/>
        <v>0.32440000000000002</v>
      </c>
      <c r="GD319" s="179">
        <f t="shared" si="61"/>
        <v>-0.32440000000000002</v>
      </c>
      <c r="GE319" s="179">
        <f t="shared" si="62"/>
        <v>0</v>
      </c>
      <c r="GF319" s="179">
        <f t="shared" si="63"/>
        <v>0</v>
      </c>
      <c r="GG319" s="179">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8"/>
      <c r="GC320" s="178">
        <f t="shared" si="60"/>
        <v>0</v>
      </c>
      <c r="GD320" s="178">
        <f t="shared" si="61"/>
        <v>0</v>
      </c>
      <c r="GE320" s="178">
        <f t="shared" si="62"/>
        <v>0</v>
      </c>
      <c r="GF320" s="178">
        <f t="shared" si="63"/>
        <v>0</v>
      </c>
      <c r="GG320" s="178">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19"/>
      <c r="GC321" s="179">
        <f t="shared" si="60"/>
        <v>0</v>
      </c>
      <c r="GD321" s="179">
        <f t="shared" si="61"/>
        <v>0</v>
      </c>
      <c r="GE321" s="179">
        <f t="shared" si="62"/>
        <v>0</v>
      </c>
      <c r="GF321" s="179">
        <f t="shared" si="63"/>
        <v>0</v>
      </c>
      <c r="GG321" s="179">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8"/>
      <c r="GC324" s="178">
        <f t="shared" si="60"/>
        <v>0</v>
      </c>
      <c r="GD324" s="178">
        <f t="shared" si="61"/>
        <v>0</v>
      </c>
      <c r="GE324" s="178">
        <f t="shared" si="62"/>
        <v>0</v>
      </c>
      <c r="GF324" s="178">
        <f t="shared" si="63"/>
        <v>0</v>
      </c>
      <c r="GG324" s="178">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19"/>
      <c r="GC325" s="179">
        <f t="shared" si="60"/>
        <v>0</v>
      </c>
      <c r="GD325" s="179">
        <f t="shared" si="61"/>
        <v>4.0399999999999998E-2</v>
      </c>
      <c r="GE325" s="179">
        <f t="shared" si="62"/>
        <v>0</v>
      </c>
      <c r="GF325" s="179">
        <f t="shared" si="63"/>
        <v>0</v>
      </c>
      <c r="GG325" s="179">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8"/>
      <c r="GC326" s="178">
        <f t="shared" si="60"/>
        <v>0</v>
      </c>
      <c r="GD326" s="178">
        <f t="shared" si="61"/>
        <v>0</v>
      </c>
      <c r="GE326" s="178">
        <f t="shared" si="62"/>
        <v>0</v>
      </c>
      <c r="GF326" s="178">
        <f t="shared" si="63"/>
        <v>0</v>
      </c>
      <c r="GG326" s="178">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19"/>
      <c r="GC327" s="179">
        <f t="shared" si="60"/>
        <v>0</v>
      </c>
      <c r="GD327" s="179">
        <f t="shared" si="61"/>
        <v>0</v>
      </c>
      <c r="GE327" s="179">
        <f t="shared" si="62"/>
        <v>0</v>
      </c>
      <c r="GF327" s="179">
        <f t="shared" si="63"/>
        <v>0</v>
      </c>
      <c r="GG327" s="179">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8"/>
      <c r="GC328" s="178">
        <f t="shared" si="60"/>
        <v>0</v>
      </c>
      <c r="GD328" s="178">
        <f t="shared" si="61"/>
        <v>0</v>
      </c>
      <c r="GE328" s="178">
        <f t="shared" si="62"/>
        <v>0</v>
      </c>
      <c r="GF328" s="178">
        <f t="shared" si="63"/>
        <v>0</v>
      </c>
      <c r="GG328" s="178">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19"/>
      <c r="GC329" s="179">
        <f t="shared" si="60"/>
        <v>0</v>
      </c>
      <c r="GD329" s="179">
        <f t="shared" si="61"/>
        <v>6.7900000000000002E-2</v>
      </c>
      <c r="GE329" s="179">
        <f t="shared" si="62"/>
        <v>0</v>
      </c>
      <c r="GF329" s="179">
        <f t="shared" si="63"/>
        <v>0</v>
      </c>
      <c r="GG329" s="179">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8"/>
      <c r="GC330" s="178">
        <f t="shared" si="60"/>
        <v>5.8900000000000001E-2</v>
      </c>
      <c r="GD330" s="178">
        <f t="shared" si="61"/>
        <v>1.47E-2</v>
      </c>
      <c r="GE330" s="178">
        <f t="shared" si="62"/>
        <v>0</v>
      </c>
      <c r="GF330" s="178">
        <f t="shared" si="63"/>
        <v>0</v>
      </c>
      <c r="GG330" s="178">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19"/>
      <c r="GC331" s="179">
        <f t="shared" si="60"/>
        <v>0</v>
      </c>
      <c r="GD331" s="179">
        <f t="shared" si="61"/>
        <v>0</v>
      </c>
      <c r="GE331" s="179">
        <f t="shared" si="62"/>
        <v>0</v>
      </c>
      <c r="GF331" s="179">
        <f t="shared" si="63"/>
        <v>0</v>
      </c>
      <c r="GG331" s="179">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8">
        <f>GC332</f>
        <v>0.12280000000000001</v>
      </c>
      <c r="GC332" s="178">
        <f t="shared" si="60"/>
        <v>0.12280000000000001</v>
      </c>
      <c r="GD332" s="178">
        <f t="shared" si="61"/>
        <v>-0.12280000000000001</v>
      </c>
      <c r="GE332" s="178">
        <f t="shared" si="62"/>
        <v>0</v>
      </c>
      <c r="GF332" s="178">
        <f t="shared" si="63"/>
        <v>0</v>
      </c>
      <c r="GG332" s="178">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19"/>
      <c r="GC333" s="179">
        <f t="shared" si="60"/>
        <v>0</v>
      </c>
      <c r="GD333" s="179">
        <f t="shared" si="61"/>
        <v>0</v>
      </c>
      <c r="GE333" s="179">
        <f t="shared" si="62"/>
        <v>0</v>
      </c>
      <c r="GF333" s="179">
        <f t="shared" si="63"/>
        <v>0</v>
      </c>
      <c r="GG333" s="179">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8"/>
      <c r="GC334" s="178">
        <f t="shared" si="60"/>
        <v>0</v>
      </c>
      <c r="GD334" s="178">
        <f t="shared" si="61"/>
        <v>0</v>
      </c>
      <c r="GE334" s="178">
        <f t="shared" si="62"/>
        <v>0</v>
      </c>
      <c r="GF334" s="178">
        <f t="shared" si="63"/>
        <v>0</v>
      </c>
      <c r="GG334" s="178">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19"/>
      <c r="GC335" s="179">
        <f t="shared" si="60"/>
        <v>0</v>
      </c>
      <c r="GD335" s="179">
        <f t="shared" si="61"/>
        <v>0</v>
      </c>
      <c r="GE335" s="179">
        <f t="shared" si="62"/>
        <v>0</v>
      </c>
      <c r="GF335" s="179">
        <f t="shared" si="63"/>
        <v>0</v>
      </c>
      <c r="GG335" s="179">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8"/>
      <c r="GC336" s="178">
        <f t="shared" si="60"/>
        <v>0</v>
      </c>
      <c r="GD336" s="178">
        <f t="shared" si="61"/>
        <v>0</v>
      </c>
      <c r="GE336" s="178">
        <f t="shared" si="62"/>
        <v>0</v>
      </c>
      <c r="GF336" s="178">
        <f t="shared" si="63"/>
        <v>0</v>
      </c>
      <c r="GG336" s="178">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3">
        <f>0.67*DV337/43</f>
        <v>7.7906976744186052E-3</v>
      </c>
      <c r="AH337" s="203"/>
      <c r="AI337" s="203"/>
      <c r="AJ337" s="203"/>
      <c r="AK337" s="203"/>
      <c r="AL337" s="203"/>
      <c r="AM337" s="203"/>
      <c r="AN337" s="203"/>
      <c r="AO337" s="203"/>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19"/>
      <c r="GC337" s="179">
        <f t="shared" ref="GC337:GC368" si="64">ROUND(IF($C337="Primary",0,-$G337*(SUMPRODUCT($Q$4:$GA$4,$Q337:$GA337)+$J337)-$H337)*IF($N337=GC$4,1,0),4)</f>
        <v>0</v>
      </c>
      <c r="GD337" s="179">
        <f t="shared" ref="GD337:GD368" si="65">ROUND(IF($C337="Primary",0,$M337*(1-$O337)*($G337*(SUMPRODUCT($Q$4:$GA$4,$Q337:$GA337)+$J337)+$H337-SUMPRODUCT($Q$5:$GA$5,$Q337:$GA337)-$I337+$K337))*IF($N337=GD$4,1,0),4)</f>
        <v>1.5299999999999999E-2</v>
      </c>
      <c r="GE337" s="179">
        <f t="shared" ref="GE337:GE368" si="66">ROUND(IF($C337="Primary",0,(1-$M337)*(1-$O337)*($G337*(SUMPRODUCT($Q$4:$GA$4,$Q337:$GA337)+$J337)+$H337-SUMPRODUCT($Q$5:$GA$5,$Q337:$GA337)-$I337+$L337))*IF($N337=GD$4,1,0),4)</f>
        <v>0</v>
      </c>
      <c r="GF337" s="179">
        <f t="shared" ref="GF337:GF368" si="67">ROUND(IF($C337="Primary",0,$O337*($G337*(SUMPRODUCT($Q$4:$GA$4,$Q337:$GA337)+$J337)-SUMPRODUCT($Q$5:$GA$5,$Q337:$GA337)-$I337))*IF($N337=GD$4,1,0),4)</f>
        <v>0</v>
      </c>
      <c r="GG337" s="179">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2">
        <f t="shared" ref="AG338:AG342" si="68">0.67*DV338/43</f>
        <v>7.7906976744186052E-3</v>
      </c>
      <c r="AH338" s="212"/>
      <c r="AI338" s="212"/>
      <c r="AJ338" s="212"/>
      <c r="AK338" s="212"/>
      <c r="AL338" s="212"/>
      <c r="AM338" s="212"/>
      <c r="AN338" s="212"/>
      <c r="AO338" s="212"/>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8"/>
      <c r="GC338" s="178">
        <f t="shared" si="64"/>
        <v>1.23E-2</v>
      </c>
      <c r="GD338" s="178">
        <f t="shared" si="65"/>
        <v>3.0999999999999999E-3</v>
      </c>
      <c r="GE338" s="178">
        <f t="shared" si="66"/>
        <v>0</v>
      </c>
      <c r="GF338" s="178">
        <f t="shared" si="67"/>
        <v>0</v>
      </c>
      <c r="GG338" s="178">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3">
        <f t="shared" si="68"/>
        <v>4.674418604651163E-3</v>
      </c>
      <c r="AH339" s="203"/>
      <c r="AI339" s="203"/>
      <c r="AJ339" s="203"/>
      <c r="AK339" s="203"/>
      <c r="AL339" s="203"/>
      <c r="AM339" s="203"/>
      <c r="AN339" s="203"/>
      <c r="AO339" s="203"/>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19"/>
      <c r="GC339" s="179">
        <f t="shared" si="64"/>
        <v>0</v>
      </c>
      <c r="GD339" s="179">
        <f t="shared" si="65"/>
        <v>0.01</v>
      </c>
      <c r="GE339" s="179">
        <f t="shared" si="66"/>
        <v>0</v>
      </c>
      <c r="GF339" s="179">
        <f t="shared" si="67"/>
        <v>0</v>
      </c>
      <c r="GG339" s="179">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2">
        <f t="shared" si="68"/>
        <v>4.674418604651163E-3</v>
      </c>
      <c r="AH340" s="212"/>
      <c r="AI340" s="212"/>
      <c r="AJ340" s="212"/>
      <c r="AK340" s="212"/>
      <c r="AL340" s="212"/>
      <c r="AM340" s="212"/>
      <c r="AN340" s="212"/>
      <c r="AO340" s="212"/>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8"/>
      <c r="GC340" s="178">
        <f t="shared" si="64"/>
        <v>8.0000000000000002E-3</v>
      </c>
      <c r="GD340" s="178">
        <f t="shared" si="65"/>
        <v>2E-3</v>
      </c>
      <c r="GE340" s="178">
        <f t="shared" si="66"/>
        <v>0</v>
      </c>
      <c r="GF340" s="178">
        <f t="shared" si="67"/>
        <v>0</v>
      </c>
      <c r="GG340" s="178">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3">
        <f t="shared" si="68"/>
        <v>9.3488372093023259E-3</v>
      </c>
      <c r="AH341" s="203"/>
      <c r="AI341" s="203"/>
      <c r="AJ341" s="203"/>
      <c r="AK341" s="203"/>
      <c r="AL341" s="203"/>
      <c r="AM341" s="203"/>
      <c r="AN341" s="203"/>
      <c r="AO341" s="203"/>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19"/>
      <c r="GC341" s="179">
        <f t="shared" si="64"/>
        <v>0</v>
      </c>
      <c r="GD341" s="179">
        <f t="shared" si="65"/>
        <v>2.7699999999999999E-2</v>
      </c>
      <c r="GE341" s="179">
        <f t="shared" si="66"/>
        <v>0</v>
      </c>
      <c r="GF341" s="179">
        <f t="shared" si="67"/>
        <v>0</v>
      </c>
      <c r="GG341" s="179">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2">
        <f t="shared" si="68"/>
        <v>9.3488372093023259E-3</v>
      </c>
      <c r="AH342" s="212"/>
      <c r="AI342" s="212"/>
      <c r="AJ342" s="212"/>
      <c r="AK342" s="212"/>
      <c r="AL342" s="212"/>
      <c r="AM342" s="212"/>
      <c r="AN342" s="212"/>
      <c r="AO342" s="212"/>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8"/>
      <c r="GC342" s="178">
        <f t="shared" si="64"/>
        <v>2.2100000000000002E-2</v>
      </c>
      <c r="GD342" s="178">
        <f t="shared" si="65"/>
        <v>5.4999999999999997E-3</v>
      </c>
      <c r="GE342" s="178">
        <f t="shared" si="66"/>
        <v>0</v>
      </c>
      <c r="GF342" s="178">
        <f t="shared" si="67"/>
        <v>0</v>
      </c>
      <c r="GG342" s="178">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0</v>
      </c>
      <c r="GD343" s="178">
        <f t="shared" si="65"/>
        <v>0</v>
      </c>
      <c r="GE343" s="178">
        <f t="shared" si="66"/>
        <v>0</v>
      </c>
      <c r="GF343" s="178">
        <f t="shared" si="67"/>
        <v>0</v>
      </c>
      <c r="GG343" s="178">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19"/>
      <c r="GC344" s="179">
        <f t="shared" si="64"/>
        <v>0</v>
      </c>
      <c r="GD344" s="179">
        <f t="shared" si="65"/>
        <v>0</v>
      </c>
      <c r="GE344" s="179">
        <f t="shared" si="66"/>
        <v>0</v>
      </c>
      <c r="GF344" s="179">
        <f t="shared" si="67"/>
        <v>0</v>
      </c>
      <c r="GG344" s="179">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8"/>
      <c r="GC345" s="178">
        <f t="shared" si="64"/>
        <v>0</v>
      </c>
      <c r="GD345" s="178">
        <f t="shared" si="65"/>
        <v>0</v>
      </c>
      <c r="GE345" s="178">
        <f t="shared" si="66"/>
        <v>0</v>
      </c>
      <c r="GF345" s="178">
        <f t="shared" si="67"/>
        <v>0</v>
      </c>
      <c r="GG345" s="178">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19"/>
      <c r="GC346" s="179">
        <f t="shared" si="64"/>
        <v>0</v>
      </c>
      <c r="GD346" s="179">
        <f t="shared" si="65"/>
        <v>0</v>
      </c>
      <c r="GE346" s="179">
        <f t="shared" si="66"/>
        <v>0</v>
      </c>
      <c r="GF346" s="179">
        <f t="shared" si="67"/>
        <v>0</v>
      </c>
      <c r="GG346" s="179">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8"/>
      <c r="GC347" s="178">
        <f t="shared" si="64"/>
        <v>0</v>
      </c>
      <c r="GD347" s="178">
        <f t="shared" si="65"/>
        <v>0</v>
      </c>
      <c r="GE347" s="178">
        <f t="shared" si="66"/>
        <v>0</v>
      </c>
      <c r="GF347" s="178">
        <f t="shared" si="67"/>
        <v>0</v>
      </c>
      <c r="GG347" s="178">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19"/>
      <c r="GC348" s="179">
        <f t="shared" si="64"/>
        <v>0</v>
      </c>
      <c r="GD348" s="179">
        <f t="shared" si="65"/>
        <v>0</v>
      </c>
      <c r="GE348" s="179">
        <f t="shared" si="66"/>
        <v>0</v>
      </c>
      <c r="GF348" s="179">
        <f t="shared" si="67"/>
        <v>0</v>
      </c>
      <c r="GG348" s="179">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8"/>
      <c r="GC349" s="178">
        <f t="shared" si="64"/>
        <v>0</v>
      </c>
      <c r="GD349" s="178">
        <f t="shared" si="65"/>
        <v>0</v>
      </c>
      <c r="GE349" s="178">
        <f t="shared" si="66"/>
        <v>0</v>
      </c>
      <c r="GF349" s="178">
        <f t="shared" si="67"/>
        <v>0</v>
      </c>
      <c r="GG349" s="178">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19"/>
      <c r="GC350" s="179">
        <f t="shared" si="64"/>
        <v>0</v>
      </c>
      <c r="GD350" s="179">
        <f t="shared" si="65"/>
        <v>0</v>
      </c>
      <c r="GE350" s="179">
        <f t="shared" si="66"/>
        <v>0</v>
      </c>
      <c r="GF350" s="179">
        <f t="shared" si="67"/>
        <v>0</v>
      </c>
      <c r="GG350" s="179">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8"/>
      <c r="GC351" s="178">
        <f t="shared" si="64"/>
        <v>0</v>
      </c>
      <c r="GD351" s="178">
        <f t="shared" si="65"/>
        <v>0</v>
      </c>
      <c r="GE351" s="178">
        <f t="shared" si="66"/>
        <v>0</v>
      </c>
      <c r="GF351" s="178">
        <f t="shared" si="67"/>
        <v>0</v>
      </c>
      <c r="GG351" s="178">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19"/>
      <c r="GC352" s="179">
        <f t="shared" si="64"/>
        <v>0</v>
      </c>
      <c r="GD352" s="179">
        <f t="shared" si="65"/>
        <v>0</v>
      </c>
      <c r="GE352" s="179">
        <f t="shared" si="66"/>
        <v>0</v>
      </c>
      <c r="GF352" s="179">
        <f t="shared" si="67"/>
        <v>0</v>
      </c>
      <c r="GG352" s="179">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8"/>
      <c r="GC353" s="178">
        <f t="shared" si="64"/>
        <v>0</v>
      </c>
      <c r="GD353" s="178">
        <f t="shared" si="65"/>
        <v>0</v>
      </c>
      <c r="GE353" s="178">
        <f t="shared" si="66"/>
        <v>0</v>
      </c>
      <c r="GF353" s="178">
        <f t="shared" si="67"/>
        <v>0</v>
      </c>
      <c r="GG353" s="178">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19"/>
      <c r="GC354" s="179">
        <f t="shared" si="64"/>
        <v>0</v>
      </c>
      <c r="GD354" s="179">
        <f t="shared" si="65"/>
        <v>0</v>
      </c>
      <c r="GE354" s="179">
        <f t="shared" si="66"/>
        <v>0</v>
      </c>
      <c r="GF354" s="179">
        <f t="shared" si="67"/>
        <v>0</v>
      </c>
      <c r="GG354" s="179">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8"/>
      <c r="GC355" s="178">
        <f t="shared" si="64"/>
        <v>0</v>
      </c>
      <c r="GD355" s="178">
        <f t="shared" si="65"/>
        <v>0</v>
      </c>
      <c r="GE355" s="178">
        <f t="shared" si="66"/>
        <v>0</v>
      </c>
      <c r="GF355" s="178">
        <f t="shared" si="67"/>
        <v>0</v>
      </c>
      <c r="GG355" s="178">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19"/>
      <c r="GC356" s="179">
        <f t="shared" si="64"/>
        <v>0</v>
      </c>
      <c r="GD356" s="179">
        <f t="shared" si="65"/>
        <v>0</v>
      </c>
      <c r="GE356" s="179">
        <f t="shared" si="66"/>
        <v>0</v>
      </c>
      <c r="GF356" s="179">
        <f t="shared" si="67"/>
        <v>0</v>
      </c>
      <c r="GG356" s="179">
        <f t="shared" si="69"/>
        <v>0</v>
      </c>
    </row>
    <row r="357" spans="1:342" s="261" customFormat="1" x14ac:dyDescent="0.35">
      <c r="A357" s="256" t="s">
        <v>1520</v>
      </c>
      <c r="B357" s="290" t="str">
        <f>IF(Technologies!B357&lt;&gt;0,Technologies!B357,"")</f>
        <v>Industrie</v>
      </c>
      <c r="C357" s="290" t="str">
        <f>VLOOKUP($A357,Technologies!$A$7:$H$576,3,FALSE)</f>
        <v>Conversion</v>
      </c>
      <c r="D357" s="290" t="str">
        <f>VLOOKUP($A357,Technologies!$A$7:$H$576,4,FALSE)</f>
        <v>Refineries</v>
      </c>
      <c r="E357" s="290" t="str">
        <f>VLOOKUP($A357,Technologies!$A$7:$H$576,6,FALSE)</f>
        <v>Bio Kerosene</v>
      </c>
      <c r="F357" s="268" t="str">
        <f>VLOOKUP($A357,Technologies!$A$7:$H$576,7,FALSE)</f>
        <v>Biokerosene from HEFA</v>
      </c>
      <c r="G357" s="262"/>
      <c r="H357" s="262"/>
      <c r="I357" s="264" cm="1">
        <f t="array" ref="I357">-SUMPRODUCT((Feedstocks!$C$4:$C$141=A357)*Feedstocks!$E$4:$E$141,Feedstocks!$F$4:$F$141,Feedstocks!$H$4:$H$141,Feedstocks!$I$4:$I$141)</f>
        <v>0</v>
      </c>
      <c r="J357" s="264" cm="1">
        <f t="array" ref="J357">-SUMPRODUCT((Feedstocks!$C$4:$C$141=A357)*Feedstocks!$E$4:$E$141,Feedstocks!$H$4:$H$141,Feedstocks!$I$4:$I$141)</f>
        <v>0</v>
      </c>
      <c r="K357" s="264"/>
      <c r="L357" s="264"/>
      <c r="M357" s="262">
        <v>1</v>
      </c>
      <c r="N357" s="262" t="str">
        <f>VLOOKUP(E357,Activities!$A$9:$M$227,13,FALSE)</f>
        <v>NL</v>
      </c>
      <c r="O357" s="262"/>
      <c r="P357" s="265"/>
      <c r="Q357" s="266"/>
      <c r="R357" s="266"/>
      <c r="S357" s="266"/>
      <c r="T357" s="266"/>
      <c r="U357" s="266"/>
      <c r="V357" s="266"/>
      <c r="W357" s="266"/>
      <c r="X357" s="266"/>
      <c r="Y357" s="266"/>
      <c r="Z357" s="266"/>
      <c r="AA357" s="266"/>
      <c r="AB357" s="266"/>
      <c r="AC357" s="266"/>
      <c r="AD357" s="266"/>
      <c r="AE357" s="266"/>
      <c r="AF357" s="266"/>
      <c r="AG357" s="266"/>
      <c r="AH357" s="266"/>
      <c r="AI357" s="266"/>
      <c r="AJ357" s="266"/>
      <c r="AK357" s="266"/>
      <c r="AL357" s="266"/>
      <c r="AM357" s="266"/>
      <c r="AN357" s="266"/>
      <c r="AO357" s="266"/>
      <c r="AP357" s="266"/>
      <c r="AQ357" s="266"/>
      <c r="AR357" s="266"/>
      <c r="AS357" s="266"/>
      <c r="AT357" s="266"/>
      <c r="AU357" s="266"/>
      <c r="AV357" s="266"/>
      <c r="AW357" s="266"/>
      <c r="AX357" s="266"/>
      <c r="AY357" s="266"/>
      <c r="AZ357" s="266"/>
      <c r="BA357" s="266"/>
      <c r="BB357" s="266"/>
      <c r="BC357" s="266"/>
      <c r="BD357" s="266"/>
      <c r="BE357" s="266"/>
      <c r="BF357" s="266"/>
      <c r="BG357" s="266"/>
      <c r="BH357" s="266"/>
      <c r="BI357" s="266"/>
      <c r="BJ357" s="266"/>
      <c r="BK357" s="266"/>
      <c r="BL357" s="266"/>
      <c r="BM357" s="266"/>
      <c r="BN357" s="266"/>
      <c r="BO357" s="266"/>
      <c r="BP357" s="266"/>
      <c r="BQ357" s="266"/>
      <c r="BR357" s="266"/>
      <c r="BS357" s="266"/>
      <c r="BT357" s="266"/>
      <c r="BU357" s="266"/>
      <c r="BV357" s="266"/>
      <c r="BW357" s="266"/>
      <c r="BX357" s="266"/>
      <c r="BY357" s="266"/>
      <c r="BZ357" s="266"/>
      <c r="CA357" s="266"/>
      <c r="CB357" s="266"/>
      <c r="CC357" s="266"/>
      <c r="CD357" s="266"/>
      <c r="CE357" s="266"/>
      <c r="CF357" s="266"/>
      <c r="CG357" s="266"/>
      <c r="CH357" s="266"/>
      <c r="CI357" s="266"/>
      <c r="CJ357" s="266"/>
      <c r="CK357" s="266"/>
      <c r="CL357" s="266"/>
      <c r="CM357" s="266"/>
      <c r="CN357" s="266"/>
      <c r="CO357" s="266"/>
      <c r="CP357" s="266"/>
      <c r="CQ357" s="266"/>
      <c r="CR357" s="266"/>
      <c r="CS357" s="266"/>
      <c r="CT357" s="266"/>
      <c r="CU357" s="266"/>
      <c r="CV357" s="266"/>
      <c r="CW357" s="266"/>
      <c r="CX357" s="266"/>
      <c r="CY357" s="266"/>
      <c r="CZ357" s="266"/>
      <c r="DA357" s="266"/>
      <c r="DB357" s="266"/>
      <c r="DC357" s="266"/>
      <c r="DD357" s="266"/>
      <c r="DE357" s="266"/>
      <c r="DF357" s="266"/>
      <c r="DG357" s="266"/>
      <c r="DH357" s="266">
        <v>-7.0000000000000007E-2</v>
      </c>
      <c r="DI357" s="266"/>
      <c r="DJ357" s="266"/>
      <c r="DK357" s="266"/>
      <c r="DL357" s="266"/>
      <c r="DM357" s="266"/>
      <c r="DN357" s="266"/>
      <c r="DO357" s="266">
        <v>-0.34</v>
      </c>
      <c r="DP357" s="266"/>
      <c r="DQ357" s="266"/>
      <c r="DR357" s="266"/>
      <c r="DS357" s="266"/>
      <c r="DT357" s="266"/>
      <c r="DU357" s="266"/>
      <c r="DV357" s="266"/>
      <c r="DW357" s="266"/>
      <c r="DX357" s="266"/>
      <c r="DY357" s="266"/>
      <c r="DZ357" s="266"/>
      <c r="EA357" s="266"/>
      <c r="EB357" s="266">
        <v>1</v>
      </c>
      <c r="EC357" s="266"/>
      <c r="ED357" s="266"/>
      <c r="EE357" s="266"/>
      <c r="EF357" s="266"/>
      <c r="EG357" s="266"/>
      <c r="EH357" s="266"/>
      <c r="EI357" s="266"/>
      <c r="EJ357" s="266"/>
      <c r="EK357" s="266"/>
      <c r="EL357" s="266"/>
      <c r="EM357" s="266">
        <v>-0.05</v>
      </c>
      <c r="EN357" s="266"/>
      <c r="EO357" s="266"/>
      <c r="EP357" s="266"/>
      <c r="EQ357" s="266"/>
      <c r="ER357" s="266"/>
      <c r="ES357" s="266"/>
      <c r="ET357" s="266"/>
      <c r="EU357" s="266"/>
      <c r="EV357" s="266"/>
      <c r="EW357" s="266"/>
      <c r="EX357" s="266"/>
      <c r="EY357" s="266"/>
      <c r="EZ357" s="266"/>
      <c r="FA357" s="266"/>
      <c r="FB357" s="266"/>
      <c r="FC357" s="266"/>
      <c r="FD357" s="266"/>
      <c r="FE357" s="266"/>
      <c r="FF357" s="266"/>
      <c r="FG357" s="266"/>
      <c r="FH357" s="266">
        <v>-1.1100000000000001</v>
      </c>
      <c r="FI357" s="266"/>
      <c r="FJ357" s="266"/>
      <c r="FK357" s="266"/>
      <c r="FL357" s="266"/>
      <c r="FM357" s="266"/>
      <c r="FN357" s="266"/>
      <c r="FO357" s="266"/>
      <c r="FP357" s="266"/>
      <c r="FQ357" s="266"/>
      <c r="FR357" s="266"/>
      <c r="FS357" s="266"/>
      <c r="FT357" s="266"/>
      <c r="FU357" s="266"/>
      <c r="FV357" s="266"/>
      <c r="FW357" s="266"/>
      <c r="FX357" s="266"/>
      <c r="FY357" s="266"/>
      <c r="FZ357" s="266"/>
      <c r="GA357" s="266"/>
      <c r="GB357" s="321"/>
      <c r="GC357" s="267">
        <f t="shared" si="64"/>
        <v>0</v>
      </c>
      <c r="GD357" s="267">
        <f t="shared" si="65"/>
        <v>0</v>
      </c>
      <c r="GE357" s="267">
        <f t="shared" si="66"/>
        <v>0</v>
      </c>
      <c r="GF357" s="267">
        <f t="shared" si="67"/>
        <v>0</v>
      </c>
      <c r="GG357" s="267">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1" customFormat="1" x14ac:dyDescent="0.35">
      <c r="A358" s="256" t="s">
        <v>1522</v>
      </c>
      <c r="B358" s="290" t="str">
        <f>IF(Technologies!B358&lt;&gt;0,Technologies!B358,"")</f>
        <v>Industrie</v>
      </c>
      <c r="C358" s="290" t="str">
        <f>VLOOKUP($A358,Technologies!$A$7:$H$576,3,FALSE)</f>
        <v>Primary</v>
      </c>
      <c r="D358" s="290" t="str">
        <f>VLOOKUP($A358,Technologies!$A$7:$H$576,4,FALSE)</f>
        <v>Renewable</v>
      </c>
      <c r="E358" s="290" t="str">
        <f>VLOOKUP($A358,Technologies!$A$7:$H$576,6,FALSE)</f>
        <v>Bio LPG</v>
      </c>
      <c r="F358" s="268" t="str">
        <f>VLOOKUP($A358,Technologies!$A$7:$H$576,7,FALSE)</f>
        <v>Imported Bio LPG - Refineries</v>
      </c>
      <c r="G358" s="262"/>
      <c r="H358" s="262"/>
      <c r="I358" s="264"/>
      <c r="J358" s="264"/>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c r="DI358" s="266"/>
      <c r="DJ358" s="266"/>
      <c r="DK358" s="266"/>
      <c r="DL358" s="266"/>
      <c r="DM358" s="266"/>
      <c r="DN358" s="266"/>
      <c r="DO358" s="266"/>
      <c r="DP358" s="266"/>
      <c r="DQ358" s="266"/>
      <c r="DR358" s="266"/>
      <c r="DS358" s="266"/>
      <c r="DT358" s="266"/>
      <c r="DU358" s="266"/>
      <c r="DV358" s="266"/>
      <c r="DW358" s="266"/>
      <c r="DX358" s="266"/>
      <c r="DY358" s="266"/>
      <c r="DZ358" s="266"/>
      <c r="EA358" s="266"/>
      <c r="EB358" s="266"/>
      <c r="EC358" s="266">
        <v>1</v>
      </c>
      <c r="ED358" s="266"/>
      <c r="EE358" s="266"/>
      <c r="EF358" s="266"/>
      <c r="EG358" s="266"/>
      <c r="EH358" s="266"/>
      <c r="EI358" s="266"/>
      <c r="EJ358" s="266"/>
      <c r="EK358" s="266"/>
      <c r="EL358" s="266"/>
      <c r="EM358" s="266"/>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6">
        <v>-0.03</v>
      </c>
      <c r="DI359" s="35"/>
      <c r="DJ359" s="35"/>
      <c r="DK359" s="35"/>
      <c r="DL359" s="35"/>
      <c r="DM359" s="35"/>
      <c r="DN359" s="35"/>
      <c r="DO359" s="35"/>
      <c r="DP359" s="266">
        <v>0.44</v>
      </c>
      <c r="DQ359" s="35"/>
      <c r="DR359" s="35"/>
      <c r="DS359" s="35"/>
      <c r="DT359" s="35"/>
      <c r="DU359" s="35"/>
      <c r="DV359" s="35"/>
      <c r="DW359" s="35"/>
      <c r="DX359" s="35"/>
      <c r="DY359" s="35"/>
      <c r="DZ359" s="35"/>
      <c r="EA359" s="35"/>
      <c r="EB359" s="35"/>
      <c r="EC359" s="35"/>
      <c r="ED359" s="266">
        <v>0.33</v>
      </c>
      <c r="EE359" s="266">
        <v>1</v>
      </c>
      <c r="EF359" s="35"/>
      <c r="EG359" s="266">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8"/>
      <c r="GC359" s="178">
        <f t="shared" si="64"/>
        <v>0</v>
      </c>
      <c r="GD359" s="178">
        <f t="shared" si="65"/>
        <v>2.1999999999999999E-2</v>
      </c>
      <c r="GE359" s="178">
        <f t="shared" si="66"/>
        <v>0</v>
      </c>
      <c r="GF359" s="178">
        <f t="shared" si="67"/>
        <v>0</v>
      </c>
      <c r="GG359" s="178">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6">
        <v>0.33</v>
      </c>
      <c r="EE360" s="266">
        <v>1</v>
      </c>
      <c r="EF360" s="36"/>
      <c r="EG360" s="36"/>
      <c r="EH360" s="36"/>
      <c r="EI360" s="266">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19"/>
      <c r="GC360" s="179">
        <f t="shared" si="64"/>
        <v>0</v>
      </c>
      <c r="GD360" s="179">
        <f t="shared" si="65"/>
        <v>1.9199999999999998E-2</v>
      </c>
      <c r="GE360" s="179">
        <f t="shared" si="66"/>
        <v>0</v>
      </c>
      <c r="GF360" s="179">
        <f t="shared" si="67"/>
        <v>0</v>
      </c>
      <c r="GG360" s="179">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6">
        <v>-0.03</v>
      </c>
      <c r="DI361" s="35"/>
      <c r="DJ361" s="35"/>
      <c r="DK361" s="35"/>
      <c r="DL361" s="35"/>
      <c r="DM361" s="35"/>
      <c r="DN361" s="35"/>
      <c r="DO361" s="35"/>
      <c r="DP361" s="266">
        <v>0.44</v>
      </c>
      <c r="DQ361" s="35"/>
      <c r="DR361" s="35"/>
      <c r="DS361" s="35"/>
      <c r="DT361" s="35"/>
      <c r="DU361" s="35"/>
      <c r="DV361" s="35"/>
      <c r="DW361" s="35"/>
      <c r="DX361" s="35"/>
      <c r="DY361" s="35"/>
      <c r="DZ361" s="35"/>
      <c r="EA361" s="35"/>
      <c r="EB361" s="35"/>
      <c r="EC361" s="35"/>
      <c r="ED361" s="266">
        <v>0.33</v>
      </c>
      <c r="EE361" s="35"/>
      <c r="EF361" s="266">
        <v>1</v>
      </c>
      <c r="EG361" s="266">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8"/>
      <c r="GC361" s="178">
        <f t="shared" si="64"/>
        <v>0</v>
      </c>
      <c r="GD361" s="178">
        <f t="shared" si="65"/>
        <v>2.3E-2</v>
      </c>
      <c r="GE361" s="178">
        <f t="shared" si="66"/>
        <v>0</v>
      </c>
      <c r="GF361" s="178">
        <f t="shared" si="67"/>
        <v>0</v>
      </c>
      <c r="GG361" s="178">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6">
        <v>0.33</v>
      </c>
      <c r="EE362" s="36"/>
      <c r="EF362" s="266">
        <v>1</v>
      </c>
      <c r="EG362" s="36"/>
      <c r="EH362" s="36"/>
      <c r="EI362" s="266">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19"/>
      <c r="GC362" s="179">
        <f t="shared" si="64"/>
        <v>0</v>
      </c>
      <c r="GD362" s="179">
        <f t="shared" si="65"/>
        <v>2.0199999999999999E-2</v>
      </c>
      <c r="GE362" s="179">
        <f t="shared" si="66"/>
        <v>0</v>
      </c>
      <c r="GF362" s="179">
        <f t="shared" si="67"/>
        <v>0</v>
      </c>
      <c r="GG362" s="179">
        <f t="shared" si="69"/>
        <v>0</v>
      </c>
    </row>
    <row r="363" spans="1:342" s="261" customFormat="1" x14ac:dyDescent="0.35">
      <c r="A363" s="256" t="s">
        <v>1535</v>
      </c>
      <c r="B363" s="256" t="str">
        <f>IF(Technologies!B363&lt;&gt;0,Technologies!B363,"")</f>
        <v>Industrie</v>
      </c>
      <c r="C363" s="256" t="str">
        <f>VLOOKUP($A363,Technologies!$A$7:$H$576,3,FALSE)</f>
        <v>Conversion</v>
      </c>
      <c r="D363" s="256" t="str">
        <f>VLOOKUP($A363,Technologies!$A$7:$H$576,4,FALSE)</f>
        <v>Refineries</v>
      </c>
      <c r="E363" s="256" t="str">
        <f>VLOOKUP($A363,Technologies!$A$7:$H$576,6,FALSE)</f>
        <v>E-Kerosene</v>
      </c>
      <c r="F363" s="256" t="str">
        <f>VLOOKUP($A363,Technologies!$A$7:$H$576,7,FALSE)</f>
        <v>E-Kerosene oriented Fischer Tropsch incl. RWGS</v>
      </c>
      <c r="G363" s="262"/>
      <c r="H363" s="262">
        <f>ROUND(H367*(-EG361),2)</f>
        <v>0.12</v>
      </c>
      <c r="I363" s="264" cm="1">
        <f t="array" ref="I363">-SUMPRODUCT((Feedstocks!$C$4:$C$141=A363)*Feedstocks!$E$4:$E$141,Feedstocks!$F$4:$F$141,Feedstocks!$H$4:$H$141,Feedstocks!$I$4:$I$141)</f>
        <v>0</v>
      </c>
      <c r="J363" s="264" cm="1">
        <f t="array" ref="J363">-SUMPRODUCT((Feedstocks!$C$4:$C$141=A363)*Feedstocks!$E$4:$E$141,Feedstocks!$H$4:$H$141,Feedstocks!$I$4:$I$141)</f>
        <v>0</v>
      </c>
      <c r="K363" s="264"/>
      <c r="L363" s="264"/>
      <c r="M363" s="262">
        <v>1</v>
      </c>
      <c r="N363" s="262" t="s">
        <v>320</v>
      </c>
      <c r="O363" s="262"/>
      <c r="P363" s="265"/>
      <c r="Q363" s="266"/>
      <c r="R363" s="266"/>
      <c r="S363" s="266"/>
      <c r="T363" s="266"/>
      <c r="U363" s="266"/>
      <c r="V363" s="266"/>
      <c r="W363" s="266"/>
      <c r="X363" s="266"/>
      <c r="Y363" s="266"/>
      <c r="Z363" s="266"/>
      <c r="AA363" s="266"/>
      <c r="AB363" s="266"/>
      <c r="AC363" s="266"/>
      <c r="AD363" s="266"/>
      <c r="AE363" s="266"/>
      <c r="AF363" s="266"/>
      <c r="AG363" s="266"/>
      <c r="AH363" s="266"/>
      <c r="AI363" s="266"/>
      <c r="AJ363" s="266"/>
      <c r="AK363" s="266"/>
      <c r="AL363" s="266"/>
      <c r="AM363" s="266"/>
      <c r="AN363" s="266"/>
      <c r="AO363" s="266"/>
      <c r="AP363" s="266"/>
      <c r="AQ363" s="266"/>
      <c r="AR363" s="266"/>
      <c r="AS363" s="266"/>
      <c r="AT363" s="266"/>
      <c r="AU363" s="266"/>
      <c r="AV363" s="266"/>
      <c r="AW363" s="266"/>
      <c r="AX363" s="266"/>
      <c r="AY363" s="266"/>
      <c r="AZ363" s="266"/>
      <c r="BA363" s="266"/>
      <c r="BB363" s="266"/>
      <c r="BC363" s="266"/>
      <c r="BD363" s="266"/>
      <c r="BE363" s="266"/>
      <c r="BF363" s="266"/>
      <c r="BG363" s="266"/>
      <c r="BH363" s="266"/>
      <c r="BI363" s="266"/>
      <c r="BJ363" s="266"/>
      <c r="BK363" s="266"/>
      <c r="BL363" s="266"/>
      <c r="BM363" s="266"/>
      <c r="BN363" s="266"/>
      <c r="BO363" s="266"/>
      <c r="BP363" s="266"/>
      <c r="BQ363" s="266"/>
      <c r="BR363" s="266"/>
      <c r="BS363" s="266"/>
      <c r="BT363" s="266"/>
      <c r="BU363" s="266"/>
      <c r="BV363" s="266"/>
      <c r="BW363" s="266"/>
      <c r="BX363" s="266"/>
      <c r="BY363" s="266"/>
      <c r="BZ363" s="266"/>
      <c r="CA363" s="266"/>
      <c r="CB363" s="266"/>
      <c r="CC363" s="266"/>
      <c r="CD363" s="266"/>
      <c r="CE363" s="266"/>
      <c r="CF363" s="266"/>
      <c r="CG363" s="266"/>
      <c r="CH363" s="266"/>
      <c r="CI363" s="266"/>
      <c r="CJ363" s="266"/>
      <c r="CK363" s="266"/>
      <c r="CL363" s="266"/>
      <c r="CM363" s="266"/>
      <c r="CN363" s="266"/>
      <c r="CO363" s="266"/>
      <c r="CP363" s="266"/>
      <c r="CQ363" s="266"/>
      <c r="CR363" s="266"/>
      <c r="CS363" s="266"/>
      <c r="CT363" s="266"/>
      <c r="CU363" s="266"/>
      <c r="CV363" s="266"/>
      <c r="CW363" s="266"/>
      <c r="CX363" s="266"/>
      <c r="CY363" s="266"/>
      <c r="CZ363" s="266"/>
      <c r="DA363" s="266"/>
      <c r="DB363" s="266"/>
      <c r="DC363" s="266"/>
      <c r="DD363" s="266"/>
      <c r="DE363" s="266"/>
      <c r="DF363" s="266"/>
      <c r="DG363" s="266"/>
      <c r="DH363" s="266">
        <f>ROUND(-0.03+(DH367*-EG361),2)</f>
        <v>-0.03</v>
      </c>
      <c r="DI363" s="266"/>
      <c r="DJ363" s="266"/>
      <c r="DK363" s="266"/>
      <c r="DL363" s="266"/>
      <c r="DM363" s="266"/>
      <c r="DN363" s="266"/>
      <c r="DO363" s="266"/>
      <c r="DP363" s="266">
        <v>0.44</v>
      </c>
      <c r="DQ363" s="266"/>
      <c r="DR363" s="266"/>
      <c r="DS363" s="266"/>
      <c r="DT363" s="266"/>
      <c r="DU363" s="266"/>
      <c r="DV363" s="266"/>
      <c r="DW363" s="266"/>
      <c r="DX363" s="266"/>
      <c r="DY363" s="266"/>
      <c r="DZ363" s="266"/>
      <c r="EA363" s="266"/>
      <c r="EB363" s="266"/>
      <c r="EC363" s="266"/>
      <c r="ED363" s="266">
        <v>0.33</v>
      </c>
      <c r="EE363" s="266"/>
      <c r="EF363" s="266"/>
      <c r="EG363" s="266"/>
      <c r="EH363" s="266">
        <v>1</v>
      </c>
      <c r="EI363" s="266"/>
      <c r="EJ363" s="266"/>
      <c r="EK363" s="266"/>
      <c r="EL363" s="266"/>
      <c r="EM363" s="266">
        <f>ROUND(EM367*-EG361,2)</f>
        <v>-2.16</v>
      </c>
      <c r="EN363" s="266"/>
      <c r="EO363" s="266"/>
      <c r="EP363" s="266"/>
      <c r="EQ363" s="266"/>
      <c r="ER363" s="266"/>
      <c r="ES363" s="266"/>
      <c r="ET363" s="266"/>
      <c r="EU363" s="266"/>
      <c r="EV363" s="266"/>
      <c r="EW363" s="266"/>
      <c r="EX363" s="266"/>
      <c r="EY363" s="266"/>
      <c r="EZ363" s="266"/>
      <c r="FA363" s="266"/>
      <c r="FB363" s="266"/>
      <c r="FC363" s="266"/>
      <c r="FD363" s="266"/>
      <c r="FE363" s="266"/>
      <c r="FF363" s="266"/>
      <c r="FG363" s="266"/>
      <c r="FH363" s="266"/>
      <c r="FI363" s="266"/>
      <c r="FJ363" s="266"/>
      <c r="FK363" s="266"/>
      <c r="FL363" s="266"/>
      <c r="FM363" s="266"/>
      <c r="FN363" s="266"/>
      <c r="FO363" s="266"/>
      <c r="FP363" s="266"/>
      <c r="FQ363" s="266"/>
      <c r="FR363" s="266"/>
      <c r="FS363" s="266"/>
      <c r="FT363" s="266"/>
      <c r="FU363" s="266"/>
      <c r="FV363" s="266"/>
      <c r="FW363" s="266"/>
      <c r="FX363" s="266"/>
      <c r="FY363" s="266"/>
      <c r="FZ363" s="266"/>
      <c r="GA363" s="266"/>
      <c r="GB363" s="321"/>
      <c r="GC363" s="267">
        <f t="shared" si="64"/>
        <v>-0.12</v>
      </c>
      <c r="GD363" s="267">
        <f t="shared" si="65"/>
        <v>2.46E-2</v>
      </c>
      <c r="GE363" s="267">
        <f t="shared" si="66"/>
        <v>0</v>
      </c>
      <c r="GF363" s="267">
        <f t="shared" si="67"/>
        <v>0</v>
      </c>
      <c r="GG363" s="267">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1" customFormat="1" x14ac:dyDescent="0.35">
      <c r="A364" s="256" t="s">
        <v>1537</v>
      </c>
      <c r="B364" s="256" t="str">
        <f>IF(Technologies!B364&lt;&gt;0,Technologies!B364,"")</f>
        <v>Industrie</v>
      </c>
      <c r="C364" s="256" t="str">
        <f>VLOOKUP($A364,Technologies!$A$7:$H$576,3,FALSE)</f>
        <v>Conversion</v>
      </c>
      <c r="D364" s="256" t="str">
        <f>VLOOKUP($A364,Technologies!$A$7:$H$576,4,FALSE)</f>
        <v>Refineries</v>
      </c>
      <c r="E364" s="256" t="str">
        <f>VLOOKUP($A364,Technologies!$A$7:$H$576,6,FALSE)</f>
        <v>E-Kerosene</v>
      </c>
      <c r="F364" s="268" t="str">
        <f>VLOOKUP($A364,Technologies!$A$7:$H$576,7,FALSE)</f>
        <v>E-Kerosene oriented methanol to fuels incl. methanol production</v>
      </c>
      <c r="G364" s="262"/>
      <c r="H364" s="262">
        <f>ROUND(H372*-EI362,2)</f>
        <v>0.13</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ROUND(-0.02+(DH372*-EI362),2)</f>
        <v>-0.11</v>
      </c>
      <c r="DI364" s="266"/>
      <c r="DJ364" s="266"/>
      <c r="DK364" s="266"/>
      <c r="DL364" s="266"/>
      <c r="DM364" s="266"/>
      <c r="DN364" s="266"/>
      <c r="DO364" s="266"/>
      <c r="DP364" s="266">
        <v>-0.21</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ROUND(EM372*-EI362,2)</f>
        <v>-2.0699999999999998</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-0.13</v>
      </c>
      <c r="GD364" s="267">
        <f t="shared" si="65"/>
        <v>3.4599999999999999E-2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89"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3">
        <f>GC365</f>
        <v>9.3899999999999997E-2</v>
      </c>
      <c r="GC365" s="267">
        <f t="shared" si="64"/>
        <v>9.3899999999999997E-2</v>
      </c>
      <c r="GD365" s="267">
        <f t="shared" si="65"/>
        <v>-0.16789999999999999</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7" customFormat="1" x14ac:dyDescent="0.35">
      <c r="A366" s="327"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0"/>
      <c r="I366" s="104" cm="1">
        <f t="array" ref="I366">-SUMPRODUCT((Feedstocks!$C$4:$C$141=A366)*Feedstocks!$E$4:$E$141,Feedstocks!$F$4:$F$141,Feedstocks!$H$4:$H$141,Feedstocks!$I$4:$I$141)</f>
        <v>0</v>
      </c>
      <c r="J366" s="104" cm="1">
        <f t="array" ref="J366">-SUMPRODUCT((Feedstocks!$C$4:$C$141=A366)*Feedstocks!$E$4:$E$141,Feedstocks!$H$4:$H$141,Feedstocks!$I$4:$I$141)</f>
        <v>0</v>
      </c>
      <c r="K366" s="351"/>
      <c r="L366" s="351"/>
      <c r="M366" s="350">
        <v>1</v>
      </c>
      <c r="N366" s="23" t="str">
        <f>VLOOKUP(E366,Activities!$A$9:$M$227,13,FALSE)</f>
        <v>NL</v>
      </c>
      <c r="O366" s="350"/>
      <c r="P366" s="289" t="s">
        <v>1829</v>
      </c>
      <c r="Q366" s="352"/>
      <c r="R366" s="352"/>
      <c r="S366" s="352"/>
      <c r="T366" s="352"/>
      <c r="U366" s="352"/>
      <c r="V366" s="352"/>
      <c r="W366" s="352"/>
      <c r="X366" s="352"/>
      <c r="Y366" s="352"/>
      <c r="Z366" s="352"/>
      <c r="AA366" s="352"/>
      <c r="AB366" s="352"/>
      <c r="AC366" s="352"/>
      <c r="AD366" s="352"/>
      <c r="AE366" s="352"/>
      <c r="AF366" s="352"/>
      <c r="AG366" s="352"/>
      <c r="AH366" s="352"/>
      <c r="AI366" s="352"/>
      <c r="AJ366" s="352"/>
      <c r="AK366" s="352"/>
      <c r="AL366" s="352"/>
      <c r="AM366" s="352"/>
      <c r="AN366" s="352"/>
      <c r="AO366" s="352"/>
      <c r="AP366" s="352"/>
      <c r="AQ366" s="352"/>
      <c r="AR366" s="352"/>
      <c r="AS366" s="352"/>
      <c r="AT366" s="352"/>
      <c r="AU366" s="352"/>
      <c r="AV366" s="352"/>
      <c r="AW366" s="352"/>
      <c r="AX366" s="352"/>
      <c r="AY366" s="352"/>
      <c r="AZ366" s="352"/>
      <c r="BA366" s="352"/>
      <c r="BB366" s="352"/>
      <c r="BC366" s="352"/>
      <c r="BD366" s="352"/>
      <c r="BE366" s="352"/>
      <c r="BF366" s="352"/>
      <c r="BG366" s="352"/>
      <c r="BH366" s="352"/>
      <c r="BI366" s="352"/>
      <c r="BJ366" s="352"/>
      <c r="BK366" s="352"/>
      <c r="BL366" s="352"/>
      <c r="BM366" s="352"/>
      <c r="BN366" s="352"/>
      <c r="BO366" s="352"/>
      <c r="BP366" s="352"/>
      <c r="BQ366" s="352"/>
      <c r="BR366" s="352"/>
      <c r="BS366" s="352"/>
      <c r="BT366" s="352"/>
      <c r="BU366" s="352"/>
      <c r="BV366" s="352"/>
      <c r="BW366" s="352"/>
      <c r="BX366" s="352"/>
      <c r="BY366" s="352"/>
      <c r="BZ366" s="352"/>
      <c r="CA366" s="352"/>
      <c r="CB366" s="352"/>
      <c r="CC366" s="352"/>
      <c r="CD366" s="352"/>
      <c r="CE366" s="352"/>
      <c r="CF366" s="352"/>
      <c r="CG366" s="352"/>
      <c r="CH366" s="352"/>
      <c r="CI366" s="352"/>
      <c r="CJ366" s="352"/>
      <c r="CK366" s="352"/>
      <c r="CL366" s="352"/>
      <c r="CM366" s="352"/>
      <c r="CN366" s="352"/>
      <c r="CO366" s="352"/>
      <c r="CP366" s="352"/>
      <c r="CQ366" s="352"/>
      <c r="CR366" s="352"/>
      <c r="CS366" s="352"/>
      <c r="CT366" s="352"/>
      <c r="CU366" s="352"/>
      <c r="CV366" s="352"/>
      <c r="CW366" s="352"/>
      <c r="CX366" s="352"/>
      <c r="CY366" s="352"/>
      <c r="CZ366" s="352"/>
      <c r="DA366" s="352"/>
      <c r="DB366" s="352"/>
      <c r="DC366" s="352"/>
      <c r="DD366" s="352"/>
      <c r="DE366" s="352"/>
      <c r="DF366" s="352"/>
      <c r="DG366" s="352"/>
      <c r="DH366" s="387">
        <v>-1.2099332676061682E-3</v>
      </c>
      <c r="DI366" s="352"/>
      <c r="DJ366" s="352"/>
      <c r="DK366" s="352"/>
      <c r="DL366" s="352"/>
      <c r="DM366" s="352"/>
      <c r="DN366" s="352"/>
      <c r="DO366" s="352">
        <v>-0.69856540643296117</v>
      </c>
      <c r="DP366" s="352"/>
      <c r="DQ366" s="352"/>
      <c r="DR366" s="352"/>
      <c r="DS366" s="352"/>
      <c r="DT366" s="352"/>
      <c r="DU366" s="352"/>
      <c r="DV366" s="352"/>
      <c r="DW366" s="352"/>
      <c r="DX366" s="352"/>
      <c r="DY366" s="352"/>
      <c r="DZ366" s="352"/>
      <c r="EA366" s="352"/>
      <c r="EB366" s="352"/>
      <c r="EC366" s="352"/>
      <c r="ED366" s="352"/>
      <c r="EE366" s="352"/>
      <c r="EF366" s="352"/>
      <c r="EG366" s="352">
        <v>1</v>
      </c>
      <c r="EH366" s="352"/>
      <c r="EI366" s="352"/>
      <c r="EJ366" s="352"/>
      <c r="EK366" s="352"/>
      <c r="EL366" s="352"/>
      <c r="EM366" s="352"/>
      <c r="EN366" s="352"/>
      <c r="EO366" s="352"/>
      <c r="EP366" s="352"/>
      <c r="EQ366" s="352"/>
      <c r="ER366" s="35">
        <v>-2.4634811357447797</v>
      </c>
      <c r="ES366" s="352"/>
      <c r="ET366" s="352"/>
      <c r="EU366" s="352"/>
      <c r="EV366" s="352"/>
      <c r="EW366" s="352"/>
      <c r="EX366" s="352"/>
      <c r="EY366" s="352"/>
      <c r="EZ366" s="352"/>
      <c r="FA366" s="352"/>
      <c r="FB366" s="352"/>
      <c r="FC366" s="352"/>
      <c r="FD366" s="352"/>
      <c r="FE366" s="352"/>
      <c r="FF366" s="352"/>
      <c r="FG366" s="352"/>
      <c r="FH366" s="352"/>
      <c r="FI366" s="352"/>
      <c r="FJ366" s="352"/>
      <c r="FK366" s="352"/>
      <c r="FL366" s="352"/>
      <c r="FM366" s="352"/>
      <c r="FN366" s="352"/>
      <c r="FO366" s="352"/>
      <c r="FP366" s="352"/>
      <c r="FQ366" s="352"/>
      <c r="FR366" s="352"/>
      <c r="FS366" s="352"/>
      <c r="FT366" s="352"/>
      <c r="FU366" s="352"/>
      <c r="FV366" s="352"/>
      <c r="FW366" s="352"/>
      <c r="FX366" s="352"/>
      <c r="FY366" s="352"/>
      <c r="FZ366" s="352"/>
      <c r="GA366" s="352"/>
      <c r="GB366" s="353">
        <f>GC366</f>
        <v>0.18579999999999999</v>
      </c>
      <c r="GC366" s="178">
        <f t="shared" si="64"/>
        <v>0.18579999999999999</v>
      </c>
      <c r="GD366" s="178">
        <f t="shared" si="65"/>
        <v>-0.25979999999999998</v>
      </c>
      <c r="GE366" s="178">
        <f t="shared" si="66"/>
        <v>0</v>
      </c>
      <c r="GF366" s="178">
        <f t="shared" si="67"/>
        <v>0</v>
      </c>
      <c r="GG366" s="178">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7">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19"/>
      <c r="GC367" s="179">
        <f t="shared" si="64"/>
        <v>-7.8E-2</v>
      </c>
      <c r="GD367" s="179">
        <f t="shared" si="65"/>
        <v>4.0000000000000001E-3</v>
      </c>
      <c r="GE367" s="179">
        <f t="shared" si="66"/>
        <v>0</v>
      </c>
      <c r="GF367" s="179">
        <f t="shared" si="67"/>
        <v>0</v>
      </c>
      <c r="GG367" s="179">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8">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8"/>
      <c r="GC368" s="178">
        <f t="shared" si="64"/>
        <v>-7.3999999999999996E-2</v>
      </c>
      <c r="GD368" s="178">
        <f t="shared" si="65"/>
        <v>0</v>
      </c>
      <c r="GE368" s="178">
        <f t="shared" si="66"/>
        <v>0</v>
      </c>
      <c r="GF368" s="178">
        <f t="shared" si="67"/>
        <v>0</v>
      </c>
      <c r="GG368" s="178">
        <f t="shared" si="69"/>
        <v>0</v>
      </c>
    </row>
    <row r="369" spans="1:342" s="261" customFormat="1" x14ac:dyDescent="0.35">
      <c r="A369" s="256" t="s">
        <v>1549</v>
      </c>
      <c r="B369" s="290" t="str">
        <f>IF(Technologies!B369&lt;&gt;0,Technologies!B369,"")</f>
        <v>Industrie</v>
      </c>
      <c r="C369" s="290" t="str">
        <f>VLOOKUP($A369,Technologies!$A$7:$H$576,3,FALSE)</f>
        <v>Conversion</v>
      </c>
      <c r="D369" s="290" t="str">
        <f>VLOOKUP($A369,Technologies!$A$7:$H$576,4,FALSE)</f>
        <v>Refineries</v>
      </c>
      <c r="E369" s="290" t="str">
        <f>VLOOKUP($A369,Technologies!$A$7:$H$576,6,FALSE)</f>
        <v>Syngas</v>
      </c>
      <c r="F369" s="256" t="str">
        <f>VLOOKUP($A369,Technologies!$A$7:$H$576,7,FALSE)</f>
        <v>Syngas from eSMR</v>
      </c>
      <c r="G369" s="262"/>
      <c r="H369" s="263"/>
      <c r="I369" s="264" cm="1">
        <f t="array" ref="I369">-SUMPRODUCT((Feedstocks!$C$4:$C$141=A369)*Feedstocks!$E$4:$E$141,Feedstocks!$F$4:$F$141,Feedstocks!$H$4:$H$141,Feedstocks!$I$4:$I$141)</f>
        <v>0</v>
      </c>
      <c r="J369" s="264" cm="1">
        <f t="array" ref="J369">-SUMPRODUCT((Feedstocks!$C$4:$C$141=A369)*Feedstocks!$E$4:$E$141,Feedstocks!$H$4:$H$141,Feedstocks!$I$4:$I$141)</f>
        <v>0</v>
      </c>
      <c r="K369" s="264"/>
      <c r="L369" s="264"/>
      <c r="M369" s="262">
        <v>1</v>
      </c>
      <c r="N369" s="262" t="str">
        <f>VLOOKUP(E369,Activities!$A$9:$M$227,13,FALSE)</f>
        <v>NL</v>
      </c>
      <c r="O369" s="262"/>
      <c r="P369" s="265"/>
      <c r="Q369" s="266"/>
      <c r="R369" s="266"/>
      <c r="S369" s="266"/>
      <c r="T369" s="266"/>
      <c r="U369" s="266"/>
      <c r="V369" s="266"/>
      <c r="W369" s="266"/>
      <c r="X369" s="266"/>
      <c r="Y369" s="266"/>
      <c r="Z369" s="266"/>
      <c r="AA369" s="266"/>
      <c r="AB369" s="266"/>
      <c r="AC369" s="266"/>
      <c r="AD369" s="266"/>
      <c r="AE369" s="266"/>
      <c r="AF369" s="266"/>
      <c r="AG369" s="266"/>
      <c r="AH369" s="266"/>
      <c r="AI369" s="266"/>
      <c r="AJ369" s="266"/>
      <c r="AK369" s="266"/>
      <c r="AL369" s="266"/>
      <c r="AM369" s="266"/>
      <c r="AN369" s="266"/>
      <c r="AO369" s="266"/>
      <c r="AP369" s="266"/>
      <c r="AQ369" s="266"/>
      <c r="AR369" s="266"/>
      <c r="AS369" s="266"/>
      <c r="AT369" s="266"/>
      <c r="AU369" s="266"/>
      <c r="AV369" s="266"/>
      <c r="AW369" s="266"/>
      <c r="AX369" s="266"/>
      <c r="AY369" s="266"/>
      <c r="AZ369" s="266"/>
      <c r="BA369" s="266"/>
      <c r="BB369" s="266"/>
      <c r="BC369" s="266"/>
      <c r="BD369" s="266"/>
      <c r="BE369" s="266"/>
      <c r="BF369" s="266"/>
      <c r="BG369" s="266"/>
      <c r="BH369" s="266"/>
      <c r="BI369" s="266"/>
      <c r="BJ369" s="266"/>
      <c r="BK369" s="266"/>
      <c r="BL369" s="266"/>
      <c r="BM369" s="266"/>
      <c r="BN369" s="266"/>
      <c r="BO369" s="266"/>
      <c r="BP369" s="266"/>
      <c r="BQ369" s="266"/>
      <c r="BR369" s="266"/>
      <c r="BS369" s="266"/>
      <c r="BT369" s="266"/>
      <c r="BU369" s="266"/>
      <c r="BV369" s="266"/>
      <c r="BW369" s="266"/>
      <c r="BX369" s="266"/>
      <c r="BY369" s="266"/>
      <c r="BZ369" s="266"/>
      <c r="CA369" s="266"/>
      <c r="CB369" s="266"/>
      <c r="CC369" s="266"/>
      <c r="CD369" s="266"/>
      <c r="CE369" s="266"/>
      <c r="CF369" s="266"/>
      <c r="CG369" s="266"/>
      <c r="CH369" s="266"/>
      <c r="CI369" s="266"/>
      <c r="CJ369" s="266"/>
      <c r="CK369" s="266"/>
      <c r="CL369" s="266"/>
      <c r="CM369" s="266"/>
      <c r="CN369" s="266"/>
      <c r="CO369" s="266"/>
      <c r="CP369" s="266"/>
      <c r="CQ369" s="266"/>
      <c r="CR369" s="266"/>
      <c r="CS369" s="266"/>
      <c r="CT369" s="266"/>
      <c r="CU369" s="266"/>
      <c r="CV369" s="266"/>
      <c r="CW369" s="266"/>
      <c r="CX369" s="266"/>
      <c r="CY369" s="266"/>
      <c r="CZ369" s="266"/>
      <c r="DA369" s="266"/>
      <c r="DB369" s="266"/>
      <c r="DC369" s="266"/>
      <c r="DD369" s="266"/>
      <c r="DE369" s="266"/>
      <c r="DF369" s="266"/>
      <c r="DG369" s="266"/>
      <c r="DH369" s="266">
        <v>-0.27200000000000002</v>
      </c>
      <c r="DI369" s="266"/>
      <c r="DJ369" s="266"/>
      <c r="DK369" s="266"/>
      <c r="DL369" s="266"/>
      <c r="DM369" s="266"/>
      <c r="DN369" s="266"/>
      <c r="DO369" s="266"/>
      <c r="DP369" s="266"/>
      <c r="DQ369" s="266"/>
      <c r="DR369" s="266"/>
      <c r="DS369" s="266"/>
      <c r="DT369" s="266"/>
      <c r="DU369" s="266"/>
      <c r="DV369" s="266"/>
      <c r="DW369" s="266"/>
      <c r="DX369" s="266"/>
      <c r="DY369" s="266"/>
      <c r="DZ369" s="266"/>
      <c r="EA369" s="266"/>
      <c r="EB369" s="266"/>
      <c r="EC369" s="266"/>
      <c r="ED369" s="266"/>
      <c r="EE369" s="266"/>
      <c r="EF369" s="266"/>
      <c r="EG369" s="266">
        <v>1</v>
      </c>
      <c r="EH369" s="266"/>
      <c r="EI369" s="266"/>
      <c r="EJ369" s="266">
        <f>-3.6/(0.187*14.4)</f>
        <v>-1.3368983957219251</v>
      </c>
      <c r="EK369" s="266"/>
      <c r="EL369" s="266"/>
      <c r="EM369" s="266"/>
      <c r="EN369" s="266"/>
      <c r="EO369" s="266"/>
      <c r="EP369" s="266"/>
      <c r="EQ369" s="266"/>
      <c r="ER369" s="266"/>
      <c r="ES369" s="266"/>
      <c r="ET369" s="266"/>
      <c r="EU369" s="266"/>
      <c r="EV369" s="266"/>
      <c r="EW369" s="266"/>
      <c r="EX369" s="266"/>
      <c r="EY369" s="266"/>
      <c r="EZ369" s="266"/>
      <c r="FA369" s="266"/>
      <c r="FB369" s="266"/>
      <c r="FC369" s="266"/>
      <c r="FD369" s="266"/>
      <c r="FE369" s="266"/>
      <c r="FF369" s="266"/>
      <c r="FG369" s="266"/>
      <c r="FH369" s="266"/>
      <c r="FI369" s="266"/>
      <c r="FJ369" s="266"/>
      <c r="FK369" s="266"/>
      <c r="FL369" s="266"/>
      <c r="FM369" s="266"/>
      <c r="FN369" s="266"/>
      <c r="FO369" s="266"/>
      <c r="FP369" s="266"/>
      <c r="FQ369" s="266"/>
      <c r="FR369" s="266"/>
      <c r="FS369" s="266"/>
      <c r="FT369" s="266"/>
      <c r="FU369" s="266"/>
      <c r="FV369" s="266"/>
      <c r="FW369" s="266"/>
      <c r="FX369" s="266"/>
      <c r="FY369" s="266"/>
      <c r="FZ369" s="266"/>
      <c r="GA369" s="266"/>
      <c r="GB369" s="321"/>
      <c r="GC369" s="267">
        <f t="shared" ref="GC369:GC400" si="70">ROUND(IF($C369="Primary",0,-$G369*(SUMPRODUCT($Q$4:$GA$4,$Q369:$GA369)+$J369)-$H369)*IF($N369=GC$4,1,0),4)</f>
        <v>0</v>
      </c>
      <c r="GD369" s="267">
        <f t="shared" ref="GD369:GD400" si="71">ROUND(IF($C369="Primary",0,$M369*(1-$O369)*($G369*(SUMPRODUCT($Q$4:$GA$4,$Q369:$GA369)+$J369)+$H369-SUMPRODUCT($Q$5:$GA$5,$Q369:$GA369)-$I369+$K369))*IF($N369=GD$4,1,0),4)</f>
        <v>1.6999999999999999E-3</v>
      </c>
      <c r="GE369" s="267">
        <f t="shared" ref="GE369:GE400" si="72">ROUND(IF($C369="Primary",0,(1-$M369)*(1-$O369)*($G369*(SUMPRODUCT($Q$4:$GA$4,$Q369:$GA369)+$J369)+$H369-SUMPRODUCT($Q$5:$GA$5,$Q369:$GA369)-$I369+$L369))*IF($N369=GD$4,1,0),4)</f>
        <v>0</v>
      </c>
      <c r="GF369" s="267"/>
      <c r="GG369" s="267">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7"/>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19"/>
      <c r="GC370" s="179">
        <f t="shared" si="70"/>
        <v>0</v>
      </c>
      <c r="GD370" s="179">
        <f t="shared" si="71"/>
        <v>2.9999999999999997E-4</v>
      </c>
      <c r="GE370" s="179">
        <f t="shared" si="72"/>
        <v>0</v>
      </c>
      <c r="GF370" s="179">
        <f t="shared" ref="GF370:GF401" si="73">ROUND(IF($C370="Primary",0,$O370*($G370*(SUMPRODUCT($Q$4:$GA$4,$Q370:$GA370)+$J370)-SUMPRODUCT($Q$5:$GA$5,$Q370:$GA370)-$I370))*IF($N370=GD$4,1,0),4)</f>
        <v>0</v>
      </c>
      <c r="GG370" s="179">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8">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09"/>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8"/>
      <c r="GC371" s="178">
        <f t="shared" si="70"/>
        <v>-7.3999999999999996E-2</v>
      </c>
      <c r="GD371" s="178">
        <f t="shared" si="71"/>
        <v>6.0000000000000001E-3</v>
      </c>
      <c r="GE371" s="178">
        <f t="shared" si="72"/>
        <v>0</v>
      </c>
      <c r="GF371" s="178">
        <f t="shared" si="73"/>
        <v>0</v>
      </c>
      <c r="GG371" s="178">
        <f t="shared" si="69"/>
        <v>0</v>
      </c>
    </row>
    <row r="372" spans="1:342" s="310" customFormat="1" x14ac:dyDescent="0.35">
      <c r="A372" s="290" t="s">
        <v>1558</v>
      </c>
      <c r="B372" s="290" t="str">
        <f>IF(Technologies!B372&lt;&gt;0,Technologies!B372,"")</f>
        <v>Industrie</v>
      </c>
      <c r="C372" s="290" t="str">
        <f>VLOOKUP($A372,Technologies!$A$7:$H$576,3,FALSE)</f>
        <v>Conversion</v>
      </c>
      <c r="D372" s="290" t="str">
        <f>VLOOKUP($A372,Technologies!$A$7:$H$576,4,FALSE)</f>
        <v>Refineries</v>
      </c>
      <c r="E372" s="290" t="str">
        <f>VLOOKUP($A372,Technologies!$A$7:$H$576,6,FALSE)</f>
        <v>Methanol</v>
      </c>
      <c r="F372" s="290" t="str">
        <f>VLOOKUP($A372,Technologies!$A$7:$H$576,7,FALSE)</f>
        <v>E-Methanol direct synthesis from CO2 and H2 - Refineries</v>
      </c>
      <c r="G372" s="311"/>
      <c r="H372" s="312">
        <v>7.3999999999999996E-2</v>
      </c>
      <c r="I372" s="313" cm="1">
        <f t="array" ref="I372">-SUMPRODUCT((Feedstocks!$C$4:$C$141=A372)*Feedstocks!$E$4:$E$141,Feedstocks!$F$4:$F$141,Feedstocks!$H$4:$H$141,Feedstocks!$I$4:$I$141)</f>
        <v>0</v>
      </c>
      <c r="J372" s="313" cm="1">
        <f t="array" ref="J372">-SUMPRODUCT((Feedstocks!$C$4:$C$141=A372)*Feedstocks!$E$4:$E$141,Feedstocks!$H$4:$H$141,Feedstocks!$I$4:$I$141)</f>
        <v>0</v>
      </c>
      <c r="K372" s="314"/>
      <c r="L372" s="313"/>
      <c r="M372" s="311">
        <v>1</v>
      </c>
      <c r="N372" s="311" t="str">
        <f>VLOOKUP(E372,Activities!$A$9:$M$227,13,FALSE)</f>
        <v>NL</v>
      </c>
      <c r="O372" s="311"/>
      <c r="P372" s="308" t="s">
        <v>1557</v>
      </c>
      <c r="Q372" s="315"/>
      <c r="R372" s="315"/>
      <c r="S372" s="315"/>
      <c r="T372" s="315"/>
      <c r="U372" s="315"/>
      <c r="V372" s="315"/>
      <c r="W372" s="315"/>
      <c r="X372" s="315"/>
      <c r="Y372" s="315"/>
      <c r="Z372" s="315"/>
      <c r="AA372" s="315"/>
      <c r="AB372" s="315"/>
      <c r="AC372" s="315"/>
      <c r="AD372" s="315"/>
      <c r="AE372" s="315"/>
      <c r="AF372" s="315"/>
      <c r="AG372" s="315"/>
      <c r="AH372" s="315"/>
      <c r="AI372" s="315"/>
      <c r="AJ372" s="315"/>
      <c r="AK372" s="315"/>
      <c r="AL372" s="315"/>
      <c r="AM372" s="315"/>
      <c r="AN372" s="315"/>
      <c r="AO372" s="315"/>
      <c r="AP372" s="315"/>
      <c r="AQ372" s="315"/>
      <c r="AR372" s="315"/>
      <c r="AS372" s="315"/>
      <c r="AT372" s="315"/>
      <c r="AU372" s="315"/>
      <c r="AV372" s="315"/>
      <c r="AW372" s="315"/>
      <c r="AX372" s="315"/>
      <c r="AY372" s="315"/>
      <c r="AZ372" s="315"/>
      <c r="BA372" s="315"/>
      <c r="BB372" s="315"/>
      <c r="BC372" s="315"/>
      <c r="BD372" s="315"/>
      <c r="BE372" s="315"/>
      <c r="BF372" s="315"/>
      <c r="BG372" s="315"/>
      <c r="BH372" s="315"/>
      <c r="BI372" s="315"/>
      <c r="BJ372" s="315"/>
      <c r="BK372" s="315"/>
      <c r="BL372" s="315"/>
      <c r="BM372" s="315"/>
      <c r="BN372" s="315"/>
      <c r="BO372" s="315"/>
      <c r="BP372" s="315"/>
      <c r="BQ372" s="315"/>
      <c r="BR372" s="315"/>
      <c r="BS372" s="315"/>
      <c r="BT372" s="315"/>
      <c r="BU372" s="315"/>
      <c r="BV372" s="315"/>
      <c r="BW372" s="315"/>
      <c r="BX372" s="315"/>
      <c r="BY372" s="315"/>
      <c r="BZ372" s="315"/>
      <c r="CA372" s="315"/>
      <c r="CB372" s="315"/>
      <c r="CC372" s="315"/>
      <c r="CD372" s="315"/>
      <c r="CE372" s="315"/>
      <c r="CF372" s="315"/>
      <c r="CG372" s="315"/>
      <c r="CH372" s="315"/>
      <c r="CI372" s="315"/>
      <c r="CJ372" s="315"/>
      <c r="CK372" s="315"/>
      <c r="CL372" s="315"/>
      <c r="CM372" s="315"/>
      <c r="CN372" s="315"/>
      <c r="CO372" s="315"/>
      <c r="CP372" s="315"/>
      <c r="CQ372" s="315"/>
      <c r="CR372" s="315"/>
      <c r="CS372" s="315"/>
      <c r="CT372" s="315"/>
      <c r="CU372" s="315"/>
      <c r="CV372" s="315"/>
      <c r="CW372" s="315"/>
      <c r="CX372" s="315"/>
      <c r="CY372" s="315"/>
      <c r="CZ372" s="315"/>
      <c r="DA372" s="315"/>
      <c r="DB372" s="315"/>
      <c r="DC372" s="315"/>
      <c r="DD372" s="315"/>
      <c r="DE372" s="315"/>
      <c r="DF372" s="315"/>
      <c r="DG372" s="315"/>
      <c r="DH372" s="315">
        <v>-0.05</v>
      </c>
      <c r="DI372" s="315"/>
      <c r="DJ372" s="315"/>
      <c r="DK372" s="315"/>
      <c r="DL372" s="315"/>
      <c r="DM372" s="315"/>
      <c r="DN372" s="315"/>
      <c r="DO372" s="315"/>
      <c r="DP372" s="315">
        <v>0.09</v>
      </c>
      <c r="DQ372" s="315"/>
      <c r="DR372" s="315"/>
      <c r="DS372" s="315"/>
      <c r="DT372" s="315"/>
      <c r="DU372" s="315"/>
      <c r="DV372" s="315"/>
      <c r="DW372" s="315"/>
      <c r="DX372" s="315"/>
      <c r="DY372" s="315"/>
      <c r="DZ372" s="315"/>
      <c r="EA372" s="315"/>
      <c r="EB372" s="315"/>
      <c r="EC372" s="315"/>
      <c r="ED372" s="315"/>
      <c r="EE372" s="315"/>
      <c r="EF372" s="315"/>
      <c r="EG372" s="315"/>
      <c r="EH372" s="315"/>
      <c r="EI372" s="315">
        <v>1</v>
      </c>
      <c r="EJ372" s="315"/>
      <c r="EK372" s="315"/>
      <c r="EL372" s="315"/>
      <c r="EM372" s="315">
        <v>-1.22</v>
      </c>
      <c r="EN372" s="315"/>
      <c r="EO372" s="315"/>
      <c r="EP372" s="315"/>
      <c r="EQ372" s="315"/>
      <c r="ER372" s="315"/>
      <c r="ES372" s="315"/>
      <c r="ET372" s="315"/>
      <c r="EU372" s="315"/>
      <c r="EV372" s="315"/>
      <c r="EW372" s="315"/>
      <c r="EX372" s="315"/>
      <c r="EY372" s="315"/>
      <c r="EZ372" s="315"/>
      <c r="FA372" s="315"/>
      <c r="FB372" s="315"/>
      <c r="FC372" s="315"/>
      <c r="FD372" s="315"/>
      <c r="FE372" s="315"/>
      <c r="FF372" s="315"/>
      <c r="FG372" s="315"/>
      <c r="FH372" s="315"/>
      <c r="FI372" s="315"/>
      <c r="FJ372" s="315"/>
      <c r="FK372" s="315"/>
      <c r="FL372" s="315"/>
      <c r="FM372" s="315"/>
      <c r="FN372" s="315"/>
      <c r="FO372" s="315"/>
      <c r="FP372" s="315"/>
      <c r="FQ372" s="315"/>
      <c r="FR372" s="315"/>
      <c r="FS372" s="315"/>
      <c r="FT372" s="315"/>
      <c r="FU372" s="315"/>
      <c r="FV372" s="315"/>
      <c r="FW372" s="315"/>
      <c r="FX372" s="315"/>
      <c r="FY372" s="315"/>
      <c r="FZ372" s="315"/>
      <c r="GA372" s="315"/>
      <c r="GB372" s="322"/>
      <c r="GC372" s="316">
        <f t="shared" si="70"/>
        <v>-7.3999999999999996E-2</v>
      </c>
      <c r="GD372" s="316">
        <f t="shared" si="71"/>
        <v>6.0000000000000001E-3</v>
      </c>
      <c r="GE372" s="316">
        <f t="shared" si="72"/>
        <v>0</v>
      </c>
      <c r="GF372" s="316">
        <f t="shared" si="73"/>
        <v>0</v>
      </c>
      <c r="GG372" s="316">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19"/>
      <c r="GC373" s="179">
        <f t="shared" si="70"/>
        <v>0</v>
      </c>
      <c r="GD373" s="179">
        <f t="shared" si="71"/>
        <v>5.0000000000000001E-4</v>
      </c>
      <c r="GE373" s="179">
        <f t="shared" si="72"/>
        <v>0</v>
      </c>
      <c r="GF373" s="179">
        <f t="shared" si="73"/>
        <v>0</v>
      </c>
      <c r="GG373" s="179">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8"/>
      <c r="GC374" s="178">
        <f t="shared" si="70"/>
        <v>-5.6599999999999998E-2</v>
      </c>
      <c r="GD374" s="178">
        <f t="shared" si="71"/>
        <v>0</v>
      </c>
      <c r="GE374" s="178">
        <f t="shared" si="72"/>
        <v>0</v>
      </c>
      <c r="GF374" s="178">
        <f t="shared" si="73"/>
        <v>0</v>
      </c>
      <c r="GG374" s="178">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19"/>
      <c r="GC375" s="179">
        <f t="shared" si="70"/>
        <v>0</v>
      </c>
      <c r="GD375" s="179">
        <f t="shared" si="71"/>
        <v>0</v>
      </c>
      <c r="GE375" s="179">
        <f t="shared" si="72"/>
        <v>0</v>
      </c>
      <c r="GF375" s="179">
        <f t="shared" si="73"/>
        <v>0</v>
      </c>
      <c r="GG375" s="179">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8"/>
      <c r="GC376" s="178">
        <f t="shared" si="70"/>
        <v>0</v>
      </c>
      <c r="GD376" s="178">
        <f t="shared" si="71"/>
        <v>0</v>
      </c>
      <c r="GE376" s="178">
        <f t="shared" si="72"/>
        <v>0</v>
      </c>
      <c r="GF376" s="178">
        <f t="shared" si="73"/>
        <v>0</v>
      </c>
      <c r="GG376" s="178">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19"/>
      <c r="GC377" s="179">
        <f t="shared" si="70"/>
        <v>0</v>
      </c>
      <c r="GD377" s="179">
        <f t="shared" si="71"/>
        <v>0</v>
      </c>
      <c r="GE377" s="179">
        <f t="shared" si="72"/>
        <v>0</v>
      </c>
      <c r="GF377" s="179">
        <f t="shared" si="73"/>
        <v>0</v>
      </c>
      <c r="GG377" s="179">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8"/>
      <c r="GC378" s="178">
        <f t="shared" si="70"/>
        <v>0</v>
      </c>
      <c r="GD378" s="178">
        <f t="shared" si="71"/>
        <v>0</v>
      </c>
      <c r="GE378" s="178">
        <f t="shared" si="72"/>
        <v>0</v>
      </c>
      <c r="GF378" s="178">
        <f t="shared" si="73"/>
        <v>0</v>
      </c>
      <c r="GG378" s="178">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19"/>
      <c r="GC379" s="179">
        <f t="shared" si="70"/>
        <v>0</v>
      </c>
      <c r="GD379" s="179">
        <f t="shared" si="71"/>
        <v>0</v>
      </c>
      <c r="GE379" s="179">
        <f t="shared" si="72"/>
        <v>0</v>
      </c>
      <c r="GF379" s="179">
        <f t="shared" si="73"/>
        <v>0</v>
      </c>
      <c r="GG379" s="179">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8"/>
      <c r="GC380" s="178">
        <f t="shared" si="70"/>
        <v>0</v>
      </c>
      <c r="GD380" s="178">
        <f t="shared" si="71"/>
        <v>-5.6599999999999998E-2</v>
      </c>
      <c r="GE380" s="178">
        <f t="shared" si="72"/>
        <v>0</v>
      </c>
      <c r="GF380" s="178">
        <f t="shared" si="73"/>
        <v>0</v>
      </c>
      <c r="GG380" s="178">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19"/>
      <c r="GC381" s="179">
        <f t="shared" si="70"/>
        <v>0</v>
      </c>
      <c r="GD381" s="179">
        <f t="shared" si="71"/>
        <v>-5.6599999999999998E-2</v>
      </c>
      <c r="GE381" s="179">
        <f t="shared" si="72"/>
        <v>0</v>
      </c>
      <c r="GF381" s="179">
        <f t="shared" si="73"/>
        <v>0</v>
      </c>
      <c r="GG381" s="179">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8"/>
      <c r="GC382" s="178">
        <f t="shared" si="70"/>
        <v>0</v>
      </c>
      <c r="GD382" s="178">
        <f t="shared" si="71"/>
        <v>-5.6599999999999998E-2</v>
      </c>
      <c r="GE382" s="178">
        <f t="shared" si="72"/>
        <v>0</v>
      </c>
      <c r="GF382" s="178">
        <f t="shared" si="73"/>
        <v>0</v>
      </c>
      <c r="GG382" s="178">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19">
        <f>GC383</f>
        <v>8.9499999999999996E-2</v>
      </c>
      <c r="GC383" s="179">
        <f t="shared" si="70"/>
        <v>8.9499999999999996E-2</v>
      </c>
      <c r="GD383" s="179">
        <f t="shared" si="71"/>
        <v>-0.14610000000000001</v>
      </c>
      <c r="GE383" s="179">
        <f t="shared" si="72"/>
        <v>0</v>
      </c>
      <c r="GF383" s="179">
        <f t="shared" si="73"/>
        <v>0</v>
      </c>
      <c r="GG383" s="179">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19"/>
      <c r="GC384" s="179">
        <f t="shared" si="70"/>
        <v>0</v>
      </c>
      <c r="GD384" s="179">
        <f t="shared" si="71"/>
        <v>0</v>
      </c>
      <c r="GE384" s="179">
        <f t="shared" si="72"/>
        <v>-5.6599999999999998E-2</v>
      </c>
      <c r="GF384" s="179">
        <f t="shared" si="73"/>
        <v>0</v>
      </c>
      <c r="GG384" s="179">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8"/>
      <c r="GC385" s="178">
        <f t="shared" si="70"/>
        <v>0</v>
      </c>
      <c r="GD385" s="178">
        <f t="shared" si="71"/>
        <v>0</v>
      </c>
      <c r="GE385" s="178">
        <f t="shared" si="72"/>
        <v>0</v>
      </c>
      <c r="GF385" s="178">
        <f t="shared" si="73"/>
        <v>0</v>
      </c>
      <c r="GG385" s="178">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19"/>
      <c r="GC386" s="179">
        <f t="shared" si="70"/>
        <v>0</v>
      </c>
      <c r="GD386" s="179">
        <f t="shared" si="71"/>
        <v>0</v>
      </c>
      <c r="GE386" s="179">
        <f t="shared" si="72"/>
        <v>0</v>
      </c>
      <c r="GF386" s="179">
        <f t="shared" si="73"/>
        <v>0</v>
      </c>
      <c r="GG386" s="179">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8"/>
      <c r="GC387" s="178">
        <f t="shared" si="70"/>
        <v>0</v>
      </c>
      <c r="GD387" s="178">
        <f t="shared" si="71"/>
        <v>7.6399999999999996E-2</v>
      </c>
      <c r="GE387" s="178">
        <f t="shared" si="72"/>
        <v>0</v>
      </c>
      <c r="GF387" s="178">
        <f t="shared" si="73"/>
        <v>0</v>
      </c>
      <c r="GG387" s="178">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19"/>
      <c r="GC388" s="179">
        <f t="shared" si="70"/>
        <v>7.5700000000000003E-2</v>
      </c>
      <c r="GD388" s="179">
        <f t="shared" si="71"/>
        <v>5.0500000000000003E-2</v>
      </c>
      <c r="GE388" s="179">
        <f t="shared" si="72"/>
        <v>0</v>
      </c>
      <c r="GF388" s="179">
        <f t="shared" si="73"/>
        <v>0</v>
      </c>
      <c r="GG388" s="179">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8"/>
      <c r="GC389" s="178">
        <f t="shared" si="70"/>
        <v>0</v>
      </c>
      <c r="GD389" s="178">
        <f t="shared" si="71"/>
        <v>0</v>
      </c>
      <c r="GE389" s="178">
        <f t="shared" si="72"/>
        <v>0</v>
      </c>
      <c r="GF389" s="178">
        <f t="shared" si="73"/>
        <v>0</v>
      </c>
      <c r="GG389" s="178">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3">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19"/>
      <c r="GC390" s="179">
        <f t="shared" si="70"/>
        <v>0</v>
      </c>
      <c r="GD390" s="179">
        <f t="shared" si="71"/>
        <v>0</v>
      </c>
      <c r="GE390" s="179">
        <f t="shared" si="72"/>
        <v>0</v>
      </c>
      <c r="GF390" s="179">
        <f t="shared" si="73"/>
        <v>0</v>
      </c>
      <c r="GG390" s="179">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3">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8"/>
      <c r="GC391" s="178">
        <f t="shared" si="70"/>
        <v>0</v>
      </c>
      <c r="GD391" s="178">
        <f t="shared" si="71"/>
        <v>0</v>
      </c>
      <c r="GE391" s="178">
        <f t="shared" si="72"/>
        <v>0</v>
      </c>
      <c r="GF391" s="178">
        <f t="shared" si="73"/>
        <v>0</v>
      </c>
      <c r="GG391" s="178">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3">
        <f>-1/0.823*0.795</f>
        <v>-0.965978128797084</v>
      </c>
      <c r="DI392" s="36"/>
      <c r="DJ392" s="36"/>
      <c r="DK392" s="36"/>
      <c r="DL392" s="36"/>
      <c r="DM392" s="36"/>
      <c r="DN392" s="36"/>
      <c r="DO392" s="203">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19"/>
      <c r="GC392" s="179">
        <f t="shared" si="70"/>
        <v>0</v>
      </c>
      <c r="GD392" s="179">
        <f t="shared" si="71"/>
        <v>0</v>
      </c>
      <c r="GE392" s="179">
        <f t="shared" si="72"/>
        <v>0</v>
      </c>
      <c r="GF392" s="179">
        <f t="shared" si="73"/>
        <v>0</v>
      </c>
      <c r="GG392" s="179">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-0.293</f>
        <v>-0.29299999999999998</v>
      </c>
      <c r="DI393" s="36"/>
      <c r="DJ393" s="36"/>
      <c r="DK393" s="36"/>
      <c r="DL393" s="36"/>
      <c r="DM393" s="36"/>
      <c r="DN393" s="36"/>
      <c r="DO393" s="203"/>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6.0199999999999997E-2</v>
      </c>
      <c r="GD393" s="179">
        <f t="shared" si="71"/>
        <v>8.9999999999999998E-4</v>
      </c>
      <c r="GE393" s="179">
        <f t="shared" si="72"/>
        <v>0</v>
      </c>
      <c r="GF393" s="179">
        <f t="shared" si="73"/>
        <v>0</v>
      </c>
      <c r="GG393" s="179">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8"/>
      <c r="GC394" s="178">
        <f t="shared" si="70"/>
        <v>0</v>
      </c>
      <c r="GD394" s="178">
        <f t="shared" si="71"/>
        <v>0</v>
      </c>
      <c r="GE394" s="178">
        <f t="shared" si="72"/>
        <v>0</v>
      </c>
      <c r="GF394" s="178">
        <f t="shared" si="73"/>
        <v>0</v>
      </c>
      <c r="GG394" s="178">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19"/>
      <c r="GC395" s="179">
        <f t="shared" si="70"/>
        <v>0</v>
      </c>
      <c r="GD395" s="179">
        <f t="shared" si="71"/>
        <v>0</v>
      </c>
      <c r="GE395" s="179">
        <f t="shared" si="72"/>
        <v>0</v>
      </c>
      <c r="GF395" s="179">
        <f t="shared" si="73"/>
        <v>0</v>
      </c>
      <c r="GG395" s="179">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8"/>
      <c r="GC396" s="178">
        <f t="shared" si="70"/>
        <v>0</v>
      </c>
      <c r="GD396" s="178">
        <f t="shared" si="71"/>
        <v>0</v>
      </c>
      <c r="GE396" s="178">
        <f t="shared" si="72"/>
        <v>0</v>
      </c>
      <c r="GF396" s="178">
        <f t="shared" si="73"/>
        <v>0</v>
      </c>
      <c r="GG396" s="178">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19"/>
      <c r="GC397" s="179">
        <f t="shared" si="70"/>
        <v>0</v>
      </c>
      <c r="GD397" s="179">
        <f t="shared" si="71"/>
        <v>0</v>
      </c>
      <c r="GE397" s="179">
        <f t="shared" si="72"/>
        <v>0</v>
      </c>
      <c r="GF397" s="179">
        <f t="shared" si="73"/>
        <v>0</v>
      </c>
      <c r="GG397" s="179">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8"/>
      <c r="GC399" s="178">
        <f t="shared" si="70"/>
        <v>0</v>
      </c>
      <c r="GD399" s="178">
        <f t="shared" si="71"/>
        <v>0</v>
      </c>
      <c r="GE399" s="178">
        <f t="shared" si="72"/>
        <v>0</v>
      </c>
      <c r="GF399" s="178">
        <f t="shared" si="73"/>
        <v>0</v>
      </c>
      <c r="GG399" s="178">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19"/>
      <c r="GC400" s="179">
        <f t="shared" si="70"/>
        <v>0</v>
      </c>
      <c r="GD400" s="179">
        <f t="shared" si="71"/>
        <v>0</v>
      </c>
      <c r="GE400" s="179">
        <f t="shared" si="72"/>
        <v>0</v>
      </c>
      <c r="GF400" s="179">
        <f t="shared" si="73"/>
        <v>0</v>
      </c>
      <c r="GG400" s="179">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8"/>
      <c r="GC401" s="178">
        <f t="shared" ref="GC401:GC435" si="74">ROUND(IF($C401="Primary",0,-$G401*(SUMPRODUCT($Q$4:$GA$4,$Q401:$GA401)+$J401)-$H401)*IF($N401=GC$4,1,0),4)</f>
        <v>4.2799999999999998E-2</v>
      </c>
      <c r="GD401" s="178">
        <f t="shared" ref="GD401:GD435" si="75">ROUND(IF($C401="Primary",0,$M401*(1-$O401)*($G401*(SUMPRODUCT($Q$4:$GA$4,$Q401:$GA401)+$J401)+$H401-SUMPRODUCT($Q$5:$GA$5,$Q401:$GA401)-$I401+$K401))*IF($N401=GD$4,1,0),4)</f>
        <v>4.2799999999999998E-2</v>
      </c>
      <c r="GE401" s="178">
        <f t="shared" ref="GE401:GE432" si="76">ROUND(IF($C401="Primary",0,(1-$M401)*(1-$O401)*($G401*(SUMPRODUCT($Q$4:$GA$4,$Q401:$GA401)+$J401)+$H401-SUMPRODUCT($Q$5:$GA$5,$Q401:$GA401)-$I401+$L401))*IF($N401=GD$4,1,0),4)</f>
        <v>0</v>
      </c>
      <c r="GF401" s="178">
        <f t="shared" si="73"/>
        <v>0</v>
      </c>
      <c r="GG401" s="178">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19"/>
      <c r="GC402" s="179">
        <f t="shared" si="74"/>
        <v>8.3000000000000004E-2</v>
      </c>
      <c r="GD402" s="179">
        <f t="shared" si="75"/>
        <v>2.7000000000000001E-3</v>
      </c>
      <c r="GE402" s="179">
        <f t="shared" si="76"/>
        <v>0</v>
      </c>
      <c r="GF402" s="179">
        <f t="shared" ref="GF402:GF435" si="77">ROUND(IF($C402="Primary",0,$O402*($G402*(SUMPRODUCT($Q$4:$GA$4,$Q402:$GA402)+$J402)-SUMPRODUCT($Q$5:$GA$5,$Q402:$GA402)-$I402))*IF($N402=GD$4,1,0),4)</f>
        <v>0</v>
      </c>
      <c r="GG402" s="179">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8"/>
      <c r="GC403" s="178">
        <f t="shared" si="74"/>
        <v>0</v>
      </c>
      <c r="GD403" s="178">
        <f t="shared" si="75"/>
        <v>0</v>
      </c>
      <c r="GE403" s="178">
        <f t="shared" si="76"/>
        <v>0</v>
      </c>
      <c r="GF403" s="178">
        <f t="shared" si="77"/>
        <v>0</v>
      </c>
      <c r="GG403" s="178">
        <f t="shared" si="69"/>
        <v>0</v>
      </c>
    </row>
    <row r="404" spans="1:342" s="261" customFormat="1" x14ac:dyDescent="0.35">
      <c r="A404" s="256" t="s">
        <v>1640</v>
      </c>
      <c r="B404" s="6" t="str">
        <f>IF(Technologies!B404&lt;&gt;0,Technologies!B404,"")</f>
        <v>Industrie</v>
      </c>
      <c r="C404" s="256" t="str">
        <f>VLOOKUP($A404,Technologies!$A$7:$H$576,3,FALSE)</f>
        <v>Conversion</v>
      </c>
      <c r="D404" s="256" t="str">
        <f>VLOOKUP($A404,Technologies!$A$7:$H$576,4,FALSE)</f>
        <v>Ammonia</v>
      </c>
      <c r="E404" s="256" t="str">
        <f>VLOOKUP($A404,Technologies!$A$7:$H$576,6,FALSE)</f>
        <v>Ammonia</v>
      </c>
      <c r="F404" s="256" t="str">
        <f>VLOOKUP($A404,Technologies!$A$7:$H$576,7,FALSE)</f>
        <v>Haber Bosch with renewable external H2 - Ammonia Production</v>
      </c>
      <c r="G404" s="262"/>
      <c r="H404" s="262"/>
      <c r="I404" s="264" cm="1">
        <f t="array" ref="I404">-SUMPRODUCT((Feedstocks!$C$4:$C$141=A404)*Feedstocks!$E$4:$E$141,Feedstocks!$F$4:$F$141,Feedstocks!$H$4:$H$141,Feedstocks!$I$4:$I$141)</f>
        <v>0</v>
      </c>
      <c r="J404" s="264" cm="1">
        <f t="array" ref="J404">-SUMPRODUCT((Feedstocks!$C$4:$C$141=A404)*Feedstocks!$E$4:$E$141,Feedstocks!$H$4:$H$141,Feedstocks!$I$4:$I$141)</f>
        <v>0</v>
      </c>
      <c r="K404" s="264"/>
      <c r="L404" s="264"/>
      <c r="M404" s="262">
        <v>1</v>
      </c>
      <c r="N404" s="262" t="str">
        <f>VLOOKUP(E404,Activities!$A$9:$M$227,13,FALSE)</f>
        <v>NL</v>
      </c>
      <c r="O404" s="262"/>
      <c r="P404" s="79" t="s">
        <v>792</v>
      </c>
      <c r="Q404" s="266"/>
      <c r="R404" s="266"/>
      <c r="S404" s="266"/>
      <c r="T404" s="266"/>
      <c r="U404" s="266"/>
      <c r="V404" s="266"/>
      <c r="W404" s="266"/>
      <c r="X404" s="266"/>
      <c r="Y404" s="266"/>
      <c r="Z404" s="266"/>
      <c r="AA404" s="266"/>
      <c r="AB404" s="266"/>
      <c r="AC404" s="266"/>
      <c r="AD404" s="266"/>
      <c r="AE404" s="266"/>
      <c r="AF404" s="266"/>
      <c r="AG404" s="266"/>
      <c r="AH404" s="266"/>
      <c r="AI404" s="266"/>
      <c r="AJ404" s="266"/>
      <c r="AK404" s="266"/>
      <c r="AL404" s="266"/>
      <c r="AM404" s="266"/>
      <c r="AN404" s="266"/>
      <c r="AO404" s="266"/>
      <c r="AP404" s="266"/>
      <c r="AQ404" s="266"/>
      <c r="AR404" s="266"/>
      <c r="AS404" s="266"/>
      <c r="AT404" s="266"/>
      <c r="AU404" s="266"/>
      <c r="AV404" s="266"/>
      <c r="AW404" s="266"/>
      <c r="AX404" s="266"/>
      <c r="AY404" s="266"/>
      <c r="AZ404" s="266"/>
      <c r="BA404" s="266"/>
      <c r="BB404" s="266"/>
      <c r="BC404" s="266"/>
      <c r="BD404" s="266"/>
      <c r="BE404" s="266"/>
      <c r="BF404" s="266"/>
      <c r="BG404" s="266"/>
      <c r="BH404" s="266"/>
      <c r="BI404" s="266"/>
      <c r="BJ404" s="266"/>
      <c r="BK404" s="266"/>
      <c r="BL404" s="266"/>
      <c r="BM404" s="266"/>
      <c r="BN404" s="266"/>
      <c r="BO404" s="266"/>
      <c r="BP404" s="266"/>
      <c r="BQ404" s="266"/>
      <c r="BR404" s="266"/>
      <c r="BS404" s="266"/>
      <c r="BT404" s="266"/>
      <c r="BU404" s="266"/>
      <c r="BV404" s="266"/>
      <c r="BW404" s="266"/>
      <c r="BX404" s="266"/>
      <c r="BY404" s="266"/>
      <c r="BZ404" s="266"/>
      <c r="CA404" s="266"/>
      <c r="CB404" s="266"/>
      <c r="CC404" s="266"/>
      <c r="CD404" s="266"/>
      <c r="CE404" s="266"/>
      <c r="CF404" s="266"/>
      <c r="CG404" s="266"/>
      <c r="CH404" s="266"/>
      <c r="CI404" s="266"/>
      <c r="CJ404" s="266"/>
      <c r="CK404" s="266"/>
      <c r="CL404" s="266"/>
      <c r="CM404" s="266"/>
      <c r="CN404" s="266"/>
      <c r="CO404" s="266"/>
      <c r="CP404" s="266"/>
      <c r="CQ404" s="266"/>
      <c r="CR404" s="266"/>
      <c r="CS404" s="266"/>
      <c r="CT404" s="266"/>
      <c r="CU404" s="266"/>
      <c r="CV404" s="266"/>
      <c r="CW404" s="266"/>
      <c r="CX404" s="266"/>
      <c r="CY404" s="266"/>
      <c r="CZ404" s="266"/>
      <c r="DA404" s="266"/>
      <c r="DB404" s="266"/>
      <c r="DC404" s="266"/>
      <c r="DD404" s="266"/>
      <c r="DE404" s="266"/>
      <c r="DF404" s="266"/>
      <c r="DG404" s="266"/>
      <c r="DH404" s="266">
        <f>-0.1</f>
        <v>-0.1</v>
      </c>
      <c r="DI404" s="266"/>
      <c r="DJ404" s="266"/>
      <c r="DK404" s="266"/>
      <c r="DL404" s="266"/>
      <c r="DM404" s="266"/>
      <c r="DN404" s="266"/>
      <c r="DO404" s="266">
        <f>0.13</f>
        <v>0.13</v>
      </c>
      <c r="DP404" s="266"/>
      <c r="DQ404" s="266"/>
      <c r="DR404" s="266"/>
      <c r="DS404" s="266"/>
      <c r="DT404" s="266"/>
      <c r="DU404" s="266"/>
      <c r="DV404" s="266"/>
      <c r="DW404" s="266"/>
      <c r="DX404" s="266"/>
      <c r="DY404" s="266"/>
      <c r="DZ404" s="266"/>
      <c r="EA404" s="266"/>
      <c r="EB404" s="266"/>
      <c r="EC404" s="266"/>
      <c r="ED404" s="266"/>
      <c r="EE404" s="266"/>
      <c r="EF404" s="266"/>
      <c r="EG404" s="266"/>
      <c r="EH404" s="266"/>
      <c r="EI404" s="266"/>
      <c r="EJ404" s="266"/>
      <c r="EK404" s="266"/>
      <c r="EL404" s="266"/>
      <c r="EM404" s="266">
        <f>-1.145</f>
        <v>-1.145</v>
      </c>
      <c r="EN404" s="266"/>
      <c r="EO404" s="266"/>
      <c r="EP404" s="266"/>
      <c r="EQ404" s="266">
        <v>1</v>
      </c>
      <c r="ER404" s="266"/>
      <c r="ES404" s="266"/>
      <c r="ET404" s="266"/>
      <c r="EU404" s="266"/>
      <c r="EV404" s="266"/>
      <c r="EW404" s="266"/>
      <c r="EX404" s="266"/>
      <c r="EY404" s="266"/>
      <c r="EZ404" s="266"/>
      <c r="FA404" s="266"/>
      <c r="FB404" s="266"/>
      <c r="FC404" s="266"/>
      <c r="FD404" s="266"/>
      <c r="FE404" s="266"/>
      <c r="FF404" s="266"/>
      <c r="FG404" s="266"/>
      <c r="FH404" s="266"/>
      <c r="FI404" s="266"/>
      <c r="FJ404" s="266"/>
      <c r="FK404" s="266"/>
      <c r="FL404" s="266"/>
      <c r="FM404" s="266"/>
      <c r="FN404" s="266"/>
      <c r="FO404" s="266"/>
      <c r="FP404" s="266"/>
      <c r="FQ404" s="266"/>
      <c r="FR404" s="266"/>
      <c r="FS404" s="266"/>
      <c r="FT404" s="266"/>
      <c r="FU404" s="266"/>
      <c r="FV404" s="266"/>
      <c r="FW404" s="266"/>
      <c r="FX404" s="266"/>
      <c r="FY404" s="266"/>
      <c r="FZ404" s="266"/>
      <c r="GA404" s="266"/>
      <c r="GB404" s="321"/>
      <c r="GC404" s="267">
        <f t="shared" si="74"/>
        <v>0</v>
      </c>
      <c r="GD404" s="267">
        <f t="shared" si="75"/>
        <v>0</v>
      </c>
      <c r="GE404" s="267">
        <f t="shared" si="76"/>
        <v>0</v>
      </c>
      <c r="GF404" s="267">
        <f t="shared" si="77"/>
        <v>0</v>
      </c>
      <c r="GG404" s="267">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19"/>
      <c r="GC405" s="179">
        <f t="shared" si="74"/>
        <v>0</v>
      </c>
      <c r="GD405" s="179">
        <f t="shared" si="75"/>
        <v>0</v>
      </c>
      <c r="GE405" s="179">
        <f t="shared" si="76"/>
        <v>0</v>
      </c>
      <c r="GF405" s="179">
        <f t="shared" si="77"/>
        <v>0</v>
      </c>
      <c r="GG405" s="179">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8"/>
      <c r="GC406" s="178">
        <f t="shared" si="74"/>
        <v>0</v>
      </c>
      <c r="GD406" s="178">
        <f t="shared" si="75"/>
        <v>0</v>
      </c>
      <c r="GE406" s="178">
        <f t="shared" si="76"/>
        <v>0</v>
      </c>
      <c r="GF406" s="178">
        <f t="shared" si="77"/>
        <v>0</v>
      </c>
      <c r="GG406" s="178">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19"/>
      <c r="GC407" s="178">
        <f t="shared" si="74"/>
        <v>0</v>
      </c>
      <c r="GD407" s="178">
        <f t="shared" si="75"/>
        <v>0</v>
      </c>
      <c r="GE407" s="178">
        <f t="shared" si="76"/>
        <v>0</v>
      </c>
      <c r="GF407" s="178">
        <f t="shared" si="77"/>
        <v>0</v>
      </c>
      <c r="GG407" s="178">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6.8900000000000003E-2</v>
      </c>
      <c r="GD408" s="178">
        <f t="shared" si="75"/>
        <v>1E-3</v>
      </c>
      <c r="GE408" s="178">
        <f t="shared" si="76"/>
        <v>0</v>
      </c>
      <c r="GF408" s="178">
        <f t="shared" si="77"/>
        <v>0</v>
      </c>
      <c r="GG408" s="178">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8"/>
      <c r="GC409" s="178">
        <f t="shared" si="74"/>
        <v>0</v>
      </c>
      <c r="GD409" s="178">
        <f t="shared" si="75"/>
        <v>0</v>
      </c>
      <c r="GE409" s="178">
        <f t="shared" si="76"/>
        <v>0</v>
      </c>
      <c r="GF409" s="178">
        <f t="shared" si="77"/>
        <v>0</v>
      </c>
      <c r="GG409" s="178">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19"/>
      <c r="GC410" s="179">
        <f t="shared" si="74"/>
        <v>0</v>
      </c>
      <c r="GD410" s="179">
        <f t="shared" si="75"/>
        <v>0</v>
      </c>
      <c r="GE410" s="179">
        <f t="shared" si="76"/>
        <v>0</v>
      </c>
      <c r="GF410" s="179">
        <f t="shared" si="77"/>
        <v>0</v>
      </c>
      <c r="GG410" s="179">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8"/>
      <c r="GC411" s="178">
        <f t="shared" si="74"/>
        <v>0</v>
      </c>
      <c r="GD411" s="178">
        <f t="shared" si="75"/>
        <v>0</v>
      </c>
      <c r="GE411" s="178">
        <f t="shared" si="76"/>
        <v>0</v>
      </c>
      <c r="GF411" s="178">
        <f t="shared" si="77"/>
        <v>0</v>
      </c>
      <c r="GG411" s="178">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19"/>
      <c r="GC412" s="179">
        <f t="shared" si="74"/>
        <v>0</v>
      </c>
      <c r="GD412" s="179">
        <f t="shared" si="75"/>
        <v>0</v>
      </c>
      <c r="GE412" s="179">
        <f t="shared" si="76"/>
        <v>0</v>
      </c>
      <c r="GF412" s="179">
        <f t="shared" si="77"/>
        <v>0</v>
      </c>
      <c r="GG412" s="179">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8"/>
      <c r="GC413" s="178">
        <f t="shared" si="74"/>
        <v>0</v>
      </c>
      <c r="GD413" s="178">
        <f t="shared" si="75"/>
        <v>0</v>
      </c>
      <c r="GE413" s="178">
        <f t="shared" si="76"/>
        <v>0</v>
      </c>
      <c r="GF413" s="178">
        <f t="shared" si="77"/>
        <v>0</v>
      </c>
      <c r="GG413" s="178">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19"/>
      <c r="GC414" s="179">
        <f t="shared" si="74"/>
        <v>0</v>
      </c>
      <c r="GD414" s="179">
        <f t="shared" si="75"/>
        <v>0</v>
      </c>
      <c r="GE414" s="179">
        <f t="shared" si="76"/>
        <v>0</v>
      </c>
      <c r="GF414" s="179">
        <f t="shared" si="77"/>
        <v>0</v>
      </c>
      <c r="GG414" s="179">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8"/>
      <c r="GC415" s="178">
        <f t="shared" si="74"/>
        <v>0</v>
      </c>
      <c r="GD415" s="178">
        <f t="shared" si="75"/>
        <v>0</v>
      </c>
      <c r="GE415" s="178">
        <f t="shared" si="76"/>
        <v>0</v>
      </c>
      <c r="GF415" s="178">
        <f t="shared" si="77"/>
        <v>0</v>
      </c>
      <c r="GG415" s="178">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19"/>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8"/>
      <c r="GC419" s="178">
        <f t="shared" si="74"/>
        <v>0</v>
      </c>
      <c r="GD419" s="178">
        <f t="shared" si="75"/>
        <v>0</v>
      </c>
      <c r="GE419" s="178">
        <f t="shared" si="76"/>
        <v>0</v>
      </c>
      <c r="GF419" s="178">
        <f t="shared" si="77"/>
        <v>0</v>
      </c>
      <c r="GG419" s="178">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19"/>
      <c r="GC420" s="178">
        <f t="shared" si="74"/>
        <v>0</v>
      </c>
      <c r="GD420" s="178">
        <f t="shared" si="75"/>
        <v>0</v>
      </c>
      <c r="GE420" s="178">
        <f t="shared" si="76"/>
        <v>0</v>
      </c>
      <c r="GF420" s="178">
        <f t="shared" si="77"/>
        <v>0</v>
      </c>
      <c r="GG420" s="178">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8"/>
      <c r="GC421" s="178">
        <f t="shared" si="74"/>
        <v>0</v>
      </c>
      <c r="GD421" s="178">
        <f t="shared" si="75"/>
        <v>0</v>
      </c>
      <c r="GE421" s="178">
        <f t="shared" si="76"/>
        <v>0</v>
      </c>
      <c r="GF421" s="178">
        <f t="shared" si="77"/>
        <v>0</v>
      </c>
      <c r="GG421" s="178">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19"/>
      <c r="GC422" s="179">
        <f t="shared" si="74"/>
        <v>0</v>
      </c>
      <c r="GD422" s="179">
        <f t="shared" si="75"/>
        <v>0</v>
      </c>
      <c r="GE422" s="179">
        <f t="shared" si="76"/>
        <v>0</v>
      </c>
      <c r="GF422" s="179">
        <f t="shared" si="77"/>
        <v>0</v>
      </c>
      <c r="GG422" s="179">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8"/>
      <c r="GC423" s="178">
        <f t="shared" si="74"/>
        <v>0</v>
      </c>
      <c r="GD423" s="178">
        <f t="shared" si="75"/>
        <v>0</v>
      </c>
      <c r="GE423" s="178">
        <f t="shared" si="76"/>
        <v>0</v>
      </c>
      <c r="GF423" s="178">
        <f t="shared" si="77"/>
        <v>0</v>
      </c>
      <c r="GG423" s="178">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19"/>
      <c r="GC424" s="179">
        <f t="shared" si="74"/>
        <v>0</v>
      </c>
      <c r="GD424" s="179">
        <f t="shared" si="75"/>
        <v>0</v>
      </c>
      <c r="GE424" s="179">
        <f t="shared" si="76"/>
        <v>0</v>
      </c>
      <c r="GF424" s="179">
        <f t="shared" si="77"/>
        <v>0</v>
      </c>
      <c r="GG424" s="179">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8"/>
      <c r="GC425" s="178">
        <f t="shared" si="74"/>
        <v>0</v>
      </c>
      <c r="GD425" s="178">
        <f t="shared" si="75"/>
        <v>0</v>
      </c>
      <c r="GE425" s="178">
        <f t="shared" si="76"/>
        <v>0</v>
      </c>
      <c r="GF425" s="178">
        <f t="shared" si="77"/>
        <v>0</v>
      </c>
      <c r="GG425" s="178">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19"/>
      <c r="GC426" s="179">
        <f t="shared" si="74"/>
        <v>0</v>
      </c>
      <c r="GD426" s="179">
        <f t="shared" si="75"/>
        <v>0</v>
      </c>
      <c r="GE426" s="179">
        <f t="shared" si="76"/>
        <v>0</v>
      </c>
      <c r="GF426" s="179">
        <f t="shared" si="77"/>
        <v>0</v>
      </c>
      <c r="GG426" s="179">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8"/>
      <c r="GC427" s="178">
        <f t="shared" si="74"/>
        <v>0</v>
      </c>
      <c r="GD427" s="178">
        <f t="shared" si="75"/>
        <v>0</v>
      </c>
      <c r="GE427" s="178">
        <f t="shared" si="76"/>
        <v>0</v>
      </c>
      <c r="GF427" s="178">
        <f t="shared" si="77"/>
        <v>0</v>
      </c>
      <c r="GG427" s="178">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19"/>
      <c r="GC428" s="179">
        <f t="shared" si="74"/>
        <v>0</v>
      </c>
      <c r="GD428" s="179">
        <f t="shared" si="75"/>
        <v>0</v>
      </c>
      <c r="GE428" s="179">
        <f t="shared" si="76"/>
        <v>0</v>
      </c>
      <c r="GF428" s="179">
        <f t="shared" si="77"/>
        <v>0</v>
      </c>
      <c r="GG428" s="179">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8"/>
      <c r="GC430" s="178">
        <f t="shared" si="74"/>
        <v>0</v>
      </c>
      <c r="GD430" s="178">
        <f t="shared" si="75"/>
        <v>0</v>
      </c>
      <c r="GE430" s="178">
        <f t="shared" si="76"/>
        <v>0</v>
      </c>
      <c r="GF430" s="178">
        <f t="shared" si="77"/>
        <v>0</v>
      </c>
      <c r="GG430" s="178">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19"/>
      <c r="GC431" s="179">
        <f t="shared" si="74"/>
        <v>0</v>
      </c>
      <c r="GD431" s="179">
        <f t="shared" si="75"/>
        <v>0</v>
      </c>
      <c r="GE431" s="179">
        <f t="shared" si="76"/>
        <v>0</v>
      </c>
      <c r="GF431" s="179">
        <f t="shared" si="77"/>
        <v>0</v>
      </c>
      <c r="GG431" s="179">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8"/>
      <c r="GC432" s="178">
        <f t="shared" si="74"/>
        <v>0</v>
      </c>
      <c r="GD432" s="178">
        <f t="shared" si="75"/>
        <v>0</v>
      </c>
      <c r="GE432" s="178">
        <f t="shared" si="76"/>
        <v>0</v>
      </c>
      <c r="GF432" s="178">
        <f t="shared" si="77"/>
        <v>0</v>
      </c>
      <c r="GG432" s="178">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19"/>
      <c r="GC433" s="179">
        <f t="shared" si="74"/>
        <v>0</v>
      </c>
      <c r="GD433" s="179">
        <f t="shared" si="75"/>
        <v>0</v>
      </c>
      <c r="GE433" s="179">
        <f t="shared" ref="GE433:GE435" si="79">ROUND(IF($C433="Primary",0,(1-$M433)*(1-$O433)*($G433*(SUMPRODUCT($Q$4:$GA$4,$Q433:$GA433)+$J433)+$H433-SUMPRODUCT($Q$5:$GA$5,$Q433:$GA433)-$I433+$L433))*IF($N433=GD$4,1,0),4)</f>
        <v>0</v>
      </c>
      <c r="GF433" s="179">
        <f t="shared" si="77"/>
        <v>0</v>
      </c>
      <c r="GG433" s="179">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8"/>
      <c r="GC434" s="178">
        <f t="shared" si="74"/>
        <v>0</v>
      </c>
      <c r="GD434" s="178">
        <f t="shared" si="75"/>
        <v>0</v>
      </c>
      <c r="GE434" s="178">
        <f t="shared" si="79"/>
        <v>0</v>
      </c>
      <c r="GF434" s="178">
        <f t="shared" si="77"/>
        <v>0</v>
      </c>
      <c r="GG434" s="178">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19"/>
      <c r="GC435" s="179">
        <f t="shared" si="74"/>
        <v>0</v>
      </c>
      <c r="GD435" s="179">
        <f t="shared" si="75"/>
        <v>0</v>
      </c>
      <c r="GE435" s="179">
        <f t="shared" si="79"/>
        <v>0</v>
      </c>
      <c r="GF435" s="179">
        <f t="shared" si="77"/>
        <v>0</v>
      </c>
      <c r="GG435" s="179">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8"/>
      <c r="GC436" s="178">
        <f t="shared" ref="GC436:GC460" si="80">ROUND(IF($C436="Primary",0,-$G436*(SUMPRODUCT($Q$4:$GA$4,$Q436:$GA436)+$J436)-$H436)*IF($N436=GC$4,1,0),4)</f>
        <v>0</v>
      </c>
      <c r="GD436" s="178">
        <f t="shared" ref="GD436:GD460" si="81">ROUND(IF($C436="Primary",0,$M436*(1-$O436)*($G436*(SUMPRODUCT($Q$4:$GA$4,$Q436:$GA436)+$J436)+$H436-SUMPRODUCT($Q$5:$GA$5,$Q436:$GA436)-$I436+$K436))*IF($N436=GD$4,1,0),4)</f>
        <v>0</v>
      </c>
      <c r="GE436" s="178">
        <f t="shared" ref="GE436:GE460" si="82">ROUND(IF($C436="Primary",0,(1-$M436)*(1-$O436)*($G436*(SUMPRODUCT($Q$4:$GA$4,$Q436:$GA436)+$J436)+$H436-SUMPRODUCT($Q$5:$GA$5,$Q436:$GA436)-$I436+$L436))*IF($N436=GD$4,1,0),4)</f>
        <v>0</v>
      </c>
      <c r="GF436" s="178">
        <f t="shared" ref="GF436:GF460" si="83">ROUND(IF($C436="Primary",0,$O436*($G436*(SUMPRODUCT($Q$4:$GA$4,$Q436:$GA436)+$J436)-SUMPRODUCT($Q$5:$GA$5,$Q436:$GA436)-$I436))*IF($N436=GD$4,1,0),4)</f>
        <v>0</v>
      </c>
      <c r="GG436" s="178">
        <f t="shared" si="78"/>
        <v>0</v>
      </c>
    </row>
    <row r="437" spans="1:189" x14ac:dyDescent="0.35">
      <c r="A437" s="357"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8">
        <v>1</v>
      </c>
      <c r="CR437" s="318"/>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9">
        <f t="shared" si="80"/>
        <v>0</v>
      </c>
      <c r="GD437" s="179">
        <f t="shared" si="81"/>
        <v>0</v>
      </c>
      <c r="GE437" s="179">
        <f t="shared" si="82"/>
        <v>0</v>
      </c>
      <c r="GF437" s="179">
        <f t="shared" si="83"/>
        <v>0</v>
      </c>
      <c r="GG437" s="179">
        <f t="shared" si="78"/>
        <v>0</v>
      </c>
    </row>
    <row r="438" spans="1:189" x14ac:dyDescent="0.35">
      <c r="A438" s="357"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c r="CR438" s="318">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8">
        <f t="shared" si="80"/>
        <v>0</v>
      </c>
      <c r="GD438" s="178">
        <f t="shared" si="81"/>
        <v>0</v>
      </c>
      <c r="GE438" s="178">
        <f t="shared" si="82"/>
        <v>0</v>
      </c>
      <c r="GF438" s="178">
        <f t="shared" si="83"/>
        <v>0</v>
      </c>
      <c r="GG438" s="178">
        <f t="shared" si="78"/>
        <v>0</v>
      </c>
    </row>
    <row r="439" spans="1:189" x14ac:dyDescent="0.35">
      <c r="A439" s="357"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19"/>
      <c r="CF439" s="319"/>
      <c r="CG439" s="319"/>
      <c r="CH439" s="319"/>
      <c r="CI439" s="319"/>
      <c r="CJ439" s="319"/>
      <c r="CK439" s="319"/>
      <c r="CL439" s="319">
        <v>1</v>
      </c>
      <c r="CM439" s="319"/>
      <c r="CN439" s="319"/>
      <c r="CO439" s="35"/>
      <c r="CP439" s="35"/>
      <c r="CQ439" s="318"/>
      <c r="CR439" s="318"/>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9">
        <f t="shared" si="80"/>
        <v>0</v>
      </c>
      <c r="GD439" s="179">
        <f t="shared" si="81"/>
        <v>0</v>
      </c>
      <c r="GE439" s="179">
        <f t="shared" si="82"/>
        <v>0</v>
      </c>
      <c r="GF439" s="179">
        <f t="shared" si="83"/>
        <v>0</v>
      </c>
      <c r="GG439" s="179">
        <f t="shared" si="78"/>
        <v>0</v>
      </c>
    </row>
    <row r="440" spans="1:189" x14ac:dyDescent="0.35">
      <c r="A440" s="357"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v>1</v>
      </c>
      <c r="CF440" s="319"/>
      <c r="CG440" s="319"/>
      <c r="CH440" s="319"/>
      <c r="CI440" s="319"/>
      <c r="CJ440" s="319"/>
      <c r="CK440" s="319"/>
      <c r="CL440" s="319"/>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8">
        <f t="shared" si="80"/>
        <v>0</v>
      </c>
      <c r="GD440" s="178">
        <f t="shared" si="81"/>
        <v>0</v>
      </c>
      <c r="GE440" s="178">
        <f t="shared" si="82"/>
        <v>0</v>
      </c>
      <c r="GF440" s="178">
        <f t="shared" si="83"/>
        <v>0</v>
      </c>
      <c r="GG440" s="178">
        <f t="shared" si="78"/>
        <v>0</v>
      </c>
    </row>
    <row r="441" spans="1:189" x14ac:dyDescent="0.35">
      <c r="A441" s="357"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c r="CF441" s="319"/>
      <c r="CG441" s="319"/>
      <c r="CH441" s="319"/>
      <c r="CI441" s="319"/>
      <c r="CJ441" s="319"/>
      <c r="CK441" s="319"/>
      <c r="CL441" s="319"/>
      <c r="CM441" s="319">
        <v>1</v>
      </c>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9">
        <f t="shared" si="80"/>
        <v>0</v>
      </c>
      <c r="GD441" s="179">
        <f t="shared" si="81"/>
        <v>0</v>
      </c>
      <c r="GE441" s="179">
        <f t="shared" si="82"/>
        <v>0</v>
      </c>
      <c r="GF441" s="179">
        <f t="shared" si="83"/>
        <v>0</v>
      </c>
      <c r="GG441" s="179">
        <f t="shared" si="78"/>
        <v>0</v>
      </c>
    </row>
    <row r="442" spans="1:189" x14ac:dyDescent="0.35">
      <c r="A442" s="357"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v>1</v>
      </c>
      <c r="CF442" s="319"/>
      <c r="CG442" s="319"/>
      <c r="CH442" s="319"/>
      <c r="CI442" s="319"/>
      <c r="CJ442" s="319"/>
      <c r="CK442" s="319"/>
      <c r="CL442" s="319">
        <v>-1</v>
      </c>
      <c r="CM442" s="319"/>
      <c r="CN442" s="319"/>
      <c r="CO442" s="35"/>
      <c r="CP442" s="35"/>
      <c r="CQ442" s="318"/>
      <c r="CR442" s="318"/>
      <c r="CS442" s="35"/>
      <c r="CT442" s="35"/>
      <c r="CU442" s="35"/>
      <c r="CV442" s="35"/>
      <c r="CW442" s="35"/>
      <c r="CX442" s="35"/>
      <c r="CY442" s="35"/>
      <c r="CZ442" s="35"/>
      <c r="DA442" s="35"/>
      <c r="DB442" s="35"/>
      <c r="DC442" s="35"/>
      <c r="DD442" s="35"/>
      <c r="DE442" s="35"/>
      <c r="DF442" s="35"/>
      <c r="DG442" s="35"/>
      <c r="DH442" s="318">
        <v>-0.26</v>
      </c>
      <c r="DI442" s="35"/>
      <c r="DJ442" s="35"/>
      <c r="DK442" s="35"/>
      <c r="DL442" s="35"/>
      <c r="DM442" s="35"/>
      <c r="DN442" s="35"/>
      <c r="DO442" s="318">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8">
        <f t="shared" si="80"/>
        <v>0</v>
      </c>
      <c r="GD442" s="178">
        <f t="shared" si="81"/>
        <v>0</v>
      </c>
      <c r="GE442" s="178">
        <f t="shared" si="82"/>
        <v>0</v>
      </c>
      <c r="GF442" s="178">
        <f t="shared" si="83"/>
        <v>0</v>
      </c>
      <c r="GG442" s="178">
        <f t="shared" si="78"/>
        <v>0</v>
      </c>
    </row>
    <row r="443" spans="1:189" x14ac:dyDescent="0.35">
      <c r="A443" s="357"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8"/>
      <c r="CR443" s="318"/>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9">
        <f t="shared" si="80"/>
        <v>0</v>
      </c>
      <c r="GD443" s="179">
        <f t="shared" si="81"/>
        <v>0</v>
      </c>
      <c r="GE443" s="179">
        <f t="shared" si="82"/>
        <v>0</v>
      </c>
      <c r="GF443" s="179">
        <f t="shared" si="83"/>
        <v>0</v>
      </c>
      <c r="GG443" s="179">
        <f t="shared" si="78"/>
        <v>0</v>
      </c>
    </row>
    <row r="444" spans="1:189" x14ac:dyDescent="0.35">
      <c r="A444" s="357"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8">
        <f t="shared" si="80"/>
        <v>0</v>
      </c>
      <c r="GD444" s="178">
        <f t="shared" si="81"/>
        <v>0</v>
      </c>
      <c r="GE444" s="178">
        <f t="shared" si="82"/>
        <v>0</v>
      </c>
      <c r="GF444" s="178">
        <f t="shared" si="83"/>
        <v>0</v>
      </c>
      <c r="GG444" s="178">
        <f t="shared" si="78"/>
        <v>0</v>
      </c>
    </row>
    <row r="445" spans="1:189" x14ac:dyDescent="0.35">
      <c r="A445" s="357"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9">
        <f t="shared" si="80"/>
        <v>0</v>
      </c>
      <c r="GD445" s="179">
        <f t="shared" si="81"/>
        <v>0</v>
      </c>
      <c r="GE445" s="179">
        <f t="shared" si="82"/>
        <v>0</v>
      </c>
      <c r="GF445" s="179">
        <f t="shared" si="83"/>
        <v>0</v>
      </c>
      <c r="GG445" s="179">
        <f t="shared" si="78"/>
        <v>0</v>
      </c>
    </row>
    <row r="446" spans="1:189" x14ac:dyDescent="0.35">
      <c r="A446" s="357"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8">
        <f t="shared" si="80"/>
        <v>0</v>
      </c>
      <c r="GD446" s="178">
        <f t="shared" si="81"/>
        <v>0</v>
      </c>
      <c r="GE446" s="178">
        <f t="shared" si="82"/>
        <v>0</v>
      </c>
      <c r="GF446" s="178">
        <f t="shared" si="83"/>
        <v>0</v>
      </c>
      <c r="GG446" s="178">
        <f t="shared" si="78"/>
        <v>0</v>
      </c>
    </row>
    <row r="447" spans="1:189" x14ac:dyDescent="0.35">
      <c r="A447" s="357"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9">
        <f t="shared" si="80"/>
        <v>0</v>
      </c>
      <c r="GD447" s="179">
        <f t="shared" si="81"/>
        <v>0</v>
      </c>
      <c r="GE447" s="179">
        <f t="shared" si="82"/>
        <v>0</v>
      </c>
      <c r="GF447" s="179">
        <f t="shared" si="83"/>
        <v>0</v>
      </c>
      <c r="GG447" s="179">
        <f t="shared" si="78"/>
        <v>0</v>
      </c>
    </row>
    <row r="448" spans="1:189" x14ac:dyDescent="0.35">
      <c r="A448" s="357"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8"/>
      <c r="CR448" s="318"/>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8">
        <f t="shared" si="80"/>
        <v>0</v>
      </c>
      <c r="GD448" s="178">
        <f t="shared" si="81"/>
        <v>0</v>
      </c>
      <c r="GE448" s="178">
        <f t="shared" si="82"/>
        <v>0</v>
      </c>
      <c r="GF448" s="178">
        <f t="shared" si="83"/>
        <v>0</v>
      </c>
      <c r="GG448" s="178">
        <f t="shared" si="78"/>
        <v>0</v>
      </c>
    </row>
    <row r="449" spans="1:189" x14ac:dyDescent="0.35">
      <c r="A449" s="357"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9">
        <f t="shared" si="80"/>
        <v>0</v>
      </c>
      <c r="GD449" s="179">
        <f t="shared" si="81"/>
        <v>0</v>
      </c>
      <c r="GE449" s="179">
        <f t="shared" si="82"/>
        <v>0</v>
      </c>
      <c r="GF449" s="179">
        <f t="shared" si="83"/>
        <v>0</v>
      </c>
      <c r="GG449" s="179">
        <f t="shared" si="78"/>
        <v>0</v>
      </c>
    </row>
    <row r="450" spans="1:189" x14ac:dyDescent="0.35">
      <c r="A450" s="357"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8"/>
      <c r="CR450" s="318"/>
      <c r="CS450" s="35"/>
      <c r="CT450" s="35"/>
      <c r="CU450" s="35"/>
      <c r="CV450" s="35"/>
      <c r="CW450" s="35"/>
      <c r="CX450" s="35"/>
      <c r="CY450" s="35"/>
      <c r="CZ450" s="35"/>
      <c r="DA450" s="35"/>
      <c r="DB450" s="35"/>
      <c r="DC450" s="35"/>
      <c r="DD450" s="35"/>
      <c r="DE450" s="35"/>
      <c r="DF450" s="35"/>
      <c r="DG450" s="35"/>
      <c r="DH450" s="404">
        <f>-(36.8+0.32)*0.0036/100</f>
        <v>-1.33632E-3</v>
      </c>
      <c r="DI450" s="35"/>
      <c r="DJ450" s="35"/>
      <c r="DK450" s="35"/>
      <c r="DL450" s="35"/>
      <c r="DM450" s="35"/>
      <c r="DN450" s="35"/>
      <c r="DO450" s="35"/>
      <c r="DP450" s="35"/>
      <c r="DQ450" s="35"/>
      <c r="DR450" s="35"/>
      <c r="DS450" s="35"/>
      <c r="DT450" s="35"/>
      <c r="DU450" s="406">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8">
        <f t="shared" si="80"/>
        <v>0</v>
      </c>
      <c r="GD450" s="178">
        <f t="shared" si="81"/>
        <v>0</v>
      </c>
      <c r="GE450" s="178">
        <f t="shared" si="82"/>
        <v>3.44E-2</v>
      </c>
      <c r="GF450" s="178">
        <f t="shared" si="83"/>
        <v>0</v>
      </c>
      <c r="GG450" s="178">
        <f t="shared" si="78"/>
        <v>0</v>
      </c>
    </row>
    <row r="451" spans="1:189" x14ac:dyDescent="0.35">
      <c r="A451" s="357"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1">
        <f>CH453</f>
        <v>0.9652173913043478</v>
      </c>
      <c r="CJ451" s="1">
        <v>-1</v>
      </c>
      <c r="CO451" s="35"/>
      <c r="CP451" s="35"/>
      <c r="CQ451" s="318"/>
      <c r="CR451" s="318"/>
      <c r="CS451" s="35"/>
      <c r="CT451" s="35"/>
      <c r="CU451" s="35"/>
      <c r="CV451" s="35"/>
      <c r="CW451" s="35"/>
      <c r="CX451" s="35"/>
      <c r="CY451" s="35"/>
      <c r="CZ451" s="35"/>
      <c r="DA451" s="35"/>
      <c r="DB451" s="35"/>
      <c r="DC451" s="35"/>
      <c r="DD451" s="35"/>
      <c r="DE451" s="35"/>
      <c r="DF451" s="35"/>
      <c r="DG451" s="35"/>
      <c r="DH451" s="405">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9">
        <f t="shared" si="80"/>
        <v>0</v>
      </c>
      <c r="GD451" s="179">
        <f t="shared" si="81"/>
        <v>0</v>
      </c>
      <c r="GE451" s="179">
        <f t="shared" si="82"/>
        <v>0</v>
      </c>
      <c r="GF451" s="179">
        <f t="shared" si="83"/>
        <v>0</v>
      </c>
      <c r="GG451" s="179">
        <f t="shared" si="78"/>
        <v>0</v>
      </c>
    </row>
    <row r="452" spans="1:189" x14ac:dyDescent="0.35">
      <c r="A452" s="357"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c r="CJ452" s="1">
        <v>-1</v>
      </c>
      <c r="CK452" s="211">
        <v>0.95</v>
      </c>
      <c r="CL452" s="211"/>
      <c r="CM452" s="211"/>
      <c r="CN452" s="211"/>
      <c r="CO452" s="35"/>
      <c r="CP452" s="35"/>
      <c r="CQ452" s="318"/>
      <c r="CR452" s="318"/>
      <c r="CS452" s="35"/>
      <c r="CT452" s="35"/>
      <c r="CU452" s="35"/>
      <c r="CV452" s="35"/>
      <c r="CW452" s="35"/>
      <c r="CX452" s="35"/>
      <c r="CY452" s="35"/>
      <c r="CZ452" s="35"/>
      <c r="DA452" s="35"/>
      <c r="DB452" s="35"/>
      <c r="DC452" s="35"/>
      <c r="DD452" s="35"/>
      <c r="DE452" s="35"/>
      <c r="DF452" s="35"/>
      <c r="DG452" s="35"/>
      <c r="DH452" s="405">
        <v>-1.1200000000000001</v>
      </c>
      <c r="DI452" s="35"/>
      <c r="DJ452" s="35"/>
      <c r="DK452" s="35"/>
      <c r="DL452" s="35"/>
      <c r="DM452" s="35"/>
      <c r="DN452" s="35"/>
      <c r="DO452" s="35"/>
      <c r="DP452" s="35"/>
      <c r="DQ452" s="35"/>
      <c r="DR452" s="35"/>
      <c r="DS452" s="35"/>
      <c r="DT452" s="35"/>
      <c r="DU452" s="406"/>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8">
        <f t="shared" si="80"/>
        <v>0</v>
      </c>
      <c r="GD452" s="178">
        <f t="shared" si="81"/>
        <v>0</v>
      </c>
      <c r="GE452" s="178">
        <f t="shared" si="82"/>
        <v>0</v>
      </c>
      <c r="GF452" s="178">
        <f t="shared" si="83"/>
        <v>0</v>
      </c>
      <c r="GG452" s="178">
        <f t="shared" si="78"/>
        <v>0</v>
      </c>
    </row>
    <row r="453" spans="1:189" x14ac:dyDescent="0.35">
      <c r="A453" s="357"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1">
        <f>(23+40+18+30)/115</f>
        <v>0.9652173913043478</v>
      </c>
      <c r="CO453" s="35"/>
      <c r="CP453" s="35"/>
      <c r="CQ453" s="318"/>
      <c r="CR453" s="318"/>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9">
        <f t="shared" si="80"/>
        <v>0</v>
      </c>
      <c r="GD453" s="179">
        <f t="shared" si="81"/>
        <v>0</v>
      </c>
      <c r="GE453" s="179">
        <f t="shared" si="82"/>
        <v>0</v>
      </c>
      <c r="GF453" s="179">
        <f t="shared" si="83"/>
        <v>0</v>
      </c>
      <c r="GG453" s="179">
        <f t="shared" si="78"/>
        <v>0</v>
      </c>
    </row>
    <row r="454" spans="1:189" x14ac:dyDescent="0.35">
      <c r="A454" s="357"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1"/>
      <c r="CJ454" s="1">
        <v>-1</v>
      </c>
      <c r="CM454" s="1">
        <v>1</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8">
        <f t="shared" si="80"/>
        <v>0</v>
      </c>
      <c r="GD454" s="178">
        <f t="shared" si="81"/>
        <v>0</v>
      </c>
      <c r="GE454" s="178">
        <f t="shared" si="82"/>
        <v>0</v>
      </c>
      <c r="GF454" s="178">
        <f t="shared" si="83"/>
        <v>0</v>
      </c>
      <c r="GG454" s="178">
        <f t="shared" si="78"/>
        <v>0</v>
      </c>
    </row>
    <row r="455" spans="1:189" x14ac:dyDescent="0.35">
      <c r="A455" s="357"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9">
        <f t="shared" si="80"/>
        <v>0</v>
      </c>
      <c r="GD455" s="179">
        <f t="shared" si="81"/>
        <v>0</v>
      </c>
      <c r="GE455" s="179">
        <f t="shared" si="82"/>
        <v>0</v>
      </c>
      <c r="GF455" s="179">
        <f t="shared" si="83"/>
        <v>0</v>
      </c>
      <c r="GG455" s="179">
        <f t="shared" si="78"/>
        <v>0</v>
      </c>
    </row>
    <row r="456" spans="1:189" x14ac:dyDescent="0.35">
      <c r="A456" s="357"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8">
        <f t="shared" si="80"/>
        <v>0</v>
      </c>
      <c r="GD456" s="178">
        <f t="shared" si="81"/>
        <v>0</v>
      </c>
      <c r="GE456" s="178">
        <f t="shared" si="82"/>
        <v>0</v>
      </c>
      <c r="GF456" s="178">
        <f t="shared" si="83"/>
        <v>0</v>
      </c>
      <c r="GG456" s="178">
        <f t="shared" si="78"/>
        <v>0</v>
      </c>
    </row>
    <row r="457" spans="1:189" x14ac:dyDescent="0.35">
      <c r="A457" s="357"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9">
        <f t="shared" si="80"/>
        <v>0</v>
      </c>
      <c r="GD457" s="179">
        <f t="shared" si="81"/>
        <v>0</v>
      </c>
      <c r="GE457" s="179">
        <f t="shared" si="82"/>
        <v>0</v>
      </c>
      <c r="GF457" s="179">
        <f t="shared" si="83"/>
        <v>0</v>
      </c>
      <c r="GG457" s="179">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8">
        <f t="shared" si="80"/>
        <v>0</v>
      </c>
      <c r="GD458" s="178">
        <f t="shared" si="81"/>
        <v>0</v>
      </c>
      <c r="GE458" s="178">
        <f t="shared" si="82"/>
        <v>0</v>
      </c>
      <c r="GF458" s="178">
        <f t="shared" si="83"/>
        <v>0</v>
      </c>
      <c r="GG458" s="178">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9">
        <f t="shared" si="80"/>
        <v>0</v>
      </c>
      <c r="GD459" s="179">
        <f t="shared" si="81"/>
        <v>0</v>
      </c>
      <c r="GE459" s="179">
        <f t="shared" si="82"/>
        <v>0</v>
      </c>
      <c r="GF459" s="179">
        <f t="shared" si="83"/>
        <v>0</v>
      </c>
      <c r="GG459" s="179">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8">
        <f t="shared" si="80"/>
        <v>0</v>
      </c>
      <c r="GD460" s="178">
        <f t="shared" si="81"/>
        <v>0</v>
      </c>
      <c r="GE460" s="178">
        <f t="shared" si="82"/>
        <v>0</v>
      </c>
      <c r="GF460" s="178">
        <f t="shared" si="83"/>
        <v>0</v>
      </c>
      <c r="GG460" s="178">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19"/>
      <c r="GC461" s="324"/>
      <c r="GD461" s="324"/>
      <c r="GE461" s="324">
        <v>1</v>
      </c>
      <c r="GF461" s="324"/>
      <c r="GG461" s="324"/>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8"/>
      <c r="GC462" s="325"/>
      <c r="GD462" s="325"/>
      <c r="GE462" s="325"/>
      <c r="GF462" s="325"/>
      <c r="GG462" s="325"/>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19"/>
      <c r="GC463" s="324"/>
      <c r="GD463" s="324"/>
      <c r="GE463" s="324">
        <v>1</v>
      </c>
      <c r="GF463" s="324"/>
      <c r="GG463" s="324"/>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8"/>
      <c r="GC464" s="325"/>
      <c r="GD464" s="325"/>
      <c r="GE464" s="325"/>
      <c r="GF464" s="325"/>
      <c r="GG464" s="325"/>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19"/>
      <c r="GC465" s="324"/>
      <c r="GD465" s="324"/>
      <c r="GE465" s="324">
        <v>1</v>
      </c>
      <c r="GF465" s="324"/>
      <c r="GG465" s="324"/>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8"/>
      <c r="GC466" s="325"/>
      <c r="GD466" s="325"/>
      <c r="GE466" s="325"/>
      <c r="GF466" s="325"/>
      <c r="GG466" s="325"/>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19"/>
      <c r="GC467" s="324"/>
      <c r="GD467" s="324"/>
      <c r="GE467" s="324">
        <v>1</v>
      </c>
      <c r="GF467" s="324"/>
      <c r="GG467" s="324"/>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8"/>
      <c r="GC468" s="325"/>
      <c r="GD468" s="325"/>
      <c r="GE468" s="325"/>
      <c r="GF468" s="325"/>
      <c r="GG468" s="325"/>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19"/>
      <c r="GC469" s="324"/>
      <c r="GD469" s="324"/>
      <c r="GE469" s="324"/>
      <c r="GF469" s="324"/>
      <c r="GG469" s="324"/>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8"/>
      <c r="GC470" s="325"/>
      <c r="GD470" s="325"/>
      <c r="GE470" s="325"/>
      <c r="GF470" s="325"/>
      <c r="GG470" s="325"/>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19"/>
      <c r="GC471" s="324"/>
      <c r="GD471" s="324"/>
      <c r="GE471" s="324"/>
      <c r="GF471" s="324"/>
      <c r="GG471" s="324"/>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8"/>
      <c r="GC472" s="325"/>
      <c r="GD472" s="325"/>
      <c r="GE472" s="325"/>
      <c r="GF472" s="325"/>
      <c r="GG472" s="325"/>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19"/>
      <c r="GC473" s="324"/>
      <c r="GD473" s="324"/>
      <c r="GE473" s="324"/>
      <c r="GF473" s="324"/>
      <c r="GG473" s="324"/>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8"/>
      <c r="GC474" s="325"/>
      <c r="GD474" s="325"/>
      <c r="GE474" s="325">
        <v>1</v>
      </c>
      <c r="GF474" s="325"/>
      <c r="GG474" s="325"/>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19"/>
      <c r="GC475" s="324"/>
      <c r="GD475" s="324"/>
      <c r="GE475" s="324"/>
      <c r="GF475" s="324"/>
      <c r="GG475" s="324"/>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8"/>
      <c r="GC476" s="325"/>
      <c r="GD476" s="325"/>
      <c r="GE476" s="325"/>
      <c r="GF476" s="325"/>
      <c r="GG476" s="325"/>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19"/>
      <c r="GC477" s="324"/>
      <c r="GD477" s="324"/>
      <c r="GE477" s="324"/>
      <c r="GF477" s="324"/>
      <c r="GG477" s="324"/>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8"/>
      <c r="GC478" s="325"/>
      <c r="GD478" s="325"/>
      <c r="GE478" s="325"/>
      <c r="GF478" s="325"/>
      <c r="GG478" s="325"/>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19"/>
      <c r="GC479" s="324"/>
      <c r="GD479" s="324"/>
      <c r="GE479" s="324"/>
      <c r="GF479" s="324"/>
      <c r="GG479" s="324"/>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8"/>
      <c r="GC480" s="325"/>
      <c r="GD480" s="325"/>
      <c r="GE480" s="325"/>
      <c r="GF480" s="325"/>
      <c r="GG480" s="325"/>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19"/>
      <c r="GC481" s="324"/>
      <c r="GD481" s="324"/>
      <c r="GE481" s="324"/>
      <c r="GF481" s="324"/>
      <c r="GG481" s="324"/>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8"/>
      <c r="GC482" s="325"/>
      <c r="GD482" s="325"/>
      <c r="GE482" s="325">
        <v>1</v>
      </c>
      <c r="GF482" s="325"/>
      <c r="GG482" s="325"/>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19"/>
      <c r="GC483" s="324"/>
      <c r="GD483" s="324"/>
      <c r="GE483" s="324"/>
      <c r="GF483" s="324"/>
      <c r="GG483" s="324"/>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8"/>
      <c r="GC484" s="325"/>
      <c r="GD484" s="325"/>
      <c r="GE484" s="325">
        <v>1</v>
      </c>
      <c r="GF484" s="325"/>
      <c r="GG484" s="325"/>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19"/>
      <c r="GC485" s="324"/>
      <c r="GD485" s="324"/>
      <c r="GE485" s="324"/>
      <c r="GF485" s="324"/>
      <c r="GG485" s="324"/>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8"/>
      <c r="GC486" s="325"/>
      <c r="GD486" s="325"/>
      <c r="GE486" s="325">
        <v>1</v>
      </c>
      <c r="GF486" s="325"/>
      <c r="GG486" s="325"/>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19"/>
      <c r="GC487" s="324"/>
      <c r="GD487" s="324"/>
      <c r="GE487" s="324"/>
      <c r="GF487" s="324"/>
      <c r="GG487" s="324"/>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8"/>
      <c r="GC488" s="325"/>
      <c r="GD488" s="325"/>
      <c r="GE488" s="325">
        <v>1</v>
      </c>
      <c r="GF488" s="325"/>
      <c r="GG488" s="325"/>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19"/>
      <c r="GC489" s="324"/>
      <c r="GD489" s="324"/>
      <c r="GE489" s="324"/>
      <c r="GF489" s="324"/>
      <c r="GG489" s="324"/>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8"/>
      <c r="GC490" s="325"/>
      <c r="GD490" s="325"/>
      <c r="GE490" s="325"/>
      <c r="GF490" s="325"/>
      <c r="GG490" s="325"/>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19"/>
      <c r="GC491" s="324"/>
      <c r="GD491" s="324"/>
      <c r="GE491" s="324"/>
      <c r="GF491" s="324"/>
      <c r="GG491" s="324"/>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8"/>
      <c r="GC492" s="325"/>
      <c r="GD492" s="325"/>
      <c r="GE492" s="325">
        <v>1</v>
      </c>
      <c r="GF492" s="325"/>
      <c r="GG492" s="325"/>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19"/>
      <c r="GC493" s="324"/>
      <c r="GD493" s="324"/>
      <c r="GE493" s="324"/>
      <c r="GF493" s="324"/>
      <c r="GG493" s="324"/>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8"/>
      <c r="GC494" s="325"/>
      <c r="GD494" s="325"/>
      <c r="GE494" s="325">
        <v>1</v>
      </c>
      <c r="GF494" s="325"/>
      <c r="GG494" s="325"/>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19"/>
      <c r="GC495" s="324"/>
      <c r="GD495" s="324"/>
      <c r="GE495" s="324"/>
      <c r="GF495" s="324"/>
      <c r="GG495" s="324"/>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8"/>
      <c r="GC496" s="325"/>
      <c r="GD496" s="325"/>
      <c r="GE496" s="325">
        <v>1</v>
      </c>
      <c r="GF496" s="325"/>
      <c r="GG496" s="325"/>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19"/>
      <c r="GC497" s="324"/>
      <c r="GD497" s="324"/>
      <c r="GE497" s="324"/>
      <c r="GF497" s="324"/>
      <c r="GG497" s="324"/>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8"/>
      <c r="GC498" s="325"/>
      <c r="GD498" s="325"/>
      <c r="GE498" s="325">
        <v>1</v>
      </c>
      <c r="GF498" s="325"/>
      <c r="GG498" s="325"/>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19"/>
      <c r="GC499" s="324"/>
      <c r="GD499" s="324"/>
      <c r="GE499" s="324"/>
      <c r="GF499" s="324"/>
      <c r="GG499" s="324"/>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8"/>
      <c r="GC500" s="325">
        <v>-1</v>
      </c>
      <c r="GD500" s="325"/>
      <c r="GE500" s="325"/>
      <c r="GF500" s="325"/>
      <c r="GG500" s="325"/>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19">
        <f>GC501</f>
        <v>1</v>
      </c>
      <c r="GC501" s="324">
        <v>1</v>
      </c>
      <c r="GD501" s="324">
        <v>-1</v>
      </c>
      <c r="GE501" s="324"/>
      <c r="GF501" s="324"/>
      <c r="GG501" s="324"/>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8">
        <f>GC502</f>
        <v>1</v>
      </c>
      <c r="GC502" s="325">
        <v>1</v>
      </c>
      <c r="GD502" s="325"/>
      <c r="GE502" s="325">
        <v>-1</v>
      </c>
      <c r="GF502" s="325"/>
      <c r="GG502" s="325"/>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19"/>
      <c r="GC503" s="324"/>
      <c r="GD503" s="324"/>
      <c r="GE503" s="324"/>
      <c r="GF503" s="324"/>
      <c r="GG503" s="324"/>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8"/>
      <c r="GC504" s="325"/>
      <c r="GD504" s="325">
        <v>-1</v>
      </c>
      <c r="GE504" s="325"/>
      <c r="GF504" s="325"/>
      <c r="GG504" s="325"/>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19"/>
      <c r="GC505" s="324"/>
      <c r="GD505" s="324"/>
      <c r="GE505" s="324">
        <v>-1</v>
      </c>
      <c r="GF505" s="324"/>
      <c r="GG505" s="324"/>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8"/>
      <c r="GC506" s="325"/>
      <c r="GD506" s="325"/>
      <c r="GE506" s="325"/>
      <c r="GF506" s="325">
        <v>-1</v>
      </c>
      <c r="GG506" s="325"/>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19"/>
      <c r="GC507" s="324"/>
      <c r="GD507" s="324"/>
      <c r="GE507" s="324"/>
      <c r="GF507" s="324"/>
      <c r="GG507" s="324">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3" t="s">
        <v>556</v>
      </c>
      <c r="B2" s="413"/>
      <c r="C2" s="413"/>
      <c r="D2" s="413"/>
      <c r="E2" s="413"/>
      <c r="F2" s="413"/>
      <c r="G2" s="110"/>
      <c r="H2" s="414" t="s">
        <v>557</v>
      </c>
      <c r="I2" s="414"/>
      <c r="J2" s="414"/>
      <c r="K2" s="414"/>
      <c r="L2" s="414"/>
      <c r="M2" s="414"/>
      <c r="N2" s="414"/>
      <c r="O2" s="414"/>
      <c r="P2" s="414"/>
      <c r="Q2" s="414"/>
      <c r="R2" s="414"/>
      <c r="S2" s="414"/>
      <c r="T2" s="414"/>
      <c r="U2" s="414"/>
      <c r="V2" s="414"/>
      <c r="W2" s="414"/>
      <c r="X2" s="414"/>
      <c r="Y2" s="414"/>
      <c r="Z2" s="415" t="s">
        <v>1831</v>
      </c>
      <c r="AA2" s="415"/>
      <c r="AB2" s="415"/>
      <c r="AC2" s="69"/>
      <c r="AD2" s="69"/>
      <c r="AE2" s="69" t="s">
        <v>1832</v>
      </c>
      <c r="AF2" s="414" t="s">
        <v>1833</v>
      </c>
      <c r="AG2" s="414"/>
      <c r="AH2" s="414"/>
      <c r="AI2" s="414"/>
      <c r="AJ2" s="414"/>
      <c r="AK2" s="414"/>
      <c r="AL2" s="418" t="s">
        <v>565</v>
      </c>
      <c r="AM2" s="418"/>
      <c r="AN2" s="418"/>
      <c r="AO2" s="418"/>
      <c r="AP2" s="418"/>
      <c r="AQ2" s="418"/>
      <c r="AR2" s="418"/>
      <c r="AS2" s="419" t="s">
        <v>566</v>
      </c>
      <c r="AT2" s="419"/>
      <c r="AU2" s="419"/>
      <c r="AV2" s="419"/>
      <c r="AW2" s="419"/>
      <c r="AX2" s="419"/>
      <c r="AY2" s="419"/>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3" t="s">
        <v>556</v>
      </c>
      <c r="B2" s="413"/>
      <c r="C2" s="413"/>
      <c r="D2" s="32" t="s">
        <v>1862</v>
      </c>
      <c r="E2" s="418" t="s">
        <v>1863</v>
      </c>
      <c r="F2" s="418"/>
      <c r="G2" s="418"/>
      <c r="H2" s="418"/>
      <c r="I2" s="418"/>
      <c r="J2" s="418"/>
      <c r="K2" s="418"/>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2"/>
      <c r="H6" s="56"/>
      <c r="I6" s="222"/>
      <c r="J6" s="56"/>
      <c r="K6" s="222"/>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2"/>
      <c r="H7" s="56"/>
      <c r="I7" s="222"/>
      <c r="J7" s="56"/>
      <c r="K7" s="222"/>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2"/>
      <c r="H8" s="56"/>
      <c r="I8" s="222"/>
      <c r="J8" s="56"/>
      <c r="K8" s="222"/>
      <c r="L8" s="79"/>
      <c r="M8" s="1" t="s">
        <v>1870</v>
      </c>
      <c r="N8" s="323"/>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0" t="s">
        <v>1885</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3" t="s">
        <v>556</v>
      </c>
      <c r="B2" s="413"/>
      <c r="C2" s="413"/>
      <c r="D2" s="32" t="s">
        <v>1862</v>
      </c>
      <c r="E2" s="32" t="s">
        <v>1888</v>
      </c>
      <c r="F2" s="32" t="s">
        <v>1889</v>
      </c>
      <c r="G2" s="32"/>
      <c r="H2" s="204" t="s">
        <v>1890</v>
      </c>
      <c r="I2" s="50" t="s">
        <v>1891</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4">
        <f>6*44/78</f>
        <v>3.3846153846153846</v>
      </c>
      <c r="F61" s="213">
        <v>1</v>
      </c>
      <c r="G61" s="54" t="str">
        <f>VLOOKUP(D61,Activities!$A$9:$Q$180,2,FALSE)</f>
        <v>[Mton_BTX]</v>
      </c>
      <c r="H61" s="206">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3" t="s">
        <v>556</v>
      </c>
      <c r="B2" s="413"/>
      <c r="C2" s="413"/>
      <c r="D2" s="413"/>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0" t="s">
        <v>1885</v>
      </c>
      <c r="B4" s="430"/>
      <c r="C4" s="430"/>
      <c r="D4" s="91" t="s">
        <v>1901</v>
      </c>
      <c r="E4" s="91" t="s">
        <v>1901</v>
      </c>
      <c r="F4" s="91" t="s">
        <v>1901</v>
      </c>
      <c r="G4" s="91" t="s">
        <v>1901</v>
      </c>
      <c r="H4" s="91" t="s">
        <v>1901</v>
      </c>
      <c r="I4" s="91" t="s">
        <v>1901</v>
      </c>
      <c r="J4" s="91" t="s">
        <v>1901</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workbookViewId="0">
      <selection activeCell="H6" sqref="H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1902</v>
      </c>
      <c r="B1" s="410"/>
      <c r="C1" s="410"/>
      <c r="D1" s="410"/>
      <c r="E1" s="410"/>
      <c r="F1" s="410"/>
      <c r="G1" s="410"/>
      <c r="H1" s="410"/>
      <c r="I1" s="410"/>
      <c r="J1" s="31"/>
      <c r="K1" s="31"/>
      <c r="L1" s="31"/>
      <c r="M1" s="31"/>
      <c r="N1" s="31"/>
      <c r="O1" s="31"/>
      <c r="P1" s="31"/>
      <c r="Q1" s="31"/>
    </row>
    <row r="2" spans="1:24" ht="30" customHeight="1" x14ac:dyDescent="0.35">
      <c r="A2" s="147"/>
      <c r="B2" s="432" t="s">
        <v>1903</v>
      </c>
      <c r="C2" s="432"/>
      <c r="D2" s="432"/>
      <c r="E2" s="432"/>
      <c r="F2" s="432"/>
      <c r="G2" s="432"/>
      <c r="H2" s="432"/>
      <c r="I2" s="144" t="s">
        <v>1904</v>
      </c>
      <c r="J2" s="143" t="s">
        <v>1905</v>
      </c>
      <c r="K2" s="433" t="s">
        <v>1906</v>
      </c>
      <c r="L2" s="433"/>
      <c r="M2" s="433"/>
      <c r="N2" s="433"/>
      <c r="O2" s="433"/>
      <c r="P2" s="433"/>
      <c r="Q2" s="157" t="s">
        <v>17</v>
      </c>
      <c r="R2" s="432" t="s">
        <v>1907</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1" t="s">
        <v>1913</v>
      </c>
      <c r="C4" s="431"/>
      <c r="D4" s="431"/>
      <c r="E4" s="431"/>
      <c r="F4" s="431"/>
      <c r="G4" s="431"/>
      <c r="H4" s="431"/>
      <c r="I4" s="154" t="s">
        <v>1914</v>
      </c>
      <c r="J4" s="155" t="s">
        <v>1914</v>
      </c>
      <c r="K4" s="434" t="s">
        <v>1915</v>
      </c>
      <c r="L4" s="434"/>
      <c r="M4" s="434"/>
      <c r="N4" s="434"/>
      <c r="O4" s="434"/>
      <c r="P4" s="434"/>
      <c r="Q4" s="156" t="s">
        <v>26</v>
      </c>
      <c r="R4" s="431" t="s">
        <v>1913</v>
      </c>
      <c r="S4" s="431"/>
      <c r="T4" s="431"/>
      <c r="U4" s="431"/>
      <c r="V4" s="431"/>
      <c r="W4" s="431"/>
      <c r="X4" s="431"/>
    </row>
    <row r="5" spans="1:24" x14ac:dyDescent="0.35">
      <c r="A5" s="33" t="s">
        <v>320</v>
      </c>
      <c r="B5" s="215">
        <v>500</v>
      </c>
      <c r="C5" s="215">
        <v>500</v>
      </c>
      <c r="D5" s="215">
        <f>235-(235-$H$5)/5</f>
        <v>189.36</v>
      </c>
      <c r="E5" s="215">
        <f>D5-(235-$H$5)/5</f>
        <v>143.72000000000003</v>
      </c>
      <c r="F5" s="215">
        <f t="shared" ref="F5:G5" si="0">E5-(235-$H$5)/5</f>
        <v>98.080000000000027</v>
      </c>
      <c r="G5" s="215">
        <f t="shared" si="0"/>
        <v>52.440000000000026</v>
      </c>
      <c r="H5" s="358">
        <v>6.8</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149.27500000000001</v>
      </c>
      <c r="V5" s="393">
        <f t="shared" ref="V5:W5" si="1">($X$5-$T$5)/($X$3-$T$3)*(V$3-U$3)+U$5</f>
        <v>102.55000000000001</v>
      </c>
      <c r="W5" s="393">
        <f t="shared" si="1"/>
        <v>55.82500000000001</v>
      </c>
      <c r="X5" s="409">
        <v>9.1</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1916</v>
      </c>
      <c r="B1" s="410"/>
      <c r="C1" s="410"/>
      <c r="D1" s="410"/>
      <c r="E1" s="410"/>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1996</v>
      </c>
      <c r="B1" s="435"/>
      <c r="C1" s="435"/>
      <c r="D1" s="435"/>
      <c r="E1" s="435"/>
      <c r="F1" s="435"/>
      <c r="G1" s="435"/>
      <c r="H1" s="435"/>
      <c r="I1" s="435"/>
      <c r="J1" s="435"/>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2026-06-05T19:47:56Z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