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58998611-F3C1-4E10-ABF9-EE80FB7C16CD}" xr6:coauthVersionLast="47" xr6:coauthVersionMax="47" xr10:uidLastSave="{00000000-0000-0000-0000-000000000000}"/>
  <bookViews>
    <workbookView xWindow="-110" yWindow="-110" windowWidth="19420" windowHeight="11500" tabRatio="618" firstSheet="3" activeTab="4"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EnergyBalance!$A$3:$MD$507</definedName>
    <definedName name="_xlnm._FilterDatabase" localSheetId="3" hidden="1">Technologies!$A$6:$DS$507</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26" l="1"/>
  <c r="D5" i="26"/>
  <c r="E5" i="26" s="1"/>
  <c r="F5" i="26" s="1"/>
  <c r="G5" i="26" s="1"/>
  <c r="CH401" i="3" l="1"/>
  <c r="CH55" i="3"/>
  <c r="CG55" i="3"/>
  <c r="CF55" i="3"/>
  <c r="I72" i="1" l="1"/>
  <c r="I71" i="1"/>
  <c r="I70" i="1"/>
  <c r="CH237" i="3" l="1"/>
  <c r="CH419" i="3"/>
  <c r="GG439" i="24" l="1"/>
  <c r="GG440" i="24"/>
  <c r="GG441" i="24"/>
  <c r="GG442" i="24"/>
  <c r="GG443" i="24"/>
  <c r="GG444" i="24"/>
  <c r="GG445" i="24"/>
  <c r="GG446" i="24"/>
  <c r="GG447" i="24"/>
  <c r="GG448" i="24"/>
  <c r="GG449" i="24"/>
  <c r="GG450" i="24"/>
  <c r="GG451" i="24"/>
  <c r="GG452" i="24"/>
  <c r="GG453" i="24"/>
  <c r="GG454" i="24"/>
  <c r="GG455" i="24"/>
  <c r="GG456" i="24"/>
  <c r="GG457" i="24"/>
  <c r="GG458" i="24"/>
  <c r="GG459" i="24"/>
  <c r="GG460" i="24"/>
  <c r="DU450" i="24"/>
  <c r="DH450" i="24"/>
  <c r="CH457" i="24"/>
  <c r="CG457" i="24"/>
  <c r="CH453" i="24"/>
  <c r="CH451" i="24"/>
  <c r="CI445" i="24"/>
  <c r="CK457" i="24" s="1"/>
  <c r="CH445" i="24"/>
  <c r="CG445"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39" i="24"/>
  <c r="C439" i="24"/>
  <c r="D439" i="24"/>
  <c r="E439" i="24"/>
  <c r="N439" i="24" s="1"/>
  <c r="GD439" i="24" s="1"/>
  <c r="F439" i="24"/>
  <c r="B440" i="24"/>
  <c r="C440" i="24"/>
  <c r="D440" i="24"/>
  <c r="E440" i="24"/>
  <c r="N440" i="24" s="1"/>
  <c r="F440" i="24"/>
  <c r="B441" i="24"/>
  <c r="C441" i="24"/>
  <c r="D441" i="24"/>
  <c r="E441" i="24"/>
  <c r="N441" i="24" s="1"/>
  <c r="F441" i="24"/>
  <c r="B442" i="24"/>
  <c r="C442" i="24"/>
  <c r="D442" i="24"/>
  <c r="E442" i="24"/>
  <c r="N442" i="24" s="1"/>
  <c r="F442" i="24"/>
  <c r="B443" i="24"/>
  <c r="C443" i="24"/>
  <c r="D443" i="24"/>
  <c r="E443" i="24"/>
  <c r="N443" i="24" s="1"/>
  <c r="GC443" i="24" s="1"/>
  <c r="F443" i="24"/>
  <c r="B444" i="24"/>
  <c r="C444" i="24"/>
  <c r="D444" i="24"/>
  <c r="E444" i="24"/>
  <c r="N444" i="24" s="1"/>
  <c r="GC444" i="24" s="1"/>
  <c r="F444" i="24"/>
  <c r="B445" i="24"/>
  <c r="C445" i="24"/>
  <c r="D445" i="24"/>
  <c r="E445" i="24"/>
  <c r="N445" i="24" s="1"/>
  <c r="F445" i="24"/>
  <c r="B446" i="24"/>
  <c r="C446" i="24"/>
  <c r="D446" i="24"/>
  <c r="E446" i="24"/>
  <c r="N446" i="24" s="1"/>
  <c r="F446" i="24"/>
  <c r="B447" i="24"/>
  <c r="C447" i="24"/>
  <c r="D447" i="24"/>
  <c r="E447" i="24"/>
  <c r="N447" i="24" s="1"/>
  <c r="GC447" i="24" s="1"/>
  <c r="F447" i="24"/>
  <c r="B448" i="24"/>
  <c r="C448" i="24"/>
  <c r="D448" i="24"/>
  <c r="E448" i="24"/>
  <c r="N448" i="24" s="1"/>
  <c r="F448" i="24"/>
  <c r="B449" i="24"/>
  <c r="C449" i="24"/>
  <c r="D449" i="24"/>
  <c r="E449" i="24"/>
  <c r="N449" i="24" s="1"/>
  <c r="F449" i="24"/>
  <c r="B450" i="24"/>
  <c r="C450" i="24"/>
  <c r="D450" i="24"/>
  <c r="E450" i="24"/>
  <c r="N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GC460" i="24" s="1"/>
  <c r="F460" i="24"/>
  <c r="CH460" i="3"/>
  <c r="CG460" i="3"/>
  <c r="CF460" i="3"/>
  <c r="CE460" i="3"/>
  <c r="CD460" i="3"/>
  <c r="CC460" i="3"/>
  <c r="CB460" i="3"/>
  <c r="AD460" i="3"/>
  <c r="AC460" i="3"/>
  <c r="AB460" i="3"/>
  <c r="AA460" i="3"/>
  <c r="Z460" i="3"/>
  <c r="Y460" i="3"/>
  <c r="X460" i="3"/>
  <c r="CH459" i="3"/>
  <c r="CG459" i="3"/>
  <c r="CF459" i="3"/>
  <c r="CE459" i="3"/>
  <c r="CD459" i="3"/>
  <c r="CC459" i="3"/>
  <c r="CB459" i="3"/>
  <c r="CH458" i="3"/>
  <c r="CG458" i="3"/>
  <c r="CF458" i="3"/>
  <c r="CE458" i="3"/>
  <c r="CD458" i="3"/>
  <c r="CC458" i="3"/>
  <c r="CB458" i="3"/>
  <c r="W458" i="3"/>
  <c r="V458" i="3"/>
  <c r="T458" i="3"/>
  <c r="S458" i="3"/>
  <c r="R458" i="3"/>
  <c r="O458" i="3"/>
  <c r="N458" i="3"/>
  <c r="M458" i="3"/>
  <c r="U458" i="3" s="1"/>
  <c r="L458" i="3"/>
  <c r="K458" i="3"/>
  <c r="J458" i="3"/>
  <c r="I458" i="3"/>
  <c r="Q458" i="3" s="1"/>
  <c r="CH457" i="3"/>
  <c r="CG457" i="3"/>
  <c r="CF457" i="3"/>
  <c r="CE457" i="3"/>
  <c r="CD457" i="3"/>
  <c r="CC457" i="3"/>
  <c r="CB457" i="3"/>
  <c r="N457" i="3"/>
  <c r="V457" i="3" s="1"/>
  <c r="M457" i="3"/>
  <c r="U457" i="3" s="1"/>
  <c r="CH456" i="3"/>
  <c r="CG456" i="3"/>
  <c r="CF456" i="3"/>
  <c r="CE456" i="3"/>
  <c r="CD456" i="3"/>
  <c r="AH456" i="3"/>
  <c r="AG456" i="3"/>
  <c r="CH455" i="3"/>
  <c r="CD455" i="3"/>
  <c r="W455" i="3"/>
  <c r="V455" i="3"/>
  <c r="U455" i="3"/>
  <c r="T455" i="3"/>
  <c r="S455" i="3"/>
  <c r="R455" i="3"/>
  <c r="Q455" i="3"/>
  <c r="O455" i="3"/>
  <c r="N455" i="3"/>
  <c r="M455" i="3"/>
  <c r="L455" i="3"/>
  <c r="K455" i="3"/>
  <c r="J455" i="3"/>
  <c r="I455" i="3"/>
  <c r="CH454" i="3"/>
  <c r="CG454" i="3"/>
  <c r="CF454" i="3"/>
  <c r="CE454" i="3"/>
  <c r="CD454" i="3"/>
  <c r="T454" i="3"/>
  <c r="T456" i="3" s="1"/>
  <c r="S454" i="3"/>
  <c r="S456" i="3" s="1"/>
  <c r="CH453" i="3"/>
  <c r="CG453" i="3"/>
  <c r="CF453" i="3"/>
  <c r="CE453" i="3"/>
  <c r="CD453" i="3"/>
  <c r="W453" i="3"/>
  <c r="W454" i="3" s="1"/>
  <c r="W456" i="3" s="1"/>
  <c r="V453" i="3"/>
  <c r="V454" i="3" s="1"/>
  <c r="V456" i="3" s="1"/>
  <c r="U453" i="3"/>
  <c r="U454" i="3" s="1"/>
  <c r="U456" i="3" s="1"/>
  <c r="T453" i="3"/>
  <c r="S453" i="3"/>
  <c r="R453" i="3"/>
  <c r="R454" i="3" s="1"/>
  <c r="R456" i="3" s="1"/>
  <c r="Q453" i="3"/>
  <c r="Q454" i="3" s="1"/>
  <c r="Q456" i="3" s="1"/>
  <c r="O453" i="3"/>
  <c r="O454" i="3" s="1"/>
  <c r="O456" i="3" s="1"/>
  <c r="N453" i="3"/>
  <c r="N454" i="3" s="1"/>
  <c r="N456" i="3" s="1"/>
  <c r="M453" i="3"/>
  <c r="M454" i="3" s="1"/>
  <c r="M456" i="3" s="1"/>
  <c r="L453" i="3"/>
  <c r="L454" i="3" s="1"/>
  <c r="L456" i="3" s="1"/>
  <c r="K453" i="3"/>
  <c r="K454" i="3" s="1"/>
  <c r="K456" i="3" s="1"/>
  <c r="J453" i="3"/>
  <c r="J454" i="3" s="1"/>
  <c r="J456" i="3" s="1"/>
  <c r="I453" i="3"/>
  <c r="I454" i="3" s="1"/>
  <c r="I456" i="3" s="1"/>
  <c r="CE452" i="3"/>
  <c r="CD452" i="3"/>
  <c r="O452" i="3"/>
  <c r="W452" i="3" s="1"/>
  <c r="N452" i="3"/>
  <c r="V452" i="3" s="1"/>
  <c r="M452" i="3"/>
  <c r="U452" i="3" s="1"/>
  <c r="L452" i="3"/>
  <c r="T452" i="3" s="1"/>
  <c r="K452" i="3"/>
  <c r="S452" i="3" s="1"/>
  <c r="J452" i="3"/>
  <c r="R452" i="3" s="1"/>
  <c r="I452" i="3"/>
  <c r="Q452" i="3" s="1"/>
  <c r="AD451" i="3"/>
  <c r="AC451" i="3"/>
  <c r="AB451" i="3"/>
  <c r="AA451" i="3"/>
  <c r="Z451" i="3"/>
  <c r="Y451" i="3"/>
  <c r="X451" i="3"/>
  <c r="AD450" i="3"/>
  <c r="AC450" i="3"/>
  <c r="AB450" i="3"/>
  <c r="AA450" i="3"/>
  <c r="Z450" i="3"/>
  <c r="Y450" i="3"/>
  <c r="X450" i="3"/>
  <c r="BN449" i="3"/>
  <c r="AD449" i="3"/>
  <c r="AC449" i="3"/>
  <c r="AB449" i="3"/>
  <c r="AA449" i="3"/>
  <c r="Z449" i="3"/>
  <c r="Y449" i="3"/>
  <c r="X449" i="3"/>
  <c r="AD448" i="3"/>
  <c r="AC448" i="3"/>
  <c r="AB448" i="3"/>
  <c r="AA448" i="3"/>
  <c r="Z448" i="3"/>
  <c r="Y448" i="3"/>
  <c r="X448" i="3"/>
  <c r="CH447" i="3"/>
  <c r="CG447" i="3"/>
  <c r="CF447" i="3"/>
  <c r="CE447" i="3"/>
  <c r="CD447" i="3"/>
  <c r="CC447" i="3"/>
  <c r="O447" i="3"/>
  <c r="W447" i="3" s="1"/>
  <c r="M447" i="3"/>
  <c r="U447" i="3" s="1"/>
  <c r="I447" i="3"/>
  <c r="Q447" i="3" s="1"/>
  <c r="CH446" i="3"/>
  <c r="CD446" i="3"/>
  <c r="CG446" i="3" s="1"/>
  <c r="CC446" i="3"/>
  <c r="N446" i="3"/>
  <c r="V446" i="3" s="1"/>
  <c r="M446" i="3"/>
  <c r="U446" i="3" s="1"/>
  <c r="L446" i="3"/>
  <c r="T446" i="3" s="1"/>
  <c r="W445" i="3"/>
  <c r="V445" i="3"/>
  <c r="O445" i="3"/>
  <c r="O457" i="3" s="1"/>
  <c r="W457" i="3" s="1"/>
  <c r="N445" i="3"/>
  <c r="N447" i="3" s="1"/>
  <c r="V447" i="3" s="1"/>
  <c r="M445" i="3"/>
  <c r="U445" i="3" s="1"/>
  <c r="L445" i="3"/>
  <c r="T445" i="3" s="1"/>
  <c r="K445" i="3"/>
  <c r="K446" i="3" s="1"/>
  <c r="S446" i="3" s="1"/>
  <c r="J445" i="3"/>
  <c r="J446" i="3" s="1"/>
  <c r="R446" i="3" s="1"/>
  <c r="I445" i="3"/>
  <c r="I446" i="3" s="1"/>
  <c r="Q446" i="3" s="1"/>
  <c r="CH443" i="3"/>
  <c r="CH452" i="3" s="1"/>
  <c r="CG443" i="3"/>
  <c r="CG452" i="3" s="1"/>
  <c r="CF443" i="3"/>
  <c r="CF452" i="3" s="1"/>
  <c r="CE443" i="3"/>
  <c r="CD443" i="3"/>
  <c r="CC443" i="3"/>
  <c r="CB443" i="3"/>
  <c r="AD443" i="3"/>
  <c r="AD444" i="3" s="1"/>
  <c r="AC443" i="3"/>
  <c r="AC444" i="3" s="1"/>
  <c r="AB443" i="3"/>
  <c r="AB444" i="3" s="1"/>
  <c r="AA443" i="3"/>
  <c r="AA444" i="3" s="1"/>
  <c r="Z443" i="3"/>
  <c r="Z444" i="3" s="1"/>
  <c r="Y443" i="3"/>
  <c r="Y444" i="3" s="1"/>
  <c r="X443" i="3"/>
  <c r="X444" i="3" s="1"/>
  <c r="CC442" i="3"/>
  <c r="CD442" i="3" s="1"/>
  <c r="CE442" i="3" s="1"/>
  <c r="CF442" i="3" s="1"/>
  <c r="CG442" i="3" s="1"/>
  <c r="CH442" i="3" s="1"/>
  <c r="I442" i="3"/>
  <c r="Q442" i="3" s="1"/>
  <c r="BU440" i="3"/>
  <c r="AD440" i="3"/>
  <c r="AD439" i="3" s="1"/>
  <c r="AC440" i="3"/>
  <c r="AC439" i="3" s="1"/>
  <c r="AB440" i="3"/>
  <c r="AB439" i="3" s="1"/>
  <c r="AA440" i="3"/>
  <c r="AA439" i="3" s="1"/>
  <c r="Z440" i="3"/>
  <c r="Z439" i="3" s="1"/>
  <c r="Y440" i="3"/>
  <c r="Y439" i="3" s="1"/>
  <c r="X440" i="3"/>
  <c r="X439" i="3" s="1"/>
  <c r="BU439" i="3"/>
  <c r="D75" i="1"/>
  <c r="E75" i="1" s="1"/>
  <c r="F75" i="1" s="1"/>
  <c r="G75" i="1" s="1"/>
  <c r="H75" i="1" s="1"/>
  <c r="I75" i="1" s="1"/>
  <c r="E74" i="1"/>
  <c r="F74" i="1" s="1"/>
  <c r="G74" i="1" s="1"/>
  <c r="H74" i="1" s="1"/>
  <c r="I74" i="1" s="1"/>
  <c r="T5" i="26"/>
  <c r="X6" i="26"/>
  <c r="GC441" i="24" l="1"/>
  <c r="J442" i="3"/>
  <c r="R442" i="3" s="1"/>
  <c r="GC446" i="24"/>
  <c r="GC449" i="24"/>
  <c r="GC448" i="24"/>
  <c r="CF455" i="3"/>
  <c r="CG455" i="3" s="1"/>
  <c r="GF448" i="24"/>
  <c r="GC439" i="24"/>
  <c r="GE448" i="24"/>
  <c r="GD448" i="24"/>
  <c r="GF441" i="24"/>
  <c r="GF460" i="24"/>
  <c r="GF444" i="24"/>
  <c r="GE441" i="24"/>
  <c r="GE460" i="24"/>
  <c r="GF447" i="24"/>
  <c r="GE444" i="24"/>
  <c r="GD441" i="24"/>
  <c r="GD460" i="24"/>
  <c r="GE447" i="24"/>
  <c r="GD444" i="24"/>
  <c r="GD447" i="24"/>
  <c r="GF443" i="24"/>
  <c r="GF446" i="24"/>
  <c r="GE443" i="24"/>
  <c r="GF449" i="24"/>
  <c r="GE446" i="24"/>
  <c r="GD443" i="24"/>
  <c r="GE449" i="24"/>
  <c r="GD446" i="24"/>
  <c r="GD449" i="24"/>
  <c r="GF439" i="24"/>
  <c r="GE439" i="24"/>
  <c r="CI457" i="24"/>
  <c r="J447" i="3"/>
  <c r="R447" i="3" s="1"/>
  <c r="O446" i="3"/>
  <c r="W446" i="3" s="1"/>
  <c r="K447" i="3"/>
  <c r="S447" i="3" s="1"/>
  <c r="I457" i="3"/>
  <c r="Q457" i="3" s="1"/>
  <c r="J457" i="3"/>
  <c r="R457" i="3" s="1"/>
  <c r="K457" i="3"/>
  <c r="S457" i="3" s="1"/>
  <c r="L447" i="3"/>
  <c r="T447" i="3" s="1"/>
  <c r="Q445" i="3"/>
  <c r="L457" i="3"/>
  <c r="T457" i="3" s="1"/>
  <c r="R445" i="3"/>
  <c r="S445" i="3"/>
  <c r="K442" i="3"/>
  <c r="CE446" i="3"/>
  <c r="CF446" i="3"/>
  <c r="V5" i="26"/>
  <c r="W5" i="26" s="1"/>
  <c r="CE455" i="3" l="1"/>
  <c r="S442" i="3"/>
  <c r="L442" i="3"/>
  <c r="Y429" i="3"/>
  <c r="Z429" i="3"/>
  <c r="AA429" i="3"/>
  <c r="AB429" i="3"/>
  <c r="AC429" i="3"/>
  <c r="AD429" i="3"/>
  <c r="X429" i="3"/>
  <c r="CG429" i="3"/>
  <c r="CE429" i="3"/>
  <c r="CC429" i="3"/>
  <c r="CK265" i="3"/>
  <c r="CL265" i="3"/>
  <c r="CM265" i="3"/>
  <c r="CN265" i="3"/>
  <c r="CO265" i="3"/>
  <c r="CJ265" i="3"/>
  <c r="CP265" i="3"/>
  <c r="CR265" i="3" s="1"/>
  <c r="J369" i="3"/>
  <c r="K369" i="3"/>
  <c r="L369" i="3"/>
  <c r="M369" i="3"/>
  <c r="N369" i="3"/>
  <c r="O369" i="3"/>
  <c r="I369" i="3"/>
  <c r="EJ369" i="24"/>
  <c r="GG384" i="24"/>
  <c r="FI6" i="24"/>
  <c r="FI5" i="24"/>
  <c r="FI4" i="24"/>
  <c r="F429" i="24"/>
  <c r="E429" i="24"/>
  <c r="D429" i="24"/>
  <c r="C429" i="24"/>
  <c r="GF429" i="24" s="1"/>
  <c r="B429" i="24"/>
  <c r="BU429" i="3"/>
  <c r="F384" i="24"/>
  <c r="E384" i="24"/>
  <c r="D384" i="24"/>
  <c r="C384" i="24"/>
  <c r="B384" i="24"/>
  <c r="CG424" i="3"/>
  <c r="CE424" i="3"/>
  <c r="CC424" i="3"/>
  <c r="H67" i="27"/>
  <c r="H20" i="27"/>
  <c r="G67" i="27"/>
  <c r="F67" i="27"/>
  <c r="E67" i="27"/>
  <c r="A67" i="27"/>
  <c r="A66" i="27"/>
  <c r="A65" i="27"/>
  <c r="B67" i="27"/>
  <c r="AG95" i="24"/>
  <c r="AF95" i="24"/>
  <c r="B95" i="24"/>
  <c r="C95" i="24"/>
  <c r="D95" i="24"/>
  <c r="E95" i="24"/>
  <c r="N95" i="24" s="1"/>
  <c r="F95" i="24"/>
  <c r="M442" i="3" l="1"/>
  <c r="T442" i="3"/>
  <c r="CQ265" i="3"/>
  <c r="CV265" i="3"/>
  <c r="CU265" i="3"/>
  <c r="CT265" i="3"/>
  <c r="CS265" i="3"/>
  <c r="GC429" i="24"/>
  <c r="GD429" i="24"/>
  <c r="GE429" i="24"/>
  <c r="CI236" i="3"/>
  <c r="F192" i="24"/>
  <c r="E192" i="24"/>
  <c r="D192" i="24"/>
  <c r="C192" i="24"/>
  <c r="B192" i="24"/>
  <c r="F120" i="24"/>
  <c r="E120" i="24"/>
  <c r="D120" i="24"/>
  <c r="C120" i="24"/>
  <c r="B120" i="24"/>
  <c r="B121" i="24"/>
  <c r="C121" i="24"/>
  <c r="D121" i="24"/>
  <c r="E121" i="24"/>
  <c r="N121" i="24" s="1"/>
  <c r="F121" i="24"/>
  <c r="N442" i="3" l="1"/>
  <c r="U442" i="3"/>
  <c r="CP236" i="3"/>
  <c r="CK236" i="3"/>
  <c r="CL236" i="3"/>
  <c r="CM236" i="3"/>
  <c r="CN236" i="3"/>
  <c r="CO236" i="3"/>
  <c r="CJ236" i="3"/>
  <c r="CQ236" i="3"/>
  <c r="CR236" i="3"/>
  <c r="CS236" i="3"/>
  <c r="CT236" i="3"/>
  <c r="CU236" i="3"/>
  <c r="CV236" i="3"/>
  <c r="CI198" i="3"/>
  <c r="O442" i="3" l="1"/>
  <c r="W442" i="3" s="1"/>
  <c r="V442" i="3"/>
  <c r="CI254" i="3"/>
  <c r="CI256" i="3"/>
  <c r="CI259"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CB416" i="3"/>
  <c r="DL193" i="3" l="1"/>
  <c r="F66" i="27"/>
  <c r="F65" i="27"/>
  <c r="F64" i="27"/>
  <c r="F63" i="27"/>
  <c r="F62" i="27"/>
  <c r="F60" i="27"/>
  <c r="Q147" i="1"/>
  <c r="G66" i="27"/>
  <c r="E66" i="27"/>
  <c r="B66" i="27"/>
  <c r="P146" i="1"/>
  <c r="P148" i="1" s="1"/>
  <c r="DO144" i="24" l="1"/>
  <c r="DH144" i="24"/>
  <c r="DE139" i="24"/>
  <c r="DD136" i="24"/>
  <c r="GG98" i="24"/>
  <c r="GG99" i="24"/>
  <c r="GF96" i="24"/>
  <c r="GE96" i="24"/>
  <c r="GD96" i="24"/>
  <c r="GC96" i="24"/>
  <c r="ER96" i="24"/>
  <c r="DO96" i="24"/>
  <c r="DH96" i="24"/>
  <c r="I96" i="3"/>
  <c r="J96" i="3" s="1"/>
  <c r="DC143" i="24"/>
  <c r="B144" i="24"/>
  <c r="C144" i="24"/>
  <c r="D144" i="24"/>
  <c r="E144" i="24"/>
  <c r="N144" i="24" s="1"/>
  <c r="F144" i="24"/>
  <c r="DC138" i="24"/>
  <c r="DO137" i="24"/>
  <c r="DD137" i="24"/>
  <c r="J136" i="3"/>
  <c r="K136" i="3"/>
  <c r="L136" i="3"/>
  <c r="M136" i="3"/>
  <c r="N136" i="3"/>
  <c r="O136" i="3"/>
  <c r="I136" i="3"/>
  <c r="Q96" i="3" l="1"/>
  <c r="K96" i="3"/>
  <c r="R96" i="3"/>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8" i="24"/>
  <c r="F358" i="24"/>
  <c r="E358" i="24"/>
  <c r="N358" i="24" s="1"/>
  <c r="D358" i="24"/>
  <c r="C358" i="24"/>
  <c r="B358" i="24"/>
  <c r="BU358" i="3"/>
  <c r="S125" i="1"/>
  <c r="O96" i="3" l="1"/>
  <c r="W96" i="3" s="1"/>
  <c r="V96" i="3"/>
  <c r="GC358" i="24"/>
  <c r="GD358" i="24"/>
  <c r="GE358" i="24"/>
  <c r="GF358" i="24"/>
  <c r="CE265" i="3" l="1"/>
  <c r="CF265" i="3"/>
  <c r="CG265" i="3"/>
  <c r="CH265" i="3"/>
  <c r="CD265" i="3"/>
  <c r="C67" i="13"/>
  <c r="D67" i="13"/>
  <c r="E67" i="13"/>
  <c r="BU366" i="3"/>
  <c r="W366" i="3"/>
  <c r="V366" i="3"/>
  <c r="U366" i="3"/>
  <c r="T366" i="3"/>
  <c r="S366" i="3"/>
  <c r="R366" i="3"/>
  <c r="Q366" i="3"/>
  <c r="BU365" i="3"/>
  <c r="W365" i="3"/>
  <c r="V365" i="3"/>
  <c r="U365" i="3"/>
  <c r="T365" i="3"/>
  <c r="S365" i="3"/>
  <c r="R365" i="3"/>
  <c r="Q365" i="3"/>
  <c r="CH428" i="3"/>
  <c r="CF428" i="3"/>
  <c r="CD428" i="3"/>
  <c r="CB428" i="3"/>
  <c r="CG427" i="3"/>
  <c r="CE427" i="3"/>
  <c r="CC427" i="3"/>
  <c r="CG425" i="3"/>
  <c r="CE425" i="3"/>
  <c r="CC425" i="3"/>
  <c r="CG423" i="3"/>
  <c r="CE423" i="3"/>
  <c r="CC423" i="3"/>
  <c r="CG422" i="3"/>
  <c r="CE422" i="3"/>
  <c r="CC422" i="3"/>
  <c r="CG421" i="3"/>
  <c r="CE421" i="3"/>
  <c r="CC421" i="3"/>
  <c r="CG418" i="3"/>
  <c r="CE418" i="3"/>
  <c r="CC418" i="3"/>
  <c r="X504" i="3"/>
  <c r="CE428" i="3" l="1"/>
  <c r="CC428" i="3"/>
  <c r="CG428" i="3"/>
  <c r="BN375" i="3"/>
  <c r="J204" i="3" l="1"/>
  <c r="K204" i="3"/>
  <c r="L204" i="3"/>
  <c r="M204" i="3"/>
  <c r="N204" i="3"/>
  <c r="O204" i="3"/>
  <c r="J205" i="3"/>
  <c r="K205" i="3"/>
  <c r="L205" i="3"/>
  <c r="M205" i="3"/>
  <c r="N205" i="3"/>
  <c r="O205" i="3"/>
  <c r="I205" i="3"/>
  <c r="I204" i="3"/>
  <c r="J199" i="3"/>
  <c r="R199" i="3" s="1"/>
  <c r="K199" i="3"/>
  <c r="S199" i="3" s="1"/>
  <c r="L199" i="3"/>
  <c r="T199" i="3" s="1"/>
  <c r="M199" i="3"/>
  <c r="U199" i="3" s="1"/>
  <c r="N199" i="3"/>
  <c r="V199" i="3" s="1"/>
  <c r="O199" i="3"/>
  <c r="W199" i="3" s="1"/>
  <c r="I199" i="3"/>
  <c r="Q199" i="3" s="1"/>
  <c r="J194" i="3"/>
  <c r="R194" i="3" s="1"/>
  <c r="K194" i="3"/>
  <c r="S194" i="3" s="1"/>
  <c r="L194" i="3"/>
  <c r="T194" i="3" s="1"/>
  <c r="M194" i="3"/>
  <c r="U194" i="3" s="1"/>
  <c r="N194" i="3"/>
  <c r="V194" i="3" s="1"/>
  <c r="O194" i="3"/>
  <c r="W194" i="3" s="1"/>
  <c r="J196" i="3"/>
  <c r="R196" i="3" s="1"/>
  <c r="K196" i="3"/>
  <c r="S196" i="3" s="1"/>
  <c r="L196" i="3"/>
  <c r="T196" i="3" s="1"/>
  <c r="M196" i="3"/>
  <c r="U196" i="3" s="1"/>
  <c r="N196" i="3"/>
  <c r="V196" i="3" s="1"/>
  <c r="O196" i="3"/>
  <c r="W196" i="3" s="1"/>
  <c r="J197" i="3"/>
  <c r="R197" i="3" s="1"/>
  <c r="K197" i="3"/>
  <c r="S197" i="3" s="1"/>
  <c r="L197" i="3"/>
  <c r="T197" i="3" s="1"/>
  <c r="M197" i="3"/>
  <c r="U197" i="3" s="1"/>
  <c r="N197" i="3"/>
  <c r="V197" i="3" s="1"/>
  <c r="O197" i="3"/>
  <c r="W197" i="3" s="1"/>
  <c r="I197" i="3"/>
  <c r="Q197" i="3" s="1"/>
  <c r="I196" i="3"/>
  <c r="Q196" i="3" s="1"/>
  <c r="I194" i="3"/>
  <c r="Q194" i="3" s="1"/>
  <c r="R193" i="3"/>
  <c r="S193" i="3"/>
  <c r="T193" i="3"/>
  <c r="U193" i="3"/>
  <c r="V193" i="3"/>
  <c r="W193" i="3"/>
  <c r="R195" i="3"/>
  <c r="S195" i="3"/>
  <c r="T195" i="3"/>
  <c r="U195" i="3"/>
  <c r="V195" i="3"/>
  <c r="W195" i="3"/>
  <c r="R198" i="3"/>
  <c r="S198" i="3"/>
  <c r="T198" i="3"/>
  <c r="U198" i="3"/>
  <c r="V198" i="3"/>
  <c r="W198" i="3"/>
  <c r="R200" i="3"/>
  <c r="S200" i="3"/>
  <c r="T200" i="3"/>
  <c r="U200" i="3"/>
  <c r="V200" i="3"/>
  <c r="W200" i="3"/>
  <c r="Q195" i="3"/>
  <c r="Q198" i="3"/>
  <c r="Q200" i="3"/>
  <c r="Q193"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1" i="3" l="1"/>
  <c r="J371" i="3" s="1"/>
  <c r="K371" i="3" s="1"/>
  <c r="L371" i="3" s="1"/>
  <c r="M371" i="3" s="1"/>
  <c r="N371" i="3" s="1"/>
  <c r="O371" i="3" s="1"/>
  <c r="O392" i="3"/>
  <c r="GG393" i="24"/>
  <c r="EJ393" i="24"/>
  <c r="DH393" i="24"/>
  <c r="G393" i="24"/>
  <c r="B393" i="24"/>
  <c r="C393" i="24"/>
  <c r="D393" i="24"/>
  <c r="E393" i="24"/>
  <c r="F393" i="24"/>
  <c r="I403" i="3"/>
  <c r="I404" i="3" s="1"/>
  <c r="BU393" i="3"/>
  <c r="I393" i="3"/>
  <c r="J393" i="3" s="1"/>
  <c r="R393" i="3" s="1"/>
  <c r="EM404" i="24"/>
  <c r="EM403" i="24"/>
  <c r="DO404" i="24"/>
  <c r="DO403" i="24"/>
  <c r="DH404" i="24"/>
  <c r="DH403" i="24"/>
  <c r="J403" i="3" l="1"/>
  <c r="K403" i="3" s="1"/>
  <c r="S403" i="3" s="1"/>
  <c r="S404" i="3" s="1"/>
  <c r="Q393" i="3"/>
  <c r="Q403" i="3"/>
  <c r="Q404" i="3" s="1"/>
  <c r="K393" i="3"/>
  <c r="L393" i="3" s="1"/>
  <c r="M393" i="3" s="1"/>
  <c r="J404" i="3" l="1"/>
  <c r="K404" i="3"/>
  <c r="R403" i="3"/>
  <c r="R404" i="3" s="1"/>
  <c r="L403" i="3"/>
  <c r="T403" i="3" s="1"/>
  <c r="T404" i="3" s="1"/>
  <c r="T393" i="3"/>
  <c r="S393" i="3"/>
  <c r="L404" i="3"/>
  <c r="M403" i="3"/>
  <c r="U403" i="3" s="1"/>
  <c r="U404" i="3" s="1"/>
  <c r="N393" i="3"/>
  <c r="U393" i="3"/>
  <c r="N403" i="3"/>
  <c r="V403" i="3" s="1"/>
  <c r="V404" i="3" s="1"/>
  <c r="M404" i="3" l="1"/>
  <c r="O393" i="3"/>
  <c r="W393" i="3" s="1"/>
  <c r="V393" i="3"/>
  <c r="O403" i="3"/>
  <c r="N404" i="3"/>
  <c r="O404" i="3" l="1"/>
  <c r="W403" i="3"/>
  <c r="W404"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322" i="3"/>
  <c r="I323" i="3" s="1"/>
  <c r="I359" i="3"/>
  <c r="I360" i="3"/>
  <c r="I361" i="3"/>
  <c r="I362" i="3"/>
  <c r="I363" i="3"/>
  <c r="I372" i="3"/>
  <c r="I364" i="3" s="1"/>
  <c r="I387" i="3"/>
  <c r="I388" i="3"/>
  <c r="I390" i="3"/>
  <c r="I391" i="3"/>
  <c r="I392" i="3"/>
  <c r="I144" i="3" l="1"/>
  <c r="Q144"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8" i="24"/>
  <c r="C408" i="24"/>
  <c r="D408" i="24"/>
  <c r="E408" i="24"/>
  <c r="F408" i="24"/>
  <c r="CF408" i="3"/>
  <c r="CH408" i="3"/>
  <c r="CC408"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0" i="3"/>
  <c r="M390"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0" i="3"/>
  <c r="K391" i="3"/>
  <c r="O391" i="3" s="1"/>
  <c r="AD391" i="3" s="1"/>
  <c r="AD392" i="3"/>
  <c r="AC392" i="3"/>
  <c r="AB392" i="3"/>
  <c r="AA392" i="3"/>
  <c r="Z392" i="3"/>
  <c r="Y392" i="3"/>
  <c r="W392" i="3"/>
  <c r="V392" i="3"/>
  <c r="U392" i="3"/>
  <c r="T392" i="3"/>
  <c r="S392" i="3"/>
  <c r="R392" i="3"/>
  <c r="X392" i="3"/>
  <c r="Q391" i="3"/>
  <c r="Q390" i="3"/>
  <c r="H22" i="27" l="1"/>
  <c r="H23" i="27" s="1"/>
  <c r="H24" i="27" s="1"/>
  <c r="H25" i="27" s="1"/>
  <c r="H26" i="27" s="1"/>
  <c r="H27" i="27" s="1"/>
  <c r="H28" i="27" s="1"/>
  <c r="H29" i="27" s="1"/>
  <c r="AD390" i="3"/>
  <c r="L390" i="3"/>
  <c r="Q392" i="3"/>
  <c r="X390" i="3"/>
  <c r="W391" i="3"/>
  <c r="X391" i="3"/>
  <c r="L391" i="3"/>
  <c r="T391" i="3" s="1"/>
  <c r="AA391" i="3" l="1"/>
  <c r="M391" i="3"/>
  <c r="N391" i="3" s="1"/>
  <c r="AC391" i="3" s="1"/>
  <c r="V391" i="3" l="1"/>
  <c r="AB391" i="3"/>
  <c r="U391" i="3"/>
  <c r="Z390" i="3"/>
  <c r="S391" i="3"/>
  <c r="Z391" i="3"/>
  <c r="N405" i="3" l="1"/>
  <c r="L405" i="3"/>
  <c r="J61" i="3" l="1"/>
  <c r="K61" i="3"/>
  <c r="L61" i="3"/>
  <c r="M61" i="3"/>
  <c r="N61" i="3"/>
  <c r="O61" i="3"/>
  <c r="I61" i="3"/>
  <c r="C37" i="1" l="1"/>
  <c r="B438" i="24" l="1"/>
  <c r="C438" i="24"/>
  <c r="D438" i="24"/>
  <c r="E438" i="24"/>
  <c r="F438"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4" i="24" l="1"/>
  <c r="B304" i="24"/>
  <c r="C304" i="24"/>
  <c r="D304" i="24"/>
  <c r="E304" i="24"/>
  <c r="N304" i="24" s="1"/>
  <c r="F304" i="24"/>
  <c r="DI297" i="24"/>
  <c r="B297" i="24"/>
  <c r="C297" i="24"/>
  <c r="D297" i="24"/>
  <c r="E297" i="24"/>
  <c r="N297" i="24" s="1"/>
  <c r="F297" i="24"/>
  <c r="DH320" i="24"/>
  <c r="DI284" i="24"/>
  <c r="DI273" i="24"/>
  <c r="BU320" i="3"/>
  <c r="AI320" i="3"/>
  <c r="BU304" i="3"/>
  <c r="AI304" i="3"/>
  <c r="BU297" i="3"/>
  <c r="AI297" i="3"/>
  <c r="BV236" i="3" l="1"/>
  <c r="BW236" i="3"/>
  <c r="BX236" i="3"/>
  <c r="BY236" i="3"/>
  <c r="BZ236" i="3"/>
  <c r="CA236" i="3"/>
  <c r="BU236"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41" i="3"/>
  <c r="DM141" i="3"/>
  <c r="DN141" i="3"/>
  <c r="DO141" i="3"/>
  <c r="DP141" i="3"/>
  <c r="DQ141" i="3"/>
  <c r="DR141" i="3"/>
  <c r="DL142" i="3"/>
  <c r="DM142" i="3"/>
  <c r="DN142" i="3"/>
  <c r="DO142" i="3"/>
  <c r="DP142" i="3"/>
  <c r="DQ142" i="3"/>
  <c r="DR142" i="3"/>
  <c r="DL143" i="3"/>
  <c r="DM143" i="3"/>
  <c r="DN143" i="3"/>
  <c r="DO143" i="3"/>
  <c r="DP143" i="3"/>
  <c r="DQ143" i="3"/>
  <c r="DR143" i="3"/>
  <c r="DL125" i="3"/>
  <c r="DL124" i="3"/>
  <c r="J88" i="3"/>
  <c r="K88" i="3"/>
  <c r="L88" i="3"/>
  <c r="M88" i="3"/>
  <c r="N88" i="3"/>
  <c r="O88" i="3"/>
  <c r="K87" i="3"/>
  <c r="L87" i="3"/>
  <c r="M87" i="3"/>
  <c r="N87" i="3"/>
  <c r="O87" i="3"/>
  <c r="J87" i="3"/>
  <c r="GG417" i="24" l="1"/>
  <c r="B437" i="24"/>
  <c r="C437" i="24"/>
  <c r="D437" i="24"/>
  <c r="E437" i="24"/>
  <c r="N437" i="24" s="1"/>
  <c r="F437" i="24"/>
  <c r="N438" i="24"/>
  <c r="GF92" i="24"/>
  <c r="GE92" i="24"/>
  <c r="GD92" i="24"/>
  <c r="GC92" i="24"/>
  <c r="EZ126" i="24"/>
  <c r="EJ128" i="24"/>
  <c r="DO139" i="24"/>
  <c r="DH139" i="24"/>
  <c r="DH132" i="24"/>
  <c r="DH131" i="24"/>
  <c r="DH130" i="24"/>
  <c r="DH129" i="24"/>
  <c r="DO128" i="24"/>
  <c r="DH127" i="24"/>
  <c r="DH128" i="24" s="1"/>
  <c r="DE132" i="24"/>
  <c r="DC131" i="24"/>
  <c r="DB130" i="24"/>
  <c r="DD129" i="24"/>
  <c r="DD126" i="24"/>
  <c r="DC126" i="24"/>
  <c r="DB126" i="24"/>
  <c r="AJ140" i="24"/>
  <c r="AH140" i="24"/>
  <c r="AK138"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8" i="3"/>
  <c r="BU437" i="3"/>
  <c r="S114" i="1"/>
  <c r="O144" i="3"/>
  <c r="W144" i="3" s="1"/>
  <c r="N144" i="3"/>
  <c r="V144" i="3" s="1"/>
  <c r="M144" i="3"/>
  <c r="U144" i="3" s="1"/>
  <c r="L144" i="3"/>
  <c r="T144" i="3" s="1"/>
  <c r="K144" i="3"/>
  <c r="S144" i="3" s="1"/>
  <c r="J144" i="3"/>
  <c r="R144"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5" i="3"/>
  <c r="BU146" i="3"/>
  <c r="BU147" i="3"/>
  <c r="DL147" i="3"/>
  <c r="CB147" i="3" s="1"/>
  <c r="BU148" i="3"/>
  <c r="DL148" i="3"/>
  <c r="CB148"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8" i="3" s="1"/>
  <c r="CH148" i="3" s="1"/>
  <c r="D44" i="1"/>
  <c r="CC416"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8" i="24" l="1"/>
  <c r="GD438" i="24"/>
  <c r="GE438" i="24"/>
  <c r="GF438" i="24"/>
  <c r="GC437" i="24"/>
  <c r="GD437" i="24"/>
  <c r="GE437" i="24"/>
  <c r="GF437" i="24"/>
  <c r="G72" i="1"/>
  <c r="H72" i="1" s="1"/>
  <c r="G70" i="1"/>
  <c r="H70" i="1" s="1"/>
  <c r="G71" i="1"/>
  <c r="H71" i="1" s="1"/>
  <c r="E49" i="1"/>
  <c r="DL146" i="3"/>
  <c r="T45" i="1"/>
  <c r="G69" i="1"/>
  <c r="F69" i="1" s="1"/>
  <c r="DH140" i="24"/>
  <c r="DH138" i="24"/>
  <c r="DO138" i="24"/>
  <c r="DO140" i="24"/>
  <c r="G74" i="13"/>
  <c r="BR88" i="3"/>
  <c r="BR74" i="3"/>
  <c r="BR80" i="3"/>
  <c r="BR72" i="3"/>
  <c r="BR73" i="3"/>
  <c r="BR87" i="3"/>
  <c r="F68" i="1"/>
  <c r="D45" i="1"/>
  <c r="E45" i="1" s="1"/>
  <c r="F45" i="1" s="1"/>
  <c r="G45" i="1" s="1"/>
  <c r="H45" i="1" s="1"/>
  <c r="I45" i="1" s="1"/>
  <c r="DR146" i="3" s="1"/>
  <c r="CH146" i="3" s="1"/>
  <c r="Q80" i="3"/>
  <c r="Q74" i="3"/>
  <c r="Q71" i="3"/>
  <c r="Q72" i="3"/>
  <c r="Q87" i="3"/>
  <c r="J135" i="3"/>
  <c r="X78" i="3"/>
  <c r="I78" i="3"/>
  <c r="I100" i="3" s="1"/>
  <c r="Q136" i="3"/>
  <c r="Q79" i="3"/>
  <c r="Q126" i="3"/>
  <c r="Q88" i="3"/>
  <c r="X84" i="3"/>
  <c r="BN78" i="3"/>
  <c r="D54" i="1"/>
  <c r="F64" i="1"/>
  <c r="DL145" i="3"/>
  <c r="BN145" i="3" s="1"/>
  <c r="DM147" i="3"/>
  <c r="CC147" i="3" s="1"/>
  <c r="F60" i="1"/>
  <c r="DR147" i="3"/>
  <c r="CH147" i="3" s="1"/>
  <c r="BN79" i="3"/>
  <c r="F63" i="1"/>
  <c r="DL81" i="3"/>
  <c r="D53" i="1"/>
  <c r="DL86" i="3"/>
  <c r="E44" i="1"/>
  <c r="CD416" i="3" s="1"/>
  <c r="DM124" i="3"/>
  <c r="CC124" i="3" s="1"/>
  <c r="DM125" i="3"/>
  <c r="CC125" i="3" s="1"/>
  <c r="D71" i="1"/>
  <c r="C22" i="1"/>
  <c r="DL76" i="3" s="1"/>
  <c r="BN76" i="3" s="1"/>
  <c r="CE83" i="3"/>
  <c r="CF83" i="3"/>
  <c r="CG83" i="3"/>
  <c r="CH83" i="3"/>
  <c r="CD92" i="3"/>
  <c r="DR84" i="3"/>
  <c r="DQ84" i="3"/>
  <c r="DP84" i="3"/>
  <c r="DO84" i="3"/>
  <c r="DN84" i="3"/>
  <c r="DM84" i="3"/>
  <c r="DH81" i="24"/>
  <c r="DN147" i="3"/>
  <c r="CD147" i="3" s="1"/>
  <c r="DN145" i="3"/>
  <c r="CD145" i="3" s="1"/>
  <c r="F59" i="1"/>
  <c r="DQ148" i="3"/>
  <c r="CG148" i="3" s="1"/>
  <c r="DP148" i="3"/>
  <c r="CF148" i="3" s="1"/>
  <c r="DO148" i="3"/>
  <c r="CE148" i="3" s="1"/>
  <c r="DN148" i="3"/>
  <c r="CD148" i="3" s="1"/>
  <c r="DO146" i="3"/>
  <c r="CE146" i="3" s="1"/>
  <c r="F67" i="1"/>
  <c r="DM148" i="3"/>
  <c r="CC148" i="3" s="1"/>
  <c r="DM146" i="3"/>
  <c r="F55" i="1"/>
  <c r="DQ147" i="3"/>
  <c r="CG147" i="3" s="1"/>
  <c r="DQ145" i="3"/>
  <c r="CG145" i="3" s="1"/>
  <c r="F56" i="1"/>
  <c r="D69" i="1"/>
  <c r="DP147" i="3"/>
  <c r="CF147" i="3" s="1"/>
  <c r="DO147" i="3"/>
  <c r="CE147" i="3" s="1"/>
  <c r="DO145" i="3"/>
  <c r="CE145" i="3" s="1"/>
  <c r="BN124" i="3"/>
  <c r="BN147"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5" i="3"/>
  <c r="CC145" i="3" s="1"/>
  <c r="F71" i="1"/>
  <c r="DP146" i="3"/>
  <c r="CF146" i="3" s="1"/>
  <c r="F70" i="1"/>
  <c r="DQ146" i="3"/>
  <c r="CG146" i="3" s="1"/>
  <c r="DP145" i="3"/>
  <c r="CF145" i="3" s="1"/>
  <c r="U45" i="1"/>
  <c r="F49" i="1"/>
  <c r="V45" i="1"/>
  <c r="Q78" i="3"/>
  <c r="BR78" i="3"/>
  <c r="BR79" i="3"/>
  <c r="BQ145" i="3"/>
  <c r="DN146" i="3"/>
  <c r="CD146" i="3" s="1"/>
  <c r="DR145" i="3"/>
  <c r="CH145" i="3" s="1"/>
  <c r="I101" i="3"/>
  <c r="I102" i="3"/>
  <c r="I459" i="3" s="1"/>
  <c r="Q459" i="3" s="1"/>
  <c r="CB145" i="3"/>
  <c r="Q84" i="3"/>
  <c r="Q81" i="3"/>
  <c r="BN84" i="3"/>
  <c r="F44" i="1"/>
  <c r="CE416" i="3" s="1"/>
  <c r="DN124" i="3"/>
  <c r="CD124" i="3" s="1"/>
  <c r="DN125" i="3"/>
  <c r="CD125" i="3" s="1"/>
  <c r="CE92" i="3"/>
  <c r="F53" i="1"/>
  <c r="G49" i="1" l="1"/>
  <c r="W45" i="1"/>
  <c r="CF93" i="3"/>
  <c r="BR84" i="3"/>
  <c r="G44" i="1"/>
  <c r="CF416" i="3" s="1"/>
  <c r="DO125" i="3"/>
  <c r="CE125" i="3" s="1"/>
  <c r="DO124" i="3"/>
  <c r="CE124" i="3" s="1"/>
  <c r="CF92" i="3"/>
  <c r="B366" i="24"/>
  <c r="C366" i="24"/>
  <c r="D366" i="24"/>
  <c r="E366" i="24"/>
  <c r="N366" i="24" s="1"/>
  <c r="F366" i="24"/>
  <c r="B208" i="24"/>
  <c r="C208" i="24"/>
  <c r="D208" i="24"/>
  <c r="E208" i="24"/>
  <c r="N208" i="24" s="1"/>
  <c r="F208" i="24"/>
  <c r="B209" i="24"/>
  <c r="C209" i="24"/>
  <c r="D209" i="24"/>
  <c r="E209" i="24"/>
  <c r="N209" i="24" s="1"/>
  <c r="F209" i="24"/>
  <c r="B202" i="24"/>
  <c r="C202" i="24"/>
  <c r="D202" i="24"/>
  <c r="E202" i="24"/>
  <c r="N202" i="24" s="1"/>
  <c r="F202" i="24"/>
  <c r="B201" i="24"/>
  <c r="C201" i="24"/>
  <c r="D201" i="24"/>
  <c r="E201" i="24"/>
  <c r="N201" i="24" s="1"/>
  <c r="F201" i="24"/>
  <c r="DL209" i="3"/>
  <c r="DM209" i="3"/>
  <c r="DN209" i="3"/>
  <c r="DO209" i="3"/>
  <c r="DP209" i="3"/>
  <c r="DQ209" i="3"/>
  <c r="DR209" i="3"/>
  <c r="DL210" i="3"/>
  <c r="DN210" i="3"/>
  <c r="DR210" i="3"/>
  <c r="CH210" i="3" s="1"/>
  <c r="DL208" i="3"/>
  <c r="DM208" i="3"/>
  <c r="DN208" i="3"/>
  <c r="DO208" i="3"/>
  <c r="DP208" i="3"/>
  <c r="DQ208" i="3"/>
  <c r="DR208" i="3"/>
  <c r="B399" i="24"/>
  <c r="B400" i="24"/>
  <c r="B401" i="24"/>
  <c r="B402" i="24"/>
  <c r="B403" i="24"/>
  <c r="B404" i="24"/>
  <c r="B405" i="24"/>
  <c r="B406" i="24"/>
  <c r="B407" i="24"/>
  <c r="B409" i="24"/>
  <c r="B410" i="24"/>
  <c r="B411" i="24"/>
  <c r="B412" i="24"/>
  <c r="B413" i="24"/>
  <c r="B414" i="24"/>
  <c r="B415" i="24"/>
  <c r="B416" i="24"/>
  <c r="B417" i="24"/>
  <c r="B418" i="24"/>
  <c r="B419" i="24"/>
  <c r="B420" i="24"/>
  <c r="B421" i="24"/>
  <c r="B422" i="24"/>
  <c r="B423" i="24"/>
  <c r="B424" i="24"/>
  <c r="B425" i="24"/>
  <c r="B426" i="24"/>
  <c r="B427" i="24"/>
  <c r="B428" i="24"/>
  <c r="B430" i="24"/>
  <c r="B431" i="24"/>
  <c r="B432" i="24"/>
  <c r="B433" i="24"/>
  <c r="B434" i="24"/>
  <c r="B435" i="24"/>
  <c r="B436" i="24"/>
  <c r="B461"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GG398" i="24"/>
  <c r="B398" i="24"/>
  <c r="C398" i="24"/>
  <c r="D398" i="24"/>
  <c r="E398" i="24"/>
  <c r="N398" i="24" s="1"/>
  <c r="F398" i="24"/>
  <c r="GB502" i="24"/>
  <c r="GB501" i="24"/>
  <c r="GG208" i="24"/>
  <c r="GG209" i="24"/>
  <c r="GG201" i="24"/>
  <c r="GG202" i="24"/>
  <c r="BU209" i="3"/>
  <c r="BU208" i="3"/>
  <c r="B397" i="24"/>
  <c r="B396" i="24"/>
  <c r="B395" i="24"/>
  <c r="B394" i="24"/>
  <c r="B392" i="24"/>
  <c r="B391" i="24"/>
  <c r="B390" i="24"/>
  <c r="B389" i="24"/>
  <c r="B388" i="24"/>
  <c r="B387" i="24"/>
  <c r="B386" i="24"/>
  <c r="B385" i="24"/>
  <c r="B383" i="24"/>
  <c r="B382" i="24"/>
  <c r="B381" i="24"/>
  <c r="B380" i="24"/>
  <c r="B379" i="24"/>
  <c r="B378" i="24"/>
  <c r="B377" i="24"/>
  <c r="B376" i="24"/>
  <c r="B375" i="24"/>
  <c r="B374" i="24"/>
  <c r="B373" i="24"/>
  <c r="B372" i="24"/>
  <c r="B371" i="24"/>
  <c r="B370" i="24"/>
  <c r="B369" i="24"/>
  <c r="B368" i="24"/>
  <c r="B367" i="24"/>
  <c r="B365" i="24"/>
  <c r="B364" i="24"/>
  <c r="B363" i="24"/>
  <c r="B362" i="24"/>
  <c r="B361" i="24"/>
  <c r="B360" i="24"/>
  <c r="B359"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3" i="24"/>
  <c r="B302" i="24"/>
  <c r="B301" i="24"/>
  <c r="B300" i="24"/>
  <c r="B299" i="24"/>
  <c r="B298"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7" i="24"/>
  <c r="B206" i="24"/>
  <c r="B205" i="24"/>
  <c r="B204" i="24"/>
  <c r="B203" i="24"/>
  <c r="B200" i="24"/>
  <c r="B199" i="24"/>
  <c r="B198" i="24"/>
  <c r="B197" i="24"/>
  <c r="B196" i="24"/>
  <c r="B195" i="24"/>
  <c r="B194" i="24"/>
  <c r="B193"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6" i="3" s="1"/>
  <c r="DP125" i="3"/>
  <c r="CF125" i="3" s="1"/>
  <c r="DP124" i="3"/>
  <c r="CF124" i="3" s="1"/>
  <c r="CG92" i="3"/>
  <c r="CH92" i="3" s="1"/>
  <c r="GF398" i="24"/>
  <c r="GE398" i="24"/>
  <c r="GD398" i="24"/>
  <c r="GC398" i="24"/>
  <c r="GB6" i="24"/>
  <c r="GB5" i="24"/>
  <c r="GB4" i="24"/>
  <c r="DH363" i="24"/>
  <c r="DH364" i="24"/>
  <c r="EM363" i="24"/>
  <c r="EM364" i="24"/>
  <c r="H364" i="24"/>
  <c r="H363" i="24"/>
  <c r="C369" i="24"/>
  <c r="D369" i="24"/>
  <c r="E369" i="24"/>
  <c r="C357" i="24"/>
  <c r="D357" i="24"/>
  <c r="E357" i="24"/>
  <c r="F372" i="24"/>
  <c r="E372" i="24"/>
  <c r="D372" i="24"/>
  <c r="C372" i="24"/>
  <c r="BU372" i="3"/>
  <c r="O372" i="3"/>
  <c r="W372" i="3" s="1"/>
  <c r="W371" i="3"/>
  <c r="W357" i="3"/>
  <c r="Q357" i="3"/>
  <c r="W369" i="3"/>
  <c r="I49" i="1" l="1"/>
  <c r="Z45" i="1" s="1"/>
  <c r="Y45" i="1"/>
  <c r="CH93" i="3"/>
  <c r="Q359" i="3"/>
  <c r="Q362" i="3"/>
  <c r="Q371" i="3"/>
  <c r="Q369" i="3"/>
  <c r="O360" i="3"/>
  <c r="W360" i="3" s="1"/>
  <c r="O361" i="3"/>
  <c r="W361" i="3" s="1"/>
  <c r="Q363" i="3"/>
  <c r="Q372" i="3"/>
  <c r="I44" i="1"/>
  <c r="CH416" i="3" s="1"/>
  <c r="DQ125" i="3"/>
  <c r="CG125" i="3" s="1"/>
  <c r="DQ124" i="3"/>
  <c r="CG124" i="3" s="1"/>
  <c r="N372" i="24"/>
  <c r="Q361" i="3"/>
  <c r="Q360" i="3"/>
  <c r="O362" i="3"/>
  <c r="W362" i="3" s="1"/>
  <c r="O359" i="3"/>
  <c r="W359" i="3" s="1"/>
  <c r="O363" i="3" l="1"/>
  <c r="W363" i="3" s="1"/>
  <c r="DR125" i="3"/>
  <c r="CH125" i="3" s="1"/>
  <c r="DR124" i="3"/>
  <c r="CH124" i="3" s="1"/>
  <c r="F207" i="24"/>
  <c r="E207" i="24"/>
  <c r="D207" i="24"/>
  <c r="C207" i="24"/>
  <c r="DR207" i="3"/>
  <c r="DQ207" i="3"/>
  <c r="DP207" i="3"/>
  <c r="DO207" i="3"/>
  <c r="DN207" i="3"/>
  <c r="DL207" i="3"/>
  <c r="BU207" i="3"/>
  <c r="F404" i="24"/>
  <c r="F405" i="24"/>
  <c r="E404" i="24"/>
  <c r="D404" i="24"/>
  <c r="C404" i="24"/>
  <c r="F402" i="24"/>
  <c r="F403" i="24"/>
  <c r="F406" i="24"/>
  <c r="F407" i="24"/>
  <c r="F409" i="24"/>
  <c r="BU404" i="3"/>
  <c r="N404" i="24" l="1"/>
  <c r="N207" i="24"/>
  <c r="F369" i="24"/>
  <c r="F357" i="24"/>
  <c r="N369" i="24"/>
  <c r="N357" i="24"/>
  <c r="F364" i="24"/>
  <c r="E364" i="24"/>
  <c r="D364" i="24"/>
  <c r="C364" i="24"/>
  <c r="F363" i="24"/>
  <c r="E363" i="24"/>
  <c r="D363" i="24"/>
  <c r="C363" i="24"/>
  <c r="BU364" i="3"/>
  <c r="BU363" i="3"/>
  <c r="EH6" i="24"/>
  <c r="EG6" i="24"/>
  <c r="EH4" i="24"/>
  <c r="Q129" i="1"/>
  <c r="EH5" i="24" s="1"/>
  <c r="EO6" i="24"/>
  <c r="EO5" i="24"/>
  <c r="EO4" i="24"/>
  <c r="BU357" i="3" l="1"/>
  <c r="R369" i="3"/>
  <c r="J388" i="3" l="1"/>
  <c r="K388" i="3"/>
  <c r="L388" i="3"/>
  <c r="M388" i="3"/>
  <c r="N388" i="3"/>
  <c r="O388" i="3"/>
  <c r="J387" i="3"/>
  <c r="K387" i="3"/>
  <c r="L387" i="3"/>
  <c r="M387" i="3"/>
  <c r="N387" i="3"/>
  <c r="O387" i="3"/>
  <c r="S369" i="3" l="1"/>
  <c r="U369" i="3"/>
  <c r="V369" i="3"/>
  <c r="T369" i="3"/>
  <c r="DM207" i="3" l="1"/>
  <c r="Q364" i="3" l="1"/>
  <c r="O364" i="3"/>
  <c r="W364" i="3" s="1"/>
  <c r="BU397" i="3" l="1"/>
  <c r="BU369" i="3"/>
  <c r="F7" i="24" l="1"/>
  <c r="BU373" i="3" l="1"/>
  <c r="E20" i="27" l="1"/>
  <c r="C417" i="24" l="1"/>
  <c r="GC417" i="24" l="1"/>
  <c r="GD417" i="24"/>
  <c r="GE417" i="24"/>
  <c r="GF417" i="24"/>
  <c r="X46" i="3"/>
  <c r="X47" i="3"/>
  <c r="X48" i="3"/>
  <c r="X49" i="3"/>
  <c r="X50" i="3"/>
  <c r="X322" i="3"/>
  <c r="X397" i="3"/>
  <c r="X323" i="3" l="1"/>
  <c r="S5" i="26" l="1"/>
  <c r="BU417" i="3"/>
  <c r="BU418" i="3"/>
  <c r="D417" i="24" l="1"/>
  <c r="E417" i="24"/>
  <c r="F417" i="24"/>
  <c r="EX6" i="24"/>
  <c r="EX5" i="24"/>
  <c r="EX4" i="24"/>
  <c r="BU398" i="3" l="1"/>
  <c r="DH390" i="24" l="1"/>
  <c r="DO392" i="24"/>
  <c r="DH392" i="24"/>
  <c r="DH391" i="24"/>
  <c r="CB239" i="3" l="1"/>
  <c r="BU34" i="3" l="1"/>
  <c r="CC373" i="3"/>
  <c r="BR278" i="3"/>
  <c r="BR277" i="3"/>
  <c r="BR276" i="3"/>
  <c r="CD373" i="3" l="1"/>
  <c r="X7" i="26"/>
  <c r="CE373" i="3" l="1"/>
  <c r="S6" i="26"/>
  <c r="T6" i="26"/>
  <c r="U6" i="26"/>
  <c r="V6" i="26"/>
  <c r="W6" i="26"/>
  <c r="S7" i="26"/>
  <c r="T7" i="26"/>
  <c r="U7" i="26"/>
  <c r="V7" i="26"/>
  <c r="W7" i="26"/>
  <c r="R7" i="26"/>
  <c r="R6" i="26"/>
  <c r="BU504" i="3"/>
  <c r="BU505" i="3"/>
  <c r="R3" i="26"/>
  <c r="CH497" i="3" l="1"/>
  <c r="CD497" i="3"/>
  <c r="CH495" i="3"/>
  <c r="CD495" i="3"/>
  <c r="CH493" i="3"/>
  <c r="CD493" i="3"/>
  <c r="CD490" i="3"/>
  <c r="CH490" i="3"/>
  <c r="CD491" i="3"/>
  <c r="CH491" i="3"/>
  <c r="CH489" i="3"/>
  <c r="CD489" i="3"/>
  <c r="CH483" i="3"/>
  <c r="CD483" i="3"/>
  <c r="CH466" i="3"/>
  <c r="CH464" i="3"/>
  <c r="CH462" i="3"/>
  <c r="B3" i="26"/>
  <c r="D3" i="25"/>
  <c r="E3" i="14"/>
  <c r="AS3" i="20"/>
  <c r="AL3" i="20"/>
  <c r="AE3" i="20"/>
  <c r="P4" i="20"/>
  <c r="H4" i="20"/>
  <c r="DL6" i="3"/>
  <c r="DD5" i="3"/>
  <c r="CW5" i="3"/>
  <c r="CP5" i="3"/>
  <c r="CI5" i="3"/>
  <c r="CB5" i="3"/>
  <c r="BU5" i="3"/>
  <c r="BN5" i="3"/>
  <c r="X4" i="3"/>
  <c r="Q4" i="3"/>
  <c r="I4" i="3"/>
  <c r="C8" i="1"/>
  <c r="C3" i="1"/>
  <c r="CC419" i="3" l="1"/>
  <c r="CD419" i="3" s="1"/>
  <c r="CE419" i="3" s="1"/>
  <c r="J391"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5" i="3"/>
  <c r="N364" i="3"/>
  <c r="V364" i="3" s="1"/>
  <c r="N372" i="3"/>
  <c r="V372" i="3" s="1"/>
  <c r="J372" i="3"/>
  <c r="R372" i="3" s="1"/>
  <c r="M372" i="3"/>
  <c r="U372" i="3" s="1"/>
  <c r="L372" i="3"/>
  <c r="T372" i="3" s="1"/>
  <c r="S371" i="3"/>
  <c r="K372" i="3"/>
  <c r="S372" i="3" s="1"/>
  <c r="K364" i="3"/>
  <c r="S364" i="3" s="1"/>
  <c r="M364" i="3"/>
  <c r="U364" i="3" s="1"/>
  <c r="L364" i="3"/>
  <c r="T364" i="3" s="1"/>
  <c r="L363" i="3"/>
  <c r="T363" i="3" s="1"/>
  <c r="J364" i="3"/>
  <c r="R364" i="3" s="1"/>
  <c r="J363" i="3"/>
  <c r="R363" i="3" s="1"/>
  <c r="M363" i="3"/>
  <c r="U363" i="3" s="1"/>
  <c r="N363" i="3"/>
  <c r="V363" i="3" s="1"/>
  <c r="K363" i="3"/>
  <c r="S363" i="3" s="1"/>
  <c r="R371" i="3"/>
  <c r="V371" i="3"/>
  <c r="L357" i="3"/>
  <c r="T357" i="3" s="1"/>
  <c r="J357" i="3"/>
  <c r="R357" i="3" s="1"/>
  <c r="T371" i="3"/>
  <c r="N357" i="3"/>
  <c r="V357" i="3" s="1"/>
  <c r="K357" i="3"/>
  <c r="S357" i="3" s="1"/>
  <c r="U371" i="3"/>
  <c r="M357" i="3"/>
  <c r="U357" i="3" s="1"/>
  <c r="CF497" i="3"/>
  <c r="N362" i="3"/>
  <c r="V362" i="3" s="1"/>
  <c r="M362" i="3"/>
  <c r="U362" i="3" s="1"/>
  <c r="L362" i="3"/>
  <c r="T362" i="3" s="1"/>
  <c r="K362" i="3"/>
  <c r="S362" i="3" s="1"/>
  <c r="J362" i="3"/>
  <c r="R362" i="3" s="1"/>
  <c r="M360" i="3"/>
  <c r="U360" i="3" s="1"/>
  <c r="K361" i="3"/>
  <c r="S361" i="3" s="1"/>
  <c r="M359" i="3"/>
  <c r="U359" i="3" s="1"/>
  <c r="N360" i="3"/>
  <c r="V360" i="3" s="1"/>
  <c r="J361" i="3"/>
  <c r="R361" i="3" s="1"/>
  <c r="J360" i="3"/>
  <c r="R360" i="3" s="1"/>
  <c r="N359" i="3"/>
  <c r="V359" i="3" s="1"/>
  <c r="K359" i="3"/>
  <c r="S359" i="3" s="1"/>
  <c r="N361" i="3"/>
  <c r="V361" i="3" s="1"/>
  <c r="L361" i="3"/>
  <c r="T361" i="3" s="1"/>
  <c r="M361" i="3"/>
  <c r="U361" i="3" s="1"/>
  <c r="K360" i="3"/>
  <c r="S360" i="3" s="1"/>
  <c r="L360" i="3"/>
  <c r="T360" i="3" s="1"/>
  <c r="J359" i="3"/>
  <c r="R359" i="3" s="1"/>
  <c r="L359" i="3"/>
  <c r="T359" i="3" s="1"/>
  <c r="CF493" i="3"/>
  <c r="CF491" i="3"/>
  <c r="CF490" i="3"/>
  <c r="CF419" i="3" l="1"/>
  <c r="R391" i="3"/>
  <c r="Y391"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1" i="3"/>
  <c r="CG495" i="3"/>
  <c r="CG490" i="3"/>
  <c r="CG493" i="3"/>
  <c r="CG497" i="3"/>
  <c r="E29" i="1"/>
  <c r="J100" i="3"/>
  <c r="DM74" i="3"/>
  <c r="CC74" i="3" s="1"/>
  <c r="E23" i="1"/>
  <c r="DN69" i="3" s="1"/>
  <c r="DM75" i="3"/>
  <c r="E22" i="1"/>
  <c r="DM76" i="3"/>
  <c r="CE495" i="3"/>
  <c r="E36" i="1"/>
  <c r="DN103" i="3" s="1"/>
  <c r="CC103" i="3"/>
  <c r="CE497" i="3"/>
  <c r="CE493" i="3"/>
  <c r="CG491" i="3"/>
  <c r="CE490" i="3"/>
  <c r="D92" i="24"/>
  <c r="E92" i="24"/>
  <c r="F92" i="24"/>
  <c r="CG419"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59" i="3" s="1"/>
  <c r="R459" i="3" s="1"/>
  <c r="J101" i="3"/>
  <c r="F29" i="1"/>
  <c r="K100" i="3"/>
  <c r="DN74" i="3"/>
  <c r="CD74" i="3" s="1"/>
  <c r="F23" i="1"/>
  <c r="DO69" i="3" s="1"/>
  <c r="DN75" i="3"/>
  <c r="F22" i="1"/>
  <c r="DN76" i="3"/>
  <c r="F36" i="1"/>
  <c r="DO103" i="3" s="1"/>
  <c r="CD103" i="3"/>
  <c r="F264" i="24"/>
  <c r="E264" i="24"/>
  <c r="D264" i="24"/>
  <c r="C264"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59" i="3" s="1"/>
  <c r="S459" i="3" s="1"/>
  <c r="K101" i="3"/>
  <c r="G29" i="1"/>
  <c r="L100" i="3"/>
  <c r="DO74" i="3"/>
  <c r="CE74" i="3" s="1"/>
  <c r="G23" i="1"/>
  <c r="DP69" i="3" s="1"/>
  <c r="DO75" i="3"/>
  <c r="G22" i="1"/>
  <c r="DO76" i="3"/>
  <c r="G36" i="1"/>
  <c r="DP103" i="3" s="1"/>
  <c r="CE103" i="3"/>
  <c r="N264" i="24"/>
  <c r="CF264" i="3"/>
  <c r="BU264" i="3"/>
  <c r="M264" i="3"/>
  <c r="N264"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4" i="3"/>
  <c r="L102" i="3"/>
  <c r="L459" i="3" s="1"/>
  <c r="T459" i="3" s="1"/>
  <c r="L101" i="3"/>
  <c r="H29" i="1"/>
  <c r="M100" i="3"/>
  <c r="DP74" i="3"/>
  <c r="CF74" i="3" s="1"/>
  <c r="H23" i="1"/>
  <c r="DQ69" i="3" s="1"/>
  <c r="DP75" i="3"/>
  <c r="H22" i="1"/>
  <c r="DP76" i="3"/>
  <c r="H36" i="1"/>
  <c r="DQ103" i="3" s="1"/>
  <c r="CF103" i="3"/>
  <c r="L264" i="3"/>
  <c r="AG342" i="24"/>
  <c r="AG341" i="24"/>
  <c r="AG340" i="24"/>
  <c r="AG339" i="24"/>
  <c r="AG338" i="24"/>
  <c r="AG337"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59" i="3" s="1"/>
  <c r="U459" i="3" s="1"/>
  <c r="M101" i="3"/>
  <c r="I29" i="1"/>
  <c r="N100" i="3"/>
  <c r="DQ74" i="3"/>
  <c r="CG74" i="3" s="1"/>
  <c r="I23" i="1"/>
  <c r="DQ75" i="3"/>
  <c r="I22" i="1"/>
  <c r="DR76" i="3" s="1"/>
  <c r="DQ76" i="3"/>
  <c r="I36" i="1"/>
  <c r="CG103" i="3"/>
  <c r="F191" i="24"/>
  <c r="E191" i="24"/>
  <c r="D191" i="24"/>
  <c r="C191" i="24"/>
  <c r="DR191" i="3"/>
  <c r="DQ191" i="3"/>
  <c r="DP191" i="3"/>
  <c r="DO191" i="3"/>
  <c r="CE191" i="3" s="1"/>
  <c r="DN191" i="3"/>
  <c r="CD191" i="3" s="1"/>
  <c r="DM191" i="3"/>
  <c r="DL191" i="3"/>
  <c r="BU191"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3" i="3"/>
  <c r="N263" i="3" s="1"/>
  <c r="M262" i="3"/>
  <c r="N262" i="3" s="1"/>
  <c r="M260" i="3"/>
  <c r="N260" i="3" s="1"/>
  <c r="M251" i="3"/>
  <c r="N251" i="3" s="1"/>
  <c r="M238" i="3"/>
  <c r="L238" i="3" s="1"/>
  <c r="M239" i="3"/>
  <c r="N239" i="3" s="1"/>
  <c r="M240" i="3"/>
  <c r="N240" i="3" s="1"/>
  <c r="M241" i="3"/>
  <c r="N241" i="3" s="1"/>
  <c r="M243" i="3"/>
  <c r="N243" i="3" s="1"/>
  <c r="M244" i="3"/>
  <c r="N244" i="3" s="1"/>
  <c r="M245" i="3"/>
  <c r="N245" i="3" s="1"/>
  <c r="M246" i="3"/>
  <c r="L246" i="3" s="1"/>
  <c r="F246" i="24"/>
  <c r="E246" i="24"/>
  <c r="D246" i="24"/>
  <c r="C246" i="24"/>
  <c r="CF246" i="3"/>
  <c r="BU246" i="3"/>
  <c r="DR81" i="3" l="1"/>
  <c r="DR80" i="3"/>
  <c r="DR85" i="3"/>
  <c r="DR86" i="3"/>
  <c r="DR102" i="3"/>
  <c r="CH102" i="3" s="1"/>
  <c r="DR100" i="3"/>
  <c r="DR101" i="3"/>
  <c r="CH101" i="3" s="1"/>
  <c r="DR49" i="3"/>
  <c r="DR47" i="3"/>
  <c r="DR50" i="3"/>
  <c r="DR48" i="3"/>
  <c r="DR46" i="3"/>
  <c r="DR103" i="3"/>
  <c r="CH103" i="3" s="1"/>
  <c r="DR91" i="3"/>
  <c r="DR90" i="3"/>
  <c r="DR92" i="3"/>
  <c r="CG246" i="3"/>
  <c r="N101" i="3"/>
  <c r="N102" i="3"/>
  <c r="N459" i="3" s="1"/>
  <c r="V459" i="3" s="1"/>
  <c r="O100" i="3"/>
  <c r="DR74" i="3"/>
  <c r="CH74" i="3" s="1"/>
  <c r="DR75" i="3"/>
  <c r="DR69" i="3"/>
  <c r="N246" i="24"/>
  <c r="N191" i="24"/>
  <c r="L244" i="3"/>
  <c r="L260" i="3"/>
  <c r="L243" i="3"/>
  <c r="N246" i="3"/>
  <c r="N238" i="3"/>
  <c r="L245" i="3"/>
  <c r="L263" i="3"/>
  <c r="L241" i="3"/>
  <c r="L239" i="3"/>
  <c r="L262" i="3"/>
  <c r="L251" i="3"/>
  <c r="L240" i="3"/>
  <c r="CE246" i="3"/>
  <c r="O101" i="3" l="1"/>
  <c r="O102" i="3"/>
  <c r="O459" i="3" s="1"/>
  <c r="W459" i="3" s="1"/>
  <c r="F25" i="27"/>
  <c r="F28" i="27" l="1"/>
  <c r="F176" i="24"/>
  <c r="E176" i="24"/>
  <c r="D176" i="24"/>
  <c r="C176" i="24"/>
  <c r="F175" i="24"/>
  <c r="E175" i="24"/>
  <c r="D175" i="24"/>
  <c r="C175" i="24"/>
  <c r="DR176" i="3"/>
  <c r="CH176" i="3" s="1"/>
  <c r="DN176" i="3"/>
  <c r="CD176" i="3" s="1"/>
  <c r="DL176" i="3"/>
  <c r="CB176" i="3" s="1"/>
  <c r="BU176" i="3"/>
  <c r="DR175" i="3"/>
  <c r="CH175" i="3" s="1"/>
  <c r="DN175" i="3"/>
  <c r="CD175" i="3" s="1"/>
  <c r="DL175" i="3"/>
  <c r="CB175" i="3" s="1"/>
  <c r="BU175" i="3"/>
  <c r="F169" i="24"/>
  <c r="E169" i="24"/>
  <c r="D169" i="24"/>
  <c r="C169" i="24"/>
  <c r="F168" i="24"/>
  <c r="E168" i="24"/>
  <c r="D168" i="24"/>
  <c r="C168" i="24"/>
  <c r="DR169" i="3"/>
  <c r="CH169" i="3" s="1"/>
  <c r="DN169" i="3"/>
  <c r="CD169" i="3" s="1"/>
  <c r="DL169" i="3"/>
  <c r="CB169" i="3" s="1"/>
  <c r="BU169" i="3"/>
  <c r="DR168" i="3"/>
  <c r="CH168" i="3" s="1"/>
  <c r="DN168" i="3"/>
  <c r="CD168" i="3" s="1"/>
  <c r="DL168" i="3"/>
  <c r="CB168" i="3" s="1"/>
  <c r="BU168" i="3"/>
  <c r="F160" i="24"/>
  <c r="E160" i="24"/>
  <c r="D160" i="24"/>
  <c r="C160" i="24"/>
  <c r="F159" i="24"/>
  <c r="E159" i="24"/>
  <c r="D159" i="24"/>
  <c r="C159" i="24"/>
  <c r="DR160" i="3"/>
  <c r="CH160" i="3" s="1"/>
  <c r="DN160" i="3"/>
  <c r="CD160" i="3" s="1"/>
  <c r="DL160" i="3"/>
  <c r="CB160" i="3" s="1"/>
  <c r="BU160" i="3"/>
  <c r="DR159" i="3"/>
  <c r="CH159" i="3" s="1"/>
  <c r="DN159" i="3"/>
  <c r="CD159" i="3" s="1"/>
  <c r="DL159" i="3"/>
  <c r="CB159" i="3" s="1"/>
  <c r="BU159" i="3"/>
  <c r="DR150" i="3"/>
  <c r="CH150" i="3" s="1"/>
  <c r="DN150" i="3"/>
  <c r="CD150" i="3" s="1"/>
  <c r="DL150" i="3"/>
  <c r="CB150" i="3" s="1"/>
  <c r="BU150" i="3"/>
  <c r="DR149" i="3"/>
  <c r="CH149" i="3" s="1"/>
  <c r="DN149" i="3"/>
  <c r="CD149" i="3" s="1"/>
  <c r="DL149" i="3"/>
  <c r="CB149" i="3" s="1"/>
  <c r="BU149" i="3"/>
  <c r="N159" i="24" l="1"/>
  <c r="N160" i="24"/>
  <c r="N175" i="24"/>
  <c r="N168" i="24"/>
  <c r="N169" i="24"/>
  <c r="N176"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3" i="3"/>
  <c r="H323" i="3"/>
  <c r="F323" i="24"/>
  <c r="E323" i="24"/>
  <c r="D323" i="24"/>
  <c r="C323"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2" i="3"/>
  <c r="CC322" i="3"/>
  <c r="AI322" i="3"/>
  <c r="AI323" i="3" s="1"/>
  <c r="AH322" i="3"/>
  <c r="BU322" i="3" s="1"/>
  <c r="AG322" i="3"/>
  <c r="AG323" i="3" s="1"/>
  <c r="AF322" i="3"/>
  <c r="AF323" i="3" s="1"/>
  <c r="AD322" i="3"/>
  <c r="AD323" i="3" s="1"/>
  <c r="AC322" i="3"/>
  <c r="AC323" i="3" s="1"/>
  <c r="AB322" i="3"/>
  <c r="AB323" i="3" s="1"/>
  <c r="AA322" i="3"/>
  <c r="AA323" i="3" s="1"/>
  <c r="Z322" i="3"/>
  <c r="Z323" i="3" s="1"/>
  <c r="Y322" i="3"/>
  <c r="Y323" i="3" s="1"/>
  <c r="W322" i="3"/>
  <c r="W323" i="3" s="1"/>
  <c r="V322" i="3"/>
  <c r="V323" i="3" s="1"/>
  <c r="U322" i="3"/>
  <c r="U323" i="3" s="1"/>
  <c r="T322" i="3"/>
  <c r="T323" i="3" s="1"/>
  <c r="S322" i="3"/>
  <c r="S323" i="3" s="1"/>
  <c r="R322" i="3"/>
  <c r="R323" i="3" s="1"/>
  <c r="Q322" i="3"/>
  <c r="O322" i="3"/>
  <c r="O323" i="3" s="1"/>
  <c r="K322" i="3"/>
  <c r="K323" i="3" s="1"/>
  <c r="J322" i="3"/>
  <c r="J323" i="3" s="1"/>
  <c r="H322" i="3"/>
  <c r="F322" i="24"/>
  <c r="E322" i="24"/>
  <c r="D322" i="24"/>
  <c r="C322" i="24"/>
  <c r="L322" i="3"/>
  <c r="L323" i="3" s="1"/>
  <c r="CF498" i="3"/>
  <c r="CF496" i="3"/>
  <c r="CF494" i="3"/>
  <c r="CF492" i="3"/>
  <c r="CF489" i="3"/>
  <c r="CF488" i="3"/>
  <c r="CF487" i="3"/>
  <c r="CF486" i="3"/>
  <c r="CF485" i="3"/>
  <c r="CF484" i="3"/>
  <c r="CF483" i="3"/>
  <c r="CF482" i="3"/>
  <c r="CF481" i="3"/>
  <c r="CF480" i="3"/>
  <c r="CF479" i="3"/>
  <c r="CF478" i="3"/>
  <c r="CF477" i="3"/>
  <c r="CF476" i="3"/>
  <c r="CF475" i="3"/>
  <c r="CF474" i="3"/>
  <c r="CF473" i="3"/>
  <c r="CF472" i="3"/>
  <c r="CF471" i="3"/>
  <c r="CF470" i="3"/>
  <c r="CF469" i="3"/>
  <c r="CF468" i="3"/>
  <c r="CF467" i="3"/>
  <c r="CF465" i="3"/>
  <c r="CF463" i="3"/>
  <c r="CF461" i="3"/>
  <c r="CF499" i="3"/>
  <c r="Q323" i="3" l="1"/>
  <c r="CE474" i="3"/>
  <c r="CE492" i="3"/>
  <c r="CC323" i="3"/>
  <c r="CG489" i="3"/>
  <c r="CG475" i="3"/>
  <c r="CG494" i="3"/>
  <c r="CD323" i="3"/>
  <c r="CG476" i="3"/>
  <c r="CE496" i="3"/>
  <c r="CE477" i="3"/>
  <c r="CG498" i="3"/>
  <c r="CE478" i="3"/>
  <c r="CG499" i="3"/>
  <c r="CE479" i="3"/>
  <c r="CG473" i="3"/>
  <c r="CE461" i="3"/>
  <c r="CE480" i="3"/>
  <c r="CE463" i="3"/>
  <c r="CG481" i="3"/>
  <c r="CG465" i="3"/>
  <c r="CE482" i="3"/>
  <c r="CG467" i="3"/>
  <c r="CG483" i="3"/>
  <c r="CG468" i="3"/>
  <c r="CG484" i="3"/>
  <c r="CE469" i="3"/>
  <c r="CE485" i="3"/>
  <c r="CE487" i="3"/>
  <c r="CE472" i="3"/>
  <c r="CE488" i="3"/>
  <c r="CE470" i="3"/>
  <c r="CG486" i="3"/>
  <c r="CE471" i="3"/>
  <c r="N323" i="24"/>
  <c r="N70" i="24"/>
  <c r="N322" i="24"/>
  <c r="AH323" i="3"/>
  <c r="BU323" i="3" s="1"/>
  <c r="CG470" i="3"/>
  <c r="CG487" i="3"/>
  <c r="M322" i="3"/>
  <c r="M323" i="3" s="1"/>
  <c r="CG478" i="3"/>
  <c r="CE484" i="3"/>
  <c r="CE494" i="3"/>
  <c r="CE489" i="3"/>
  <c r="CG485" i="3"/>
  <c r="CE486" i="3"/>
  <c r="CE476" i="3"/>
  <c r="N322" i="3"/>
  <c r="N323" i="3" s="1"/>
  <c r="CG463" i="3"/>
  <c r="CE468" i="3"/>
  <c r="CG471" i="3"/>
  <c r="CG479" i="3"/>
  <c r="CG492" i="3"/>
  <c r="CE499" i="3"/>
  <c r="CG469" i="3"/>
  <c r="CG477" i="3"/>
  <c r="CG474" i="3"/>
  <c r="CG482" i="3"/>
  <c r="CE475" i="3"/>
  <c r="CE483" i="3"/>
  <c r="CE467" i="3"/>
  <c r="CG480" i="3"/>
  <c r="CG488" i="3"/>
  <c r="CG496" i="3"/>
  <c r="CE465" i="3"/>
  <c r="CE473" i="3"/>
  <c r="CE481" i="3"/>
  <c r="CG461" i="3"/>
  <c r="CG472" i="3"/>
  <c r="CE498" i="3"/>
  <c r="F499" i="24" l="1"/>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482" i="24"/>
  <c r="E482" i="24"/>
  <c r="D482" i="24"/>
  <c r="C482"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1" i="24"/>
  <c r="BU499" i="3"/>
  <c r="BU498" i="3"/>
  <c r="BU497" i="3"/>
  <c r="BU496" i="3"/>
  <c r="BU495" i="3"/>
  <c r="BU494" i="3"/>
  <c r="BU493" i="3"/>
  <c r="BU492" i="3"/>
  <c r="BU487" i="3"/>
  <c r="BU486" i="3"/>
  <c r="BU485" i="3"/>
  <c r="BU484" i="3"/>
  <c r="BU483" i="3"/>
  <c r="BU482" i="3"/>
  <c r="BU466" i="3"/>
  <c r="BU465" i="3"/>
  <c r="BU463" i="3"/>
  <c r="BU464" i="3"/>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500" i="24"/>
  <c r="E500" i="24"/>
  <c r="D500" i="24"/>
  <c r="C500"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D462" i="24"/>
  <c r="C462" i="24"/>
  <c r="F461" i="24"/>
  <c r="E461" i="24"/>
  <c r="C461"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30" i="24"/>
  <c r="E430" i="24"/>
  <c r="D430" i="24"/>
  <c r="C430"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8" i="24"/>
  <c r="E418" i="24"/>
  <c r="D418" i="24"/>
  <c r="C418"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F410" i="24"/>
  <c r="E410" i="24"/>
  <c r="D410" i="24"/>
  <c r="C410" i="24"/>
  <c r="E409" i="24"/>
  <c r="D409" i="24"/>
  <c r="C409" i="24"/>
  <c r="E407" i="24"/>
  <c r="D407" i="24"/>
  <c r="C407" i="24"/>
  <c r="E406" i="24"/>
  <c r="D406" i="24"/>
  <c r="C406" i="24"/>
  <c r="E405" i="24"/>
  <c r="D405" i="24"/>
  <c r="C405" i="24"/>
  <c r="E403" i="24"/>
  <c r="D403" i="24"/>
  <c r="C403" i="24"/>
  <c r="E402" i="24"/>
  <c r="D402" i="24"/>
  <c r="C402" i="24"/>
  <c r="F401" i="24"/>
  <c r="E401" i="24"/>
  <c r="D401" i="24"/>
  <c r="C401" i="24"/>
  <c r="F400" i="24"/>
  <c r="E400" i="24"/>
  <c r="D400" i="24"/>
  <c r="C400" i="24"/>
  <c r="F399" i="24"/>
  <c r="E399" i="24"/>
  <c r="D399" i="24"/>
  <c r="C399" i="24"/>
  <c r="F397" i="24"/>
  <c r="E397" i="24"/>
  <c r="D397" i="24"/>
  <c r="C397" i="24"/>
  <c r="F396" i="24"/>
  <c r="E396" i="24"/>
  <c r="D396" i="24"/>
  <c r="C396" i="24"/>
  <c r="F395" i="24"/>
  <c r="E395" i="24"/>
  <c r="D395" i="24"/>
  <c r="C395" i="24"/>
  <c r="F394" i="24"/>
  <c r="E394" i="24"/>
  <c r="D394" i="24"/>
  <c r="C394"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5" i="24"/>
  <c r="E385" i="24"/>
  <c r="D385" i="24"/>
  <c r="C385"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3" i="24"/>
  <c r="E373" i="24"/>
  <c r="D373" i="24"/>
  <c r="C373" i="24"/>
  <c r="F371" i="24"/>
  <c r="E371" i="24"/>
  <c r="D371" i="24"/>
  <c r="C371" i="24"/>
  <c r="F370" i="24"/>
  <c r="E370" i="24"/>
  <c r="D370" i="24"/>
  <c r="C370" i="24"/>
  <c r="F368" i="24"/>
  <c r="E368" i="24"/>
  <c r="D368" i="24"/>
  <c r="C368" i="24"/>
  <c r="F367" i="24"/>
  <c r="E367" i="24"/>
  <c r="D367" i="24"/>
  <c r="C367" i="24"/>
  <c r="F365" i="24"/>
  <c r="E365" i="24"/>
  <c r="D365" i="24"/>
  <c r="C365" i="24"/>
  <c r="F362" i="24"/>
  <c r="E362" i="24"/>
  <c r="D362" i="24"/>
  <c r="C362" i="24"/>
  <c r="F361" i="24"/>
  <c r="E361" i="24"/>
  <c r="D361" i="24"/>
  <c r="C361" i="24"/>
  <c r="F360" i="24"/>
  <c r="E360" i="24"/>
  <c r="D360" i="24"/>
  <c r="C360" i="24"/>
  <c r="F359" i="24"/>
  <c r="E359" i="24"/>
  <c r="D359" i="24"/>
  <c r="C359"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4" i="24"/>
  <c r="E324" i="24"/>
  <c r="D324" i="24"/>
  <c r="C324"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5" i="24"/>
  <c r="E305" i="24"/>
  <c r="D305" i="24"/>
  <c r="C305" i="24"/>
  <c r="F303" i="24"/>
  <c r="E303" i="24"/>
  <c r="D303" i="24"/>
  <c r="C303" i="24"/>
  <c r="F302" i="24"/>
  <c r="E302" i="24"/>
  <c r="D302" i="24"/>
  <c r="C302" i="24"/>
  <c r="F301" i="24"/>
  <c r="E301" i="24"/>
  <c r="D301" i="24"/>
  <c r="C301" i="24"/>
  <c r="F300" i="24"/>
  <c r="E300" i="24"/>
  <c r="D300" i="24"/>
  <c r="C300" i="24"/>
  <c r="F299" i="24"/>
  <c r="E299" i="24"/>
  <c r="D299" i="24"/>
  <c r="C299" i="24"/>
  <c r="F298" i="24"/>
  <c r="E298" i="24"/>
  <c r="D298" i="24"/>
  <c r="C298"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5" i="24"/>
  <c r="E265" i="24"/>
  <c r="D265" i="24"/>
  <c r="C265"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7" i="24"/>
  <c r="E247" i="24"/>
  <c r="D247" i="24"/>
  <c r="C247"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4" i="24"/>
  <c r="E224" i="24"/>
  <c r="D224" i="24"/>
  <c r="C224" i="24"/>
  <c r="F222" i="24"/>
  <c r="E222" i="24"/>
  <c r="D222" i="24"/>
  <c r="C222" i="24"/>
  <c r="F219" i="24"/>
  <c r="E219" i="24"/>
  <c r="D219" i="24"/>
  <c r="C219" i="24"/>
  <c r="F218" i="24"/>
  <c r="E218" i="24"/>
  <c r="D218" i="24"/>
  <c r="C218" i="24"/>
  <c r="F221" i="24"/>
  <c r="E221" i="24"/>
  <c r="D221" i="24"/>
  <c r="C221" i="24"/>
  <c r="F214" i="24"/>
  <c r="E214" i="24"/>
  <c r="D214" i="24"/>
  <c r="C214" i="24"/>
  <c r="F220" i="24"/>
  <c r="E220" i="24"/>
  <c r="D220" i="24"/>
  <c r="C220" i="24"/>
  <c r="F217" i="24"/>
  <c r="E217" i="24"/>
  <c r="D217" i="24"/>
  <c r="C217" i="24"/>
  <c r="F213" i="24"/>
  <c r="E213" i="24"/>
  <c r="D213" i="24"/>
  <c r="C213" i="24"/>
  <c r="F211" i="24"/>
  <c r="E211" i="24"/>
  <c r="D211" i="24"/>
  <c r="C211" i="24"/>
  <c r="F216" i="24"/>
  <c r="E216" i="24"/>
  <c r="D216" i="24"/>
  <c r="C216" i="24"/>
  <c r="F215" i="24"/>
  <c r="E215" i="24"/>
  <c r="D215" i="24"/>
  <c r="C215" i="24"/>
  <c r="F212" i="24"/>
  <c r="E212" i="24"/>
  <c r="D212" i="24"/>
  <c r="C212" i="24"/>
  <c r="F210" i="24"/>
  <c r="E210" i="24"/>
  <c r="D210" i="24"/>
  <c r="C210" i="24"/>
  <c r="F223" i="24"/>
  <c r="E223" i="24"/>
  <c r="D223" i="24"/>
  <c r="C223" i="24"/>
  <c r="F190" i="24"/>
  <c r="E190" i="24"/>
  <c r="D190" i="24"/>
  <c r="C190"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3" i="24"/>
  <c r="E193" i="24"/>
  <c r="D193" i="24"/>
  <c r="C193"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183" i="24"/>
  <c r="E183" i="24"/>
  <c r="D183" i="24"/>
  <c r="C183" i="24"/>
  <c r="F206" i="24"/>
  <c r="E206" i="24"/>
  <c r="D206" i="24"/>
  <c r="C206" i="24"/>
  <c r="F205" i="24"/>
  <c r="E205" i="24"/>
  <c r="D205" i="24"/>
  <c r="C205" i="24"/>
  <c r="F204" i="24"/>
  <c r="E204" i="24"/>
  <c r="D204" i="24"/>
  <c r="C204" i="24"/>
  <c r="F203" i="24"/>
  <c r="E203" i="24"/>
  <c r="D203" i="24"/>
  <c r="C203" i="24"/>
  <c r="F182" i="24"/>
  <c r="E182" i="24"/>
  <c r="D182" i="24"/>
  <c r="C182" i="24"/>
  <c r="F181" i="24"/>
  <c r="E181" i="24"/>
  <c r="D181" i="24"/>
  <c r="C181" i="24"/>
  <c r="F180" i="24"/>
  <c r="E180" i="24"/>
  <c r="D180" i="24"/>
  <c r="C180" i="24"/>
  <c r="F179" i="24"/>
  <c r="E179" i="24"/>
  <c r="D179" i="24"/>
  <c r="C179" i="24"/>
  <c r="F178" i="24"/>
  <c r="E178" i="24"/>
  <c r="D178" i="24"/>
  <c r="C178" i="24"/>
  <c r="F177" i="24"/>
  <c r="E177" i="24"/>
  <c r="D177" i="24"/>
  <c r="C177" i="24"/>
  <c r="F174" i="24"/>
  <c r="E174" i="24"/>
  <c r="D174" i="24"/>
  <c r="C174" i="24"/>
  <c r="F173" i="24"/>
  <c r="E173" i="24"/>
  <c r="D173" i="24"/>
  <c r="C173" i="24"/>
  <c r="F172" i="24"/>
  <c r="E172" i="24"/>
  <c r="D172" i="24"/>
  <c r="C172" i="24"/>
  <c r="F171" i="24"/>
  <c r="E171" i="24"/>
  <c r="D171" i="24"/>
  <c r="C171" i="24"/>
  <c r="F170" i="24"/>
  <c r="E170" i="24"/>
  <c r="D170" i="24"/>
  <c r="C170"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61" i="24"/>
  <c r="E161" i="24"/>
  <c r="D161" i="24"/>
  <c r="C161"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45" i="24"/>
  <c r="E145" i="24"/>
  <c r="D145" i="24"/>
  <c r="C145"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0" i="3"/>
  <c r="DQ190" i="3"/>
  <c r="DP190" i="3"/>
  <c r="DO190" i="3"/>
  <c r="DN190" i="3"/>
  <c r="DM190" i="3"/>
  <c r="DL190" i="3"/>
  <c r="BN190" i="3" s="1"/>
  <c r="DR200" i="3"/>
  <c r="DN200" i="3"/>
  <c r="DL200" i="3"/>
  <c r="DR199" i="3"/>
  <c r="DN199" i="3"/>
  <c r="DL199" i="3"/>
  <c r="DR198" i="3"/>
  <c r="DN198" i="3"/>
  <c r="DL198" i="3"/>
  <c r="DR197" i="3"/>
  <c r="CH197" i="3" s="1"/>
  <c r="DN197" i="3"/>
  <c r="DL197" i="3"/>
  <c r="DR196" i="3"/>
  <c r="CH196" i="3" s="1"/>
  <c r="DN196" i="3"/>
  <c r="DL196" i="3"/>
  <c r="DR195" i="3"/>
  <c r="DN195" i="3"/>
  <c r="CD195" i="3" s="1"/>
  <c r="DL195" i="3"/>
  <c r="DR194" i="3"/>
  <c r="CH194" i="3" s="1"/>
  <c r="DN194" i="3"/>
  <c r="DL194" i="3"/>
  <c r="DR193" i="3"/>
  <c r="DN193" i="3"/>
  <c r="DR189" i="3"/>
  <c r="DN189" i="3"/>
  <c r="DL189" i="3"/>
  <c r="DR188" i="3"/>
  <c r="DN188" i="3"/>
  <c r="DL188" i="3"/>
  <c r="DR187" i="3"/>
  <c r="CH187" i="3" s="1"/>
  <c r="DN187" i="3"/>
  <c r="DL187" i="3"/>
  <c r="DR186" i="3"/>
  <c r="CH186" i="3" s="1"/>
  <c r="DN186" i="3"/>
  <c r="DL186" i="3"/>
  <c r="DR185" i="3"/>
  <c r="CH185" i="3" s="1"/>
  <c r="DN185" i="3"/>
  <c r="DL185" i="3"/>
  <c r="DR184" i="3"/>
  <c r="CH184" i="3" s="1"/>
  <c r="DN184" i="3"/>
  <c r="DL184" i="3"/>
  <c r="DR183" i="3"/>
  <c r="CH183" i="3" s="1"/>
  <c r="DN183" i="3"/>
  <c r="DL183" i="3"/>
  <c r="BN183" i="3" s="1"/>
  <c r="DR206" i="3"/>
  <c r="DN206" i="3"/>
  <c r="DL206" i="3"/>
  <c r="DR205" i="3"/>
  <c r="CH205" i="3" s="1"/>
  <c r="DN205" i="3"/>
  <c r="DL205" i="3"/>
  <c r="DR204" i="3"/>
  <c r="CH204" i="3" s="1"/>
  <c r="DN204" i="3"/>
  <c r="DL204" i="3"/>
  <c r="DR182" i="3"/>
  <c r="DN182" i="3"/>
  <c r="DL182" i="3"/>
  <c r="BN182" i="3" s="1"/>
  <c r="DR181" i="3"/>
  <c r="DN181" i="3"/>
  <c r="DL181" i="3"/>
  <c r="DR180" i="3"/>
  <c r="DN180" i="3"/>
  <c r="DL180" i="3"/>
  <c r="DR179" i="3"/>
  <c r="DN179" i="3"/>
  <c r="DL179" i="3"/>
  <c r="DR178" i="3"/>
  <c r="DN178" i="3"/>
  <c r="DL178" i="3"/>
  <c r="DR177" i="3"/>
  <c r="DN177" i="3"/>
  <c r="DL177" i="3"/>
  <c r="DR174" i="3"/>
  <c r="DN174" i="3"/>
  <c r="DL174" i="3"/>
  <c r="BN174" i="3" s="1"/>
  <c r="DR173" i="3"/>
  <c r="DN173" i="3"/>
  <c r="DL173" i="3"/>
  <c r="DR172" i="3"/>
  <c r="DN172" i="3"/>
  <c r="DL172" i="3"/>
  <c r="DR171" i="3"/>
  <c r="CH171" i="3" s="1"/>
  <c r="DN171" i="3"/>
  <c r="DL171" i="3"/>
  <c r="DR170" i="3"/>
  <c r="DN170" i="3"/>
  <c r="DL170" i="3"/>
  <c r="DR167" i="3"/>
  <c r="DN167" i="3"/>
  <c r="DL167" i="3"/>
  <c r="DR166" i="3"/>
  <c r="DN166" i="3"/>
  <c r="DL166" i="3"/>
  <c r="BN166" i="3" s="1"/>
  <c r="DR165" i="3"/>
  <c r="DN165" i="3"/>
  <c r="DL165" i="3"/>
  <c r="DR164" i="3"/>
  <c r="DN164" i="3"/>
  <c r="DL164" i="3"/>
  <c r="DR163" i="3"/>
  <c r="DN163" i="3"/>
  <c r="DL163" i="3"/>
  <c r="DR162" i="3"/>
  <c r="DN162" i="3"/>
  <c r="DL162" i="3"/>
  <c r="DR161" i="3"/>
  <c r="DN161" i="3"/>
  <c r="DL161" i="3"/>
  <c r="DR158" i="3"/>
  <c r="DN158" i="3"/>
  <c r="DL158" i="3"/>
  <c r="BN158" i="3" s="1"/>
  <c r="DR157" i="3"/>
  <c r="DN157" i="3"/>
  <c r="DL157" i="3"/>
  <c r="DR156" i="3"/>
  <c r="DN156" i="3"/>
  <c r="DL156" i="3"/>
  <c r="DR155" i="3"/>
  <c r="DN155" i="3"/>
  <c r="DL155" i="3"/>
  <c r="DR154" i="3"/>
  <c r="DN154" i="3"/>
  <c r="DL154" i="3"/>
  <c r="DR153" i="3"/>
  <c r="DN153" i="3"/>
  <c r="DL153" i="3"/>
  <c r="DR152" i="3"/>
  <c r="DN152" i="3"/>
  <c r="DL152" i="3"/>
  <c r="DR151" i="3"/>
  <c r="DN151" i="3"/>
  <c r="DL151" i="3"/>
  <c r="DL203" i="3"/>
  <c r="BN203" i="3" s="1"/>
  <c r="DN203" i="3"/>
  <c r="DR203" i="3"/>
  <c r="BO203" i="3" l="1"/>
  <c r="BP203" i="3" s="1"/>
  <c r="N484" i="24"/>
  <c r="N488" i="24"/>
  <c r="N492" i="24"/>
  <c r="N496" i="24"/>
  <c r="N7" i="24"/>
  <c r="N485" i="24"/>
  <c r="N489" i="24"/>
  <c r="N493" i="24"/>
  <c r="N497" i="24"/>
  <c r="N482" i="24"/>
  <c r="N486" i="24"/>
  <c r="N490" i="24"/>
  <c r="N494" i="24"/>
  <c r="N498" i="24"/>
  <c r="N483" i="24"/>
  <c r="N487" i="24"/>
  <c r="N491" i="24"/>
  <c r="N495" i="24"/>
  <c r="N499" i="24"/>
  <c r="N200" i="24"/>
  <c r="BU200" i="3"/>
  <c r="J250" i="3"/>
  <c r="M250" i="3"/>
  <c r="J242" i="3"/>
  <c r="M242" i="3"/>
  <c r="N242" i="3" s="1"/>
  <c r="M259" i="3"/>
  <c r="N259" i="3" s="1"/>
  <c r="J259" i="3"/>
  <c r="M258" i="3"/>
  <c r="N258" i="3" s="1"/>
  <c r="J258" i="3"/>
  <c r="M257" i="3"/>
  <c r="N257" i="3" s="1"/>
  <c r="J257" i="3"/>
  <c r="M256" i="3"/>
  <c r="N256" i="3" s="1"/>
  <c r="J256" i="3"/>
  <c r="M255" i="3"/>
  <c r="N255" i="3" s="1"/>
  <c r="J255" i="3"/>
  <c r="J254" i="3"/>
  <c r="M254" i="3"/>
  <c r="L254" i="3" s="1"/>
  <c r="J253" i="3"/>
  <c r="J237" i="3"/>
  <c r="M237" i="3"/>
  <c r="N237" i="3" s="1"/>
  <c r="M253" i="3"/>
  <c r="N253" i="3" s="1"/>
  <c r="J252" i="3"/>
  <c r="M252" i="3"/>
  <c r="L252" i="3" s="1"/>
  <c r="BQ203" i="3" l="1"/>
  <c r="N250" i="3"/>
  <c r="L258" i="3"/>
  <c r="L237" i="3"/>
  <c r="L250" i="3"/>
  <c r="L256" i="3"/>
  <c r="N254" i="3"/>
  <c r="L257" i="3"/>
  <c r="L255" i="3"/>
  <c r="N252" i="3"/>
  <c r="L259" i="3"/>
  <c r="L242" i="3"/>
  <c r="L253" i="3"/>
  <c r="BR203" i="3" l="1"/>
  <c r="N397" i="24"/>
  <c r="Z397" i="3"/>
  <c r="AD397" i="3"/>
  <c r="GF397" i="24" l="1"/>
  <c r="GE397" i="24"/>
  <c r="GC397" i="24"/>
  <c r="GD397" i="24"/>
  <c r="CC500" i="3"/>
  <c r="CF433" i="3"/>
  <c r="CC433" i="3"/>
  <c r="CF432" i="3"/>
  <c r="CC432" i="3"/>
  <c r="CG401" i="3"/>
  <c r="CB401" i="3"/>
  <c r="CF260" i="3"/>
  <c r="CC260" i="3"/>
  <c r="CG259" i="3"/>
  <c r="CC259" i="3"/>
  <c r="CE258" i="3"/>
  <c r="CC258" i="3"/>
  <c r="CG257" i="3"/>
  <c r="CC257" i="3"/>
  <c r="CE256" i="3"/>
  <c r="CC256" i="3"/>
  <c r="CG255" i="3"/>
  <c r="CC255" i="3"/>
  <c r="CE254" i="3"/>
  <c r="CF253" i="3"/>
  <c r="CC253" i="3"/>
  <c r="CC252" i="3"/>
  <c r="CF251" i="3"/>
  <c r="CF250" i="3"/>
  <c r="CC250" i="3"/>
  <c r="CF245" i="3"/>
  <c r="CF244" i="3"/>
  <c r="CC244" i="3"/>
  <c r="CF243" i="3"/>
  <c r="CC243" i="3"/>
  <c r="CF242" i="3"/>
  <c r="CC242" i="3"/>
  <c r="CF241" i="3"/>
  <c r="CC241" i="3"/>
  <c r="CC240" i="3"/>
  <c r="CC239" i="3"/>
  <c r="CC238" i="3"/>
  <c r="CG237" i="3"/>
  <c r="CC237" i="3"/>
  <c r="CG408" i="3" l="1"/>
  <c r="CG245" i="3"/>
  <c r="CE432" i="3"/>
  <c r="CG243" i="3"/>
  <c r="CE433" i="3"/>
  <c r="CG244" i="3"/>
  <c r="CE260" i="3"/>
  <c r="CG241" i="3"/>
  <c r="CE251" i="3"/>
  <c r="CG242" i="3"/>
  <c r="CE253" i="3"/>
  <c r="CG253" i="3"/>
  <c r="CE250" i="3"/>
  <c r="CE245" i="3"/>
  <c r="CG251" i="3"/>
  <c r="CE259" i="3"/>
  <c r="CE257" i="3"/>
  <c r="CG250" i="3"/>
  <c r="CE237" i="3"/>
  <c r="CE242" i="3"/>
  <c r="CG432" i="3"/>
  <c r="CE244" i="3"/>
  <c r="CG433" i="3"/>
  <c r="CE255" i="3"/>
  <c r="CG254" i="3"/>
  <c r="CG256" i="3"/>
  <c r="CG258" i="3"/>
  <c r="CG260" i="3"/>
  <c r="CE241" i="3"/>
  <c r="CE243" i="3"/>
  <c r="CE323" i="3"/>
  <c r="CD197" i="3" l="1"/>
  <c r="CD196" i="3"/>
  <c r="CD194" i="3"/>
  <c r="CD193" i="3"/>
  <c r="CB193" i="3"/>
  <c r="CD187" i="3"/>
  <c r="CD186" i="3"/>
  <c r="CD185" i="3"/>
  <c r="CD184" i="3"/>
  <c r="CD183" i="3"/>
  <c r="CB183" i="3"/>
  <c r="CD203" i="3"/>
  <c r="CB203" i="3"/>
  <c r="CH182" i="3"/>
  <c r="CD182" i="3"/>
  <c r="CB182" i="3"/>
  <c r="CH180" i="3"/>
  <c r="CH179" i="3"/>
  <c r="CH178" i="3"/>
  <c r="CH177" i="3"/>
  <c r="CH174" i="3"/>
  <c r="CD174" i="3"/>
  <c r="CB174" i="3"/>
  <c r="CH173" i="3"/>
  <c r="CH172" i="3"/>
  <c r="CH170" i="3"/>
  <c r="CH167" i="3"/>
  <c r="CD167" i="3"/>
  <c r="CB167" i="3"/>
  <c r="CH166" i="3"/>
  <c r="CD166" i="3"/>
  <c r="CB166" i="3"/>
  <c r="CH165" i="3"/>
  <c r="CH164" i="3"/>
  <c r="CH163" i="3"/>
  <c r="CH162" i="3"/>
  <c r="CH161" i="3"/>
  <c r="CD161" i="3"/>
  <c r="CB161" i="3"/>
  <c r="CH158" i="3"/>
  <c r="CD158" i="3"/>
  <c r="CB158" i="3"/>
  <c r="CH157" i="3"/>
  <c r="CH156" i="3"/>
  <c r="CH155" i="3"/>
  <c r="CH154" i="3"/>
  <c r="CH153" i="3"/>
  <c r="CH151" i="3"/>
  <c r="CD151" i="3"/>
  <c r="CB151" i="3"/>
  <c r="CD152" i="3"/>
  <c r="BN193" i="3" l="1"/>
  <c r="CD188" i="3"/>
  <c r="CH152" i="3"/>
  <c r="CD198" i="3"/>
  <c r="N507" i="24"/>
  <c r="N506" i="24"/>
  <c r="N505" i="24"/>
  <c r="N504" i="24"/>
  <c r="N503" i="24"/>
  <c r="N502" i="24"/>
  <c r="N501" i="24"/>
  <c r="N500" i="24"/>
  <c r="N481" i="24"/>
  <c r="N480" i="24"/>
  <c r="N479" i="24"/>
  <c r="N478" i="24"/>
  <c r="N477" i="24"/>
  <c r="N476" i="24"/>
  <c r="N475" i="24"/>
  <c r="N474" i="24"/>
  <c r="N473" i="24"/>
  <c r="N472" i="24"/>
  <c r="N471" i="24"/>
  <c r="N470" i="24"/>
  <c r="N469" i="24"/>
  <c r="N468" i="24"/>
  <c r="N467" i="24"/>
  <c r="N466" i="24"/>
  <c r="N465" i="24"/>
  <c r="N464" i="24"/>
  <c r="N463" i="24"/>
  <c r="N462" i="24"/>
  <c r="N461" i="24"/>
  <c r="N436" i="24"/>
  <c r="N435" i="24"/>
  <c r="N434" i="24"/>
  <c r="N433" i="24"/>
  <c r="N432" i="24"/>
  <c r="N431" i="24"/>
  <c r="N430" i="24"/>
  <c r="N428" i="24"/>
  <c r="N427" i="24"/>
  <c r="N426" i="24"/>
  <c r="N425" i="24"/>
  <c r="N424" i="24"/>
  <c r="N423" i="24"/>
  <c r="N422" i="24"/>
  <c r="N421" i="24"/>
  <c r="N420" i="24"/>
  <c r="N419" i="24"/>
  <c r="N418" i="24"/>
  <c r="N416" i="24"/>
  <c r="N415" i="24"/>
  <c r="N414" i="24"/>
  <c r="N413" i="24"/>
  <c r="N412" i="24"/>
  <c r="N411" i="24"/>
  <c r="N410" i="24"/>
  <c r="N409" i="24"/>
  <c r="N407" i="24"/>
  <c r="N406" i="24"/>
  <c r="N405" i="24"/>
  <c r="N403" i="24"/>
  <c r="N402" i="24"/>
  <c r="N401" i="24"/>
  <c r="N400" i="24"/>
  <c r="N399" i="24"/>
  <c r="N396" i="24"/>
  <c r="N395" i="24"/>
  <c r="N394" i="24"/>
  <c r="N392" i="24"/>
  <c r="N391" i="24"/>
  <c r="N390" i="24"/>
  <c r="N389" i="24"/>
  <c r="N388" i="24"/>
  <c r="N387" i="24"/>
  <c r="N386" i="24"/>
  <c r="N385" i="24"/>
  <c r="N383" i="24"/>
  <c r="N382" i="24"/>
  <c r="N381" i="24"/>
  <c r="N380" i="24"/>
  <c r="N379" i="24"/>
  <c r="N378" i="24"/>
  <c r="N377" i="24"/>
  <c r="N376" i="24"/>
  <c r="N375" i="24"/>
  <c r="N374" i="24"/>
  <c r="N373" i="24"/>
  <c r="N371" i="24"/>
  <c r="N370" i="24"/>
  <c r="N368" i="24"/>
  <c r="N367" i="24"/>
  <c r="N365" i="24"/>
  <c r="N362" i="24"/>
  <c r="N361" i="24"/>
  <c r="N360" i="24"/>
  <c r="N359"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4" i="24"/>
  <c r="N321" i="24"/>
  <c r="N320" i="24"/>
  <c r="N319" i="24"/>
  <c r="N318" i="24"/>
  <c r="N317" i="24"/>
  <c r="N316" i="24"/>
  <c r="N315" i="24"/>
  <c r="N314" i="24"/>
  <c r="N313" i="24"/>
  <c r="N312" i="24"/>
  <c r="N311" i="24"/>
  <c r="N310" i="24"/>
  <c r="N309" i="24"/>
  <c r="N308" i="24"/>
  <c r="N307" i="24"/>
  <c r="N306" i="24"/>
  <c r="N305" i="24"/>
  <c r="N303" i="24"/>
  <c r="N302" i="24"/>
  <c r="N301" i="24"/>
  <c r="N300" i="24"/>
  <c r="N299" i="24"/>
  <c r="N298"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5" i="24"/>
  <c r="N263" i="24"/>
  <c r="N262" i="24"/>
  <c r="N261" i="24"/>
  <c r="N260" i="24"/>
  <c r="N259" i="24"/>
  <c r="N258" i="24"/>
  <c r="N257" i="24"/>
  <c r="N256" i="24"/>
  <c r="N255" i="24"/>
  <c r="N254" i="24"/>
  <c r="N253" i="24"/>
  <c r="N252" i="24"/>
  <c r="N251" i="24"/>
  <c r="N250" i="24"/>
  <c r="N249" i="24"/>
  <c r="N248" i="24"/>
  <c r="N247" i="24"/>
  <c r="N245" i="24"/>
  <c r="N244" i="24"/>
  <c r="N243" i="24"/>
  <c r="N242" i="24"/>
  <c r="N241" i="24"/>
  <c r="N240" i="24"/>
  <c r="N239" i="24"/>
  <c r="N238" i="24"/>
  <c r="N237" i="24"/>
  <c r="N236" i="24"/>
  <c r="N235" i="24"/>
  <c r="N234" i="24"/>
  <c r="N233" i="24"/>
  <c r="N232" i="24"/>
  <c r="N231" i="24"/>
  <c r="N230" i="24"/>
  <c r="N229" i="24"/>
  <c r="N228" i="24"/>
  <c r="N227" i="24"/>
  <c r="N226" i="24"/>
  <c r="N225" i="24"/>
  <c r="N224" i="24"/>
  <c r="N222" i="24"/>
  <c r="N219" i="24"/>
  <c r="N218" i="24"/>
  <c r="N221" i="24"/>
  <c r="N214" i="24"/>
  <c r="N220" i="24"/>
  <c r="N217" i="24"/>
  <c r="N213" i="24"/>
  <c r="N211" i="24"/>
  <c r="N216" i="24"/>
  <c r="N215" i="24"/>
  <c r="N212" i="24"/>
  <c r="N210" i="24"/>
  <c r="N223" i="24"/>
  <c r="N190" i="24"/>
  <c r="N199" i="24"/>
  <c r="N198" i="24"/>
  <c r="N197" i="24"/>
  <c r="N196" i="24"/>
  <c r="N195" i="24"/>
  <c r="N194" i="24"/>
  <c r="N193" i="24"/>
  <c r="N189" i="24"/>
  <c r="N188" i="24"/>
  <c r="N187" i="24"/>
  <c r="N186" i="24"/>
  <c r="N185" i="24"/>
  <c r="N184" i="24"/>
  <c r="N183" i="24"/>
  <c r="N206" i="24"/>
  <c r="N205" i="24"/>
  <c r="N204" i="24"/>
  <c r="N203" i="24"/>
  <c r="N182" i="24"/>
  <c r="N181" i="24"/>
  <c r="N180" i="24"/>
  <c r="N179" i="24"/>
  <c r="N178" i="24"/>
  <c r="N177" i="24"/>
  <c r="N174" i="24"/>
  <c r="N173" i="24"/>
  <c r="N172" i="24"/>
  <c r="N171" i="24"/>
  <c r="N170" i="24"/>
  <c r="N167" i="24"/>
  <c r="N166" i="24"/>
  <c r="N165" i="24"/>
  <c r="N164" i="24"/>
  <c r="N163" i="24"/>
  <c r="N162" i="24"/>
  <c r="N161" i="24"/>
  <c r="N158" i="24"/>
  <c r="N157" i="24"/>
  <c r="N156" i="24"/>
  <c r="N155" i="24"/>
  <c r="N154" i="24"/>
  <c r="N153" i="24"/>
  <c r="N152" i="24"/>
  <c r="N151" i="24"/>
  <c r="N150" i="24"/>
  <c r="N149" i="24"/>
  <c r="N148" i="24"/>
  <c r="N147" i="24"/>
  <c r="N146" i="24"/>
  <c r="N145"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6" i="24" l="1"/>
  <c r="GD436" i="24"/>
  <c r="GE436" i="24"/>
  <c r="GF436" i="24"/>
  <c r="GE407" i="24"/>
  <c r="GC407" i="24"/>
  <c r="GD407" i="24"/>
  <c r="GF407" i="24"/>
  <c r="GC416" i="24"/>
  <c r="GD416" i="24"/>
  <c r="GE416" i="24"/>
  <c r="GF416" i="24"/>
  <c r="GF418" i="24"/>
  <c r="GC418" i="24"/>
  <c r="GD418" i="24"/>
  <c r="GE418" i="24"/>
  <c r="GC419" i="24"/>
  <c r="GD419" i="24"/>
  <c r="GE419" i="24"/>
  <c r="GF419" i="24"/>
  <c r="GC420" i="24"/>
  <c r="GD420" i="24"/>
  <c r="GE420" i="24"/>
  <c r="GF420" i="24"/>
  <c r="GF347" i="24"/>
  <c r="GE347" i="24"/>
  <c r="GD347" i="24"/>
  <c r="GC347" i="24"/>
  <c r="GC425" i="24"/>
  <c r="GF425" i="24"/>
  <c r="GE425" i="24"/>
  <c r="GD425" i="24"/>
  <c r="GC426" i="24"/>
  <c r="GF426" i="24"/>
  <c r="GE426" i="24"/>
  <c r="GD426" i="24"/>
  <c r="GF265" i="24"/>
  <c r="GE265" i="24"/>
  <c r="GD265" i="24"/>
  <c r="GC265" i="24"/>
  <c r="GF427" i="24"/>
  <c r="GE427" i="24"/>
  <c r="GD427" i="24"/>
  <c r="GC427" i="24"/>
  <c r="GE424" i="24"/>
  <c r="GD424" i="24"/>
  <c r="GC424" i="24"/>
  <c r="GF424" i="24"/>
  <c r="GF428" i="24"/>
  <c r="GD428" i="24"/>
  <c r="GE428" i="24"/>
  <c r="GC428" i="24"/>
  <c r="GE335" i="24"/>
  <c r="GC335" i="24"/>
  <c r="GD335" i="24"/>
  <c r="GF335" i="24"/>
  <c r="GE351" i="24"/>
  <c r="GD351" i="24"/>
  <c r="GC351" i="24"/>
  <c r="GF351" i="24"/>
  <c r="GE412" i="24"/>
  <c r="GC412" i="24"/>
  <c r="GF412" i="24"/>
  <c r="GD412" i="24"/>
  <c r="GF430" i="24"/>
  <c r="GC430" i="24"/>
  <c r="GE430" i="24"/>
  <c r="GD430" i="24"/>
  <c r="GF345" i="24"/>
  <c r="GE345" i="24"/>
  <c r="GC345" i="24"/>
  <c r="GD345" i="24"/>
  <c r="GF336" i="24"/>
  <c r="GD336" i="24"/>
  <c r="GC336" i="24"/>
  <c r="GE336" i="24"/>
  <c r="GF375" i="24"/>
  <c r="GE375" i="24"/>
  <c r="GD375" i="24"/>
  <c r="GC375" i="24"/>
  <c r="GE413" i="24"/>
  <c r="GC413" i="24"/>
  <c r="GD413" i="24"/>
  <c r="GF413" i="24"/>
  <c r="GE431" i="24"/>
  <c r="GC431" i="24"/>
  <c r="GD431" i="24"/>
  <c r="GF431" i="24"/>
  <c r="GC423" i="24"/>
  <c r="GF423" i="24"/>
  <c r="GE423" i="24"/>
  <c r="GD423" i="24"/>
  <c r="GE386" i="24"/>
  <c r="GD386" i="24"/>
  <c r="GC386" i="24"/>
  <c r="GF386" i="24"/>
  <c r="GF414" i="24"/>
  <c r="GE414" i="24"/>
  <c r="GD414" i="24"/>
  <c r="GC414" i="24"/>
  <c r="GF432" i="24"/>
  <c r="GE432" i="24"/>
  <c r="GD432" i="24"/>
  <c r="GC432" i="24"/>
  <c r="GF354" i="24"/>
  <c r="GC354" i="24"/>
  <c r="GE354" i="24"/>
  <c r="GD354" i="24"/>
  <c r="GF415" i="24"/>
  <c r="GE415" i="24"/>
  <c r="GD415" i="24"/>
  <c r="GC415" i="24"/>
  <c r="GE433" i="24"/>
  <c r="GD433" i="24"/>
  <c r="GC433" i="24"/>
  <c r="GF433" i="24"/>
  <c r="GF396" i="24"/>
  <c r="GE396" i="24"/>
  <c r="GD396" i="24"/>
  <c r="GC396" i="24"/>
  <c r="GE434" i="24"/>
  <c r="GD434" i="24"/>
  <c r="GC434" i="24"/>
  <c r="GF434" i="24"/>
  <c r="GF346" i="24"/>
  <c r="GE346" i="24"/>
  <c r="GD346" i="24"/>
  <c r="GC346" i="24"/>
  <c r="GF356" i="24"/>
  <c r="GD356" i="24"/>
  <c r="GE356" i="24"/>
  <c r="GC356" i="24"/>
  <c r="GE435" i="24"/>
  <c r="GD435" i="24"/>
  <c r="GF435" i="24"/>
  <c r="GC435" i="24"/>
  <c r="GE343" i="24"/>
  <c r="GD343" i="24"/>
  <c r="GC343" i="24"/>
  <c r="GF343" i="24"/>
  <c r="GF421" i="24"/>
  <c r="GE421" i="24"/>
  <c r="GD421" i="24"/>
  <c r="GC421" i="24"/>
  <c r="GF344" i="24"/>
  <c r="GD344" i="24"/>
  <c r="GC344" i="24"/>
  <c r="GE344" i="24"/>
  <c r="GF422" i="24"/>
  <c r="GE422" i="24"/>
  <c r="GD422" i="24"/>
  <c r="GC422" i="24"/>
  <c r="BU259" i="3"/>
  <c r="BU258" i="3"/>
  <c r="BU257" i="3"/>
  <c r="BU255" i="3"/>
  <c r="BU407" i="3"/>
  <c r="Y397" i="3"/>
  <c r="AC397" i="3" l="1"/>
  <c r="AB397" i="3"/>
  <c r="AA397" i="3"/>
  <c r="DR222" i="3" l="1"/>
  <c r="CH222" i="3" s="1"/>
  <c r="DN222" i="3"/>
  <c r="CD222" i="3" s="1"/>
  <c r="DL222" i="3"/>
  <c r="CB222" i="3" s="1"/>
  <c r="BU222" i="3"/>
  <c r="DR219" i="3"/>
  <c r="CH219" i="3" s="1"/>
  <c r="DN219" i="3"/>
  <c r="CD219" i="3" s="1"/>
  <c r="DL219" i="3"/>
  <c r="CB219" i="3" s="1"/>
  <c r="BU219" i="3"/>
  <c r="DR218" i="3"/>
  <c r="CH218" i="3" s="1"/>
  <c r="DN218" i="3"/>
  <c r="CD218" i="3" s="1"/>
  <c r="DL218" i="3"/>
  <c r="CB218" i="3" s="1"/>
  <c r="BU218" i="3"/>
  <c r="DR221" i="3"/>
  <c r="CH221" i="3" s="1"/>
  <c r="DN221" i="3"/>
  <c r="CD221" i="3" s="1"/>
  <c r="DL221" i="3"/>
  <c r="CB221" i="3" s="1"/>
  <c r="BU221" i="3"/>
  <c r="DR214" i="3"/>
  <c r="CH214" i="3" s="1"/>
  <c r="DN214" i="3"/>
  <c r="CD214" i="3" s="1"/>
  <c r="DL214" i="3"/>
  <c r="CB214" i="3" s="1"/>
  <c r="BU214" i="3"/>
  <c r="BW5" i="24"/>
  <c r="BW4" i="24"/>
  <c r="BT5" i="24"/>
  <c r="BS5" i="24"/>
  <c r="BT4" i="24"/>
  <c r="BS4" i="24"/>
  <c r="BV5" i="24"/>
  <c r="BV4" i="24"/>
  <c r="BO5" i="24"/>
  <c r="BO4" i="24"/>
  <c r="DM210" i="3"/>
  <c r="DQ210" i="3" l="1"/>
  <c r="CG210" i="3" s="1"/>
  <c r="DP210" i="3"/>
  <c r="CF210" i="3" s="1"/>
  <c r="DM219" i="3"/>
  <c r="CC219" i="3" s="1"/>
  <c r="DM221" i="3"/>
  <c r="CC221" i="3" s="1"/>
  <c r="DM218" i="3"/>
  <c r="CC218" i="3" s="1"/>
  <c r="DQ221" i="3"/>
  <c r="CG221" i="3" s="1"/>
  <c r="DQ218" i="3"/>
  <c r="CG218" i="3" s="1"/>
  <c r="DM214" i="3"/>
  <c r="CC214" i="3" s="1"/>
  <c r="DM222" i="3"/>
  <c r="CC222" i="3" s="1"/>
  <c r="DP219" i="3"/>
  <c r="CF219" i="3" s="1"/>
  <c r="DP214" i="3"/>
  <c r="CF214" i="3" s="1"/>
  <c r="DP218" i="3"/>
  <c r="CF218" i="3" s="1"/>
  <c r="DP222" i="3"/>
  <c r="CF222" i="3" s="1"/>
  <c r="DP221" i="3"/>
  <c r="CF221" i="3" s="1"/>
  <c r="DO222" i="3"/>
  <c r="CE222" i="3" s="1"/>
  <c r="DO210" i="3"/>
  <c r="DQ214" i="3" l="1"/>
  <c r="CG214" i="3" s="1"/>
  <c r="DQ219" i="3"/>
  <c r="CG219" i="3" s="1"/>
  <c r="DO214" i="3"/>
  <c r="CE214" i="3" s="1"/>
  <c r="DO221" i="3"/>
  <c r="CE221" i="3" s="1"/>
  <c r="DO218" i="3"/>
  <c r="CE218" i="3" s="1"/>
  <c r="DO219" i="3"/>
  <c r="CE219" i="3" s="1"/>
  <c r="DQ222" i="3"/>
  <c r="CG222" i="3" s="1"/>
  <c r="DH101" i="24"/>
  <c r="DO101" i="24"/>
  <c r="DQ101" i="24"/>
  <c r="DM176" i="3" l="1"/>
  <c r="CC176" i="3" s="1"/>
  <c r="DM175" i="3"/>
  <c r="CC175" i="3" s="1"/>
  <c r="DM169" i="3"/>
  <c r="CC169" i="3" s="1"/>
  <c r="DM168" i="3"/>
  <c r="CC168" i="3" s="1"/>
  <c r="DM160" i="3"/>
  <c r="CC160" i="3" s="1"/>
  <c r="DM159" i="3"/>
  <c r="CC159" i="3" s="1"/>
  <c r="DM150" i="3"/>
  <c r="CC150" i="3" s="1"/>
  <c r="DM149" i="3"/>
  <c r="CC149" i="3" s="1"/>
  <c r="DP160" i="3"/>
  <c r="CF160" i="3" s="1"/>
  <c r="DP159" i="3"/>
  <c r="CF159" i="3" s="1"/>
  <c r="DP168" i="3"/>
  <c r="CF168" i="3" s="1"/>
  <c r="DP169" i="3"/>
  <c r="CF169" i="3" s="1"/>
  <c r="DP176" i="3"/>
  <c r="CF176" i="3" s="1"/>
  <c r="DP175" i="3"/>
  <c r="CF175" i="3" s="1"/>
  <c r="DP149" i="3"/>
  <c r="CF149" i="3" s="1"/>
  <c r="DP150" i="3"/>
  <c r="CF150" i="3" s="1"/>
  <c r="DP155" i="3"/>
  <c r="DP156" i="3"/>
  <c r="CF152" i="3"/>
  <c r="DP157" i="3"/>
  <c r="DP151" i="3"/>
  <c r="CF151" i="3" s="1"/>
  <c r="DP152" i="3"/>
  <c r="DP153" i="3"/>
  <c r="DP154" i="3"/>
  <c r="DM153" i="3"/>
  <c r="DM154" i="3"/>
  <c r="DM155" i="3"/>
  <c r="DM156" i="3"/>
  <c r="DM157" i="3"/>
  <c r="DM152" i="3"/>
  <c r="DM151" i="3"/>
  <c r="CC151" i="3" s="1"/>
  <c r="DP164" i="3"/>
  <c r="CF164" i="3" s="1"/>
  <c r="DP158" i="3"/>
  <c r="CF158" i="3" s="1"/>
  <c r="DP165" i="3"/>
  <c r="DP163" i="3"/>
  <c r="DP162" i="3"/>
  <c r="DP161" i="3"/>
  <c r="CF161" i="3" s="1"/>
  <c r="DM161" i="3"/>
  <c r="CC161" i="3" s="1"/>
  <c r="DM163" i="3"/>
  <c r="DM162" i="3"/>
  <c r="DM164" i="3"/>
  <c r="DM165" i="3"/>
  <c r="DM158" i="3"/>
  <c r="CC158" i="3" s="1"/>
  <c r="DP166" i="3"/>
  <c r="CF166" i="3" s="1"/>
  <c r="DP167" i="3"/>
  <c r="CF167" i="3" s="1"/>
  <c r="DP170" i="3"/>
  <c r="DP171" i="3"/>
  <c r="DP172" i="3"/>
  <c r="DP173" i="3"/>
  <c r="DM171" i="3"/>
  <c r="DM172" i="3"/>
  <c r="DM173" i="3"/>
  <c r="DM170" i="3"/>
  <c r="DM166" i="3"/>
  <c r="CC166" i="3" s="1"/>
  <c r="DM167" i="3"/>
  <c r="CC167" i="3" s="1"/>
  <c r="DP174" i="3"/>
  <c r="CF174" i="3" s="1"/>
  <c r="DP178" i="3"/>
  <c r="DP177" i="3"/>
  <c r="DP179" i="3"/>
  <c r="DP180" i="3"/>
  <c r="DM174" i="3"/>
  <c r="CC174" i="3" s="1"/>
  <c r="DM179" i="3"/>
  <c r="DM177" i="3"/>
  <c r="DM178" i="3"/>
  <c r="DM180" i="3"/>
  <c r="DP189" i="3"/>
  <c r="DP183" i="3"/>
  <c r="CF183" i="3" s="1"/>
  <c r="DP184" i="3"/>
  <c r="CF184" i="3" s="1"/>
  <c r="DP185" i="3"/>
  <c r="CF185" i="3" s="1"/>
  <c r="DP187" i="3"/>
  <c r="CF187" i="3" s="1"/>
  <c r="DP188" i="3"/>
  <c r="DP186" i="3"/>
  <c r="CF186" i="3" s="1"/>
  <c r="DM196" i="3"/>
  <c r="CC196" i="3" s="1"/>
  <c r="DM197" i="3"/>
  <c r="CC197" i="3" s="1"/>
  <c r="DM199" i="3"/>
  <c r="DM198" i="3"/>
  <c r="DM200" i="3"/>
  <c r="DM195" i="3"/>
  <c r="CC195" i="3" s="1"/>
  <c r="DM193" i="3"/>
  <c r="CC193" i="3" s="1"/>
  <c r="DM194" i="3"/>
  <c r="CC194" i="3" s="1"/>
  <c r="DP181" i="3"/>
  <c r="DP182" i="3"/>
  <c r="CF182" i="3" s="1"/>
  <c r="DM181" i="3"/>
  <c r="DM182" i="3"/>
  <c r="CC182" i="3" s="1"/>
  <c r="DM186" i="3"/>
  <c r="DM187" i="3"/>
  <c r="DM188" i="3"/>
  <c r="DM189" i="3"/>
  <c r="DM184" i="3"/>
  <c r="DM185" i="3"/>
  <c r="DM183" i="3"/>
  <c r="CC183" i="3" s="1"/>
  <c r="DP199" i="3"/>
  <c r="DP200" i="3"/>
  <c r="DP194" i="3"/>
  <c r="CF194" i="3" s="1"/>
  <c r="DP193" i="3"/>
  <c r="DP195" i="3"/>
  <c r="CF195" i="3" s="1"/>
  <c r="DP198" i="3"/>
  <c r="DP196" i="3"/>
  <c r="CF196" i="3" s="1"/>
  <c r="DP197" i="3"/>
  <c r="CF197" i="3" s="1"/>
  <c r="DP205" i="3"/>
  <c r="CF205" i="3" s="1"/>
  <c r="DP206" i="3"/>
  <c r="DP203" i="3"/>
  <c r="DP204" i="3"/>
  <c r="CF204" i="3" s="1"/>
  <c r="DM204" i="3"/>
  <c r="DM205" i="3"/>
  <c r="DM203" i="3"/>
  <c r="CC203" i="3" s="1"/>
  <c r="DM206" i="3"/>
  <c r="DO176" i="3" l="1"/>
  <c r="CE176" i="3" s="1"/>
  <c r="DO175" i="3"/>
  <c r="CE175" i="3" s="1"/>
  <c r="DO169" i="3"/>
  <c r="CE169" i="3" s="1"/>
  <c r="DO168" i="3"/>
  <c r="CE168" i="3" s="1"/>
  <c r="DO160" i="3"/>
  <c r="CE160" i="3" s="1"/>
  <c r="DO159" i="3"/>
  <c r="CE159" i="3" s="1"/>
  <c r="DQ176" i="3"/>
  <c r="CG176" i="3" s="1"/>
  <c r="DQ175" i="3"/>
  <c r="CG175" i="3" s="1"/>
  <c r="DQ160" i="3"/>
  <c r="CG160" i="3" s="1"/>
  <c r="DQ159" i="3"/>
  <c r="CG159" i="3" s="1"/>
  <c r="DQ168" i="3"/>
  <c r="CG168" i="3" s="1"/>
  <c r="DQ169" i="3"/>
  <c r="CG169" i="3" s="1"/>
  <c r="DO149" i="3"/>
  <c r="CE149" i="3" s="1"/>
  <c r="DO150" i="3"/>
  <c r="CE150" i="3" s="1"/>
  <c r="DQ149" i="3"/>
  <c r="CG149" i="3" s="1"/>
  <c r="DQ150" i="3"/>
  <c r="CG150" i="3" s="1"/>
  <c r="DO198" i="3"/>
  <c r="DO199" i="3"/>
  <c r="DO200" i="3"/>
  <c r="DO193" i="3"/>
  <c r="CE193" i="3" s="1"/>
  <c r="DO194" i="3"/>
  <c r="CE194" i="3" s="1"/>
  <c r="DO195" i="3"/>
  <c r="CE195" i="3" s="1"/>
  <c r="CH195" i="3" s="1"/>
  <c r="DO196" i="3"/>
  <c r="CE196" i="3" s="1"/>
  <c r="DO197" i="3"/>
  <c r="CE197" i="3" s="1"/>
  <c r="DO155" i="3"/>
  <c r="CE152" i="3"/>
  <c r="DO156" i="3"/>
  <c r="DO157" i="3"/>
  <c r="DO153" i="3"/>
  <c r="DO151" i="3"/>
  <c r="CE151" i="3" s="1"/>
  <c r="DO152" i="3"/>
  <c r="DO154" i="3"/>
  <c r="DQ165" i="3"/>
  <c r="CG165" i="3" s="1"/>
  <c r="DQ158" i="3"/>
  <c r="CG158" i="3" s="1"/>
  <c r="DQ163" i="3"/>
  <c r="CG163" i="3" s="1"/>
  <c r="DQ161" i="3"/>
  <c r="CG161" i="3" s="1"/>
  <c r="DQ164" i="3"/>
  <c r="CG164" i="3" s="1"/>
  <c r="DQ162" i="3"/>
  <c r="CG162" i="3" s="1"/>
  <c r="DO174" i="3"/>
  <c r="CE174" i="3" s="1"/>
  <c r="DO177" i="3"/>
  <c r="DO178" i="3"/>
  <c r="DO179" i="3"/>
  <c r="DO180" i="3"/>
  <c r="DQ200" i="3"/>
  <c r="DQ193" i="3"/>
  <c r="CG193" i="3" s="1"/>
  <c r="CG198" i="3" s="1"/>
  <c r="DQ194" i="3"/>
  <c r="CG194" i="3" s="1"/>
  <c r="DQ195" i="3"/>
  <c r="CG195" i="3" s="1"/>
  <c r="DQ196" i="3"/>
  <c r="CG196" i="3" s="1"/>
  <c r="DQ197" i="3"/>
  <c r="CG197" i="3" s="1"/>
  <c r="DQ199" i="3"/>
  <c r="DQ198" i="3"/>
  <c r="DO163" i="3"/>
  <c r="DO165" i="3"/>
  <c r="DO164" i="3"/>
  <c r="DO158" i="3"/>
  <c r="CE158" i="3" s="1"/>
  <c r="DO161" i="3"/>
  <c r="CE161" i="3" s="1"/>
  <c r="DO162" i="3"/>
  <c r="DO204" i="3"/>
  <c r="DO206" i="3"/>
  <c r="DO205" i="3"/>
  <c r="DO203" i="3"/>
  <c r="CE203" i="3" s="1"/>
  <c r="DQ206" i="3"/>
  <c r="DQ205" i="3"/>
  <c r="CG205" i="3" s="1"/>
  <c r="DQ204" i="3"/>
  <c r="CG204" i="3" s="1"/>
  <c r="DQ203" i="3"/>
  <c r="CG203" i="3" s="1"/>
  <c r="DQ167" i="3"/>
  <c r="CG167" i="3" s="1"/>
  <c r="DQ166" i="3"/>
  <c r="CG166" i="3" s="1"/>
  <c r="DQ170" i="3"/>
  <c r="CG170" i="3" s="1"/>
  <c r="DQ173" i="3"/>
  <c r="CG173" i="3" s="1"/>
  <c r="DQ171" i="3"/>
  <c r="DQ172" i="3"/>
  <c r="CG172" i="3" s="1"/>
  <c r="DO172" i="3"/>
  <c r="DO173" i="3"/>
  <c r="DO166" i="3"/>
  <c r="CE166" i="3" s="1"/>
  <c r="DO167" i="3"/>
  <c r="CE167" i="3" s="1"/>
  <c r="DO171" i="3"/>
  <c r="DO170" i="3"/>
  <c r="DQ157" i="3"/>
  <c r="CG157" i="3" s="1"/>
  <c r="DQ151" i="3"/>
  <c r="CG151" i="3" s="1"/>
  <c r="DQ152" i="3"/>
  <c r="DQ153" i="3"/>
  <c r="CG153" i="3" s="1"/>
  <c r="DQ155" i="3"/>
  <c r="CG155" i="3" s="1"/>
  <c r="CG152" i="3"/>
  <c r="DQ156" i="3"/>
  <c r="CG156" i="3" s="1"/>
  <c r="DQ154" i="3"/>
  <c r="CG154" i="3" s="1"/>
  <c r="DO181" i="3"/>
  <c r="DO182" i="3"/>
  <c r="CE182" i="3" s="1"/>
  <c r="DO188" i="3"/>
  <c r="DO189" i="3"/>
  <c r="CE189" i="3" s="1"/>
  <c r="DO183" i="3"/>
  <c r="CE183" i="3" s="1"/>
  <c r="DO186" i="3"/>
  <c r="CE186" i="3" s="1"/>
  <c r="DO184" i="3"/>
  <c r="CE184" i="3" s="1"/>
  <c r="DO185" i="3"/>
  <c r="CE185" i="3" s="1"/>
  <c r="DO187" i="3"/>
  <c r="CE187" i="3" s="1"/>
  <c r="DQ181" i="3"/>
  <c r="DQ182" i="3"/>
  <c r="CG182" i="3" s="1"/>
  <c r="DQ184" i="3"/>
  <c r="CG184" i="3" s="1"/>
  <c r="DQ183" i="3"/>
  <c r="CG183" i="3" s="1"/>
  <c r="DQ185" i="3"/>
  <c r="CG185" i="3" s="1"/>
  <c r="DQ188" i="3"/>
  <c r="DQ189" i="3"/>
  <c r="DQ186" i="3"/>
  <c r="CG186" i="3" s="1"/>
  <c r="DQ187" i="3"/>
  <c r="CG187" i="3" s="1"/>
  <c r="DQ177" i="3"/>
  <c r="CG177" i="3" s="1"/>
  <c r="DQ178" i="3"/>
  <c r="CG178" i="3" s="1"/>
  <c r="DQ179" i="3"/>
  <c r="CG179" i="3" s="1"/>
  <c r="DQ180" i="3"/>
  <c r="CG180" i="3" s="1"/>
  <c r="DQ174" i="3"/>
  <c r="CG174" i="3" s="1"/>
  <c r="CH203" i="3" l="1"/>
  <c r="CF203" i="3" s="1"/>
  <c r="CH193" i="3"/>
  <c r="CH198" i="3" s="1"/>
  <c r="CF193" i="3"/>
  <c r="CF198" i="3" s="1"/>
  <c r="CE188" i="3"/>
  <c r="CF188" i="3" s="1"/>
  <c r="CG188" i="3" s="1"/>
  <c r="CH188" i="3" s="1"/>
  <c r="CE198"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6" i="3"/>
  <c r="BU435" i="3"/>
  <c r="ES49" i="24"/>
  <c r="ES48" i="24"/>
  <c r="EJ48" i="24"/>
  <c r="EJ46" i="24"/>
  <c r="EG50" i="24"/>
  <c r="EG49" i="24"/>
  <c r="EG47" i="24"/>
  <c r="J429" i="24" l="1" a="1"/>
  <c r="J429" i="24" s="1"/>
  <c r="J95" i="24" a="1"/>
  <c r="J95" i="24" s="1"/>
  <c r="J192" i="24" a="1"/>
  <c r="J192" i="24" s="1"/>
  <c r="J120" i="24" a="1"/>
  <c r="J120" i="24" s="1"/>
  <c r="J121" i="24" a="1"/>
  <c r="J121" i="24" s="1"/>
  <c r="J125" i="24" a="1"/>
  <c r="J125" i="24" s="1"/>
  <c r="J93" i="24" a="1"/>
  <c r="J93" i="24" s="1"/>
  <c r="J142" i="24" a="1"/>
  <c r="J142" i="24" s="1"/>
  <c r="J137" i="24" a="1"/>
  <c r="J137" i="24" s="1"/>
  <c r="J132" i="24" a="1"/>
  <c r="J132" i="24" s="1"/>
  <c r="J131" i="24" a="1"/>
  <c r="J131" i="24" s="1"/>
  <c r="J141" i="24" a="1"/>
  <c r="J141" i="24" s="1"/>
  <c r="J135" i="24" a="1"/>
  <c r="J135" i="24" s="1"/>
  <c r="J133" i="24" a="1"/>
  <c r="J133" i="24" s="1"/>
  <c r="J144" i="24" a="1"/>
  <c r="J144" i="24" s="1"/>
  <c r="J136" i="24" a="1"/>
  <c r="J136" i="24" s="1"/>
  <c r="J139" i="24" a="1"/>
  <c r="J139" i="24" s="1"/>
  <c r="J138" i="24" a="1"/>
  <c r="J138" i="24" s="1"/>
  <c r="J140" i="24" a="1"/>
  <c r="J140" i="24" s="1"/>
  <c r="J143" i="24" a="1"/>
  <c r="J143" i="24" s="1"/>
  <c r="J134" i="24" a="1"/>
  <c r="J134" i="24" s="1"/>
  <c r="J94" i="24" a="1"/>
  <c r="J94" i="24" s="1"/>
  <c r="J408" i="24" a="1"/>
  <c r="J408" i="24" s="1"/>
  <c r="J92" i="24" a="1"/>
  <c r="J92" i="24" s="1"/>
  <c r="J434" i="24" a="1"/>
  <c r="J434" i="24" s="1"/>
  <c r="J438" i="24" a="1"/>
  <c r="J438" i="24" s="1"/>
  <c r="J435" i="24" a="1"/>
  <c r="J435" i="24" s="1"/>
  <c r="J436" i="24" a="1"/>
  <c r="J436" i="24" s="1"/>
  <c r="J437" i="24" a="1"/>
  <c r="J437" i="24" s="1"/>
  <c r="J128" i="24" a="1"/>
  <c r="J128" i="24" s="1"/>
  <c r="J123" i="24" a="1"/>
  <c r="J123" i="24" s="1"/>
  <c r="J145" i="24" a="1"/>
  <c r="J145"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6" i="24" a="1"/>
  <c r="J366" i="24" s="1"/>
  <c r="J372" i="24" a="1"/>
  <c r="J372" i="24" s="1"/>
  <c r="J207" i="24" a="1"/>
  <c r="J207" i="24" s="1"/>
  <c r="J404" i="24" a="1"/>
  <c r="J404" i="24" s="1"/>
  <c r="J364" i="24" a="1"/>
  <c r="J364" i="24" s="1"/>
  <c r="J363" i="24" a="1"/>
  <c r="J363" i="24" s="1"/>
  <c r="J357" i="24" a="1"/>
  <c r="J357" i="24" s="1"/>
  <c r="J369" i="24" a="1"/>
  <c r="J369" i="24" s="1"/>
  <c r="J146" i="24" a="1"/>
  <c r="J146" i="24" s="1"/>
  <c r="J264" i="24" a="1"/>
  <c r="J264" i="24" s="1"/>
  <c r="J191" i="24" a="1"/>
  <c r="J191" i="24" s="1"/>
  <c r="J246" i="24" a="1"/>
  <c r="J246" i="24" s="1"/>
  <c r="J160" i="24" a="1"/>
  <c r="J160" i="24" s="1"/>
  <c r="J159" i="24" a="1"/>
  <c r="J159" i="24" s="1"/>
  <c r="J168" i="24" a="1"/>
  <c r="J168" i="24" s="1"/>
  <c r="J169" i="24" a="1"/>
  <c r="J169" i="24" s="1"/>
  <c r="J175" i="24" a="1"/>
  <c r="J175" i="24" s="1"/>
  <c r="J176" i="24" a="1"/>
  <c r="J176" i="24" s="1"/>
  <c r="J161" i="24" a="1"/>
  <c r="J161" i="24" s="1"/>
  <c r="J281" i="24" a="1"/>
  <c r="J281" i="24" s="1"/>
  <c r="J44" i="24" a="1"/>
  <c r="J44" i="24" s="1"/>
  <c r="J104" i="24" a="1"/>
  <c r="J104" i="24" s="1"/>
  <c r="J316" i="24" a="1"/>
  <c r="J316" i="24" s="1"/>
  <c r="J28" i="24" a="1"/>
  <c r="J28" i="24" s="1"/>
  <c r="J205" i="24" a="1"/>
  <c r="J205" i="24" s="1"/>
  <c r="J13" i="24" a="1"/>
  <c r="J13" i="24" s="1"/>
  <c r="J45" i="24" a="1"/>
  <c r="J45" i="24" s="1"/>
  <c r="J113" i="24" a="1"/>
  <c r="J113" i="24" s="1"/>
  <c r="J391" i="24" a="1"/>
  <c r="J391" i="24" s="1"/>
  <c r="J171" i="24" a="1"/>
  <c r="J171" i="24" s="1"/>
  <c r="J396" i="24" a="1"/>
  <c r="J396" i="24" s="1"/>
  <c r="J38" i="24" a="1"/>
  <c r="J38" i="24" s="1"/>
  <c r="J69" i="24" a="1"/>
  <c r="J69" i="24" s="1"/>
  <c r="J106" i="24" a="1"/>
  <c r="J106" i="24" s="1"/>
  <c r="J494" i="24" a="1"/>
  <c r="J494" i="24" s="1"/>
  <c r="J463" i="24" a="1"/>
  <c r="J463" i="24" s="1"/>
  <c r="J368" i="24" a="1"/>
  <c r="J368" i="24" s="1"/>
  <c r="J331" i="24" a="1"/>
  <c r="J331" i="24" s="1"/>
  <c r="J299" i="24" a="1"/>
  <c r="J299" i="24" s="1"/>
  <c r="J261" i="24" a="1"/>
  <c r="J261" i="24" s="1"/>
  <c r="J228" i="24" a="1"/>
  <c r="J228" i="24" s="1"/>
  <c r="J478" i="24" a="1"/>
  <c r="J478" i="24" s="1"/>
  <c r="J347" i="24" a="1"/>
  <c r="J347" i="24" s="1"/>
  <c r="J315" i="24" a="1"/>
  <c r="J315" i="24" s="1"/>
  <c r="J497" i="24" a="1"/>
  <c r="J497" i="24" s="1"/>
  <c r="J466" i="24" a="1"/>
  <c r="J466" i="24" s="1"/>
  <c r="J409" i="24" a="1"/>
  <c r="J409" i="24" s="1"/>
  <c r="J373" i="24" a="1"/>
  <c r="J373" i="24" s="1"/>
  <c r="J235" i="24" a="1"/>
  <c r="J235" i="24" s="1"/>
  <c r="J198" i="24" a="1"/>
  <c r="J198" i="24" s="1"/>
  <c r="J341" i="24" a="1"/>
  <c r="J341" i="24" s="1"/>
  <c r="J310" i="24" a="1"/>
  <c r="J310" i="24" s="1"/>
  <c r="J279" i="24" a="1"/>
  <c r="J279" i="24" s="1"/>
  <c r="J488" i="24" a="1"/>
  <c r="J488" i="24" s="1"/>
  <c r="J428" i="24" a="1"/>
  <c r="J428" i="24" s="1"/>
  <c r="J312" i="24" a="1"/>
  <c r="J312" i="24" s="1"/>
  <c r="J55" i="24" a="1"/>
  <c r="J55" i="24" s="1"/>
  <c r="J108" i="24" a="1"/>
  <c r="J108" i="24" s="1"/>
  <c r="J149" i="24" a="1"/>
  <c r="J149" i="24" s="1"/>
  <c r="J344" i="24" a="1"/>
  <c r="J344" i="24" s="1"/>
  <c r="J40" i="24" a="1"/>
  <c r="J40" i="24" s="1"/>
  <c r="J12" i="24" a="1"/>
  <c r="J12" i="24" s="1"/>
  <c r="J17" i="24" a="1"/>
  <c r="J17" i="24" s="1"/>
  <c r="J49" i="24" a="1"/>
  <c r="J49" i="24" s="1"/>
  <c r="J117" i="24" a="1"/>
  <c r="J117" i="24" s="1"/>
  <c r="J189" i="24" a="1"/>
  <c r="J189" i="24" s="1"/>
  <c r="J10" i="24" a="1"/>
  <c r="J10" i="24" s="1"/>
  <c r="J42" i="24" a="1"/>
  <c r="J42" i="24" s="1"/>
  <c r="J110" i="24" a="1"/>
  <c r="J110" i="24" s="1"/>
  <c r="J490" i="24" a="1"/>
  <c r="J490" i="24" s="1"/>
  <c r="J361" i="24" a="1"/>
  <c r="J361" i="24" s="1"/>
  <c r="J327" i="24" a="1"/>
  <c r="J327" i="24" s="1"/>
  <c r="J257" i="24" a="1"/>
  <c r="J257" i="24" s="1"/>
  <c r="J224" i="24" a="1"/>
  <c r="J224" i="24" s="1"/>
  <c r="J343" i="24" a="1"/>
  <c r="J343" i="24" s="1"/>
  <c r="J311" i="24" a="1"/>
  <c r="J311" i="24" s="1"/>
  <c r="J280" i="24" a="1"/>
  <c r="J280" i="24" s="1"/>
  <c r="J493" i="24" a="1"/>
  <c r="J493" i="24" s="1"/>
  <c r="J462" i="24" a="1"/>
  <c r="J462" i="24" s="1"/>
  <c r="J367" i="24" a="1"/>
  <c r="J367" i="24" s="1"/>
  <c r="J334" i="24" a="1"/>
  <c r="J334" i="24" s="1"/>
  <c r="J265" i="24" a="1"/>
  <c r="J265" i="24" s="1"/>
  <c r="J231" i="24" a="1"/>
  <c r="J231" i="24" s="1"/>
  <c r="J194" i="24" a="1"/>
  <c r="J194" i="24" s="1"/>
  <c r="J156" i="24" a="1"/>
  <c r="J156" i="24" s="1"/>
  <c r="J337" i="24" a="1"/>
  <c r="J337" i="24" s="1"/>
  <c r="J306" i="24" a="1"/>
  <c r="J306" i="24" s="1"/>
  <c r="J484" i="24" a="1"/>
  <c r="J484" i="24" s="1"/>
  <c r="J424" i="24" a="1"/>
  <c r="J424" i="24" s="1"/>
  <c r="J349" i="24" a="1"/>
  <c r="J349" i="24" s="1"/>
  <c r="J321" i="24" a="1"/>
  <c r="J321" i="24" s="1"/>
  <c r="J282" i="24" a="1"/>
  <c r="J282" i="24" s="1"/>
  <c r="J247" i="24" a="1"/>
  <c r="J247" i="24" s="1"/>
  <c r="J214" i="24" a="1"/>
  <c r="J214" i="24" s="1"/>
  <c r="J173" i="24" a="1"/>
  <c r="J173" i="24" s="1"/>
  <c r="J480" i="24" a="1"/>
  <c r="J480" i="24" s="1"/>
  <c r="J181" i="24" a="1"/>
  <c r="J181" i="24" s="1"/>
  <c r="J67" i="24" a="1"/>
  <c r="J67" i="24" s="1"/>
  <c r="J112" i="24" a="1"/>
  <c r="J112" i="24" s="1"/>
  <c r="J24" i="24" a="1"/>
  <c r="J24" i="24" s="1"/>
  <c r="J21" i="24" a="1"/>
  <c r="J21" i="24" s="1"/>
  <c r="J52" i="24" a="1"/>
  <c r="J52" i="24" s="1"/>
  <c r="J122" i="24" a="1"/>
  <c r="J122" i="24" s="1"/>
  <c r="J212" i="24" a="1"/>
  <c r="J212" i="24" s="1"/>
  <c r="J14" i="24" a="1"/>
  <c r="J14" i="24" s="1"/>
  <c r="J46" i="24" a="1"/>
  <c r="J46" i="24" s="1"/>
  <c r="J114" i="24" a="1"/>
  <c r="J114" i="24" s="1"/>
  <c r="J401" i="24" a="1"/>
  <c r="J401" i="24" s="1"/>
  <c r="J486" i="24" a="1"/>
  <c r="J486" i="24" s="1"/>
  <c r="J431" i="24" a="1"/>
  <c r="J431" i="24" s="1"/>
  <c r="J355" i="24" a="1"/>
  <c r="J355" i="24" s="1"/>
  <c r="J323" i="24" a="1"/>
  <c r="J323" i="24" s="1"/>
  <c r="J291" i="24" a="1"/>
  <c r="J291" i="24" s="1"/>
  <c r="J253" i="24" a="1"/>
  <c r="J253" i="24" s="1"/>
  <c r="J342" i="24" a="1"/>
  <c r="J342" i="24" s="1"/>
  <c r="J307" i="24" a="1"/>
  <c r="J307" i="24" s="1"/>
  <c r="J276" i="24" a="1"/>
  <c r="J276" i="24" s="1"/>
  <c r="J489" i="24" a="1"/>
  <c r="J489" i="24" s="1"/>
  <c r="J360" i="24" a="1"/>
  <c r="J360" i="24" s="1"/>
  <c r="J330" i="24" a="1"/>
  <c r="J330" i="24" s="1"/>
  <c r="J260" i="24" a="1"/>
  <c r="J260" i="24" s="1"/>
  <c r="J227" i="24" a="1"/>
  <c r="J227" i="24" s="1"/>
  <c r="J188" i="24" a="1"/>
  <c r="J188" i="24" s="1"/>
  <c r="J152" i="24" a="1"/>
  <c r="J152" i="24" s="1"/>
  <c r="J403" i="24" a="1"/>
  <c r="J403" i="24" s="1"/>
  <c r="J301" i="24" a="1"/>
  <c r="J301" i="24" s="1"/>
  <c r="J272" i="24" a="1"/>
  <c r="J272" i="24" s="1"/>
  <c r="J420" i="24" a="1"/>
  <c r="J420" i="24" s="1"/>
  <c r="J385" i="24" a="1"/>
  <c r="J385" i="24" s="1"/>
  <c r="J242" i="24" a="1"/>
  <c r="J242" i="24" s="1"/>
  <c r="J210" i="24" a="1"/>
  <c r="J210" i="24" s="1"/>
  <c r="J167" i="24" a="1"/>
  <c r="J167" i="24" s="1"/>
  <c r="J116" i="24" a="1"/>
  <c r="J116" i="24" s="1"/>
  <c r="J59" i="24" a="1"/>
  <c r="J59" i="24" s="1"/>
  <c r="J288" i="24" a="1"/>
  <c r="J288" i="24" s="1"/>
  <c r="J36" i="24" a="1"/>
  <c r="J36" i="24" s="1"/>
  <c r="J25" i="24" a="1"/>
  <c r="J25" i="24" s="1"/>
  <c r="J56" i="24" a="1"/>
  <c r="J56" i="24" s="1"/>
  <c r="J18" i="24" a="1"/>
  <c r="J18" i="24" s="1"/>
  <c r="J50" i="24" a="1"/>
  <c r="J50" i="24" s="1"/>
  <c r="J118" i="24" a="1"/>
  <c r="J118" i="24" s="1"/>
  <c r="J482" i="24" a="1"/>
  <c r="J482" i="24" s="1"/>
  <c r="J426" i="24" a="1"/>
  <c r="J426" i="24" s="1"/>
  <c r="J351" i="24" a="1"/>
  <c r="J351" i="24" s="1"/>
  <c r="J319" i="24" a="1"/>
  <c r="J319" i="24" s="1"/>
  <c r="J249" i="24" a="1"/>
  <c r="J249" i="24" s="1"/>
  <c r="J338" i="24" a="1"/>
  <c r="J338" i="24" s="1"/>
  <c r="J302" i="24" a="1"/>
  <c r="J302" i="24" s="1"/>
  <c r="J273" i="24" a="1"/>
  <c r="J273" i="24" s="1"/>
  <c r="J485" i="24" a="1"/>
  <c r="J485" i="24" s="1"/>
  <c r="J430" i="24" a="1"/>
  <c r="J430" i="24" s="1"/>
  <c r="J354" i="24" a="1"/>
  <c r="J354" i="24" s="1"/>
  <c r="J326" i="24" a="1"/>
  <c r="J326" i="24" s="1"/>
  <c r="J290" i="24" a="1"/>
  <c r="J290" i="24" s="1"/>
  <c r="J256" i="24" a="1"/>
  <c r="J256" i="24" s="1"/>
  <c r="J223" i="24" a="1"/>
  <c r="J223" i="24" s="1"/>
  <c r="J184" i="24" a="1"/>
  <c r="J184" i="24" s="1"/>
  <c r="J148" i="24" a="1"/>
  <c r="J148" i="24" s="1"/>
  <c r="J399" i="24" a="1"/>
  <c r="J399" i="24" s="1"/>
  <c r="J298" i="24" a="1"/>
  <c r="J298" i="24" s="1"/>
  <c r="J268" i="24" a="1"/>
  <c r="J268" i="24" s="1"/>
  <c r="J473" i="24" a="1"/>
  <c r="J473" i="24" s="1"/>
  <c r="J416" i="24" a="1"/>
  <c r="J416" i="24" s="1"/>
  <c r="J380" i="24" a="1"/>
  <c r="J380" i="24" s="1"/>
  <c r="J275" i="24" a="1"/>
  <c r="J275" i="24" s="1"/>
  <c r="J238" i="24" a="1"/>
  <c r="J238" i="24" s="1"/>
  <c r="J203" i="24" a="1"/>
  <c r="J203" i="24" s="1"/>
  <c r="J163" i="24" a="1"/>
  <c r="J163" i="24" s="1"/>
  <c r="J340" i="24" a="1"/>
  <c r="J340" i="24" s="1"/>
  <c r="J309" i="24" a="1"/>
  <c r="J309" i="24" s="1"/>
  <c r="J199" i="24" a="1"/>
  <c r="J199" i="24" s="1"/>
  <c r="J83" i="24" a="1"/>
  <c r="J83" i="24" s="1"/>
  <c r="J48" i="24" a="1"/>
  <c r="J48" i="24" s="1"/>
  <c r="J29" i="24" a="1"/>
  <c r="J29" i="24" s="1"/>
  <c r="J60" i="24" a="1"/>
  <c r="J60" i="24" s="1"/>
  <c r="J22" i="24" a="1"/>
  <c r="J22" i="24" s="1"/>
  <c r="J53" i="24" a="1"/>
  <c r="J53" i="24" s="1"/>
  <c r="J422" i="24" a="1"/>
  <c r="J422" i="24" s="1"/>
  <c r="J387" i="24" a="1"/>
  <c r="J387" i="24" s="1"/>
  <c r="J244" i="24" a="1"/>
  <c r="J244" i="24" s="1"/>
  <c r="J405" i="24" a="1"/>
  <c r="J405" i="24" s="1"/>
  <c r="J269" i="24" a="1"/>
  <c r="J269" i="24" s="1"/>
  <c r="J481" i="24" a="1"/>
  <c r="J481" i="24" s="1"/>
  <c r="J425" i="24" a="1"/>
  <c r="J425" i="24" s="1"/>
  <c r="J350" i="24" a="1"/>
  <c r="J350" i="24" s="1"/>
  <c r="J322" i="24" a="1"/>
  <c r="J322" i="24" s="1"/>
  <c r="J252" i="24" a="1"/>
  <c r="J252" i="24" s="1"/>
  <c r="J219" i="24" a="1"/>
  <c r="J219" i="24" s="1"/>
  <c r="J180" i="24" a="1"/>
  <c r="J180" i="24" s="1"/>
  <c r="J394" i="24" a="1"/>
  <c r="J394" i="24" s="1"/>
  <c r="J293" i="24" a="1"/>
  <c r="J293" i="24" s="1"/>
  <c r="J469" i="24" a="1"/>
  <c r="J469" i="24" s="1"/>
  <c r="J412" i="24" a="1"/>
  <c r="J412" i="24" s="1"/>
  <c r="J376" i="24" a="1"/>
  <c r="J376" i="24" s="1"/>
  <c r="J234" i="24" a="1"/>
  <c r="J234" i="24" s="1"/>
  <c r="J197" i="24" a="1"/>
  <c r="J197" i="24" s="1"/>
  <c r="J336" i="24" a="1"/>
  <c r="J336" i="24" s="1"/>
  <c r="J305" i="24" a="1"/>
  <c r="J305" i="24" s="1"/>
  <c r="J8" i="24" a="1"/>
  <c r="J8" i="24" s="1"/>
  <c r="J63" i="24" a="1"/>
  <c r="J63" i="24" s="1"/>
  <c r="J33" i="24" a="1"/>
  <c r="J33" i="24" s="1"/>
  <c r="J64" i="24" a="1"/>
  <c r="J64" i="24" s="1"/>
  <c r="J101" i="24" a="1"/>
  <c r="J101" i="24" s="1"/>
  <c r="J295" i="24" a="1"/>
  <c r="J295" i="24" s="1"/>
  <c r="J26" i="24" a="1"/>
  <c r="J26" i="24" s="1"/>
  <c r="J57" i="24" a="1"/>
  <c r="J57" i="24" s="1"/>
  <c r="J506" i="24" a="1"/>
  <c r="J506" i="24" s="1"/>
  <c r="J475" i="24" a="1"/>
  <c r="J475" i="24" s="1"/>
  <c r="J418" i="24" a="1"/>
  <c r="J418" i="24" s="1"/>
  <c r="J382" i="24" a="1"/>
  <c r="J382" i="24" s="1"/>
  <c r="J240" i="24" a="1"/>
  <c r="J240" i="24" s="1"/>
  <c r="J400" i="24" a="1"/>
  <c r="J400" i="24" s="1"/>
  <c r="J294" i="24" a="1"/>
  <c r="J294" i="24" s="1"/>
  <c r="J421" i="24" a="1"/>
  <c r="J421" i="24" s="1"/>
  <c r="J386" i="24" a="1"/>
  <c r="J386" i="24" s="1"/>
  <c r="J283" i="24" a="1"/>
  <c r="J283" i="24" s="1"/>
  <c r="J248" i="24" a="1"/>
  <c r="J248" i="24" s="1"/>
  <c r="J215" i="24" a="1"/>
  <c r="J215" i="24" s="1"/>
  <c r="J174" i="24" a="1"/>
  <c r="J174" i="24" s="1"/>
  <c r="J389" i="24" a="1"/>
  <c r="J389" i="24" s="1"/>
  <c r="J465" i="24" a="1"/>
  <c r="J465" i="24" s="1"/>
  <c r="J407" i="24" a="1"/>
  <c r="J407" i="24" s="1"/>
  <c r="J371" i="24" a="1"/>
  <c r="J371" i="24" s="1"/>
  <c r="J263" i="24" a="1"/>
  <c r="J263" i="24" s="1"/>
  <c r="J230" i="24" a="1"/>
  <c r="J230" i="24" s="1"/>
  <c r="J193" i="24" a="1"/>
  <c r="J193" i="24" s="1"/>
  <c r="J155" i="24" a="1"/>
  <c r="J155" i="24" s="1"/>
  <c r="J402" i="24" a="1"/>
  <c r="J402" i="24" s="1"/>
  <c r="J220" i="24" a="1"/>
  <c r="J220" i="24" s="1"/>
  <c r="J20" i="24" a="1"/>
  <c r="J20" i="24" s="1"/>
  <c r="J165" i="24" a="1"/>
  <c r="J165" i="24" s="1"/>
  <c r="J37" i="24" a="1"/>
  <c r="J37" i="24" s="1"/>
  <c r="J68" i="24" a="1"/>
  <c r="J68" i="24" s="1"/>
  <c r="J105" i="24" a="1"/>
  <c r="J105" i="24" s="1"/>
  <c r="J30" i="24" a="1"/>
  <c r="J30" i="24" s="1"/>
  <c r="J61" i="24" a="1"/>
  <c r="J61" i="24" s="1"/>
  <c r="J97" i="24" a="1"/>
  <c r="J97" i="24" s="1"/>
  <c r="J270" i="24" a="1"/>
  <c r="J270" i="24" s="1"/>
  <c r="J502" i="24" a="1"/>
  <c r="J502" i="24" s="1"/>
  <c r="J471" i="24" a="1"/>
  <c r="J471" i="24" s="1"/>
  <c r="J414" i="24" a="1"/>
  <c r="J414" i="24" s="1"/>
  <c r="J378" i="24" a="1"/>
  <c r="J378" i="24" s="1"/>
  <c r="J236" i="24" a="1"/>
  <c r="J236" i="24" s="1"/>
  <c r="J395" i="24" a="1"/>
  <c r="J395" i="24" s="1"/>
  <c r="J474" i="24" a="1"/>
  <c r="J474" i="24" s="1"/>
  <c r="J381" i="24" a="1"/>
  <c r="J381" i="24" s="1"/>
  <c r="J243" i="24" a="1"/>
  <c r="J243" i="24" s="1"/>
  <c r="J211" i="24" a="1"/>
  <c r="J211" i="24" s="1"/>
  <c r="J170" i="24" a="1"/>
  <c r="J170" i="24" s="1"/>
  <c r="J477" i="24" a="1"/>
  <c r="J477" i="24" s="1"/>
  <c r="J346" i="24" a="1"/>
  <c r="J346" i="24" s="1"/>
  <c r="J318" i="24" a="1"/>
  <c r="J318" i="24" s="1"/>
  <c r="J286" i="24" a="1"/>
  <c r="J286" i="24" s="1"/>
  <c r="J496" i="24" a="1"/>
  <c r="J496" i="24" s="1"/>
  <c r="J461" i="24" a="1"/>
  <c r="J461" i="24" s="1"/>
  <c r="J365" i="24" a="1"/>
  <c r="J365" i="24" s="1"/>
  <c r="J333" i="24" a="1"/>
  <c r="J333" i="24" s="1"/>
  <c r="J259" i="24" a="1"/>
  <c r="J259" i="24" s="1"/>
  <c r="J226" i="24" a="1"/>
  <c r="J226" i="24" s="1"/>
  <c r="J187" i="24" a="1"/>
  <c r="J187" i="24" s="1"/>
  <c r="J151" i="24" a="1"/>
  <c r="J151" i="24" s="1"/>
  <c r="J397" i="24" a="1"/>
  <c r="J397" i="24" s="1"/>
  <c r="J32" i="24" a="1"/>
  <c r="J32" i="24" s="1"/>
  <c r="J100" i="24" a="1"/>
  <c r="J100" i="24" s="1"/>
  <c r="J284" i="24" a="1"/>
  <c r="J284" i="24" s="1"/>
  <c r="J16" i="24" a="1"/>
  <c r="J16" i="24" s="1"/>
  <c r="J185" i="24" a="1"/>
  <c r="J185" i="24" s="1"/>
  <c r="J479" i="24" a="1"/>
  <c r="J479" i="24" s="1"/>
  <c r="J9" i="24" a="1"/>
  <c r="J9" i="24" s="1"/>
  <c r="J41" i="24" a="1"/>
  <c r="J41" i="24" s="1"/>
  <c r="J109" i="24" a="1"/>
  <c r="J109" i="24" s="1"/>
  <c r="J153" i="24" a="1"/>
  <c r="J153" i="24" s="1"/>
  <c r="J34" i="24" a="1"/>
  <c r="J34" i="24" s="1"/>
  <c r="J65" i="24" a="1"/>
  <c r="J65" i="24" s="1"/>
  <c r="J102" i="24" a="1"/>
  <c r="J102" i="24" s="1"/>
  <c r="J498" i="24" a="1"/>
  <c r="J498" i="24" s="1"/>
  <c r="J467" i="24" a="1"/>
  <c r="J467" i="24" s="1"/>
  <c r="J410" i="24" a="1"/>
  <c r="J410" i="24" s="1"/>
  <c r="J374" i="24" a="1"/>
  <c r="J374" i="24" s="1"/>
  <c r="J266" i="24" a="1"/>
  <c r="J266" i="24" s="1"/>
  <c r="J232" i="24" a="1"/>
  <c r="J232" i="24" s="1"/>
  <c r="J390" i="24" a="1"/>
  <c r="J390" i="24" s="1"/>
  <c r="J287" i="24" a="1"/>
  <c r="J287" i="24" s="1"/>
  <c r="J501" i="24" a="1"/>
  <c r="J501" i="24" s="1"/>
  <c r="J470" i="24" a="1"/>
  <c r="J470" i="24" s="1"/>
  <c r="J413" i="24" a="1"/>
  <c r="J413" i="24" s="1"/>
  <c r="J377" i="24" a="1"/>
  <c r="J377" i="24" s="1"/>
  <c r="J239" i="24" a="1"/>
  <c r="J239" i="24" s="1"/>
  <c r="J204" i="24" a="1"/>
  <c r="J204" i="24" s="1"/>
  <c r="J164" i="24" a="1"/>
  <c r="J164" i="24" s="1"/>
  <c r="J314" i="24" a="1"/>
  <c r="J314" i="24" s="1"/>
  <c r="J492" i="24" a="1"/>
  <c r="J492" i="24" s="1"/>
  <c r="J433" i="24" a="1"/>
  <c r="J433" i="24" s="1"/>
  <c r="J359" i="24" a="1"/>
  <c r="J359" i="24" s="1"/>
  <c r="J329" i="24" a="1"/>
  <c r="J329" i="24" s="1"/>
  <c r="J255" i="24" a="1"/>
  <c r="J255" i="24" s="1"/>
  <c r="J222" i="24" a="1"/>
  <c r="J222" i="24" s="1"/>
  <c r="J183" i="24" a="1"/>
  <c r="J183" i="24" s="1"/>
  <c r="J147" i="24" a="1"/>
  <c r="J147" i="24" s="1"/>
  <c r="J392" i="24" a="1"/>
  <c r="J392" i="24" s="1"/>
  <c r="J292" i="24" a="1"/>
  <c r="J292" i="24" s="1"/>
  <c r="J251" i="24" a="1"/>
  <c r="J251" i="24" s="1"/>
  <c r="J285" i="24" a="1"/>
  <c r="J285" i="24" s="1"/>
  <c r="J495" i="24" a="1"/>
  <c r="J495" i="24" s="1"/>
  <c r="J464" i="24" a="1"/>
  <c r="J464" i="24" s="1"/>
  <c r="J362" i="24" a="1"/>
  <c r="J362" i="24" s="1"/>
  <c r="J332" i="24" a="1"/>
  <c r="J332" i="24" s="1"/>
  <c r="J300" i="24" a="1"/>
  <c r="J300" i="24" s="1"/>
  <c r="J262" i="24" a="1"/>
  <c r="J262" i="24" s="1"/>
  <c r="J229" i="24" a="1"/>
  <c r="J229" i="24" s="1"/>
  <c r="J190" i="24" a="1"/>
  <c r="J190" i="24" s="1"/>
  <c r="J154" i="24" a="1"/>
  <c r="J154" i="24" s="1"/>
  <c r="J303" i="24" a="1"/>
  <c r="J303" i="24" s="1"/>
  <c r="J31" i="24" a="1"/>
  <c r="J31" i="24" s="1"/>
  <c r="J62" i="24" a="1"/>
  <c r="J62" i="24" s="1"/>
  <c r="J277" i="24" a="1"/>
  <c r="J277" i="24" s="1"/>
  <c r="J503" i="24" a="1"/>
  <c r="J503" i="24" s="1"/>
  <c r="J505" i="24" a="1"/>
  <c r="J505" i="24" s="1"/>
  <c r="J218" i="24" a="1"/>
  <c r="J218" i="24" s="1"/>
  <c r="J491" i="24" a="1"/>
  <c r="J491" i="24" s="1"/>
  <c r="J356" i="24" a="1"/>
  <c r="J356" i="24" s="1"/>
  <c r="J328" i="24" a="1"/>
  <c r="J328" i="24" s="1"/>
  <c r="J258" i="24" a="1"/>
  <c r="J258" i="24" s="1"/>
  <c r="J225" i="24" a="1"/>
  <c r="J225" i="24" s="1"/>
  <c r="J186" i="24" a="1"/>
  <c r="J186" i="24" s="1"/>
  <c r="J150" i="24" a="1"/>
  <c r="J150" i="24" s="1"/>
  <c r="J335" i="24" a="1"/>
  <c r="J335" i="24" s="1"/>
  <c r="J7" i="24" a="1"/>
  <c r="J7" i="24" s="1"/>
  <c r="J35" i="24" a="1"/>
  <c r="J35" i="24" s="1"/>
  <c r="J66" i="24" a="1"/>
  <c r="J66" i="24" s="1"/>
  <c r="J103" i="24" a="1"/>
  <c r="J103" i="24" s="1"/>
  <c r="J308" i="24" a="1"/>
  <c r="J308" i="24" s="1"/>
  <c r="J507" i="24" a="1"/>
  <c r="J507" i="24" s="1"/>
  <c r="J179" i="24" a="1"/>
  <c r="J179" i="24" s="1"/>
  <c r="J345" i="24" a="1"/>
  <c r="J345" i="24" s="1"/>
  <c r="J278" i="24" a="1"/>
  <c r="J278" i="24" s="1"/>
  <c r="J487" i="24" a="1"/>
  <c r="J487" i="24" s="1"/>
  <c r="J432" i="24" a="1"/>
  <c r="J432" i="24" s="1"/>
  <c r="J352" i="24" a="1"/>
  <c r="J352" i="24" s="1"/>
  <c r="J324" i="24" a="1"/>
  <c r="J324" i="24" s="1"/>
  <c r="J254" i="24" a="1"/>
  <c r="J254" i="24" s="1"/>
  <c r="J221" i="24" a="1"/>
  <c r="J221" i="24" s="1"/>
  <c r="J182" i="24" a="1"/>
  <c r="J182" i="24" s="1"/>
  <c r="J157" i="24" a="1"/>
  <c r="J157" i="24" s="1"/>
  <c r="J39" i="24" a="1"/>
  <c r="J39" i="24" s="1"/>
  <c r="J107" i="24" a="1"/>
  <c r="J107" i="24" s="1"/>
  <c r="J339" i="24" a="1"/>
  <c r="J339" i="24" s="1"/>
  <c r="J504" i="24" a="1"/>
  <c r="J504" i="24" s="1"/>
  <c r="J483" i="24" a="1"/>
  <c r="J483" i="24" s="1"/>
  <c r="J427" i="24" a="1"/>
  <c r="J427" i="24" s="1"/>
  <c r="J348" i="24" a="1"/>
  <c r="J348" i="24" s="1"/>
  <c r="J320" i="24" a="1"/>
  <c r="J320" i="24" s="1"/>
  <c r="J250" i="24" a="1"/>
  <c r="J250" i="24" s="1"/>
  <c r="J217" i="24" a="1"/>
  <c r="J217" i="24" s="1"/>
  <c r="J178" i="24" a="1"/>
  <c r="J178" i="24" s="1"/>
  <c r="J177" i="24" a="1"/>
  <c r="J177" i="24" s="1"/>
  <c r="J406" i="24" a="1"/>
  <c r="J406" i="24" s="1"/>
  <c r="J11" i="24" a="1"/>
  <c r="J11" i="24" s="1"/>
  <c r="J43" i="24" a="1"/>
  <c r="J43" i="24" s="1"/>
  <c r="J111" i="24" a="1"/>
  <c r="J111" i="24" s="1"/>
  <c r="J500" i="24" a="1"/>
  <c r="J500" i="24" s="1"/>
  <c r="J317" i="24" a="1"/>
  <c r="J317" i="24" s="1"/>
  <c r="J271" i="24" a="1"/>
  <c r="J271" i="24" s="1"/>
  <c r="J423" i="24" a="1"/>
  <c r="J423" i="24" s="1"/>
  <c r="J383" i="24" a="1"/>
  <c r="J383" i="24" s="1"/>
  <c r="J245" i="24" a="1"/>
  <c r="J245" i="24" s="1"/>
  <c r="J213" i="24" a="1"/>
  <c r="J213" i="24" s="1"/>
  <c r="J172" i="24" a="1"/>
  <c r="J172" i="24" s="1"/>
  <c r="J195" i="24" a="1"/>
  <c r="J195" i="24" s="1"/>
  <c r="J15" i="24" a="1"/>
  <c r="J15" i="24" s="1"/>
  <c r="J47" i="24" a="1"/>
  <c r="J47" i="24" s="1"/>
  <c r="J115" i="24" a="1"/>
  <c r="J115" i="24" s="1"/>
  <c r="J353" i="24" a="1"/>
  <c r="J353" i="24" s="1"/>
  <c r="J313" i="24" a="1"/>
  <c r="J313" i="24" s="1"/>
  <c r="J476" i="24" a="1"/>
  <c r="J476" i="24" s="1"/>
  <c r="J419" i="24" a="1"/>
  <c r="J419" i="24" s="1"/>
  <c r="J379" i="24" a="1"/>
  <c r="J379" i="24" s="1"/>
  <c r="J274" i="24" a="1"/>
  <c r="J274" i="24" s="1"/>
  <c r="J241" i="24" a="1"/>
  <c r="J241" i="24" s="1"/>
  <c r="J206" i="24" a="1"/>
  <c r="J206" i="24" s="1"/>
  <c r="J166" i="24" a="1"/>
  <c r="J166" i="24" s="1"/>
  <c r="J216" i="24" a="1"/>
  <c r="J216" i="24" s="1"/>
  <c r="J19" i="24" a="1"/>
  <c r="J19" i="24" s="1"/>
  <c r="J51" i="24" a="1"/>
  <c r="J51" i="24" s="1"/>
  <c r="J119" i="24" a="1"/>
  <c r="J119" i="24" s="1"/>
  <c r="J325" i="24" a="1"/>
  <c r="J325" i="24" s="1"/>
  <c r="J296" i="24" a="1"/>
  <c r="J296" i="24" s="1"/>
  <c r="J472" i="24" a="1"/>
  <c r="J472" i="24" s="1"/>
  <c r="J415" i="24" a="1"/>
  <c r="J415" i="24" s="1"/>
  <c r="J375" i="24" a="1"/>
  <c r="J375" i="24" s="1"/>
  <c r="J237" i="24" a="1"/>
  <c r="J237" i="24" s="1"/>
  <c r="J200" i="24" a="1"/>
  <c r="J200" i="24" s="1"/>
  <c r="J162" i="24" a="1"/>
  <c r="J162" i="24" s="1"/>
  <c r="J23" i="24" a="1"/>
  <c r="J23" i="24" s="1"/>
  <c r="J54" i="24" a="1"/>
  <c r="J54" i="24" s="1"/>
  <c r="J388" i="24" a="1"/>
  <c r="J388" i="24" s="1"/>
  <c r="J289" i="24" a="1"/>
  <c r="J289" i="24" s="1"/>
  <c r="J499" i="24" a="1"/>
  <c r="J499" i="24" s="1"/>
  <c r="J468" i="24" a="1"/>
  <c r="J468" i="24" s="1"/>
  <c r="J411" i="24" a="1"/>
  <c r="J411" i="24" s="1"/>
  <c r="J370" i="24" a="1"/>
  <c r="J370" i="24" s="1"/>
  <c r="J267" i="24" a="1"/>
  <c r="J267" i="24" s="1"/>
  <c r="J233" i="24" a="1"/>
  <c r="J233" i="24" s="1"/>
  <c r="J196" i="24" a="1"/>
  <c r="J196" i="24" s="1"/>
  <c r="J158" i="24" a="1"/>
  <c r="J158"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4" i="3"/>
  <c r="AI284" i="3"/>
  <c r="AI289" i="3"/>
  <c r="AI288" i="3"/>
  <c r="AI287" i="3"/>
  <c r="AI286" i="3"/>
  <c r="AI285" i="3"/>
  <c r="AI283" i="3"/>
  <c r="AI282" i="3"/>
  <c r="AI281" i="3"/>
  <c r="AI280" i="3"/>
  <c r="AI279" i="3"/>
  <c r="AI278" i="3"/>
  <c r="AI277" i="3"/>
  <c r="AI276" i="3"/>
  <c r="AI275" i="3"/>
  <c r="AI274" i="3"/>
  <c r="AI273" i="3"/>
  <c r="AI272" i="3"/>
  <c r="AI271" i="3"/>
  <c r="AI270" i="3"/>
  <c r="AI269" i="3"/>
  <c r="BU303" i="3" l="1"/>
  <c r="BU296" i="3"/>
  <c r="BU289" i="3"/>
  <c r="BU274" i="3"/>
  <c r="DH268" i="24"/>
  <c r="DI267" i="24"/>
  <c r="BU275" i="3" l="1"/>
  <c r="BU347" i="3"/>
  <c r="BZ4" i="24"/>
  <c r="CA4" i="24"/>
  <c r="CB4" i="24"/>
  <c r="BZ5" i="24"/>
  <c r="CA5" i="24"/>
  <c r="CB5" i="24"/>
  <c r="DR233" i="3"/>
  <c r="CH233" i="3" s="1"/>
  <c r="DL233" i="3"/>
  <c r="CB233" i="3" s="1"/>
  <c r="BU233" i="3"/>
  <c r="DR232" i="3"/>
  <c r="CH232" i="3" s="1"/>
  <c r="DL232" i="3"/>
  <c r="CB232" i="3" s="1"/>
  <c r="BU232" i="3"/>
  <c r="DR231" i="3"/>
  <c r="DL231" i="3"/>
  <c r="CB231" i="3" s="1"/>
  <c r="BU231" i="3"/>
  <c r="DR230" i="3"/>
  <c r="CH230" i="3" s="1"/>
  <c r="DL230" i="3"/>
  <c r="CB230" i="3" s="1"/>
  <c r="BU230" i="3"/>
  <c r="DR229" i="3"/>
  <c r="CH229" i="3" s="1"/>
  <c r="DL229" i="3"/>
  <c r="CB229" i="3" s="1"/>
  <c r="BU229" i="3"/>
  <c r="DR228" i="3"/>
  <c r="DL228" i="3"/>
  <c r="CB228" i="3" s="1"/>
  <c r="BU228" i="3"/>
  <c r="DR227" i="3"/>
  <c r="CH227" i="3" s="1"/>
  <c r="DL227" i="3"/>
  <c r="CB227" i="3" s="1"/>
  <c r="BU227" i="3"/>
  <c r="DR226" i="3"/>
  <c r="CH226" i="3" s="1"/>
  <c r="DL226" i="3"/>
  <c r="CB226" i="3" s="1"/>
  <c r="BU226" i="3"/>
  <c r="DR225" i="3"/>
  <c r="DL225" i="3"/>
  <c r="CB225" i="3" s="1"/>
  <c r="BU225" i="3"/>
  <c r="DR119" i="3" l="1"/>
  <c r="CH119" i="3" s="1"/>
  <c r="DQ119" i="3"/>
  <c r="CG119" i="3" s="1"/>
  <c r="DP119" i="3"/>
  <c r="CF119" i="3" s="1"/>
  <c r="DO119" i="3"/>
  <c r="CE119" i="3" s="1"/>
  <c r="DN119" i="3"/>
  <c r="CD119" i="3" s="1"/>
  <c r="DM119" i="3"/>
  <c r="CC119" i="3" s="1"/>
  <c r="DL119" i="3"/>
  <c r="BU119" i="3"/>
  <c r="BL507" i="3" l="1"/>
  <c r="BU507" i="3" s="1"/>
  <c r="BU420" i="3" l="1"/>
  <c r="BU316" i="3" l="1"/>
  <c r="BU315" i="3"/>
  <c r="BO378" i="3" l="1"/>
  <c r="BP378" i="3" s="1"/>
  <c r="BO377" i="3"/>
  <c r="BP377" i="3" s="1"/>
  <c r="BQ377" i="3" l="1"/>
  <c r="BQ378" i="3"/>
  <c r="Q131" i="1"/>
  <c r="F59" i="27" s="1"/>
  <c r="Q130" i="1"/>
  <c r="Q128" i="1"/>
  <c r="F58" i="27" s="1"/>
  <c r="Q127" i="1"/>
  <c r="Q126" i="1"/>
  <c r="F42" i="27" s="1"/>
  <c r="BR378" i="3" l="1"/>
  <c r="BR377" i="3"/>
  <c r="F46" i="27"/>
  <c r="F26" i="27"/>
  <c r="F23" i="27"/>
  <c r="F52" i="27"/>
  <c r="F29" i="27"/>
  <c r="F55" i="27"/>
  <c r="F35" i="27"/>
  <c r="I95" i="24" l="1" a="1"/>
  <c r="I95" i="24" s="1"/>
  <c r="GG95" i="24" s="1"/>
  <c r="I429" i="24" a="1"/>
  <c r="I429" i="24" s="1"/>
  <c r="GG429" i="24" s="1"/>
  <c r="I120" i="24" a="1"/>
  <c r="I120" i="24" s="1"/>
  <c r="GG120" i="24" s="1"/>
  <c r="I192" i="24" a="1"/>
  <c r="I192" i="24" s="1"/>
  <c r="GG192" i="24" s="1"/>
  <c r="I121" i="24" a="1"/>
  <c r="I121" i="24" s="1"/>
  <c r="GG121" i="24" s="1"/>
  <c r="I138" i="24" a="1"/>
  <c r="I138" i="24" s="1"/>
  <c r="GG138" i="24" s="1"/>
  <c r="I136" i="24" a="1"/>
  <c r="I136" i="24" s="1"/>
  <c r="GG136" i="24" s="1"/>
  <c r="I132" i="24" a="1"/>
  <c r="I132" i="24" s="1"/>
  <c r="GG132" i="24" s="1"/>
  <c r="I142" i="24" a="1"/>
  <c r="I142" i="24" s="1"/>
  <c r="GG142" i="24" s="1"/>
  <c r="I135" i="24" a="1"/>
  <c r="I135" i="24" s="1"/>
  <c r="GG135" i="24" s="1"/>
  <c r="I131" i="24" a="1"/>
  <c r="I131" i="24" s="1"/>
  <c r="GG131" i="24" s="1"/>
  <c r="I143" i="24" a="1"/>
  <c r="I143" i="24" s="1"/>
  <c r="GG143" i="24" s="1"/>
  <c r="I140" i="24" a="1"/>
  <c r="I140" i="24" s="1"/>
  <c r="GG140" i="24" s="1"/>
  <c r="I137" i="24" a="1"/>
  <c r="I137" i="24" s="1"/>
  <c r="GG137" i="24" s="1"/>
  <c r="I144" i="24" a="1"/>
  <c r="I144" i="24" s="1"/>
  <c r="GG144" i="24" s="1"/>
  <c r="I141" i="24" a="1"/>
  <c r="I141" i="24" s="1"/>
  <c r="GG141" i="24" s="1"/>
  <c r="I139" i="24" a="1"/>
  <c r="I139" i="24" s="1"/>
  <c r="GG139" i="24" s="1"/>
  <c r="I133" i="24" a="1"/>
  <c r="I133" i="24" s="1"/>
  <c r="I134" i="24" a="1"/>
  <c r="I134" i="24" s="1"/>
  <c r="I94" i="24" a="1"/>
  <c r="I94" i="24" s="1"/>
  <c r="GG94" i="24" s="1"/>
  <c r="BS377" i="3"/>
  <c r="BS378" i="3"/>
  <c r="I408" i="24" a="1"/>
  <c r="I408" i="24" s="1"/>
  <c r="GG408" i="24" s="1"/>
  <c r="I92" i="24" a="1"/>
  <c r="I92" i="24" s="1"/>
  <c r="GG92" i="24" s="1"/>
  <c r="I437" i="24" a="1"/>
  <c r="I437" i="24" s="1"/>
  <c r="GG437" i="24" s="1"/>
  <c r="I435" i="24" a="1"/>
  <c r="I435" i="24" s="1"/>
  <c r="I436" i="24" a="1"/>
  <c r="I436" i="24" s="1"/>
  <c r="GG436" i="24" s="1"/>
  <c r="I438" i="24" a="1"/>
  <c r="I438" i="24" s="1"/>
  <c r="GG438" i="24" s="1"/>
  <c r="I434" i="24" a="1"/>
  <c r="I434"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5" i="24" a="1"/>
  <c r="I145" i="24" s="1"/>
  <c r="GG145" i="24" s="1"/>
  <c r="I366" i="24" a="1"/>
  <c r="I366" i="24" s="1"/>
  <c r="GG366"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2" i="24" a="1"/>
  <c r="I372" i="24" s="1"/>
  <c r="I207" i="24" a="1"/>
  <c r="I207" i="24" s="1"/>
  <c r="I404" i="24" a="1"/>
  <c r="I404" i="24" s="1"/>
  <c r="I364" i="24" a="1"/>
  <c r="I364" i="24" s="1"/>
  <c r="I363" i="24" a="1"/>
  <c r="I363" i="24" s="1"/>
  <c r="I357" i="24" a="1"/>
  <c r="I357" i="24" s="1"/>
  <c r="I369" i="24" a="1"/>
  <c r="I369" i="24" s="1"/>
  <c r="I146" i="24" a="1"/>
  <c r="I146" i="24" s="1"/>
  <c r="I264" i="24" a="1"/>
  <c r="I264" i="24" s="1"/>
  <c r="I191" i="24" a="1"/>
  <c r="I191" i="24" s="1"/>
  <c r="I246" i="24" a="1"/>
  <c r="I246" i="24" s="1"/>
  <c r="I160" i="24" a="1"/>
  <c r="I160" i="24" s="1"/>
  <c r="I176" i="24" a="1"/>
  <c r="I176" i="24" s="1"/>
  <c r="I169" i="24" a="1"/>
  <c r="I169" i="24" s="1"/>
  <c r="I159" i="24" a="1"/>
  <c r="I159" i="24" s="1"/>
  <c r="I168" i="24" a="1"/>
  <c r="I168" i="24" s="1"/>
  <c r="I175" i="24" a="1"/>
  <c r="I175" i="24" s="1"/>
  <c r="I253" i="24" a="1"/>
  <c r="I253" i="24" s="1"/>
  <c r="I307" i="24" a="1"/>
  <c r="I307" i="24" s="1"/>
  <c r="I377" i="24" a="1"/>
  <c r="I377" i="24" s="1"/>
  <c r="I427" i="24" a="1"/>
  <c r="I427" i="24" s="1"/>
  <c r="I295" i="24" a="1"/>
  <c r="I295" i="24" s="1"/>
  <c r="I409" i="24" a="1"/>
  <c r="I409" i="24" s="1"/>
  <c r="I60" i="24" a="1"/>
  <c r="I60" i="24" s="1"/>
  <c r="I400" i="24" a="1"/>
  <c r="I400" i="24" s="1"/>
  <c r="I497" i="24" a="1"/>
  <c r="I497" i="24" s="1"/>
  <c r="I204" i="24" a="1"/>
  <c r="I204" i="24" s="1"/>
  <c r="I182" i="24" a="1"/>
  <c r="I182" i="24" s="1"/>
  <c r="I498" i="24" a="1"/>
  <c r="I498" i="24" s="1"/>
  <c r="I205" i="24" a="1"/>
  <c r="I205" i="24" s="1"/>
  <c r="I330" i="24" a="1"/>
  <c r="I330" i="24" s="1"/>
  <c r="I473" i="24" a="1"/>
  <c r="I473" i="24" s="1"/>
  <c r="I36" i="24" a="1"/>
  <c r="I36" i="24" s="1"/>
  <c r="I37" i="24" a="1"/>
  <c r="I37" i="24" s="1"/>
  <c r="I368" i="24" a="1"/>
  <c r="I368" i="24" s="1"/>
  <c r="I231" i="24" a="1"/>
  <c r="I231" i="24" s="1"/>
  <c r="GG231" i="24" s="1"/>
  <c r="I272" i="24" a="1"/>
  <c r="I272" i="24" s="1"/>
  <c r="I150" i="24" a="1"/>
  <c r="I150" i="24" s="1"/>
  <c r="I57" i="24" a="1"/>
  <c r="I57" i="24" s="1"/>
  <c r="I277" i="24" a="1"/>
  <c r="I277" i="24" s="1"/>
  <c r="I266" i="24" a="1"/>
  <c r="I266" i="24" s="1"/>
  <c r="I319" i="24" a="1"/>
  <c r="I319" i="24" s="1"/>
  <c r="I254" i="24" a="1"/>
  <c r="I254" i="24" s="1"/>
  <c r="I486" i="24" a="1"/>
  <c r="I486" i="24" s="1"/>
  <c r="I189" i="24" a="1"/>
  <c r="I189" i="24" s="1"/>
  <c r="I461" i="24" a="1"/>
  <c r="I461" i="24" s="1"/>
  <c r="I151" i="24" a="1"/>
  <c r="I151" i="24" s="1"/>
  <c r="I339" i="24" a="1"/>
  <c r="I339" i="24" s="1"/>
  <c r="I323" i="24" a="1"/>
  <c r="I323" i="24" s="1"/>
  <c r="I474" i="24" a="1"/>
  <c r="I474" i="24" s="1"/>
  <c r="I180" i="24" a="1"/>
  <c r="I180" i="24" s="1"/>
  <c r="I349" i="24" a="1"/>
  <c r="I349" i="24" s="1"/>
  <c r="I39" i="24" a="1"/>
  <c r="I39" i="24" s="1"/>
  <c r="I247" i="24" a="1"/>
  <c r="I247" i="24" s="1"/>
  <c r="I289" i="24" a="1"/>
  <c r="I289" i="24" s="1"/>
  <c r="I111" i="24" a="1"/>
  <c r="I111" i="24" s="1"/>
  <c r="I167" i="24" a="1"/>
  <c r="I167" i="24" s="1"/>
  <c r="I394" i="24" a="1"/>
  <c r="I394" i="24" s="1"/>
  <c r="I268" i="24" a="1"/>
  <c r="I268" i="24" s="1"/>
  <c r="I313" i="24" a="1"/>
  <c r="I313" i="24" s="1"/>
  <c r="I196" i="24" a="1"/>
  <c r="I196" i="24" s="1"/>
  <c r="I193" i="24" a="1"/>
  <c r="I193" i="24" s="1"/>
  <c r="I241" i="24" a="1"/>
  <c r="I241" i="24" s="1"/>
  <c r="I286" i="24" a="1"/>
  <c r="I286" i="24" s="1"/>
  <c r="I503" i="24" a="1"/>
  <c r="I503" i="24" s="1"/>
  <c r="I114" i="24" a="1"/>
  <c r="I114" i="24" s="1"/>
  <c r="I332" i="24" a="1"/>
  <c r="I332" i="24" s="1"/>
  <c r="I220" i="24" a="1"/>
  <c r="I220" i="24" s="1"/>
  <c r="I269" i="24" a="1"/>
  <c r="I269" i="24" s="1"/>
  <c r="I225" i="24" a="1"/>
  <c r="I225" i="24" s="1"/>
  <c r="I154" i="24" a="1"/>
  <c r="I154" i="24" s="1"/>
  <c r="I249" i="24" a="1"/>
  <c r="I249" i="24" s="1"/>
  <c r="I302" i="24" a="1"/>
  <c r="I302" i="24" s="1"/>
  <c r="I373" i="24" a="1"/>
  <c r="I373" i="24" s="1"/>
  <c r="I48" i="24" a="1"/>
  <c r="I48" i="24" s="1"/>
  <c r="I206" i="24" a="1"/>
  <c r="I206" i="24" s="1"/>
  <c r="I462" i="24" a="1"/>
  <c r="I462" i="24" s="1"/>
  <c r="I164" i="24" a="1"/>
  <c r="I164" i="24" s="1"/>
  <c r="I55" i="24" a="1"/>
  <c r="I55" i="24" s="1"/>
  <c r="I419" i="24" a="1"/>
  <c r="I419" i="24" s="1"/>
  <c r="GG419" i="24" s="1"/>
  <c r="I233" i="24" a="1"/>
  <c r="I233" i="24" s="1"/>
  <c r="GG233" i="24" s="1"/>
  <c r="I467" i="24" a="1"/>
  <c r="I467" i="24" s="1"/>
  <c r="I165" i="24" a="1"/>
  <c r="I165" i="24" s="1"/>
  <c r="I416" i="24" a="1"/>
  <c r="I416" i="24" s="1"/>
  <c r="GG416" i="24" s="1"/>
  <c r="I149" i="24" a="1"/>
  <c r="I149" i="24" s="1"/>
  <c r="I68" i="24" a="1"/>
  <c r="I68" i="24" s="1"/>
  <c r="I348" i="24" a="1"/>
  <c r="I348" i="24" s="1"/>
  <c r="I335" i="24" a="1"/>
  <c r="I335" i="24" s="1"/>
  <c r="I390" i="24" a="1"/>
  <c r="I390" i="24" s="1"/>
  <c r="I489" i="24" a="1"/>
  <c r="I489" i="24" s="1"/>
  <c r="I194" i="24" a="1"/>
  <c r="I194" i="24" s="1"/>
  <c r="I388" i="24" a="1"/>
  <c r="I388" i="24" s="1"/>
  <c r="I102" i="24" a="1"/>
  <c r="I102" i="24" s="1"/>
  <c r="I237" i="24" a="1"/>
  <c r="I237" i="24" s="1"/>
  <c r="I232" i="24" a="1"/>
  <c r="I232" i="24" s="1"/>
  <c r="GG232" i="24" s="1"/>
  <c r="I350" i="24" a="1"/>
  <c r="I350" i="24" s="1"/>
  <c r="I496" i="24" a="1"/>
  <c r="I496" i="24" s="1"/>
  <c r="I379" i="24" a="1"/>
  <c r="I379" i="24" s="1"/>
  <c r="I328" i="24" a="1"/>
  <c r="I328" i="24" s="1"/>
  <c r="I431" i="24" a="1"/>
  <c r="I431" i="24" s="1"/>
  <c r="I153" i="24" a="1"/>
  <c r="I153" i="24" s="1"/>
  <c r="I117" i="24" a="1"/>
  <c r="I117" i="24" s="1"/>
  <c r="I352" i="24" a="1"/>
  <c r="I352" i="24" s="1"/>
  <c r="I303" i="24" a="1"/>
  <c r="I303" i="24" s="1"/>
  <c r="I342" i="24" a="1"/>
  <c r="I342" i="24" s="1"/>
  <c r="I407" i="24" a="1"/>
  <c r="I407" i="24" s="1"/>
  <c r="GG407" i="24" s="1"/>
  <c r="I38" i="24" a="1"/>
  <c r="I38" i="24" s="1"/>
  <c r="I282" i="24" a="1"/>
  <c r="I282" i="24" s="1"/>
  <c r="I214" i="24" a="1"/>
  <c r="I214" i="24" s="1"/>
  <c r="I504" i="24" a="1"/>
  <c r="I504" i="24" s="1"/>
  <c r="I484" i="24" a="1"/>
  <c r="I484" i="24" s="1"/>
  <c r="I19" i="24" a="1"/>
  <c r="I19" i="24" s="1"/>
  <c r="I234" i="24" a="1"/>
  <c r="I234" i="24" s="1"/>
  <c r="I468" i="24" a="1"/>
  <c r="I468" i="24" s="1"/>
  <c r="I155" i="24" a="1"/>
  <c r="I155" i="24" s="1"/>
  <c r="I14" i="24" a="1"/>
  <c r="I14" i="24" s="1"/>
  <c r="I181" i="24" a="1"/>
  <c r="I181" i="24" s="1"/>
  <c r="I118" i="24" a="1"/>
  <c r="I118" i="24" s="1"/>
  <c r="I362" i="24" a="1"/>
  <c r="I362" i="24" s="1"/>
  <c r="I216" i="24" a="1"/>
  <c r="I216" i="24" s="1"/>
  <c r="I389" i="24" a="1"/>
  <c r="I389" i="24" s="1"/>
  <c r="I483" i="24" a="1"/>
  <c r="I483" i="24" s="1"/>
  <c r="I481" i="24" a="1"/>
  <c r="I481" i="24" s="1"/>
  <c r="I59" i="24" a="1"/>
  <c r="I59" i="24" s="1"/>
  <c r="I10" i="24" a="1"/>
  <c r="I10" i="24" s="1"/>
  <c r="I410" i="24" a="1"/>
  <c r="I410" i="24" s="1"/>
  <c r="I314" i="24" a="1"/>
  <c r="I314" i="24" s="1"/>
  <c r="I376" i="24" a="1"/>
  <c r="I376" i="24" s="1"/>
  <c r="I105" i="24" a="1"/>
  <c r="I105" i="24" s="1"/>
  <c r="I262" i="24" a="1"/>
  <c r="I262" i="24" s="1"/>
  <c r="I316" i="24" a="1"/>
  <c r="I316" i="24" s="1"/>
  <c r="I299" i="24" a="1"/>
  <c r="I299" i="24" s="1"/>
  <c r="I430" i="24" a="1"/>
  <c r="I430" i="24" s="1"/>
  <c r="I156" i="24" a="1"/>
  <c r="I156" i="24" s="1"/>
  <c r="I221" i="24" a="1"/>
  <c r="I221" i="24" s="1"/>
  <c r="I490" i="24" a="1"/>
  <c r="I490" i="24" s="1"/>
  <c r="I195" i="24" a="1"/>
  <c r="I195" i="24" s="1"/>
  <c r="I322" i="24" a="1"/>
  <c r="I322" i="24" s="1"/>
  <c r="I465" i="24" a="1"/>
  <c r="I465" i="24" s="1"/>
  <c r="I32" i="24" a="1"/>
  <c r="I32" i="24" s="1"/>
  <c r="I13" i="24" a="1"/>
  <c r="I13" i="24" s="1"/>
  <c r="I50" i="24" a="1"/>
  <c r="I50" i="24" s="1"/>
  <c r="I256" i="24" a="1"/>
  <c r="I256" i="24" s="1"/>
  <c r="I298" i="24" a="1"/>
  <c r="I298" i="24" s="1"/>
  <c r="I359" i="24" a="1"/>
  <c r="I359" i="24" s="1"/>
  <c r="I257" i="24" a="1"/>
  <c r="I257" i="24" s="1"/>
  <c r="I311" i="24" a="1"/>
  <c r="I311" i="24" s="1"/>
  <c r="I381" i="24" a="1"/>
  <c r="I381" i="24" s="1"/>
  <c r="I385" i="24" a="1"/>
  <c r="I385" i="24" s="1"/>
  <c r="I35" i="24" a="1"/>
  <c r="I35" i="24" s="1"/>
  <c r="I251" i="24" a="1"/>
  <c r="I251" i="24" s="1"/>
  <c r="I296" i="24" a="1"/>
  <c r="I296" i="24" s="1"/>
  <c r="I107" i="24" a="1"/>
  <c r="I107" i="24" s="1"/>
  <c r="I173" i="24" a="1"/>
  <c r="I173" i="24" s="1"/>
  <c r="I370" i="24" a="1"/>
  <c r="I370" i="24" s="1"/>
  <c r="I345" i="24" a="1"/>
  <c r="I345" i="24" s="1"/>
  <c r="I51" i="24" a="1"/>
  <c r="I51" i="24" s="1"/>
  <c r="I197" i="24" a="1"/>
  <c r="I197" i="24" s="1"/>
  <c r="I505" i="24" a="1"/>
  <c r="I505" i="24" s="1"/>
  <c r="I336" i="24" a="1"/>
  <c r="I336" i="24" s="1"/>
  <c r="I62" i="24" a="1"/>
  <c r="I62" i="24" s="1"/>
  <c r="I422" i="24" a="1"/>
  <c r="I422" i="24" s="1"/>
  <c r="I475" i="24" a="1"/>
  <c r="I475" i="24" s="1"/>
  <c r="I177" i="24" a="1"/>
  <c r="I177" i="24" s="1"/>
  <c r="I258" i="24" a="1"/>
  <c r="I258" i="24" s="1"/>
  <c r="I172" i="24" a="1"/>
  <c r="I172" i="24" s="1"/>
  <c r="I244" i="24" a="1"/>
  <c r="I244" i="24" s="1"/>
  <c r="I294" i="24" a="1"/>
  <c r="I294" i="24" s="1"/>
  <c r="I367" i="24" a="1"/>
  <c r="I367" i="24" s="1"/>
  <c r="I472" i="24" a="1"/>
  <c r="I472" i="24" s="1"/>
  <c r="I33" i="24" a="1"/>
  <c r="I33" i="24" s="1"/>
  <c r="I391" i="24" a="1"/>
  <c r="I391" i="24" s="1"/>
  <c r="I374" i="24" a="1"/>
  <c r="I374" i="24" s="1"/>
  <c r="I235" i="24" a="1"/>
  <c r="I235" i="24" s="1"/>
  <c r="I34" i="24" a="1"/>
  <c r="I34" i="24" s="1"/>
  <c r="I281" i="24" a="1"/>
  <c r="I281" i="24" s="1"/>
  <c r="I83" i="24" a="1"/>
  <c r="I83" i="24" s="1"/>
  <c r="I507" i="24" a="1"/>
  <c r="I507" i="24" s="1"/>
  <c r="I157" i="24" a="1"/>
  <c r="I157" i="24" s="1"/>
  <c r="I290" i="24" a="1"/>
  <c r="I290" i="24" s="1"/>
  <c r="I337" i="24" a="1"/>
  <c r="I337" i="24" s="1"/>
  <c r="I104" i="24" a="1"/>
  <c r="I104" i="24" s="1"/>
  <c r="I45" i="24" a="1"/>
  <c r="I45" i="24" s="1"/>
  <c r="I355" i="24" a="1"/>
  <c r="I355" i="24" s="1"/>
  <c r="I223" i="24" a="1"/>
  <c r="I223" i="24" s="1"/>
  <c r="I329" i="24" a="1"/>
  <c r="I329" i="24" s="1"/>
  <c r="I110" i="24" a="1"/>
  <c r="I110" i="24" s="1"/>
  <c r="I300" i="24" a="1"/>
  <c r="I300" i="24" s="1"/>
  <c r="I224" i="24" a="1"/>
  <c r="I224" i="24" s="1"/>
  <c r="I273" i="24" a="1"/>
  <c r="I273" i="24" s="1"/>
  <c r="I399" i="24" a="1"/>
  <c r="I399" i="24" s="1"/>
  <c r="I488" i="24" a="1"/>
  <c r="I488" i="24" s="1"/>
  <c r="I66" i="24" a="1"/>
  <c r="I66" i="24" s="1"/>
  <c r="I218" i="24" a="1"/>
  <c r="I218" i="24" s="1"/>
  <c r="I147" i="24" a="1"/>
  <c r="I147" i="24" s="1"/>
  <c r="I7" i="24" a="1"/>
  <c r="I7" i="24" s="1"/>
  <c r="I392" i="24" a="1"/>
  <c r="I392" i="24" s="1"/>
  <c r="I15" i="24" a="1"/>
  <c r="I15" i="24" s="1"/>
  <c r="I317" i="24" a="1"/>
  <c r="I317" i="24" s="1"/>
  <c r="I178" i="24" a="1"/>
  <c r="I178" i="24" s="1"/>
  <c r="I495" i="24" a="1"/>
  <c r="I495" i="24" s="1"/>
  <c r="I259" i="24" a="1"/>
  <c r="I259" i="24" s="1"/>
  <c r="I305" i="24" a="1"/>
  <c r="I305" i="24" s="1"/>
  <c r="I245" i="24" a="1"/>
  <c r="I245" i="24" s="1"/>
  <c r="I100" i="24" a="1"/>
  <c r="I100" i="24" s="1"/>
  <c r="GG100" i="24" s="1"/>
  <c r="I21" i="24" a="1"/>
  <c r="I21" i="24" s="1"/>
  <c r="I65" i="24" a="1"/>
  <c r="I65" i="24" s="1"/>
  <c r="I406" i="24" a="1"/>
  <c r="I406" i="24" s="1"/>
  <c r="I387" i="24" a="1"/>
  <c r="I387" i="24" s="1"/>
  <c r="I248" i="24" a="1"/>
  <c r="I248" i="24" s="1"/>
  <c r="I432" i="24" a="1"/>
  <c r="I432" i="24" s="1"/>
  <c r="I418" i="24" a="1"/>
  <c r="I418" i="24" s="1"/>
  <c r="GG418" i="24" s="1"/>
  <c r="I276" i="24" a="1"/>
  <c r="I276" i="24" s="1"/>
  <c r="I116" i="24" a="1"/>
  <c r="I116" i="24" s="1"/>
  <c r="I162" i="24" a="1"/>
  <c r="I162" i="24" s="1"/>
  <c r="I502" i="24" a="1"/>
  <c r="I502" i="24" s="1"/>
  <c r="I212" i="24" a="1"/>
  <c r="I212" i="24" s="1"/>
  <c r="I334" i="24" a="1"/>
  <c r="I334" i="24" s="1"/>
  <c r="I477" i="24" a="1"/>
  <c r="I477" i="24" s="1"/>
  <c r="I108" i="24" a="1"/>
  <c r="I108" i="24" s="1"/>
  <c r="I64" i="24" a="1"/>
  <c r="I64" i="24" s="1"/>
  <c r="I395" i="24" a="1"/>
  <c r="I395" i="24" s="1"/>
  <c r="I493" i="24" a="1"/>
  <c r="I493" i="24" s="1"/>
  <c r="I198" i="24" a="1"/>
  <c r="I198" i="24" s="1"/>
  <c r="I320" i="24" a="1"/>
  <c r="I320" i="24" s="1"/>
  <c r="I97" i="24" a="1"/>
  <c r="I97" i="24" s="1"/>
  <c r="GG97" i="24" s="1"/>
  <c r="I213" i="24" a="1"/>
  <c r="I213" i="24" s="1"/>
  <c r="I236" i="24" a="1"/>
  <c r="I236" i="24" s="1"/>
  <c r="I287" i="24" a="1"/>
  <c r="I287" i="24" s="1"/>
  <c r="I354" i="24" a="1"/>
  <c r="I354" i="24" s="1"/>
  <c r="I500" i="24" a="1"/>
  <c r="I500" i="24" s="1"/>
  <c r="I250" i="24" a="1"/>
  <c r="I250" i="24" s="1"/>
  <c r="I9" i="24" a="1"/>
  <c r="I9" i="24" s="1"/>
  <c r="I42" i="24" a="1"/>
  <c r="I42" i="24" s="1"/>
  <c r="I478" i="24" a="1"/>
  <c r="I478" i="24" s="1"/>
  <c r="I260" i="24" a="1"/>
  <c r="I260" i="24" s="1"/>
  <c r="I306" i="24" a="1"/>
  <c r="I306" i="24" s="1"/>
  <c r="I365" i="24" a="1"/>
  <c r="I365" i="24" s="1"/>
  <c r="I44" i="24" a="1"/>
  <c r="I44" i="24" s="1"/>
  <c r="I327" i="24" a="1"/>
  <c r="I327" i="24" s="1"/>
  <c r="I184" i="24" a="1"/>
  <c r="I184" i="24" s="1"/>
  <c r="I20" i="24" a="1"/>
  <c r="I20" i="24" s="1"/>
  <c r="I482" i="24" a="1"/>
  <c r="I482" i="24" s="1"/>
  <c r="I185" i="24" a="1"/>
  <c r="I185" i="24" s="1"/>
  <c r="I433" i="24" a="1"/>
  <c r="I433" i="24" s="1"/>
  <c r="I255" i="24" a="1"/>
  <c r="I255" i="24" s="1"/>
  <c r="I103" i="24" a="1"/>
  <c r="I103" i="24" s="1"/>
  <c r="I179" i="24" a="1"/>
  <c r="I179" i="24" s="1"/>
  <c r="I506" i="24" a="1"/>
  <c r="I506" i="24" s="1"/>
  <c r="I321" i="24" a="1"/>
  <c r="I321" i="24" s="1"/>
  <c r="I47" i="24" a="1"/>
  <c r="I47" i="24" s="1"/>
  <c r="I238" i="24" a="1"/>
  <c r="I238" i="24" s="1"/>
  <c r="I278" i="24" a="1"/>
  <c r="I278" i="24" s="1"/>
  <c r="I119" i="24" a="1"/>
  <c r="I119" i="24" s="1"/>
  <c r="I411" i="24" a="1"/>
  <c r="I411" i="24" s="1"/>
  <c r="I424" i="24" a="1"/>
  <c r="I424" i="24" s="1"/>
  <c r="I27" i="24" a="1"/>
  <c r="I27" i="24" s="1"/>
  <c r="I226" i="24" a="1"/>
  <c r="I226" i="24" s="1"/>
  <c r="GG226" i="24" s="1"/>
  <c r="I8" i="24" a="1"/>
  <c r="I8" i="24" s="1"/>
  <c r="I52" i="24" a="1"/>
  <c r="I52" i="24" s="1"/>
  <c r="I215" i="24" a="1"/>
  <c r="I215" i="24" s="1"/>
  <c r="I25" i="24" a="1"/>
  <c r="I25" i="24" s="1"/>
  <c r="I401" i="24" a="1"/>
  <c r="I401" i="24" s="1"/>
  <c r="I382" i="24" a="1"/>
  <c r="I382" i="24" s="1"/>
  <c r="I243" i="24" a="1"/>
  <c r="I243" i="24" s="1"/>
  <c r="I383" i="24" a="1"/>
  <c r="I383" i="24" s="1"/>
  <c r="I471" i="24" a="1"/>
  <c r="I471" i="24" s="1"/>
  <c r="I171" i="24" a="1"/>
  <c r="I171" i="24" s="1"/>
  <c r="I346" i="24" a="1"/>
  <c r="I346" i="24" s="1"/>
  <c r="I420" i="24" a="1"/>
  <c r="I420" i="24" s="1"/>
  <c r="GG420" i="24" s="1"/>
  <c r="I101" i="24" a="1"/>
  <c r="I101" i="24" s="1"/>
  <c r="GG101" i="24" s="1"/>
  <c r="I229" i="24" a="1"/>
  <c r="I229" i="24" s="1"/>
  <c r="GG229" i="24" s="1"/>
  <c r="I200" i="24" a="1"/>
  <c r="I200" i="24" s="1"/>
  <c r="I415" i="24" a="1"/>
  <c r="I415" i="24" s="1"/>
  <c r="I494" i="24" a="1"/>
  <c r="I494" i="24" s="1"/>
  <c r="I199" i="24" a="1"/>
  <c r="I199" i="24" s="1"/>
  <c r="I326" i="24" a="1"/>
  <c r="I326" i="24" s="1"/>
  <c r="I469" i="24" a="1"/>
  <c r="I469" i="24" s="1"/>
  <c r="I67" i="24" a="1"/>
  <c r="I67" i="24" s="1"/>
  <c r="I41" i="24" a="1"/>
  <c r="I41" i="24" s="1"/>
  <c r="I361" i="24" a="1"/>
  <c r="I361" i="24" s="1"/>
  <c r="I227" i="24" a="1"/>
  <c r="I227" i="24" s="1"/>
  <c r="GG227" i="24" s="1"/>
  <c r="I333" i="24" a="1"/>
  <c r="I333" i="24" s="1"/>
  <c r="I113" i="24" a="1"/>
  <c r="I113" i="24" s="1"/>
  <c r="I324" i="24" a="1"/>
  <c r="I324" i="24" s="1"/>
  <c r="I308" i="24" a="1"/>
  <c r="I308" i="24" s="1"/>
  <c r="I291" i="24" a="1"/>
  <c r="I291" i="24" s="1"/>
  <c r="I343" i="24" a="1"/>
  <c r="I343" i="24" s="1"/>
  <c r="I421" i="24" a="1"/>
  <c r="I421" i="24" s="1"/>
  <c r="I356" i="24" a="1"/>
  <c r="I356" i="24" s="1"/>
  <c r="I426" i="24" a="1"/>
  <c r="I426" i="24" s="1"/>
  <c r="I283" i="24" a="1"/>
  <c r="I283" i="24" s="1"/>
  <c r="I222" i="24" a="1"/>
  <c r="I222" i="24" s="1"/>
  <c r="I397" i="24" a="1"/>
  <c r="I397" i="24" s="1"/>
  <c r="I11" i="24" a="1"/>
  <c r="I11" i="24" s="1"/>
  <c r="I275" i="24" a="1"/>
  <c r="I275" i="24" s="1"/>
  <c r="I158" i="24" a="1"/>
  <c r="I158" i="24" s="1"/>
  <c r="I203" i="24" a="1"/>
  <c r="I203" i="24" s="1"/>
  <c r="I340" i="24" a="1"/>
  <c r="I340" i="24" s="1"/>
  <c r="I58" i="24" a="1"/>
  <c r="I58" i="24" s="1"/>
  <c r="I187" i="24" a="1"/>
  <c r="I187" i="24" s="1"/>
  <c r="I274" i="24" a="1"/>
  <c r="I274" i="24" s="1"/>
  <c r="I112" i="24" a="1"/>
  <c r="I112" i="24" s="1"/>
  <c r="I166" i="24" a="1"/>
  <c r="I166" i="24" s="1"/>
  <c r="I470" i="24" a="1"/>
  <c r="I470" i="24" s="1"/>
  <c r="I174" i="24" a="1"/>
  <c r="I174" i="24" s="1"/>
  <c r="I40" i="24" a="1"/>
  <c r="I40" i="24" s="1"/>
  <c r="I56" i="24" a="1"/>
  <c r="I56" i="24" s="1"/>
  <c r="I405" i="24" a="1"/>
  <c r="I405" i="24" s="1"/>
  <c r="I501" i="24" a="1"/>
  <c r="I501" i="24" s="1"/>
  <c r="I211" i="24" a="1"/>
  <c r="I211" i="24" s="1"/>
  <c r="I28" i="24" a="1"/>
  <c r="I28" i="24" s="1"/>
  <c r="I487" i="24" a="1"/>
  <c r="I487" i="24" s="1"/>
  <c r="I414" i="24" a="1"/>
  <c r="I414" i="24" s="1"/>
  <c r="I318" i="24" a="1"/>
  <c r="I318" i="24" s="1"/>
  <c r="I380" i="24" a="1"/>
  <c r="I380" i="24" s="1"/>
  <c r="I18" i="24" a="1"/>
  <c r="I18" i="24" s="1"/>
  <c r="I288" i="24" a="1"/>
  <c r="I288" i="24" s="1"/>
  <c r="I476" i="24" a="1"/>
  <c r="I476" i="24" s="1"/>
  <c r="I267" i="24" a="1"/>
  <c r="I267" i="24" s="1"/>
  <c r="I479" i="24" a="1"/>
  <c r="I479" i="24" s="1"/>
  <c r="I463" i="24" a="1"/>
  <c r="I463" i="24" s="1"/>
  <c r="I161" i="24" a="1"/>
  <c r="I161" i="24" s="1"/>
  <c r="I341" i="24" a="1"/>
  <c r="I341" i="24" s="1"/>
  <c r="I412" i="24" a="1"/>
  <c r="I412" i="24" s="1"/>
  <c r="I12" i="24" a="1"/>
  <c r="I12" i="24" s="1"/>
  <c r="I344" i="24" a="1"/>
  <c r="I344" i="24" s="1"/>
  <c r="I331" i="24" a="1"/>
  <c r="I331" i="24" s="1"/>
  <c r="I485" i="24" a="1"/>
  <c r="I485" i="24" s="1"/>
  <c r="I188" i="24" a="1"/>
  <c r="I188" i="24" s="1"/>
  <c r="I301" i="24" a="1"/>
  <c r="I301" i="24" s="1"/>
  <c r="I69" i="24" a="1"/>
  <c r="I69" i="24" s="1"/>
  <c r="I270" i="24" a="1"/>
  <c r="I270" i="24" s="1"/>
  <c r="I261" i="24" a="1"/>
  <c r="I261" i="24" s="1"/>
  <c r="I315" i="24" a="1"/>
  <c r="I315" i="24" s="1"/>
  <c r="I386" i="24" a="1"/>
  <c r="I386" i="24" s="1"/>
  <c r="I63" i="24" a="1"/>
  <c r="I63" i="24" s="1"/>
  <c r="I17" i="24" a="1"/>
  <c r="I17" i="24" s="1"/>
  <c r="I61" i="24" a="1"/>
  <c r="I61" i="24" s="1"/>
  <c r="I252" i="24" a="1"/>
  <c r="I252" i="24" s="1"/>
  <c r="I293" i="24" a="1"/>
  <c r="I293" i="24" s="1"/>
  <c r="I353" i="24" a="1"/>
  <c r="I353" i="24" s="1"/>
  <c r="I183" i="24" a="1"/>
  <c r="I183" i="24" s="1"/>
  <c r="I43" i="24" a="1"/>
  <c r="I43" i="24" s="1"/>
  <c r="I242" i="24" a="1"/>
  <c r="I242" i="24" s="1"/>
  <c r="I285" i="24" a="1"/>
  <c r="I285" i="24" s="1"/>
  <c r="I115" i="24" a="1"/>
  <c r="I115" i="24" s="1"/>
  <c r="I375" i="24" a="1"/>
  <c r="I375" i="24" s="1"/>
  <c r="I163" i="24" a="1"/>
  <c r="I163" i="24" s="1"/>
  <c r="I464" i="24" a="1"/>
  <c r="I464" i="24" s="1"/>
  <c r="I428" i="24" a="1"/>
  <c r="I428" i="24" s="1"/>
  <c r="I23" i="24" a="1"/>
  <c r="I23" i="24" s="1"/>
  <c r="I263" i="24" a="1"/>
  <c r="I263" i="24" s="1"/>
  <c r="I309" i="24" a="1"/>
  <c r="I309" i="24" s="1"/>
  <c r="I217" i="24" a="1"/>
  <c r="I217" i="24" s="1"/>
  <c r="I30" i="24" a="1"/>
  <c r="I30" i="24" s="1"/>
  <c r="I31" i="24" a="1"/>
  <c r="I31" i="24" s="1"/>
  <c r="I122" i="24" a="1"/>
  <c r="I122" i="24" s="1"/>
  <c r="I284" i="24" a="1"/>
  <c r="I284" i="24" s="1"/>
  <c r="I338" i="24" a="1"/>
  <c r="I338" i="24" s="1"/>
  <c r="I413" i="24" a="1"/>
  <c r="I413" i="24" s="1"/>
  <c r="I16" i="24" a="1"/>
  <c r="I16" i="24" s="1"/>
  <c r="I186" i="24" a="1"/>
  <c r="I186" i="24" s="1"/>
  <c r="I466" i="24" a="1"/>
  <c r="I466" i="24" s="1"/>
  <c r="I170" i="24" a="1"/>
  <c r="I170" i="24" s="1"/>
  <c r="I491" i="24" a="1"/>
  <c r="I491" i="24" s="1"/>
  <c r="I29" i="24" a="1"/>
  <c r="I29" i="24" s="1"/>
  <c r="I396" i="24" a="1"/>
  <c r="I396" i="24" s="1"/>
  <c r="I378" i="24" a="1"/>
  <c r="I378" i="24" s="1"/>
  <c r="I239" i="24" a="1"/>
  <c r="I239" i="24" s="1"/>
  <c r="I279" i="24" a="1"/>
  <c r="I279" i="24" s="1"/>
  <c r="I190" i="24" a="1"/>
  <c r="I190" i="24" s="1"/>
  <c r="I240" i="24" a="1"/>
  <c r="I240" i="24" s="1"/>
  <c r="I360" i="24" a="1"/>
  <c r="I360" i="24" s="1"/>
  <c r="I26" i="24" a="1"/>
  <c r="I26" i="24" s="1"/>
  <c r="I265" i="24" a="1"/>
  <c r="I265" i="24" s="1"/>
  <c r="I310" i="24" a="1"/>
  <c r="I310" i="24" s="1"/>
  <c r="I371" i="24" a="1"/>
  <c r="I371" i="24" s="1"/>
  <c r="I109" i="24" a="1"/>
  <c r="I109" i="24" s="1"/>
  <c r="I292" i="24" a="1"/>
  <c r="I292" i="24" s="1"/>
  <c r="I312" i="24" a="1"/>
  <c r="I312" i="24" s="1"/>
  <c r="I347" i="24" a="1"/>
  <c r="I347" i="24" s="1"/>
  <c r="I425" i="24" a="1"/>
  <c r="I425" i="24" s="1"/>
  <c r="I152" i="24" a="1"/>
  <c r="I152" i="24" s="1"/>
  <c r="I24" i="24" a="1"/>
  <c r="I24" i="24" s="1"/>
  <c r="I423" i="24" a="1"/>
  <c r="I423" i="24" s="1"/>
  <c r="I106" i="24" a="1"/>
  <c r="I106" i="24" s="1"/>
  <c r="I228" i="24" a="1"/>
  <c r="I228" i="24" s="1"/>
  <c r="GG228" i="24" s="1"/>
  <c r="I280" i="24" a="1"/>
  <c r="I280" i="24" s="1"/>
  <c r="I403" i="24" a="1"/>
  <c r="I403" i="24" s="1"/>
  <c r="I492" i="24" a="1"/>
  <c r="I492" i="24" s="1"/>
  <c r="I49" i="24" a="1"/>
  <c r="I49" i="24" s="1"/>
  <c r="I351" i="24" a="1"/>
  <c r="I351" i="24" s="1"/>
  <c r="I219" i="24" a="1"/>
  <c r="I219" i="24" s="1"/>
  <c r="I325" i="24" a="1"/>
  <c r="I325" i="24" s="1"/>
  <c r="I46" i="24" a="1"/>
  <c r="I46" i="24" s="1"/>
  <c r="I402" i="24" a="1"/>
  <c r="I402" i="24" s="1"/>
  <c r="I53" i="24" a="1"/>
  <c r="I53" i="24" s="1"/>
  <c r="I148" i="24" a="1"/>
  <c r="I148" i="24" s="1"/>
  <c r="I210" i="24" a="1"/>
  <c r="I210" i="24" s="1"/>
  <c r="I480" i="24" a="1"/>
  <c r="I480" i="24" s="1"/>
  <c r="I54" i="24" a="1"/>
  <c r="I54" i="24" s="1"/>
  <c r="I230" i="24" a="1"/>
  <c r="I230" i="24" s="1"/>
  <c r="GG230" i="24" s="1"/>
  <c r="I271" i="24" a="1"/>
  <c r="I271" i="24" s="1"/>
  <c r="I499" i="24" a="1"/>
  <c r="I499" i="24" s="1"/>
  <c r="I22" i="24" a="1"/>
  <c r="I22" i="24" s="1"/>
  <c r="AC13" i="20"/>
  <c r="AC12" i="20"/>
  <c r="AC11" i="20"/>
  <c r="AC10" i="20"/>
  <c r="AC9" i="20"/>
  <c r="AC8" i="20"/>
  <c r="AC7" i="20"/>
  <c r="AC6" i="20"/>
  <c r="BT378" i="3" l="1"/>
  <c r="BT377" i="3"/>
  <c r="GG409" i="24"/>
  <c r="GG160" i="24"/>
  <c r="GG246" i="24"/>
  <c r="GG112" i="24"/>
  <c r="GG111" i="24"/>
  <c r="GG191" i="24"/>
  <c r="GG264" i="24"/>
  <c r="GG83" i="24"/>
  <c r="GG369" i="24"/>
  <c r="GG357" i="24"/>
  <c r="GG175" i="24"/>
  <c r="GG363" i="24"/>
  <c r="GG168" i="24"/>
  <c r="GG364" i="24"/>
  <c r="GG159" i="24"/>
  <c r="GG404" i="24"/>
  <c r="GG169" i="24"/>
  <c r="GG207" i="24"/>
  <c r="GG176" i="24"/>
  <c r="GG372" i="24"/>
  <c r="BL506" i="3"/>
  <c r="BU506" i="3" s="1"/>
  <c r="BU503" i="3"/>
  <c r="BU502" i="3"/>
  <c r="BU501" i="3"/>
  <c r="BU500" i="3"/>
  <c r="BU491" i="3"/>
  <c r="BU490" i="3"/>
  <c r="BU489" i="3"/>
  <c r="BU488" i="3"/>
  <c r="BU481" i="3"/>
  <c r="BU480" i="3"/>
  <c r="BU479" i="3"/>
  <c r="BU478" i="3"/>
  <c r="BU477" i="3"/>
  <c r="BU476" i="3"/>
  <c r="BU475" i="3"/>
  <c r="BU474" i="3"/>
  <c r="BU473" i="3"/>
  <c r="BU472" i="3"/>
  <c r="BU471" i="3"/>
  <c r="BU470" i="3"/>
  <c r="BU469" i="3"/>
  <c r="BU468" i="3"/>
  <c r="BU467" i="3"/>
  <c r="BU462" i="3"/>
  <c r="BU461" i="3"/>
  <c r="BU434" i="3"/>
  <c r="BU433" i="3"/>
  <c r="BU432" i="3"/>
  <c r="BU431" i="3"/>
  <c r="BU430" i="3"/>
  <c r="BU428" i="3"/>
  <c r="BU427" i="3"/>
  <c r="BU426" i="3"/>
  <c r="BU425" i="3"/>
  <c r="BU424" i="3"/>
  <c r="BU423" i="3"/>
  <c r="BU422" i="3"/>
  <c r="BU421" i="3"/>
  <c r="BU419" i="3"/>
  <c r="BU416" i="3"/>
  <c r="BU415" i="3"/>
  <c r="BU414" i="3"/>
  <c r="BU413" i="3"/>
  <c r="BU412" i="3"/>
  <c r="BU411" i="3"/>
  <c r="BU410" i="3"/>
  <c r="BU409" i="3"/>
  <c r="BU406" i="3"/>
  <c r="BU405" i="3"/>
  <c r="BU403" i="3"/>
  <c r="BU402" i="3"/>
  <c r="BU401" i="3"/>
  <c r="BU400" i="3"/>
  <c r="BU399" i="3"/>
  <c r="BU396" i="3"/>
  <c r="BU395" i="3"/>
  <c r="BU394" i="3"/>
  <c r="BU392" i="3"/>
  <c r="BU391" i="3"/>
  <c r="BU390" i="3"/>
  <c r="BU389" i="3"/>
  <c r="BU388" i="3"/>
  <c r="BU387" i="3"/>
  <c r="BU386" i="3"/>
  <c r="BU385" i="3"/>
  <c r="BU374" i="3"/>
  <c r="BU383" i="3"/>
  <c r="BU382" i="3"/>
  <c r="BU381" i="3"/>
  <c r="BU380" i="3"/>
  <c r="BU379" i="3"/>
  <c r="BU378" i="3"/>
  <c r="BU377" i="3"/>
  <c r="BU376" i="3"/>
  <c r="BU375" i="3"/>
  <c r="BU371" i="3"/>
  <c r="BU370" i="3"/>
  <c r="BU368" i="3"/>
  <c r="BU367" i="3"/>
  <c r="BU362" i="3"/>
  <c r="BU361" i="3"/>
  <c r="BU360" i="3"/>
  <c r="BU359" i="3"/>
  <c r="BU356" i="3"/>
  <c r="BU355" i="3"/>
  <c r="BU354" i="3"/>
  <c r="BU353" i="3"/>
  <c r="BU352" i="3"/>
  <c r="BU351" i="3"/>
  <c r="BU350" i="3"/>
  <c r="BU349" i="3"/>
  <c r="BU348" i="3"/>
  <c r="BU346" i="3"/>
  <c r="BU345" i="3"/>
  <c r="BU344" i="3"/>
  <c r="BU343" i="3"/>
  <c r="BU342" i="3"/>
  <c r="BU341" i="3"/>
  <c r="BU340" i="3"/>
  <c r="BU339" i="3"/>
  <c r="BU338" i="3"/>
  <c r="BU337" i="3"/>
  <c r="BU336" i="3"/>
  <c r="BU335" i="3"/>
  <c r="BU334" i="3"/>
  <c r="BU333" i="3"/>
  <c r="BU332" i="3"/>
  <c r="BU331" i="3"/>
  <c r="BU330" i="3"/>
  <c r="BU329" i="3"/>
  <c r="BU328" i="3"/>
  <c r="BU327" i="3"/>
  <c r="BU326" i="3"/>
  <c r="BU325" i="3"/>
  <c r="BU317" i="3"/>
  <c r="BU321" i="3"/>
  <c r="BU319" i="3"/>
  <c r="BU318" i="3"/>
  <c r="BU314" i="3"/>
  <c r="BU313" i="3"/>
  <c r="BU312" i="3"/>
  <c r="BU311" i="3"/>
  <c r="BU310" i="3"/>
  <c r="BU309" i="3"/>
  <c r="BU308" i="3"/>
  <c r="BU307" i="3"/>
  <c r="BU306" i="3"/>
  <c r="BU305" i="3"/>
  <c r="BU302" i="3"/>
  <c r="BU301" i="3"/>
  <c r="BU300" i="3"/>
  <c r="BU299" i="3"/>
  <c r="BU298" i="3"/>
  <c r="BU295" i="3"/>
  <c r="BU294" i="3"/>
  <c r="BU293" i="3"/>
  <c r="BU292" i="3"/>
  <c r="BU291" i="3"/>
  <c r="BU290" i="3"/>
  <c r="BU288" i="3"/>
  <c r="BU287" i="3"/>
  <c r="BU286" i="3"/>
  <c r="BU285" i="3"/>
  <c r="BU283" i="3"/>
  <c r="BU282" i="3"/>
  <c r="BU281" i="3"/>
  <c r="BU280" i="3"/>
  <c r="BU279" i="3"/>
  <c r="BU278" i="3"/>
  <c r="BU277" i="3"/>
  <c r="BU273" i="3"/>
  <c r="BU276" i="3"/>
  <c r="BU272" i="3"/>
  <c r="BU271" i="3"/>
  <c r="BU270" i="3"/>
  <c r="BU269" i="3"/>
  <c r="BU268" i="3"/>
  <c r="BU256" i="3"/>
  <c r="BU267" i="3"/>
  <c r="BU266" i="3"/>
  <c r="BU263" i="3"/>
  <c r="BU262" i="3"/>
  <c r="BU261" i="3"/>
  <c r="BU260" i="3"/>
  <c r="BU254" i="3"/>
  <c r="BU253" i="3"/>
  <c r="BU252" i="3"/>
  <c r="BU251" i="3"/>
  <c r="BU250" i="3"/>
  <c r="BU249" i="3"/>
  <c r="BU247" i="3"/>
  <c r="BU245" i="3"/>
  <c r="BU244" i="3"/>
  <c r="BU243" i="3"/>
  <c r="BU242" i="3"/>
  <c r="BU241" i="3"/>
  <c r="BU240" i="3"/>
  <c r="BU239" i="3"/>
  <c r="BU238" i="3"/>
  <c r="BU237" i="3"/>
  <c r="BU224" i="3"/>
  <c r="BU220" i="3"/>
  <c r="BU217" i="3"/>
  <c r="BU213" i="3"/>
  <c r="BU211" i="3"/>
  <c r="BU216" i="3"/>
  <c r="BU215" i="3"/>
  <c r="BU212" i="3"/>
  <c r="BU210" i="3"/>
  <c r="BU223" i="3"/>
  <c r="BU190" i="3"/>
  <c r="BU199" i="3"/>
  <c r="BU198" i="3"/>
  <c r="BU197" i="3"/>
  <c r="BU196" i="3"/>
  <c r="BU195" i="3"/>
  <c r="BU194" i="3"/>
  <c r="BU193" i="3"/>
  <c r="BU189" i="3"/>
  <c r="BU188" i="3"/>
  <c r="BU187" i="3"/>
  <c r="BU186" i="3"/>
  <c r="BU185" i="3"/>
  <c r="BU184" i="3"/>
  <c r="BU183" i="3"/>
  <c r="BU206" i="3"/>
  <c r="BU205" i="3"/>
  <c r="BU204" i="3"/>
  <c r="BU203" i="3"/>
  <c r="BU182" i="3"/>
  <c r="BU181" i="3"/>
  <c r="BU180" i="3"/>
  <c r="BU179" i="3"/>
  <c r="BU178" i="3"/>
  <c r="BU177" i="3"/>
  <c r="BU174" i="3"/>
  <c r="BU173" i="3"/>
  <c r="BU172" i="3"/>
  <c r="BU171" i="3"/>
  <c r="BU170" i="3"/>
  <c r="BU167" i="3"/>
  <c r="BU166" i="3"/>
  <c r="BU165" i="3"/>
  <c r="BU164" i="3"/>
  <c r="BU163" i="3"/>
  <c r="BU162" i="3"/>
  <c r="BU161" i="3"/>
  <c r="BU158" i="3"/>
  <c r="BU157" i="3"/>
  <c r="BU156" i="3"/>
  <c r="BU155" i="3"/>
  <c r="BU154" i="3"/>
  <c r="BU153" i="3"/>
  <c r="BU152" i="3"/>
  <c r="BU151"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4" i="3" l="1"/>
  <c r="CC254"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4" i="3" l="1"/>
  <c r="CH234" i="3" s="1"/>
  <c r="DQ234" i="3"/>
  <c r="CG234" i="3" s="1"/>
  <c r="DP234" i="3"/>
  <c r="CF234" i="3" s="1"/>
  <c r="DO234" i="3"/>
  <c r="CE234" i="3" s="1"/>
  <c r="DN234" i="3"/>
  <c r="CD234" i="3" s="1"/>
  <c r="DM234" i="3"/>
  <c r="CC234" i="3" s="1"/>
  <c r="DL234" i="3"/>
  <c r="CB234" i="3" l="1"/>
  <c r="BN234" i="3"/>
  <c r="BX234" i="3"/>
  <c r="BW234" i="3"/>
  <c r="BZ234" i="3"/>
  <c r="CA234" i="3"/>
  <c r="BY234" i="3"/>
  <c r="BN235" i="3"/>
  <c r="BV234" i="3" l="1"/>
  <c r="BU234"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3" i="24" l="1"/>
  <c r="GG322" i="24"/>
  <c r="GG200" i="24"/>
  <c r="GG397" i="24"/>
  <c r="GG185" i="24"/>
  <c r="GG184" i="24"/>
  <c r="GG183" i="24"/>
  <c r="GG186" i="24"/>
  <c r="GG181" i="24"/>
  <c r="GG182" i="24"/>
  <c r="GG195" i="24"/>
  <c r="GG178" i="24"/>
  <c r="GG179" i="24"/>
  <c r="GG205" i="24"/>
  <c r="GG193" i="24"/>
  <c r="GG199" i="24"/>
  <c r="GG188" i="24"/>
  <c r="GG196" i="24"/>
  <c r="GG204" i="24"/>
  <c r="GG180" i="24"/>
  <c r="GG190" i="24"/>
  <c r="GG187" i="24"/>
  <c r="GG197" i="24"/>
  <c r="GG206" i="24"/>
  <c r="GG203" i="24"/>
  <c r="GG194" i="24"/>
  <c r="GG189" i="24"/>
  <c r="GG198"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2" i="24" l="1"/>
  <c r="GG163" i="24"/>
  <c r="GG65" i="24"/>
  <c r="GG330" i="24"/>
  <c r="GG156" i="24"/>
  <c r="GG293" i="24"/>
  <c r="GG405" i="24"/>
  <c r="GG255" i="24"/>
  <c r="GG106" i="24"/>
  <c r="GG13" i="24"/>
  <c r="GG23" i="24"/>
  <c r="GG33" i="24"/>
  <c r="GG377" i="24"/>
  <c r="GG350" i="24"/>
  <c r="GG309" i="24"/>
  <c r="GG325" i="24"/>
  <c r="GG300" i="24"/>
  <c r="GG262" i="24"/>
  <c r="GG390" i="24"/>
  <c r="GG388" i="24"/>
  <c r="GG282" i="24"/>
  <c r="GG173" i="24"/>
  <c r="GG261" i="24"/>
  <c r="GG155" i="24"/>
  <c r="GG422" i="24"/>
  <c r="GG413" i="24"/>
  <c r="GG283" i="24"/>
  <c r="GG360" i="24"/>
  <c r="GG34" i="24"/>
  <c r="GG54" i="24"/>
  <c r="GG375" i="24"/>
  <c r="GG354" i="24"/>
  <c r="GG302" i="24"/>
  <c r="GG318" i="24"/>
  <c r="GG223" i="24"/>
  <c r="GG51" i="24"/>
  <c r="GG294" i="24"/>
  <c r="GG245" i="24"/>
  <c r="GG299" i="24"/>
  <c r="GG122" i="24"/>
  <c r="GG272" i="24"/>
  <c r="GG284" i="24"/>
  <c r="GG58" i="24"/>
  <c r="GG219" i="24"/>
  <c r="GG249" i="24"/>
  <c r="GG32" i="24"/>
  <c r="GG278" i="24"/>
  <c r="GG427" i="24"/>
  <c r="GG421" i="24"/>
  <c r="GG434" i="24"/>
  <c r="GG45" i="24"/>
  <c r="GG19" i="24"/>
  <c r="GG431" i="24"/>
  <c r="GG166" i="24"/>
  <c r="GG116" i="24"/>
  <c r="GG151" i="24"/>
  <c r="GG428" i="24"/>
  <c r="GG306" i="24"/>
  <c r="GG346" i="24"/>
  <c r="GG368" i="24"/>
  <c r="GG342" i="24"/>
  <c r="GG331" i="24"/>
  <c r="GG211" i="24"/>
  <c r="GG158" i="24"/>
  <c r="GG329" i="24"/>
  <c r="GG25" i="24"/>
  <c r="GG18" i="24"/>
  <c r="GG290" i="24"/>
  <c r="GG41" i="24"/>
  <c r="GG177" i="24"/>
  <c r="GG337" i="24"/>
  <c r="GG269" i="24"/>
  <c r="GG210" i="24"/>
  <c r="GG313" i="24"/>
  <c r="GG426" i="24"/>
  <c r="GG11" i="24"/>
  <c r="GG239" i="24"/>
  <c r="GG235" i="24"/>
  <c r="GG351" i="24"/>
  <c r="GG280" i="24"/>
  <c r="GG267" i="24"/>
  <c r="GG276" i="24"/>
  <c r="GG109" i="24"/>
  <c r="GG48" i="24"/>
  <c r="GG7" i="24"/>
  <c r="GG214" i="24"/>
  <c r="GG260" i="24"/>
  <c r="GG362" i="24"/>
  <c r="GG254" i="24"/>
  <c r="GG367" i="24"/>
  <c r="GG401" i="24"/>
  <c r="GG396" i="24"/>
  <c r="GG275" i="24"/>
  <c r="GG258" i="24"/>
  <c r="GG63" i="24"/>
  <c r="GG394" i="24"/>
  <c r="GG213" i="24"/>
  <c r="GG174" i="24"/>
  <c r="GG67" i="24"/>
  <c r="GG399" i="24"/>
  <c r="GG389" i="24"/>
  <c r="GG415" i="24"/>
  <c r="GG244" i="24"/>
  <c r="GG379" i="24"/>
  <c r="GG36" i="24"/>
  <c r="GG212" i="24"/>
  <c r="GG38" i="24"/>
  <c r="GG334" i="24"/>
  <c r="GG148" i="24"/>
  <c r="GG62" i="24"/>
  <c r="GG374" i="24"/>
  <c r="GG247" i="24"/>
  <c r="GG115" i="24"/>
  <c r="GG12" i="24"/>
  <c r="GG242" i="24"/>
  <c r="GG311" i="24"/>
  <c r="GG161" i="24"/>
  <c r="GG391" i="24"/>
  <c r="GG298" i="24"/>
  <c r="GG392" i="24"/>
  <c r="GG251" i="24"/>
  <c r="GG386" i="24"/>
  <c r="GG42" i="24"/>
  <c r="GG170" i="24"/>
  <c r="GG301" i="24"/>
  <c r="GG324" i="24"/>
  <c r="GG110" i="24"/>
  <c r="GG46" i="24"/>
  <c r="GG257" i="24"/>
  <c r="GG361" i="24"/>
  <c r="GG266" i="24"/>
  <c r="GG263" i="24"/>
  <c r="GG250" i="24"/>
  <c r="GG215" i="24"/>
  <c r="GG59" i="24"/>
  <c r="GG153" i="24"/>
  <c r="GG28" i="24"/>
  <c r="GG21" i="24"/>
  <c r="GG327" i="24"/>
  <c r="GG256" i="24"/>
  <c r="GG26" i="24"/>
  <c r="GG338" i="24"/>
  <c r="GG432" i="24"/>
  <c r="GG118" i="24"/>
  <c r="GG31" i="24"/>
  <c r="GG373" i="24"/>
  <c r="GG382" i="24"/>
  <c r="GG341" i="24"/>
  <c r="GG152" i="24"/>
  <c r="GG378" i="24"/>
  <c r="GG154" i="24"/>
  <c r="GG403" i="24"/>
  <c r="GG279" i="24"/>
  <c r="GG15" i="24"/>
  <c r="GG44" i="24"/>
  <c r="GG314" i="24"/>
  <c r="GG253" i="24"/>
  <c r="GG24" i="24"/>
  <c r="GG17" i="24"/>
  <c r="GG308" i="24"/>
  <c r="GG381" i="24"/>
  <c r="GG16" i="24"/>
  <c r="GG344" i="24"/>
  <c r="GG43" i="24"/>
  <c r="GG225" i="24"/>
  <c r="GG108" i="24"/>
  <c r="GG47" i="24"/>
  <c r="GG435" i="24"/>
  <c r="GG218" i="24"/>
  <c r="GG339" i="24"/>
  <c r="GG220" i="24"/>
  <c r="GG8" i="24"/>
  <c r="GG162" i="24"/>
  <c r="GG387" i="24"/>
  <c r="GG271" i="24"/>
  <c r="GG371" i="24"/>
  <c r="GG335" i="24"/>
  <c r="GG307" i="24"/>
  <c r="GG380" i="24"/>
  <c r="GG123" i="24"/>
  <c r="GG53" i="24"/>
  <c r="GG105" i="24"/>
  <c r="GG425" i="24"/>
  <c r="GG288" i="24"/>
  <c r="GG64" i="24"/>
  <c r="GG430" i="24"/>
  <c r="GG113" i="24"/>
  <c r="GG172" i="24"/>
  <c r="GG326" i="24"/>
  <c r="GG316" i="24"/>
  <c r="GG30" i="24"/>
  <c r="GG343" i="24"/>
  <c r="GG352" i="24"/>
  <c r="GG287" i="24"/>
  <c r="GG365" i="24"/>
  <c r="GG321" i="24"/>
  <c r="GG39" i="24"/>
  <c r="GG433" i="24"/>
  <c r="GG150" i="24"/>
  <c r="GG400" i="24"/>
  <c r="GG40" i="24"/>
  <c r="GG315" i="24"/>
  <c r="GG117" i="24"/>
  <c r="GG296" i="24"/>
  <c r="GG57" i="24"/>
  <c r="GG49" i="24"/>
  <c r="GG248" i="24"/>
  <c r="GG348" i="24"/>
  <c r="GG237" i="24"/>
  <c r="GG291" i="24"/>
  <c r="GG149" i="24"/>
  <c r="GG402" i="24"/>
  <c r="GG285" i="24"/>
  <c r="GG37" i="24"/>
  <c r="GG356" i="24"/>
  <c r="GG252" i="24"/>
  <c r="GG424" i="24"/>
  <c r="GG383" i="24"/>
  <c r="GG216" i="24"/>
  <c r="GG171" i="24"/>
  <c r="GG265" i="24"/>
  <c r="GG29" i="24"/>
  <c r="GG165" i="24"/>
  <c r="GG147" i="24"/>
  <c r="GG107" i="24"/>
  <c r="GG328" i="24"/>
  <c r="GG238" i="24"/>
  <c r="GG27" i="24"/>
  <c r="GG240" i="24"/>
  <c r="GG236" i="24"/>
  <c r="GG370" i="24"/>
  <c r="GG104" i="24"/>
  <c r="GG395" i="24"/>
  <c r="GG410" i="24"/>
  <c r="GG333" i="24"/>
  <c r="GG281" i="24"/>
  <c r="GG340" i="24"/>
  <c r="GG14" i="24"/>
  <c r="GG52" i="24"/>
  <c r="GG102" i="24"/>
  <c r="GG353" i="24"/>
  <c r="GG347" i="24"/>
  <c r="GG289" i="24"/>
  <c r="GG61" i="24"/>
  <c r="GG50" i="24"/>
  <c r="GG69" i="24"/>
  <c r="GG221" i="24"/>
  <c r="GG222" i="24"/>
  <c r="GG259" i="24"/>
  <c r="GG336" i="24"/>
  <c r="GG312" i="24"/>
  <c r="GG243" i="24"/>
  <c r="GG355" i="24"/>
  <c r="GG320" i="24"/>
  <c r="GG385" i="24"/>
  <c r="GG303" i="24"/>
  <c r="GG217" i="24"/>
  <c r="GG292" i="24"/>
  <c r="GG10" i="24"/>
  <c r="GG114" i="24"/>
  <c r="GG414" i="24"/>
  <c r="GG286" i="24"/>
  <c r="GG310" i="24"/>
  <c r="GG9" i="24"/>
  <c r="GG270" i="24"/>
  <c r="GG22" i="24"/>
  <c r="GG241" i="24"/>
  <c r="GG55" i="24"/>
  <c r="GG103" i="24"/>
  <c r="GG295" i="24"/>
  <c r="GG224" i="24"/>
  <c r="GG119" i="24"/>
  <c r="GG167" i="24"/>
  <c r="GG376" i="24"/>
  <c r="GG406" i="24"/>
  <c r="GG157" i="24"/>
  <c r="GG277" i="24"/>
  <c r="GG317" i="24"/>
  <c r="GG423" i="24"/>
  <c r="GG164" i="24"/>
  <c r="GG345" i="24"/>
  <c r="GG20" i="24"/>
  <c r="GG146" i="24"/>
  <c r="GG268" i="24"/>
  <c r="GG349" i="24"/>
  <c r="GG66" i="24"/>
  <c r="GG56" i="24"/>
  <c r="GG305" i="24"/>
  <c r="GG412" i="24"/>
  <c r="GG319" i="24"/>
  <c r="GG411" i="24"/>
  <c r="GG359" i="24"/>
  <c r="GG273" i="24"/>
  <c r="GG274" i="24"/>
  <c r="GG60" i="24"/>
  <c r="GG68" i="24"/>
  <c r="GG234" i="24"/>
  <c r="GG35" i="24"/>
  <c r="DG266" i="24"/>
  <c r="DF265"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0" i="3"/>
  <c r="CC190" i="3"/>
  <c r="CD190" i="3"/>
  <c r="CE190" i="3"/>
  <c r="DL223" i="3"/>
  <c r="CB223" i="3" s="1"/>
  <c r="DM223" i="3"/>
  <c r="CC223" i="3" s="1"/>
  <c r="DN223" i="3"/>
  <c r="CD223" i="3" s="1"/>
  <c r="DO223" i="3"/>
  <c r="CE223" i="3" s="1"/>
  <c r="DP223" i="3"/>
  <c r="CF223" i="3" s="1"/>
  <c r="DQ223" i="3"/>
  <c r="CG223" i="3" s="1"/>
  <c r="DR223" i="3"/>
  <c r="CH223" i="3" s="1"/>
  <c r="CB210" i="3"/>
  <c r="CC210" i="3"/>
  <c r="CD210" i="3"/>
  <c r="CE210" i="3"/>
  <c r="DL212" i="3"/>
  <c r="CB212" i="3" s="1"/>
  <c r="DM212" i="3"/>
  <c r="CC212" i="3" s="1"/>
  <c r="DN212" i="3"/>
  <c r="CD212" i="3" s="1"/>
  <c r="DO212" i="3"/>
  <c r="CE212" i="3" s="1"/>
  <c r="DP212" i="3"/>
  <c r="CF212" i="3" s="1"/>
  <c r="DQ212" i="3"/>
  <c r="CG212" i="3" s="1"/>
  <c r="DR212" i="3"/>
  <c r="CH212" i="3" s="1"/>
  <c r="DL215" i="3"/>
  <c r="CB215" i="3" s="1"/>
  <c r="DM215" i="3"/>
  <c r="CC215" i="3" s="1"/>
  <c r="DN215" i="3"/>
  <c r="CD215" i="3" s="1"/>
  <c r="DO215" i="3"/>
  <c r="CE215" i="3" s="1"/>
  <c r="DP215" i="3"/>
  <c r="CF215" i="3" s="1"/>
  <c r="DQ215" i="3"/>
  <c r="CG215" i="3" s="1"/>
  <c r="DR215" i="3"/>
  <c r="CH215" i="3" s="1"/>
  <c r="DL216" i="3"/>
  <c r="CB216" i="3" s="1"/>
  <c r="DM216" i="3"/>
  <c r="CC216" i="3" s="1"/>
  <c r="DN216" i="3"/>
  <c r="CD216" i="3" s="1"/>
  <c r="DO216" i="3"/>
  <c r="CE216" i="3" s="1"/>
  <c r="DP216" i="3"/>
  <c r="CF216" i="3" s="1"/>
  <c r="DQ216" i="3"/>
  <c r="CG216" i="3" s="1"/>
  <c r="DR216" i="3"/>
  <c r="CH216" i="3" s="1"/>
  <c r="DL211" i="3"/>
  <c r="CB211" i="3" s="1"/>
  <c r="DM211" i="3"/>
  <c r="CC211" i="3" s="1"/>
  <c r="DN211" i="3"/>
  <c r="CD211" i="3" s="1"/>
  <c r="DO211" i="3"/>
  <c r="CE211" i="3" s="1"/>
  <c r="DP211" i="3"/>
  <c r="CF211" i="3" s="1"/>
  <c r="DQ211" i="3"/>
  <c r="CG211" i="3" s="1"/>
  <c r="DR211" i="3"/>
  <c r="CH211" i="3" s="1"/>
  <c r="DL213" i="3"/>
  <c r="CB213" i="3" s="1"/>
  <c r="DM213" i="3"/>
  <c r="CC213" i="3" s="1"/>
  <c r="DN213" i="3"/>
  <c r="CD213" i="3" s="1"/>
  <c r="DO213" i="3"/>
  <c r="CE213" i="3" s="1"/>
  <c r="DP213" i="3"/>
  <c r="CF213" i="3" s="1"/>
  <c r="DQ213" i="3"/>
  <c r="CG213" i="3" s="1"/>
  <c r="DR213" i="3"/>
  <c r="CH213" i="3" s="1"/>
  <c r="DL217" i="3"/>
  <c r="CB217" i="3" s="1"/>
  <c r="DM217" i="3"/>
  <c r="CC217" i="3" s="1"/>
  <c r="DN217" i="3"/>
  <c r="CD217" i="3" s="1"/>
  <c r="DO217" i="3"/>
  <c r="CE217" i="3" s="1"/>
  <c r="DP217" i="3"/>
  <c r="CF217" i="3" s="1"/>
  <c r="DQ217" i="3"/>
  <c r="CG217" i="3" s="1"/>
  <c r="DR217" i="3"/>
  <c r="CH217" i="3" s="1"/>
  <c r="DL220" i="3"/>
  <c r="CB220" i="3" s="1"/>
  <c r="DM220" i="3"/>
  <c r="CC220" i="3" s="1"/>
  <c r="DN220" i="3"/>
  <c r="CD220" i="3" s="1"/>
  <c r="DO220" i="3"/>
  <c r="CE220" i="3" s="1"/>
  <c r="DP220" i="3"/>
  <c r="CF220" i="3" s="1"/>
  <c r="DQ220" i="3"/>
  <c r="CG220" i="3" s="1"/>
  <c r="DR220" i="3"/>
  <c r="CH220" i="3" s="1"/>
  <c r="DL224" i="3"/>
  <c r="CB224" i="3" s="1"/>
  <c r="DR224" i="3"/>
  <c r="CH224"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1" i="24" l="1"/>
  <c r="GD450" i="24"/>
  <c r="GD453" i="24"/>
  <c r="GF442" i="24"/>
  <c r="GD458" i="24"/>
  <c r="GE445" i="24"/>
  <c r="GD445" i="24"/>
  <c r="GE452" i="24"/>
  <c r="GE450" i="24"/>
  <c r="GC442" i="24"/>
  <c r="GD442" i="24"/>
  <c r="GF455" i="24"/>
  <c r="GD456" i="24"/>
  <c r="GC455" i="24"/>
  <c r="GE458" i="24"/>
  <c r="GE457" i="24"/>
  <c r="GF457" i="24"/>
  <c r="GC452" i="24"/>
  <c r="GD451" i="24"/>
  <c r="GC454" i="24"/>
  <c r="GF456" i="24"/>
  <c r="GC440" i="24"/>
  <c r="GF453" i="24"/>
  <c r="GC457" i="24"/>
  <c r="GF454" i="24"/>
  <c r="GF451" i="24"/>
  <c r="GD455" i="24"/>
  <c r="GE440" i="24"/>
  <c r="GD452" i="24"/>
  <c r="GF440" i="24"/>
  <c r="GE451" i="24"/>
  <c r="GF459" i="24"/>
  <c r="GC458" i="24"/>
  <c r="GC450" i="24"/>
  <c r="GE456" i="24"/>
  <c r="GD440" i="24"/>
  <c r="GC445" i="24"/>
  <c r="GD454" i="24"/>
  <c r="GE455" i="24"/>
  <c r="GE442" i="24"/>
  <c r="GC453" i="24"/>
  <c r="GE453" i="24"/>
  <c r="GC459" i="24"/>
  <c r="GE459" i="24"/>
  <c r="GF452" i="24"/>
  <c r="GC456" i="24"/>
  <c r="GF445" i="24"/>
  <c r="GD457" i="24"/>
  <c r="GF450" i="24"/>
  <c r="GE454" i="24"/>
  <c r="GF458" i="24"/>
  <c r="GD459" i="24"/>
  <c r="GF384" i="24"/>
  <c r="GC384" i="24"/>
  <c r="GD384" i="24"/>
  <c r="GE384" i="24"/>
  <c r="GF95" i="24"/>
  <c r="GD95" i="24"/>
  <c r="GE95" i="24"/>
  <c r="GC95" i="24"/>
  <c r="GE121" i="24"/>
  <c r="GD121" i="24"/>
  <c r="GC121" i="24"/>
  <c r="GD93" i="24"/>
  <c r="GC94" i="24"/>
  <c r="GF121" i="24"/>
  <c r="GE93" i="24"/>
  <c r="GF93" i="24"/>
  <c r="GC93" i="24"/>
  <c r="GC143" i="24"/>
  <c r="GD143" i="24"/>
  <c r="GE143" i="24"/>
  <c r="GF143" i="24"/>
  <c r="GF94" i="24"/>
  <c r="GE94" i="24"/>
  <c r="GD94" i="24"/>
  <c r="BU33" i="3"/>
  <c r="BU24" i="3"/>
  <c r="BU35" i="3"/>
  <c r="BU31" i="3"/>
  <c r="BU32" i="3"/>
  <c r="GC393" i="24"/>
  <c r="GF393" i="24"/>
  <c r="GE393" i="24"/>
  <c r="GD393" i="24"/>
  <c r="GD99" i="24"/>
  <c r="GE99" i="24"/>
  <c r="GF99" i="24"/>
  <c r="GC99" i="24"/>
  <c r="GD98" i="24"/>
  <c r="GC98" i="24"/>
  <c r="GE98" i="24"/>
  <c r="GF98" i="24"/>
  <c r="GC408" i="24"/>
  <c r="GD409" i="24"/>
  <c r="GC409" i="24"/>
  <c r="GF408" i="24"/>
  <c r="GD408" i="24"/>
  <c r="GE408" i="24"/>
  <c r="GF409" i="24"/>
  <c r="GE409" i="24"/>
  <c r="GE129" i="24"/>
  <c r="GD138" i="24"/>
  <c r="GE86" i="24"/>
  <c r="GF80" i="24"/>
  <c r="GC81" i="24"/>
  <c r="GF124" i="24"/>
  <c r="GC79" i="24"/>
  <c r="GF126" i="24"/>
  <c r="GD136" i="24"/>
  <c r="GE209" i="24"/>
  <c r="GF357" i="24"/>
  <c r="GD364" i="24"/>
  <c r="GC246" i="24"/>
  <c r="GF175" i="24"/>
  <c r="GC90" i="24"/>
  <c r="GF48" i="24"/>
  <c r="GF402" i="24"/>
  <c r="GC113" i="24"/>
  <c r="GC167" i="24"/>
  <c r="GE49" i="24"/>
  <c r="GC223" i="24"/>
  <c r="GF110" i="24"/>
  <c r="GF230" i="24"/>
  <c r="GE114" i="24"/>
  <c r="GF61" i="24"/>
  <c r="GF103" i="24"/>
  <c r="GD332" i="24"/>
  <c r="GE243" i="24"/>
  <c r="GD20" i="24"/>
  <c r="GD370" i="24"/>
  <c r="GC55" i="24"/>
  <c r="GC388" i="24"/>
  <c r="GF119" i="24"/>
  <c r="GC56" i="24"/>
  <c r="GC194" i="24"/>
  <c r="GE154" i="24"/>
  <c r="GC251" i="24"/>
  <c r="GD211" i="24"/>
  <c r="GC301" i="24"/>
  <c r="GF281" i="24"/>
  <c r="GF213" i="24"/>
  <c r="GC54" i="24"/>
  <c r="GF40" i="24"/>
  <c r="GF16" i="24"/>
  <c r="GE319" i="24"/>
  <c r="GE253" i="24"/>
  <c r="GF178" i="24"/>
  <c r="GD163" i="24"/>
  <c r="GF60" i="24"/>
  <c r="GE394" i="24"/>
  <c r="GD238" i="24"/>
  <c r="GF180" i="24"/>
  <c r="GD253" i="24"/>
  <c r="GC241" i="24"/>
  <c r="GD243" i="24"/>
  <c r="GF316" i="24"/>
  <c r="GE283" i="24"/>
  <c r="GD325" i="24"/>
  <c r="GD360" i="24"/>
  <c r="GC361" i="24"/>
  <c r="GF53" i="24"/>
  <c r="GE104" i="24"/>
  <c r="GE145" i="24"/>
  <c r="GD236" i="24"/>
  <c r="GE229" i="24"/>
  <c r="GE307" i="24"/>
  <c r="GC320" i="24"/>
  <c r="GE287" i="24"/>
  <c r="GD21" i="24"/>
  <c r="GE65" i="24"/>
  <c r="GD61" i="24"/>
  <c r="GE43" i="24"/>
  <c r="GF401" i="24"/>
  <c r="GD122" i="24"/>
  <c r="GD108" i="24"/>
  <c r="GF334" i="24"/>
  <c r="GF224" i="24"/>
  <c r="GE186" i="24"/>
  <c r="GD158" i="24"/>
  <c r="GE80" i="24"/>
  <c r="GC135" i="24"/>
  <c r="GE138" i="24"/>
  <c r="GD140" i="24"/>
  <c r="GF72" i="24"/>
  <c r="GF73" i="24"/>
  <c r="GF132" i="24"/>
  <c r="GF85" i="24"/>
  <c r="GF366" i="24"/>
  <c r="GE357" i="24"/>
  <c r="GE363" i="24"/>
  <c r="GD246" i="24"/>
  <c r="GD159" i="24"/>
  <c r="GF323" i="24"/>
  <c r="GF67" i="24"/>
  <c r="GF24" i="24"/>
  <c r="GC149" i="24"/>
  <c r="GF17" i="24"/>
  <c r="GC183" i="24"/>
  <c r="GF64" i="24"/>
  <c r="GD226" i="24"/>
  <c r="GC146" i="24"/>
  <c r="GF247" i="24"/>
  <c r="GF150" i="24"/>
  <c r="GF101" i="24"/>
  <c r="GE15" i="24"/>
  <c r="GD348" i="24"/>
  <c r="GE260" i="24"/>
  <c r="GD55" i="24"/>
  <c r="GD388" i="24"/>
  <c r="GD83" i="24"/>
  <c r="GC11" i="24"/>
  <c r="GF157" i="24"/>
  <c r="GF97" i="24"/>
  <c r="GE220" i="24"/>
  <c r="GE174" i="24"/>
  <c r="GD268" i="24"/>
  <c r="GC231" i="24"/>
  <c r="GC318" i="24"/>
  <c r="GF298" i="24"/>
  <c r="GC232" i="24"/>
  <c r="GC82" i="24"/>
  <c r="GF63" i="24"/>
  <c r="GF44" i="24"/>
  <c r="GF337" i="24"/>
  <c r="GF270" i="24"/>
  <c r="GE193" i="24"/>
  <c r="GE203" i="24"/>
  <c r="GD106" i="24"/>
  <c r="GF21" i="24"/>
  <c r="GD255" i="24"/>
  <c r="GD195" i="24"/>
  <c r="GF274" i="24"/>
  <c r="GF262" i="24"/>
  <c r="GC273" i="24"/>
  <c r="GE338" i="24"/>
  <c r="GE85" i="24"/>
  <c r="GC125" i="24"/>
  <c r="GE131" i="24"/>
  <c r="GE87" i="24"/>
  <c r="GD141" i="24"/>
  <c r="GF76" i="24"/>
  <c r="GF81" i="24"/>
  <c r="GF125" i="24"/>
  <c r="GD131" i="24"/>
  <c r="GD209" i="24"/>
  <c r="GD357" i="24"/>
  <c r="GD363" i="24"/>
  <c r="GE246" i="24"/>
  <c r="GF176" i="24"/>
  <c r="GD90" i="24"/>
  <c r="GF113" i="24"/>
  <c r="GD167" i="24"/>
  <c r="GF49" i="24"/>
  <c r="GD223" i="24"/>
  <c r="GC110" i="24"/>
  <c r="GD242" i="24"/>
  <c r="GC164" i="24"/>
  <c r="GF263" i="24"/>
  <c r="GF170" i="24"/>
  <c r="GF151" i="24"/>
  <c r="GE20" i="24"/>
  <c r="GE370" i="24"/>
  <c r="GD277" i="24"/>
  <c r="GE83" i="24"/>
  <c r="GD11" i="24"/>
  <c r="GD115" i="24"/>
  <c r="GC28" i="24"/>
  <c r="GF179" i="24"/>
  <c r="GF116" i="24"/>
  <c r="GC234" i="24"/>
  <c r="GD188" i="24"/>
  <c r="GD284" i="24"/>
  <c r="GD248" i="24"/>
  <c r="GE352" i="24"/>
  <c r="GF315" i="24"/>
  <c r="GF249" i="24"/>
  <c r="GF102" i="24"/>
  <c r="GF109" i="24"/>
  <c r="GC9" i="24"/>
  <c r="GF353" i="24"/>
  <c r="GF286" i="24"/>
  <c r="GE217" i="24"/>
  <c r="GC198" i="24"/>
  <c r="GE405" i="24"/>
  <c r="GC272" i="24"/>
  <c r="GD214" i="24"/>
  <c r="GE290" i="24"/>
  <c r="GC279" i="24"/>
  <c r="GD298" i="24"/>
  <c r="GE360" i="24"/>
  <c r="GE321" i="24"/>
  <c r="GE380" i="24"/>
  <c r="GE57" i="24"/>
  <c r="GE124" i="24"/>
  <c r="GD125" i="24"/>
  <c r="GD85" i="24"/>
  <c r="GF100" i="24"/>
  <c r="GD86" i="24"/>
  <c r="GE141" i="24"/>
  <c r="GC131" i="24"/>
  <c r="GE366" i="24"/>
  <c r="GC357" i="24"/>
  <c r="GC363" i="24"/>
  <c r="GE160" i="24"/>
  <c r="GC159" i="24"/>
  <c r="GD322" i="24"/>
  <c r="GF149" i="24"/>
  <c r="GC17" i="24"/>
  <c r="GD183" i="24"/>
  <c r="GE64" i="24"/>
  <c r="GE226" i="24"/>
  <c r="GD146" i="24"/>
  <c r="GD259" i="24"/>
  <c r="GC204" i="24"/>
  <c r="GF280" i="24"/>
  <c r="GE184" i="24"/>
  <c r="GF171" i="24"/>
  <c r="GE55" i="24"/>
  <c r="GE388" i="24"/>
  <c r="GD293" i="24"/>
  <c r="GE115" i="24"/>
  <c r="GD28" i="24"/>
  <c r="GD153" i="24"/>
  <c r="GF403" i="24"/>
  <c r="GF194" i="24"/>
  <c r="GF154" i="24"/>
  <c r="GE251" i="24"/>
  <c r="GE211" i="24"/>
  <c r="GD301" i="24"/>
  <c r="GC392" i="24"/>
  <c r="GC333" i="24"/>
  <c r="GE266" i="24"/>
  <c r="GC152" i="24"/>
  <c r="GF145" i="24"/>
  <c r="GC41" i="24"/>
  <c r="GF376" i="24"/>
  <c r="GF303" i="24"/>
  <c r="GE233" i="24"/>
  <c r="GE219" i="24"/>
  <c r="GE158" i="24"/>
  <c r="GE10" i="24"/>
  <c r="GC288" i="24"/>
  <c r="GD235" i="24"/>
  <c r="GE312" i="24"/>
  <c r="GC300" i="24"/>
  <c r="GE325" i="24"/>
  <c r="GF381" i="24"/>
  <c r="GF339" i="24"/>
  <c r="GC13" i="24"/>
  <c r="GC139" i="24"/>
  <c r="GC100" i="24"/>
  <c r="GC73" i="24"/>
  <c r="GC77" i="24"/>
  <c r="GC137" i="24"/>
  <c r="GD129" i="24"/>
  <c r="GD132" i="24"/>
  <c r="GF79" i="24"/>
  <c r="GD124" i="24"/>
  <c r="GC209" i="24"/>
  <c r="GF372" i="24"/>
  <c r="GE364" i="24"/>
  <c r="GF169" i="24"/>
  <c r="GE159" i="24"/>
  <c r="GF91" i="24"/>
  <c r="GF167" i="24"/>
  <c r="GC49" i="24"/>
  <c r="GE223" i="24"/>
  <c r="GD110" i="24"/>
  <c r="GE242" i="24"/>
  <c r="GF164" i="24"/>
  <c r="GC276" i="24"/>
  <c r="GC199" i="24"/>
  <c r="GF296" i="24"/>
  <c r="GF210" i="24"/>
  <c r="GF185" i="24"/>
  <c r="GC83" i="24"/>
  <c r="GE11" i="24"/>
  <c r="GD311" i="24"/>
  <c r="GE153" i="24"/>
  <c r="GC403" i="24"/>
  <c r="GD173" i="24"/>
  <c r="GD29" i="24"/>
  <c r="GF220" i="24"/>
  <c r="GF174" i="24"/>
  <c r="GE268" i="24"/>
  <c r="GE231" i="24"/>
  <c r="GD318" i="24"/>
  <c r="GC32" i="24"/>
  <c r="GC8" i="24"/>
  <c r="GC349" i="24"/>
  <c r="GE282" i="24"/>
  <c r="GF172" i="24"/>
  <c r="GF163" i="24"/>
  <c r="GC60" i="24"/>
  <c r="GF394" i="24"/>
  <c r="GF320" i="24"/>
  <c r="GF250" i="24"/>
  <c r="GC238" i="24"/>
  <c r="GD180" i="24"/>
  <c r="GE46" i="24"/>
  <c r="GC306" i="24"/>
  <c r="GC243" i="24"/>
  <c r="GD334" i="24"/>
  <c r="GF321" i="24"/>
  <c r="GF349" i="24"/>
  <c r="GC14" i="24"/>
  <c r="GD361" i="24"/>
  <c r="GF411" i="24"/>
  <c r="GF54" i="24"/>
  <c r="GE258" i="24"/>
  <c r="GE213" i="24"/>
  <c r="GE190" i="24"/>
  <c r="GF302" i="24"/>
  <c r="GD320" i="24"/>
  <c r="GD305" i="24"/>
  <c r="GE21" i="24"/>
  <c r="GE26" i="24"/>
  <c r="GE391" i="24"/>
  <c r="GE165" i="24"/>
  <c r="GC400" i="24"/>
  <c r="GC221" i="24"/>
  <c r="GE166" i="24"/>
  <c r="GC295" i="24"/>
  <c r="GD240" i="24"/>
  <c r="GD215" i="24"/>
  <c r="GC260" i="24"/>
  <c r="GE303" i="24"/>
  <c r="GD271" i="24"/>
  <c r="GC365" i="24"/>
  <c r="GB365" i="24" s="1"/>
  <c r="GD34" i="24"/>
  <c r="GF378" i="24"/>
  <c r="GE147" i="24"/>
  <c r="GC62" i="24"/>
  <c r="GF136" i="24"/>
  <c r="GD100" i="24"/>
  <c r="GD81" i="24"/>
  <c r="GE81" i="24"/>
  <c r="GD87" i="24"/>
  <c r="GE130" i="24"/>
  <c r="GF75" i="24"/>
  <c r="GC140" i="24"/>
  <c r="GC84" i="24"/>
  <c r="GD366" i="24"/>
  <c r="GC372" i="24"/>
  <c r="GC364" i="24"/>
  <c r="GE176" i="24"/>
  <c r="GE168" i="24"/>
  <c r="GC91" i="24"/>
  <c r="GF183" i="24"/>
  <c r="GC64" i="24"/>
  <c r="GC226" i="24"/>
  <c r="GE146" i="24"/>
  <c r="GC259" i="24"/>
  <c r="GD204" i="24"/>
  <c r="GC292" i="24"/>
  <c r="GD222" i="24"/>
  <c r="GF314" i="24"/>
  <c r="GF227" i="24"/>
  <c r="GF212" i="24"/>
  <c r="GC115" i="24"/>
  <c r="GE28" i="24"/>
  <c r="GE329" i="24"/>
  <c r="GE173" i="24"/>
  <c r="GE29" i="24"/>
  <c r="GE187" i="24"/>
  <c r="GD52" i="24"/>
  <c r="GF234" i="24"/>
  <c r="GE188" i="24"/>
  <c r="GE284" i="24"/>
  <c r="GE248" i="24"/>
  <c r="GC352" i="24"/>
  <c r="GC59" i="24"/>
  <c r="GC36" i="24"/>
  <c r="GC371" i="24"/>
  <c r="GE299" i="24"/>
  <c r="GC186" i="24"/>
  <c r="GF203" i="24"/>
  <c r="GE106" i="24"/>
  <c r="GC21" i="24"/>
  <c r="GF338" i="24"/>
  <c r="GF267" i="24"/>
  <c r="GE255" i="24"/>
  <c r="GE195" i="24"/>
  <c r="GC107" i="24"/>
  <c r="GE324" i="24"/>
  <c r="GD273" i="24"/>
  <c r="GC381" i="24"/>
  <c r="GC339" i="24"/>
  <c r="GF380" i="24"/>
  <c r="GD50" i="24"/>
  <c r="GC382" i="24"/>
  <c r="GC46" i="24"/>
  <c r="GD82" i="24"/>
  <c r="GC130" i="24"/>
  <c r="GF127" i="24"/>
  <c r="GD137" i="24"/>
  <c r="GD78" i="24"/>
  <c r="GD88" i="24"/>
  <c r="GE136" i="24"/>
  <c r="GF141" i="24"/>
  <c r="GF131" i="24"/>
  <c r="GE88" i="24"/>
  <c r="GD84" i="24"/>
  <c r="GF209" i="24"/>
  <c r="GD372" i="24"/>
  <c r="GF364" i="24"/>
  <c r="GD160" i="24"/>
  <c r="GD168" i="24"/>
  <c r="GF70" i="24"/>
  <c r="GF223" i="24"/>
  <c r="GE110" i="24"/>
  <c r="GC242" i="24"/>
  <c r="GD164" i="24"/>
  <c r="GD276" i="24"/>
  <c r="GD199" i="24"/>
  <c r="GC310" i="24"/>
  <c r="GD239" i="24"/>
  <c r="GF332" i="24"/>
  <c r="GF243" i="24"/>
  <c r="GF228" i="24"/>
  <c r="GC153" i="24"/>
  <c r="GD403" i="24"/>
  <c r="GD365" i="24"/>
  <c r="GC187" i="24"/>
  <c r="GE52" i="24"/>
  <c r="GC216" i="24"/>
  <c r="GD68" i="24"/>
  <c r="GF251" i="24"/>
  <c r="GF211" i="24"/>
  <c r="GE301" i="24"/>
  <c r="GD392" i="24"/>
  <c r="GD105" i="24"/>
  <c r="GD37" i="24"/>
  <c r="GC389" i="24"/>
  <c r="GE316" i="24"/>
  <c r="GC215" i="24"/>
  <c r="GF198" i="24"/>
  <c r="GF405" i="24"/>
  <c r="GE377" i="24"/>
  <c r="GF283" i="24"/>
  <c r="GE272" i="24"/>
  <c r="GC214" i="24"/>
  <c r="GC122" i="24"/>
  <c r="GE340" i="24"/>
  <c r="GE298" i="24"/>
  <c r="GD14" i="24"/>
  <c r="GF361" i="24"/>
  <c r="GC405" i="24"/>
  <c r="GE35" i="24"/>
  <c r="GF387" i="24"/>
  <c r="GE101" i="24"/>
  <c r="GF135" i="24"/>
  <c r="GF89" i="24"/>
  <c r="GF87" i="24"/>
  <c r="GC87" i="24"/>
  <c r="GC85" i="24"/>
  <c r="GE132" i="24"/>
  <c r="GF88" i="24"/>
  <c r="GE127" i="24"/>
  <c r="GC366" i="24"/>
  <c r="GF207" i="24"/>
  <c r="GF264" i="24"/>
  <c r="GC169" i="24"/>
  <c r="GC175" i="24"/>
  <c r="GE91" i="24"/>
  <c r="GF226" i="24"/>
  <c r="GF146" i="24"/>
  <c r="GE259" i="24"/>
  <c r="GE204" i="24"/>
  <c r="GD292" i="24"/>
  <c r="GE222" i="24"/>
  <c r="GE328" i="24"/>
  <c r="GF15" i="24"/>
  <c r="GF348" i="24"/>
  <c r="GF260" i="24"/>
  <c r="GF244" i="24"/>
  <c r="GC173" i="24"/>
  <c r="GF29" i="24"/>
  <c r="GE385" i="24"/>
  <c r="GD216" i="24"/>
  <c r="GE68" i="24"/>
  <c r="GD230" i="24"/>
  <c r="GC114" i="24"/>
  <c r="GF268" i="24"/>
  <c r="GF231" i="24"/>
  <c r="GE318" i="24"/>
  <c r="GD32" i="24"/>
  <c r="GD8" i="24"/>
  <c r="GD119" i="24"/>
  <c r="GD56" i="24"/>
  <c r="GD13" i="24"/>
  <c r="GC334" i="24"/>
  <c r="GF229" i="24"/>
  <c r="GF219" i="24"/>
  <c r="GF158" i="24"/>
  <c r="GF10" i="24"/>
  <c r="GE395" i="24"/>
  <c r="GF300" i="24"/>
  <c r="GE288" i="24"/>
  <c r="GE235" i="24"/>
  <c r="GC161" i="24"/>
  <c r="GC379" i="24"/>
  <c r="GF325" i="24"/>
  <c r="GE50" i="24"/>
  <c r="GD382" i="24"/>
  <c r="GD46" i="24"/>
  <c r="GC51" i="24"/>
  <c r="GD58" i="24"/>
  <c r="GC141" i="24"/>
  <c r="GD71" i="24"/>
  <c r="GF84" i="24"/>
  <c r="GF137" i="24"/>
  <c r="GF140" i="24"/>
  <c r="GF139" i="24"/>
  <c r="GC142" i="24"/>
  <c r="GF202" i="24"/>
  <c r="GF208" i="24"/>
  <c r="GE207" i="24"/>
  <c r="GE264" i="24"/>
  <c r="GD176" i="24"/>
  <c r="GC168" i="24"/>
  <c r="GD91" i="24"/>
  <c r="GF242" i="24"/>
  <c r="GE164" i="24"/>
  <c r="GE276" i="24"/>
  <c r="GE199" i="24"/>
  <c r="GD310" i="24"/>
  <c r="GC239" i="24"/>
  <c r="GC362" i="24"/>
  <c r="GF20" i="24"/>
  <c r="GF370" i="24"/>
  <c r="GE277" i="24"/>
  <c r="GE261" i="24"/>
  <c r="GD187" i="24"/>
  <c r="GF52" i="24"/>
  <c r="GF33" i="24"/>
  <c r="GE230" i="24"/>
  <c r="GF114" i="24"/>
  <c r="GD247" i="24"/>
  <c r="GC150" i="24"/>
  <c r="GF284" i="24"/>
  <c r="GF248" i="24"/>
  <c r="GD352" i="24"/>
  <c r="GD59" i="24"/>
  <c r="GD36" i="24"/>
  <c r="GD157" i="24"/>
  <c r="GC97" i="24"/>
  <c r="GD45" i="24"/>
  <c r="GC350" i="24"/>
  <c r="GF245" i="24"/>
  <c r="GF238" i="24"/>
  <c r="GE180" i="24"/>
  <c r="GF46" i="24"/>
  <c r="GF26" i="24"/>
  <c r="GF317" i="24"/>
  <c r="GE306" i="24"/>
  <c r="GE252" i="24"/>
  <c r="GC40" i="24"/>
  <c r="GC16" i="24"/>
  <c r="GC376" i="24"/>
  <c r="GF35" i="24"/>
  <c r="GF23" i="24"/>
  <c r="GD111" i="24"/>
  <c r="GE82" i="24"/>
  <c r="GF215" i="24"/>
  <c r="GC205" i="24"/>
  <c r="GD142" i="24"/>
  <c r="GE78" i="24"/>
  <c r="GD80" i="24"/>
  <c r="GE71" i="24"/>
  <c r="GE137" i="24"/>
  <c r="GE76" i="24"/>
  <c r="GC138" i="24"/>
  <c r="GD126" i="24"/>
  <c r="GC126" i="24"/>
  <c r="GE201" i="24"/>
  <c r="GE208" i="24"/>
  <c r="GD207" i="24"/>
  <c r="GD264" i="24"/>
  <c r="GF160" i="24"/>
  <c r="GD175" i="24"/>
  <c r="GF322" i="24"/>
  <c r="GF259" i="24"/>
  <c r="GF204" i="24"/>
  <c r="GE292" i="24"/>
  <c r="GC222" i="24"/>
  <c r="GC328" i="24"/>
  <c r="GC12" i="24"/>
  <c r="GC383" i="24"/>
  <c r="GF55" i="24"/>
  <c r="GF388" i="24"/>
  <c r="GE293" i="24"/>
  <c r="GF278" i="24"/>
  <c r="GE216" i="24"/>
  <c r="GF68" i="24"/>
  <c r="GE30" i="24"/>
  <c r="GC247" i="24"/>
  <c r="GD150" i="24"/>
  <c r="GD263" i="24"/>
  <c r="GC170" i="24"/>
  <c r="GF301" i="24"/>
  <c r="GE392" i="24"/>
  <c r="GE105" i="24"/>
  <c r="GE37" i="24"/>
  <c r="GE179" i="24"/>
  <c r="GC116" i="24"/>
  <c r="GC410" i="24"/>
  <c r="GF373" i="24"/>
  <c r="GD262" i="24"/>
  <c r="GF255" i="24"/>
  <c r="GF195" i="24"/>
  <c r="GF107" i="24"/>
  <c r="GF57" i="24"/>
  <c r="GF374" i="24"/>
  <c r="GD324" i="24"/>
  <c r="GD269" i="24"/>
  <c r="GC63" i="24"/>
  <c r="GC44" i="24"/>
  <c r="GD405" i="24"/>
  <c r="GD51" i="24"/>
  <c r="GF166" i="24"/>
  <c r="GC155" i="24"/>
  <c r="GD118" i="24"/>
  <c r="GF309" i="24"/>
  <c r="GC212" i="24"/>
  <c r="GF190" i="24"/>
  <c r="GC302" i="24"/>
  <c r="GC316" i="24"/>
  <c r="GE305" i="24"/>
  <c r="GD411" i="24"/>
  <c r="GF39" i="24"/>
  <c r="GD391" i="24"/>
  <c r="GC165" i="24"/>
  <c r="GD123" i="24"/>
  <c r="GE41" i="24"/>
  <c r="GE278" i="24"/>
  <c r="GC281" i="24"/>
  <c r="GF326" i="24"/>
  <c r="GE271" i="24"/>
  <c r="GF307" i="24"/>
  <c r="GE373" i="24"/>
  <c r="GD309" i="24"/>
  <c r="GD389" i="24"/>
  <c r="GC103" i="24"/>
  <c r="GD7" i="24"/>
  <c r="GC147" i="24"/>
  <c r="GC89" i="24"/>
  <c r="GD79" i="24"/>
  <c r="GC129" i="24"/>
  <c r="GC127" i="24"/>
  <c r="GC136" i="24"/>
  <c r="GC86" i="24"/>
  <c r="GD73" i="24"/>
  <c r="GC202" i="24"/>
  <c r="GD208" i="24"/>
  <c r="GC207" i="24"/>
  <c r="GC264" i="24"/>
  <c r="GD169" i="24"/>
  <c r="GE175" i="24"/>
  <c r="GE322" i="24"/>
  <c r="GF276" i="24"/>
  <c r="GF199" i="24"/>
  <c r="GE310" i="24"/>
  <c r="GE239" i="24"/>
  <c r="GD362" i="24"/>
  <c r="GC48" i="24"/>
  <c r="GC402" i="24"/>
  <c r="GF83" i="24"/>
  <c r="GF11" i="24"/>
  <c r="GE311" i="24"/>
  <c r="GF294" i="24"/>
  <c r="GC230" i="24"/>
  <c r="GD114" i="24"/>
  <c r="GE61" i="24"/>
  <c r="GC263" i="24"/>
  <c r="GD170" i="24"/>
  <c r="GC280" i="24"/>
  <c r="GF184" i="24"/>
  <c r="GF318" i="24"/>
  <c r="GE32" i="24"/>
  <c r="GE8" i="24"/>
  <c r="GE119" i="24"/>
  <c r="GE56" i="24"/>
  <c r="GE194" i="24"/>
  <c r="GC154" i="24"/>
  <c r="GC38" i="24"/>
  <c r="GF390" i="24"/>
  <c r="GD279" i="24"/>
  <c r="GF272" i="24"/>
  <c r="GF214" i="24"/>
  <c r="GF122" i="24"/>
  <c r="GF27" i="24"/>
  <c r="GF391" i="24"/>
  <c r="GD340" i="24"/>
  <c r="GD285" i="24"/>
  <c r="GD109" i="24"/>
  <c r="GD9" i="24"/>
  <c r="GD38" i="24"/>
  <c r="GF82" i="24"/>
  <c r="GF271" i="24"/>
  <c r="GD205" i="24"/>
  <c r="GC156" i="24"/>
  <c r="GD151" i="24"/>
  <c r="GD232" i="24"/>
  <c r="GD89" i="24"/>
  <c r="GF77" i="24"/>
  <c r="GE77" i="24"/>
  <c r="GE75" i="24"/>
  <c r="GC71" i="24"/>
  <c r="GC132" i="24"/>
  <c r="GD139" i="24"/>
  <c r="GD130" i="24"/>
  <c r="GD76" i="24"/>
  <c r="GF130" i="24"/>
  <c r="GF71" i="24"/>
  <c r="GE100" i="24"/>
  <c r="GC124" i="24"/>
  <c r="GC88" i="24"/>
  <c r="GF86" i="24"/>
  <c r="GC201" i="24"/>
  <c r="GC369" i="24"/>
  <c r="GD404" i="24"/>
  <c r="GC191" i="24"/>
  <c r="GF168" i="24"/>
  <c r="GD323" i="24"/>
  <c r="GD70" i="24"/>
  <c r="GF328" i="24"/>
  <c r="GE12" i="24"/>
  <c r="GE383" i="24"/>
  <c r="GD67" i="24"/>
  <c r="GD24" i="24"/>
  <c r="GD149" i="24"/>
  <c r="GD17" i="24"/>
  <c r="GF173" i="24"/>
  <c r="GC29" i="24"/>
  <c r="GF385" i="24"/>
  <c r="GF367" i="24"/>
  <c r="GE280" i="24"/>
  <c r="GD184" i="24"/>
  <c r="GD171" i="24"/>
  <c r="GD314" i="24"/>
  <c r="GC227" i="24"/>
  <c r="GE332" i="24"/>
  <c r="GF32" i="24"/>
  <c r="GF8" i="24"/>
  <c r="GC119" i="24"/>
  <c r="GF56" i="24"/>
  <c r="GD194" i="24"/>
  <c r="GD154" i="24"/>
  <c r="GD251" i="24"/>
  <c r="GC211" i="24"/>
  <c r="GE155" i="24"/>
  <c r="GC406" i="24"/>
  <c r="GF331" i="24"/>
  <c r="GF324" i="24"/>
  <c r="GE269" i="24"/>
  <c r="GF196" i="24"/>
  <c r="GF104" i="24"/>
  <c r="GE63" i="24"/>
  <c r="GE44" i="24"/>
  <c r="GE337" i="24"/>
  <c r="GC203" i="24"/>
  <c r="GC106" i="24"/>
  <c r="GE205" i="24"/>
  <c r="GF182" i="24"/>
  <c r="GC355" i="24"/>
  <c r="GC253" i="24"/>
  <c r="GD225" i="24"/>
  <c r="GD252" i="24"/>
  <c r="GC294" i="24"/>
  <c r="GC283" i="24"/>
  <c r="GF13" i="24"/>
  <c r="GD57" i="24"/>
  <c r="GD72" i="24"/>
  <c r="GE73" i="24"/>
  <c r="GE135" i="24"/>
  <c r="GD75" i="24"/>
  <c r="GE72" i="24"/>
  <c r="GE84" i="24"/>
  <c r="GE126" i="24"/>
  <c r="GF142" i="24"/>
  <c r="GE140" i="24"/>
  <c r="GF201" i="24"/>
  <c r="GE369" i="24"/>
  <c r="GF363" i="24"/>
  <c r="GF246" i="24"/>
  <c r="GC176" i="24"/>
  <c r="GC323" i="24"/>
  <c r="GF12" i="24"/>
  <c r="GF383" i="24"/>
  <c r="GE67" i="24"/>
  <c r="GE24" i="24"/>
  <c r="GE149" i="24"/>
  <c r="GE17" i="24"/>
  <c r="GE183" i="24"/>
  <c r="GD64" i="24"/>
  <c r="GF216" i="24"/>
  <c r="GC68" i="24"/>
  <c r="GF30" i="24"/>
  <c r="GF42" i="24"/>
  <c r="GE314" i="24"/>
  <c r="GE227" i="24"/>
  <c r="GD15" i="24"/>
  <c r="GC348" i="24"/>
  <c r="GC20" i="24"/>
  <c r="GC370" i="24"/>
  <c r="GF105" i="24"/>
  <c r="GC37" i="24"/>
  <c r="GD179" i="24"/>
  <c r="GE116" i="24"/>
  <c r="GE234" i="24"/>
  <c r="GC188" i="24"/>
  <c r="GC284" i="24"/>
  <c r="GC248" i="24"/>
  <c r="GD189" i="24"/>
  <c r="GC39" i="24"/>
  <c r="GC387" i="24"/>
  <c r="GF379" i="24"/>
  <c r="GE302" i="24"/>
  <c r="GF236" i="24"/>
  <c r="GE156" i="24"/>
  <c r="GC145" i="24"/>
  <c r="GF41" i="24"/>
  <c r="GE376" i="24"/>
  <c r="GC219" i="24"/>
  <c r="GC158" i="24"/>
  <c r="GF232" i="24"/>
  <c r="GE225" i="24"/>
  <c r="GD379" i="24"/>
  <c r="GD294" i="24"/>
  <c r="GC262" i="24"/>
  <c r="GC298" i="24"/>
  <c r="GD127" i="24"/>
  <c r="EY128" i="24" s="1"/>
  <c r="GC76" i="24"/>
  <c r="GC160" i="24"/>
  <c r="GE362" i="24"/>
  <c r="GF187" i="24"/>
  <c r="GC101" i="24"/>
  <c r="GF392" i="24"/>
  <c r="GC268" i="24"/>
  <c r="GF235" i="24"/>
  <c r="GD319" i="24"/>
  <c r="GD40" i="24"/>
  <c r="GD338" i="24"/>
  <c r="GC252" i="24"/>
  <c r="GE22" i="24"/>
  <c r="GD44" i="24"/>
  <c r="GF342" i="24"/>
  <c r="GE19" i="24"/>
  <c r="GC236" i="24"/>
  <c r="GD267" i="24"/>
  <c r="GE117" i="24"/>
  <c r="GE60" i="24"/>
  <c r="GC367" i="24"/>
  <c r="GC391" i="24"/>
  <c r="GE189" i="24"/>
  <c r="GF254" i="24"/>
  <c r="GE25" i="24"/>
  <c r="GC108" i="24"/>
  <c r="GE289" i="24"/>
  <c r="GF395" i="24"/>
  <c r="GC7" i="24"/>
  <c r="GE196" i="24"/>
  <c r="GD172" i="24"/>
  <c r="GD315" i="24"/>
  <c r="GE350" i="24"/>
  <c r="GD227" i="24"/>
  <c r="GE200" i="24"/>
  <c r="GD152" i="24"/>
  <c r="GC235" i="24"/>
  <c r="GC312" i="24"/>
  <c r="GE300" i="24"/>
  <c r="GE317" i="24"/>
  <c r="GD200" i="24"/>
  <c r="GE296" i="24"/>
  <c r="GD287" i="24"/>
  <c r="GE31" i="24"/>
  <c r="GD303" i="24"/>
  <c r="GF258" i="24"/>
  <c r="GC80" i="24"/>
  <c r="GE125" i="24"/>
  <c r="GE169" i="24"/>
  <c r="GE402" i="24"/>
  <c r="GF28" i="24"/>
  <c r="GC151" i="24"/>
  <c r="GF36" i="24"/>
  <c r="GC174" i="24"/>
  <c r="GF252" i="24"/>
  <c r="GE353" i="24"/>
  <c r="GD212" i="24"/>
  <c r="GF22" i="24"/>
  <c r="GC277" i="24"/>
  <c r="GC35" i="24"/>
  <c r="GF256" i="24"/>
  <c r="GF360" i="24"/>
  <c r="GC270" i="24"/>
  <c r="GC257" i="24"/>
  <c r="GC305" i="24"/>
  <c r="GF189" i="24"/>
  <c r="GC256" i="24"/>
  <c r="GC390" i="24"/>
  <c r="GF7" i="24"/>
  <c r="GF221" i="24"/>
  <c r="GC271" i="24"/>
  <c r="GE18" i="24"/>
  <c r="GD148" i="24"/>
  <c r="GF311" i="24"/>
  <c r="GE103" i="24"/>
  <c r="GF295" i="24"/>
  <c r="GD224" i="24"/>
  <c r="GD193" i="24"/>
  <c r="GE341" i="24"/>
  <c r="GC377" i="24"/>
  <c r="GE181" i="24"/>
  <c r="GE228" i="24"/>
  <c r="GE178" i="24"/>
  <c r="GE273" i="24"/>
  <c r="GE334" i="24"/>
  <c r="GC317" i="24"/>
  <c r="GF377" i="24"/>
  <c r="GC244" i="24"/>
  <c r="GE250" i="24"/>
  <c r="GC30" i="24"/>
  <c r="GD10" i="24"/>
  <c r="GC195" i="24"/>
  <c r="GC72" i="24"/>
  <c r="GE142" i="24"/>
  <c r="GF159" i="24"/>
  <c r="GD12" i="24"/>
  <c r="GE403" i="24"/>
  <c r="GC185" i="24"/>
  <c r="GE59" i="24"/>
  <c r="GF188" i="24"/>
  <c r="GE285" i="24"/>
  <c r="GD145" i="24"/>
  <c r="GE232" i="24"/>
  <c r="GD35" i="24"/>
  <c r="GC325" i="24"/>
  <c r="GE54" i="24"/>
  <c r="GF277" i="24"/>
  <c r="GD22" i="24"/>
  <c r="GE197" i="24"/>
  <c r="GC278" i="24"/>
  <c r="GD327" i="24"/>
  <c r="GD221" i="24"/>
  <c r="GC307" i="24"/>
  <c r="GC26" i="24"/>
  <c r="GC319" i="24"/>
  <c r="GC261" i="24"/>
  <c r="GF291" i="24"/>
  <c r="GF69" i="24"/>
  <c r="GC166" i="24"/>
  <c r="GC337" i="24"/>
  <c r="GD27" i="24"/>
  <c r="GC341" i="24"/>
  <c r="GD244" i="24"/>
  <c r="GF217" i="24"/>
  <c r="GF371" i="24"/>
  <c r="GE400" i="24"/>
  <c r="GF152" i="24"/>
  <c r="GE249" i="24"/>
  <c r="GF193" i="24"/>
  <c r="GF293" i="24"/>
  <c r="GD381" i="24"/>
  <c r="GD339" i="24"/>
  <c r="GF177" i="24"/>
  <c r="GD147" i="24"/>
  <c r="GC229" i="24"/>
  <c r="GD112" i="24"/>
  <c r="GC394" i="24"/>
  <c r="GF222" i="24"/>
  <c r="GC206" i="24"/>
  <c r="GC27" i="24"/>
  <c r="GD278" i="24"/>
  <c r="GD317" i="24"/>
  <c r="GF129" i="24"/>
  <c r="GC75" i="24"/>
  <c r="GE323" i="24"/>
  <c r="GD48" i="24"/>
  <c r="GC52" i="24"/>
  <c r="GD280" i="24"/>
  <c r="GC105" i="24"/>
  <c r="GD231" i="24"/>
  <c r="GF161" i="24"/>
  <c r="GE163" i="24"/>
  <c r="GD274" i="24"/>
  <c r="GC118" i="24"/>
  <c r="GD349" i="24"/>
  <c r="GF118" i="24"/>
  <c r="GD329" i="24"/>
  <c r="GC57" i="24"/>
  <c r="GC163" i="24"/>
  <c r="GD299" i="24"/>
  <c r="GD368" i="24"/>
  <c r="GF240" i="24"/>
  <c r="GE333" i="24"/>
  <c r="GD65" i="24"/>
  <c r="GF38" i="24"/>
  <c r="GD282" i="24"/>
  <c r="GE331" i="24"/>
  <c r="GF147" i="24"/>
  <c r="GD217" i="24"/>
  <c r="GD394" i="24"/>
  <c r="GF47" i="24"/>
  <c r="GD312" i="24"/>
  <c r="GD266" i="24"/>
  <c r="GD237" i="24"/>
  <c r="GE399" i="24"/>
  <c r="GE42" i="24"/>
  <c r="GD306" i="24"/>
  <c r="GD270" i="24"/>
  <c r="GC218" i="24"/>
  <c r="GF319" i="24"/>
  <c r="GE14" i="24"/>
  <c r="GF355" i="24"/>
  <c r="GC401" i="24"/>
  <c r="GE313" i="24"/>
  <c r="GE295" i="24"/>
  <c r="GE378" i="24"/>
  <c r="GF266" i="24"/>
  <c r="GE89" i="24"/>
  <c r="GD213" i="24"/>
  <c r="GF275" i="24"/>
  <c r="GC274" i="24"/>
  <c r="GD337" i="24"/>
  <c r="GE339" i="24"/>
  <c r="GD74" i="24"/>
  <c r="GD201" i="24"/>
  <c r="GF90" i="24"/>
  <c r="GE113" i="24"/>
  <c r="GF329" i="24"/>
  <c r="GD296" i="24"/>
  <c r="GC157" i="24"/>
  <c r="GC69" i="24"/>
  <c r="GF181" i="24"/>
  <c r="GD198" i="24"/>
  <c r="GE182" i="24"/>
  <c r="GF162" i="24"/>
  <c r="GD380" i="24"/>
  <c r="GE162" i="24"/>
  <c r="GD353" i="24"/>
  <c r="GD54" i="24"/>
  <c r="GE9" i="24"/>
  <c r="GE342" i="24"/>
  <c r="GD19" i="24"/>
  <c r="GF257" i="24"/>
  <c r="GE359" i="24"/>
  <c r="GE23" i="24"/>
  <c r="GE381" i="24"/>
  <c r="GC303" i="24"/>
  <c r="GD374" i="24"/>
  <c r="GE171" i="24"/>
  <c r="GF233" i="24"/>
  <c r="GD25" i="24"/>
  <c r="GD62" i="24"/>
  <c r="GE218" i="24"/>
  <c r="GC286" i="24"/>
  <c r="GD254" i="24"/>
  <c r="GD33" i="24"/>
  <c r="GF406" i="24"/>
  <c r="GE214" i="24"/>
  <c r="GF290" i="24"/>
  <c r="GF237" i="24"/>
  <c r="GD376" i="24"/>
  <c r="GF50" i="24"/>
  <c r="GE382" i="24"/>
  <c r="GE172" i="24"/>
  <c r="GC315" i="24"/>
  <c r="GE315" i="24"/>
  <c r="GD102" i="24"/>
  <c r="GC324" i="24"/>
  <c r="GD401" i="24"/>
  <c r="GE274" i="24"/>
  <c r="GE148" i="24"/>
  <c r="GF218" i="24"/>
  <c r="GE368" i="24"/>
  <c r="GC326" i="24"/>
  <c r="GE270" i="24"/>
  <c r="GD135" i="24"/>
  <c r="GE202" i="24"/>
  <c r="GE90" i="24"/>
  <c r="GD383" i="24"/>
  <c r="GF365" i="24"/>
  <c r="GC332" i="24"/>
  <c r="GE36" i="24"/>
  <c r="GD117" i="24"/>
  <c r="GE221" i="24"/>
  <c r="GD41" i="24"/>
  <c r="GF197" i="24"/>
  <c r="GD182" i="24"/>
  <c r="GE411" i="24"/>
  <c r="GC182" i="24"/>
  <c r="GC380" i="24"/>
  <c r="GD104" i="24"/>
  <c r="GE256" i="24"/>
  <c r="GE367" i="24"/>
  <c r="GC399" i="24"/>
  <c r="GC299" i="24"/>
  <c r="GF389" i="24"/>
  <c r="GC58" i="24"/>
  <c r="GD219" i="24"/>
  <c r="GE326" i="24"/>
  <c r="GE7" i="24"/>
  <c r="GD196" i="24"/>
  <c r="GC254" i="24"/>
  <c r="GD18" i="24"/>
  <c r="GF112" i="24"/>
  <c r="GD272" i="24"/>
  <c r="GD308" i="24"/>
  <c r="GE275" i="24"/>
  <c r="GD30" i="24"/>
  <c r="GF31" i="24"/>
  <c r="GC269" i="24"/>
  <c r="GE308" i="24"/>
  <c r="GC258" i="24"/>
  <c r="GF399" i="24"/>
  <c r="GC31" i="24"/>
  <c r="GF350" i="24"/>
  <c r="GD350" i="24"/>
  <c r="GD377" i="24"/>
  <c r="GC327" i="24"/>
  <c r="GE401" i="24"/>
  <c r="GF368" i="24"/>
  <c r="GF287" i="24"/>
  <c r="GD286" i="24"/>
  <c r="GC338" i="24"/>
  <c r="GD69" i="24"/>
  <c r="GE79" i="24"/>
  <c r="GD202" i="24"/>
  <c r="GC322" i="24"/>
  <c r="GD402" i="24"/>
  <c r="GC33" i="24"/>
  <c r="GC184" i="24"/>
  <c r="GF37" i="24"/>
  <c r="GD177" i="24"/>
  <c r="GF43" i="24"/>
  <c r="GD60" i="24"/>
  <c r="GF241" i="24"/>
  <c r="GC225" i="24"/>
  <c r="GF410" i="24"/>
  <c r="GF225" i="24"/>
  <c r="GE13" i="24"/>
  <c r="GE123" i="24"/>
  <c r="GE281" i="24"/>
  <c r="GE390" i="24"/>
  <c r="GF51" i="24"/>
  <c r="GE320" i="24"/>
  <c r="GC25" i="24"/>
  <c r="GE108" i="24"/>
  <c r="GF106" i="24"/>
  <c r="GD395" i="24"/>
  <c r="GD378" i="24"/>
  <c r="GC240" i="24"/>
  <c r="GE291" i="24"/>
  <c r="GE69" i="24"/>
  <c r="GF148" i="24"/>
  <c r="GC180" i="24"/>
  <c r="GE330" i="24"/>
  <c r="GD291" i="24"/>
  <c r="GE107" i="24"/>
  <c r="GD47" i="24"/>
  <c r="GF289" i="24"/>
  <c r="GC330" i="24"/>
  <c r="GD275" i="24"/>
  <c r="GE45" i="24"/>
  <c r="GE51" i="24"/>
  <c r="GF108" i="24"/>
  <c r="GC309" i="24"/>
  <c r="GF66" i="24"/>
  <c r="GC66" i="24"/>
  <c r="GE177" i="24"/>
  <c r="GE102" i="24"/>
  <c r="GD197" i="24"/>
  <c r="GE206" i="24"/>
  <c r="GD53" i="24"/>
  <c r="GE33" i="24"/>
  <c r="GD290" i="24"/>
  <c r="GC43" i="24"/>
  <c r="GD258" i="24"/>
  <c r="GE74" i="24"/>
  <c r="GC208" i="24"/>
  <c r="GE70" i="24"/>
  <c r="GF312" i="24"/>
  <c r="GE210" i="24"/>
  <c r="GE97" i="24"/>
  <c r="GC22" i="24"/>
  <c r="GF58" i="24"/>
  <c r="GD300" i="24"/>
  <c r="GE245" i="24"/>
  <c r="GD101" i="24"/>
  <c r="GD245" i="24"/>
  <c r="GE410" i="24"/>
  <c r="GD162" i="24"/>
  <c r="GC329" i="24"/>
  <c r="GF65" i="24"/>
  <c r="GD203" i="24"/>
  <c r="GD342" i="24"/>
  <c r="GC10" i="24"/>
  <c r="GC123" i="24"/>
  <c r="GD260" i="24"/>
  <c r="GF34" i="24"/>
  <c r="GF269" i="24"/>
  <c r="GF261" i="24"/>
  <c r="GD289" i="24"/>
  <c r="GE38" i="24"/>
  <c r="GE254" i="24"/>
  <c r="GE161" i="24"/>
  <c r="GE34" i="24"/>
  <c r="GE109" i="24"/>
  <c r="GE66" i="24"/>
  <c r="GF74" i="24"/>
  <c r="GD369" i="24"/>
  <c r="GC70" i="24"/>
  <c r="GC67" i="24"/>
  <c r="GF330" i="24"/>
  <c r="GC15" i="24"/>
  <c r="GE157" i="24"/>
  <c r="GC50" i="24"/>
  <c r="GE118" i="24"/>
  <c r="GE111" i="24"/>
  <c r="GD178" i="24"/>
  <c r="GE262" i="24"/>
  <c r="GD161" i="24"/>
  <c r="GE267" i="24"/>
  <c r="GE53" i="24"/>
  <c r="GF206" i="24"/>
  <c r="GC353" i="24"/>
  <c r="GE39" i="24"/>
  <c r="GD256" i="24"/>
  <c r="GD367" i="24"/>
  <c r="GE122" i="24"/>
  <c r="GD206" i="24"/>
  <c r="GC285" i="24"/>
  <c r="GC65" i="24"/>
  <c r="GF45" i="24"/>
  <c r="GC282" i="24"/>
  <c r="GD331" i="24"/>
  <c r="GC196" i="24"/>
  <c r="GD186" i="24"/>
  <c r="GC111" i="24"/>
  <c r="GC45" i="24"/>
  <c r="GF156" i="24"/>
  <c r="GF285" i="24"/>
  <c r="GD218" i="24"/>
  <c r="GF186" i="24"/>
  <c r="GF78" i="24"/>
  <c r="GE372" i="24"/>
  <c r="GF292" i="24"/>
  <c r="GD113" i="24"/>
  <c r="GF14" i="24"/>
  <c r="GC296" i="24"/>
  <c r="GC179" i="24"/>
  <c r="GC23" i="24"/>
  <c r="GF19" i="24"/>
  <c r="GD155" i="24"/>
  <c r="GD63" i="24"/>
  <c r="GF305" i="24"/>
  <c r="GF205" i="24"/>
  <c r="GD283" i="24"/>
  <c r="GF117" i="24"/>
  <c r="GD190" i="24"/>
  <c r="GD385" i="24"/>
  <c r="GE58" i="24"/>
  <c r="GD281" i="24"/>
  <c r="GD390" i="24"/>
  <c r="GD165" i="24"/>
  <c r="GE215" i="24"/>
  <c r="GD333" i="24"/>
  <c r="GD23" i="24"/>
  <c r="GF279" i="24"/>
  <c r="GD326" i="24"/>
  <c r="GC374" i="24"/>
  <c r="GE224" i="24"/>
  <c r="GC217" i="24"/>
  <c r="GF341" i="24"/>
  <c r="GF400" i="24"/>
  <c r="GE355" i="24"/>
  <c r="GF200" i="24"/>
  <c r="GE152" i="24"/>
  <c r="GE371" i="24"/>
  <c r="GD400" i="24"/>
  <c r="GD355" i="24"/>
  <c r="GF155" i="24"/>
  <c r="GD156" i="24"/>
  <c r="GD228" i="24"/>
  <c r="GC200" i="24"/>
  <c r="GE379" i="24"/>
  <c r="GF359" i="24"/>
  <c r="GC266" i="24"/>
  <c r="GF382" i="24"/>
  <c r="GC308" i="24"/>
  <c r="GF138" i="24"/>
  <c r="GF404" i="24"/>
  <c r="GF310" i="24"/>
  <c r="GE167" i="24"/>
  <c r="GE247" i="24"/>
  <c r="GC314" i="24"/>
  <c r="GD220" i="24"/>
  <c r="GD295" i="24"/>
  <c r="GE40" i="24"/>
  <c r="GE212" i="24"/>
  <c r="GF273" i="24"/>
  <c r="GD321" i="24"/>
  <c r="GE236" i="24"/>
  <c r="GC321" i="24"/>
  <c r="GF165" i="24"/>
  <c r="GC245" i="24"/>
  <c r="GC411" i="24"/>
  <c r="GC104" i="24"/>
  <c r="GD307" i="24"/>
  <c r="GD26" i="24"/>
  <c r="GC189" i="24"/>
  <c r="GD233" i="24"/>
  <c r="GD359" i="24"/>
  <c r="GD43" i="24"/>
  <c r="GE238" i="24"/>
  <c r="GD373" i="24"/>
  <c r="GD313" i="24"/>
  <c r="GE244" i="24"/>
  <c r="GE237" i="24"/>
  <c r="GE365" i="24"/>
  <c r="GC34" i="24"/>
  <c r="GC293" i="24"/>
  <c r="GC224" i="24"/>
  <c r="GC172" i="24"/>
  <c r="GD399" i="24"/>
  <c r="GD42" i="24"/>
  <c r="GC378" i="24"/>
  <c r="GD181" i="24"/>
  <c r="GC178" i="24"/>
  <c r="GE406" i="24"/>
  <c r="GD116" i="24"/>
  <c r="GF25" i="24"/>
  <c r="GD371" i="24"/>
  <c r="GF327" i="24"/>
  <c r="GE112" i="24"/>
  <c r="GE139" i="24"/>
  <c r="GE404" i="24"/>
  <c r="GF362" i="24"/>
  <c r="GC24" i="24"/>
  <c r="GE263" i="24"/>
  <c r="GE348" i="24"/>
  <c r="GD97" i="24"/>
  <c r="GC313" i="24"/>
  <c r="GC109" i="24"/>
  <c r="GC102" i="24"/>
  <c r="GE349" i="24"/>
  <c r="GD39" i="24"/>
  <c r="GE257" i="24"/>
  <c r="GE361" i="24"/>
  <c r="GE185" i="24"/>
  <c r="GC267" i="24"/>
  <c r="GD410" i="24"/>
  <c r="GC162" i="24"/>
  <c r="GF333" i="24"/>
  <c r="GF123" i="24"/>
  <c r="GE240" i="24"/>
  <c r="GD250" i="24"/>
  <c r="GE389" i="24"/>
  <c r="GF62" i="24"/>
  <c r="GC395" i="24"/>
  <c r="GC193" i="24"/>
  <c r="GD210" i="24"/>
  <c r="GE387" i="24"/>
  <c r="GF111" i="24"/>
  <c r="GC228" i="24"/>
  <c r="GC61" i="24"/>
  <c r="GE151" i="24"/>
  <c r="GC74" i="24"/>
  <c r="GF191" i="24"/>
  <c r="GF239" i="24"/>
  <c r="GD49" i="24"/>
  <c r="GE150" i="24"/>
  <c r="GD174" i="24"/>
  <c r="GF288" i="24"/>
  <c r="GE16" i="24"/>
  <c r="GC197" i="24"/>
  <c r="GF253" i="24"/>
  <c r="GC287" i="24"/>
  <c r="GE294" i="24"/>
  <c r="GC368" i="24"/>
  <c r="GD257" i="24"/>
  <c r="GE327" i="24"/>
  <c r="GC117" i="24"/>
  <c r="GC190" i="24"/>
  <c r="GC385" i="24"/>
  <c r="GC19" i="24"/>
  <c r="GF282" i="24"/>
  <c r="GE309" i="24"/>
  <c r="GF18" i="24"/>
  <c r="GD166" i="24"/>
  <c r="GC311" i="24"/>
  <c r="GE27" i="24"/>
  <c r="GC42" i="24"/>
  <c r="GF308" i="24"/>
  <c r="GC291" i="24"/>
  <c r="GC18" i="24"/>
  <c r="GE47" i="24"/>
  <c r="GD288" i="24"/>
  <c r="GE286" i="24"/>
  <c r="GC237" i="24"/>
  <c r="GD107" i="24"/>
  <c r="GC47" i="24"/>
  <c r="GD406" i="24"/>
  <c r="GC249" i="24"/>
  <c r="GD241" i="24"/>
  <c r="GD77" i="24"/>
  <c r="GD191" i="24"/>
  <c r="GE48" i="24"/>
  <c r="GF115" i="24"/>
  <c r="GE170" i="24"/>
  <c r="GF59" i="24"/>
  <c r="GC220" i="24"/>
  <c r="GF306" i="24"/>
  <c r="GF9" i="24"/>
  <c r="GD249" i="24"/>
  <c r="GD185" i="24"/>
  <c r="GC78" i="24"/>
  <c r="GE191" i="24"/>
  <c r="GD328" i="24"/>
  <c r="GF153" i="24"/>
  <c r="GC210" i="24"/>
  <c r="GF352" i="24"/>
  <c r="GD234" i="24"/>
  <c r="GF340" i="24"/>
  <c r="GD302" i="24"/>
  <c r="GD31" i="24"/>
  <c r="GD316" i="24"/>
  <c r="GD16" i="24"/>
  <c r="GC360" i="24"/>
  <c r="GE241" i="24"/>
  <c r="GF299" i="24"/>
  <c r="GD387" i="24"/>
  <c r="GC213" i="24"/>
  <c r="GC250" i="24"/>
  <c r="GC53" i="24"/>
  <c r="GE198" i="24"/>
  <c r="GC342" i="24"/>
  <c r="GE374" i="24"/>
  <c r="GC171" i="24"/>
  <c r="GC233" i="24"/>
  <c r="GC359" i="24"/>
  <c r="GE62" i="24"/>
  <c r="GC255" i="24"/>
  <c r="GC373" i="24"/>
  <c r="GC331" i="24"/>
  <c r="GC177" i="24"/>
  <c r="GC148" i="24"/>
  <c r="GC289" i="24"/>
  <c r="GD330" i="24"/>
  <c r="GC275" i="24"/>
  <c r="GC181" i="24"/>
  <c r="GC112" i="24"/>
  <c r="GC340" i="24"/>
  <c r="GC290" i="24"/>
  <c r="GE279" i="24"/>
  <c r="GD341" i="24"/>
  <c r="GD103" i="24"/>
  <c r="GC404" i="24"/>
  <c r="GD261" i="24"/>
  <c r="GD66" i="24"/>
  <c r="GD229" i="24"/>
  <c r="GF313"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4" i="3" l="1"/>
  <c r="CD224" i="3" s="1"/>
  <c r="DO224" i="3"/>
  <c r="CE224" i="3" s="1"/>
  <c r="DP224" i="3"/>
  <c r="CF224" i="3" s="1"/>
  <c r="DP233" i="3"/>
  <c r="CF233" i="3" s="1"/>
  <c r="DP227" i="3"/>
  <c r="CF227" i="3" s="1"/>
  <c r="DP229" i="3"/>
  <c r="CF229" i="3" s="1"/>
  <c r="DP228" i="3"/>
  <c r="DP230" i="3"/>
  <c r="CF230" i="3" s="1"/>
  <c r="DN227" i="3"/>
  <c r="CD227" i="3" s="1"/>
  <c r="DN226" i="3"/>
  <c r="CD226" i="3" s="1"/>
  <c r="DN225" i="3"/>
  <c r="CD225" i="3" s="1"/>
  <c r="DN230" i="3"/>
  <c r="CD230" i="3" s="1"/>
  <c r="DN229" i="3"/>
  <c r="CD229" i="3" s="1"/>
  <c r="DN228" i="3"/>
  <c r="CD228" i="3" s="1"/>
  <c r="DM229" i="3"/>
  <c r="CC229" i="3" s="1"/>
  <c r="DM228" i="3"/>
  <c r="CC228" i="3" s="1"/>
  <c r="DM225" i="3"/>
  <c r="CC225" i="3" s="1"/>
  <c r="DM227" i="3"/>
  <c r="CC227" i="3" s="1"/>
  <c r="DM226" i="3"/>
  <c r="CC226" i="3" s="1"/>
  <c r="DM224" i="3"/>
  <c r="CC224" i="3" s="1"/>
  <c r="DM230" i="3" l="1"/>
  <c r="CC230" i="3" s="1"/>
  <c r="DO229" i="3"/>
  <c r="CE229" i="3" s="1"/>
  <c r="DQ230" i="3"/>
  <c r="CG230" i="3" s="1"/>
  <c r="DQ224" i="3"/>
  <c r="CG224" i="3" s="1"/>
  <c r="DQ225" i="3"/>
  <c r="CG225" i="3" s="1"/>
  <c r="DQ226" i="3"/>
  <c r="CG226" i="3" s="1"/>
  <c r="DQ227" i="3"/>
  <c r="CG227" i="3" s="1"/>
  <c r="DO226" i="3"/>
  <c r="CE226" i="3" s="1"/>
  <c r="DQ228" i="3"/>
  <c r="CG228" i="3" s="1"/>
  <c r="DO228" i="3"/>
  <c r="CE228" i="3" s="1"/>
  <c r="DQ229" i="3"/>
  <c r="CG229" i="3" s="1"/>
  <c r="DO230" i="3"/>
  <c r="CE230" i="3" s="1"/>
  <c r="DP226" i="3"/>
  <c r="CF226" i="3" s="1"/>
  <c r="DP225" i="3"/>
  <c r="DP231" i="3"/>
  <c r="DP232" i="3"/>
  <c r="CF232" i="3" s="1"/>
  <c r="CH228" i="3" l="1"/>
  <c r="CF228" i="3" s="1"/>
  <c r="DO225" i="3"/>
  <c r="CE225" i="3" s="1"/>
  <c r="DO227" i="3"/>
  <c r="CE227" i="3" s="1"/>
  <c r="DQ233" i="3"/>
  <c r="CG233" i="3" s="1"/>
  <c r="DQ231" i="3"/>
  <c r="CG231" i="3" s="1"/>
  <c r="DQ232" i="3"/>
  <c r="CG232" i="3" s="1"/>
  <c r="CH225" i="3" l="1"/>
  <c r="CF225" i="3"/>
  <c r="DO231" i="3"/>
  <c r="CE231" i="3" s="1"/>
  <c r="DN231" i="3"/>
  <c r="CD231" i="3" s="1"/>
  <c r="DM231" i="3"/>
  <c r="CC231" i="3" s="1"/>
  <c r="DM232" i="3"/>
  <c r="CC232" i="3" s="1"/>
  <c r="DM233" i="3"/>
  <c r="CC233" i="3" s="1"/>
  <c r="DN233" i="3"/>
  <c r="CD233" i="3" s="1"/>
  <c r="DN232" i="3"/>
  <c r="CD232" i="3" s="1"/>
  <c r="DO232" i="3"/>
  <c r="CE232" i="3" s="1"/>
  <c r="DO233" i="3"/>
  <c r="CE233" i="3" s="1"/>
  <c r="DN24" i="3"/>
  <c r="CD24" i="3" s="1"/>
  <c r="DM24" i="3"/>
  <c r="CC24" i="3" s="1"/>
  <c r="DN25" i="3"/>
  <c r="DM25" i="3"/>
  <c r="CH231" i="3" l="1"/>
  <c r="CF231" i="3"/>
  <c r="GB40" i="24"/>
  <c r="GB366" i="24"/>
  <c r="GB319" i="24"/>
  <c r="GB332" i="24"/>
  <c r="GB251" i="24"/>
  <c r="GB383" i="24"/>
  <c r="GB56" i="24"/>
  <c r="GB312" i="24"/>
  <c r="GB293" i="24"/>
  <c r="J390" i="3" l="1"/>
  <c r="Y390" i="3" s="1"/>
  <c r="AC390" i="3"/>
  <c r="AA390" i="3"/>
  <c r="R390" i="3" l="1"/>
  <c r="AB390"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0"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6"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6"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4"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4"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5"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6"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6"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59"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59"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5"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6"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59"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59"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0"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1"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6"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69"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0"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1"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1"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2"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7"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8"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0"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0"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0"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0"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0"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0"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0"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0"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0"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1"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1"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1"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1"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1"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2"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2"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2"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2"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2"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7"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8"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8"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8"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1"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1"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1"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1"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2"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3"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4"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4"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4"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4"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5"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6"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7"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8"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0"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0"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2"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3"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3"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4"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4"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5"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5"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6"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6"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6"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6"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7"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7"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8"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49"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2"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3"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3"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3"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3"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4"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4"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5"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5"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5"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6"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6"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0"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8"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8"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39"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39"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0"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0"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3"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4"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7"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4"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0"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7"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0"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2"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4"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6"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7"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7"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7"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7"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0"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0"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0"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0"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1"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2"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2"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1"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1"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1"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2"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5"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5"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5"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2"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2"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5"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0"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0"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0"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1"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1"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2"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2"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2"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3"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5"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7"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<sst xmlns="http://schemas.openxmlformats.org/spreadsheetml/2006/main" count="10320" uniqueCount="2094">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</sst>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27" borderId="0" xfId="0" applyFont="1" applyFill="1" applyAlignment="1">
      <alignment horizontal="center"/>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8" borderId="0" xfId="0" applyFont="1" applyFill="1" applyAlignment="1">
      <alignment horizontal="center"/>
    </xf>
    <xf numFmtId="0" fontId="1" fillId="23" borderId="0" xfId="0" applyFont="1" applyFill="1" applyAlignment="1">
      <alignment horizontal="center"/>
    </xf>
    <xf numFmtId="0" fontId="1" fillId="14" borderId="0" xfId="0" applyFont="1" applyFill="1" applyAlignment="1">
      <alignment horizontal="center"/>
    </xf>
    <xf numFmtId="0" fontId="1" fillId="26" borderId="0" xfId="0" applyFont="1" applyFill="1" applyAlignment="1">
      <alignment horizontal="center"/>
    </xf>
    <xf numFmtId="0" fontId="1" fillId="42" borderId="0" xfId="0" applyFont="1" applyFill="1" applyAlignment="1">
      <alignment horizontal="center"/>
    </xf>
    <xf numFmtId="0" fontId="1" fillId="50" borderId="0" xfId="0" applyFont="1" applyFill="1" applyAlignment="1">
      <alignment horizontal="center"/>
    </xf>
    <xf numFmtId="0" fontId="1" fillId="25" borderId="0" xfId="0" applyFont="1" applyFill="1" applyAlignment="1">
      <alignment horizontal="center"/>
    </xf>
    <xf numFmtId="0" fontId="1" fillId="31" borderId="0" xfId="0" applyFont="1" applyFill="1" applyAlignment="1">
      <alignment horizontal="center"/>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8">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IESA-Opt-Dev_20250605_DMI/data/20250612_detailed_RFNBO.xlsx" TargetMode="External"/><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IESA-Opt-Dev_20250605_DMI/data/20250730_detailed_linked_v03.xlsx" TargetMode="External"/><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0"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6" dT="2024-11-07T14:28:12.16" personId="{8605C1BA-ACC6-44B7-B6BA-3B49ED35AE65}" id="{EDF60D6E-ED97-4040-A843-A2A4863A664B}">
    <text>Based on CBS 2022 82.1 PJ uitvoer elektriciteit</text>
  </threadedComment>
  <threadedComment ref="CP236" dT="2025-07-29T14:32:37.28" personId="{8605C1BA-ACC6-44B7-B6BA-3B49ED35AE65}" id="{7FCA2B5F-F92A-4390-82E6-D295DFDE839B}">
    <text>Based on CBS 2022 82.1 PJ uitvoer elektriciteit</text>
  </threadedComment>
  <threadedComment ref="BN254" dT="2024-11-11T16:15:33.63" personId="{8605C1BA-ACC6-44B7-B6BA-3B49ED35AE65}" id="{6707EBF9-2467-4985-AA4D-5270A3BB1077}">
    <text>Basedon CBS 2022</text>
  </threadedComment>
  <threadedComment ref="CI254" dT="2024-11-11T16:07:38.64" personId="{8605C1BA-ACC6-44B7-B6BA-3B49ED35AE65}" id="{EADE9CC6-1297-4B4D-A383-266C09525A45}">
    <text>Based on 25.6 PJ from CBS 2022</text>
  </threadedComment>
  <threadedComment ref="Q255" dT="2025-06-30T07:48:47.57" personId="{8605C1BA-ACC6-44B7-B6BA-3B49ED35AE65}" id="{CF582BA2-B668-42F1-BA81-F5F142CE2E2E}">
    <text>Small differences to avoid multiple solutions from different solar PV options</text>
  </threadedComment>
  <threadedComment ref="BN256" dT="2024-11-11T16:15:26.31" personId="{8605C1BA-ACC6-44B7-B6BA-3B49ED35AE65}" id="{3CDE9630-74FD-4AA4-9A9D-6DCB5C104391}">
    <text>Based on CBS 2022</text>
  </threadedComment>
  <threadedComment ref="CI256" dT="2024-11-11T16:07:26.03" personId="{8605C1BA-ACC6-44B7-B6BA-3B49ED35AE65}" id="{B0FF3508-944C-4809-B4B1-3D547F11993F}">
    <text>Based on 6.4 PJ from CBS 2022</text>
  </threadedComment>
  <threadedComment ref="BN259" dT="2024-11-11T16:15:17.53" personId="{8605C1BA-ACC6-44B7-B6BA-3B49ED35AE65}" id="{55787DFA-3389-4C48-A991-4B3E867991B1}">
    <text>Basedon 3.9 from CBS 2022</text>
  </threadedComment>
  <threadedComment ref="CI259" dT="2024-11-11T16:08:00.84" personId="{8605C1BA-ACC6-44B7-B6BA-3B49ED35AE65}" id="{9538FCB0-D5CE-45CB-AB8D-B722BC0E7785}">
    <text>Based on 12.0 PJ from CBS 2022</text>
  </threadedComment>
  <threadedComment ref="CI265" dT="2024-11-07T14:28:12.16" personId="{8605C1BA-ACC6-44B7-B6BA-3B49ED35AE65}" id="{5450DD12-E143-42D9-9DA9-883DF14418DD}">
    <text>Based on CBS 2022 66.8 PJ invoer elektriciteit</text>
  </threadedComment>
  <threadedComment ref="CB336" dT="2024-10-23T16:04:13.02" personId="{8605C1BA-ACC6-44B7-B6BA-3B49ED35AE65}" id="{EF26A737-05A6-4DB7-98F1-AC0E2C15E931}">
    <text>Based on CBS statistics, 2022 imports of 17.7 million kg (at 44 MJ/kg) -&gt; 779 PJ</text>
  </threadedComment>
  <threadedComment ref="I359"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59" dT="2025-04-03T11:48:07.93" personId="{7525724F-FAA8-4979-825E-563E74177B66}" id="{FA4411BF-17AE-4C0C-A170-856B584F44E0}" parentId="{527AA4E7-1503-4E91-81D7-34795B7F4124}">
    <text xml:space="preserve">Times 1.33 because the syncrude output is 1.33 PJ </text>
  </threadedComment>
  <threadedComment ref="O359" dT="2025-03-31T12:32:32.48" personId="{7525724F-FAA8-4979-825E-563E74177B66}" id="{CD7F1907-A574-49EC-BF0B-3224B87ECD16}">
    <text>Assumed linear cost decline to 2050</text>
  </threadedComment>
  <threadedComment ref="I360"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7:50.11" personId="{7525724F-FAA8-4979-825E-563E74177B66}" id="{9CBEC5AB-343C-4C93-AC11-FF005F4A0829}" parentId="{C763F92C-7CB7-4823-AF2F-62984950E283}">
    <text xml:space="preserve">Times 1.33 because the syncrude output is 1.33 PJ </text>
  </threadedComment>
  <threadedComment ref="I361"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8:11.95" personId="{7525724F-FAA8-4979-825E-563E74177B66}" id="{1D240A31-3511-46D5-93AA-9E3AAC2E07C4}" parentId="{44E90372-DCB5-47F8-9876-F6737B85A737}">
    <text xml:space="preserve">Times 1.33 because the syncrude output is 1.33 PJ </text>
  </threadedComment>
  <threadedComment ref="I362"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6.22" personId="{7525724F-FAA8-4979-825E-563E74177B66}" id="{42056DEB-572C-448C-87DF-C3F62539C3BE}" parentId="{157E30C9-DCEB-4334-98CF-D8A00BD2251C}">
    <text xml:space="preserve">Times 1.33 because the syncrude output is 1.33 PJ </text>
  </threadedComment>
  <threadedComment ref="I363"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1.95" personId="{7525724F-FAA8-4979-825E-563E74177B66}" id="{FC863B84-7126-44E2-A05B-BC13750C8E66}" parentId="{853C3584-C31D-41B9-B7AA-928ACE68FA97}">
    <text xml:space="preserve">Times 1.33 because the syncrude output is 1.33 PJ </text>
  </threadedComment>
  <threadedComment ref="I364"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6.22" personId="{7525724F-FAA8-4979-825E-563E74177B66}" id="{98F24F21-0E8E-469F-B7D5-790A31897BE0}" parentId="{1E3C3C87-A577-4DF3-94EA-2CBB9F5DF9F7}">
    <text xml:space="preserve">Times 1.33 because the syncrude output is 1.33 PJ </text>
  </threadedComment>
  <threadedComment ref="I365" dT="2025-06-26T13:18:34.97" personId="{8605C1BA-ACC6-44B7-B6BA-3B49ED35AE65}" id="{6FBFA007-7114-4949-9109-CFC35B68C7EA}">
    <text>Updated based on Poluzzi et al. &amp; Julia’s calculation (scaling factor)</text>
  </threadedComment>
  <threadedComment ref="I366" dT="2025-06-26T13:18:47.73" personId="{8605C1BA-ACC6-44B7-B6BA-3B49ED35AE65}" id="{9EA853B4-A3B6-4FA8-8801-FCB2E3F15C5B}">
    <text>Updated based on Poluzzi et al. &amp; Julia’s calculation (scaling factor)</text>
  </threadedComment>
  <threadedComment ref="I367"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7" dT="2025-06-03T09:34:57.13" personId="{8605C1BA-ACC6-44B7-B6BA-3B49ED35AE65}" id="{E91382AB-054D-4557-A762-AC5B43B87130}" parentId="{79D45D98-ECCA-405E-931B-74D549912315}">
    <text>Revised based on cluster model from Julia</text>
  </threadedComment>
  <threadedComment ref="I369"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0"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0" dT="2025-06-03T09:35:56.21" personId="{8605C1BA-ACC6-44B7-B6BA-3B49ED35AE65}" id="{2F9E2CFF-BEFB-41F9-97D7-F5C4DC504727}" parentId="{012046B6-38AF-41D9-88B4-9C5967EDE414}">
    <text>Revised based on cluster model from Julia</text>
  </threadedComment>
  <threadedComment ref="I371"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1" dT="2025-06-12T13:14:52.91" personId="{8605C1BA-ACC6-44B7-B6BA-3B49ED35AE65}" id="{9E6E78AB-EF42-4B01-B428-2CB42ED0842F}" parentId="{3FB05A61-A5DC-4B27-B89D-C568D1C2A5E9}">
    <text>For linking study, used pessimistic value, and no cost improvements</text>
  </threadedComment>
  <threadedComment ref="Q371" dT="2024-11-26T15:51:48.44" personId="{8605C1BA-ACC6-44B7-B6BA-3B49ED35AE65}" id="{E5CD5A8E-EC4B-4D09-8438-B454EB1C8FD4}">
    <text>4% of CAPEX as described in TNO factsheet</text>
  </threadedComment>
  <threadedComment ref="Q372" dT="2024-11-26T15:51:48.44" personId="{8605C1BA-ACC6-44B7-B6BA-3B49ED35AE65}" id="{8DF50C64-FAE1-40D6-A61C-041316599CE5}">
    <text>4% of CAPEX as described in TNO factsheet</text>
  </threadedComment>
  <threadedComment ref="I387"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8"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0" dT="2024-11-27T14:47:25.04" personId="{8605C1BA-ACC6-44B7-B6BA-3B49ED35AE65}" id="{E2C30691-1092-4C1C-AA85-86B29650F419}">
    <text>Based on ISPT (also TNO &amp; Krishnan papers), converted to 2022 currency</text>
  </threadedComment>
  <threadedComment ref="K390" dT="2024-11-27T14:56:26.68" personId="{8605C1BA-ACC6-44B7-B6BA-3B49ED35AE65}" id="{1CAE2F79-BFCE-41E0-B349-37C5FC9C7776}">
    <text>Krishnan et al. 2023 - average of 2030 range</text>
  </threadedComment>
  <threadedComment ref="K390" dT="2025-06-03T10:29:06.03" personId="{8605C1BA-ACC6-44B7-B6BA-3B49ED35AE65}" id="{765EDBC5-4674-48F4-9BBE-B9D25FCD60CB}" parentId="{1CAE2F79-BFCE-41E0-B349-37C5FC9C7776}">
    <text>Updated from Julia’s cluster model - very similar costs</text>
  </threadedComment>
  <threadedComment ref="L390" dT="2024-11-27T14:56:26.68" personId="{8605C1BA-ACC6-44B7-B6BA-3B49ED35AE65}" id="{BABF0C41-89FC-4388-81D1-CAB6F83F6EA4}">
    <text>Krishnan et al. 2023 - average of 2030 range</text>
  </threadedComment>
  <threadedComment ref="M390" dT="2024-11-27T14:56:26.68" personId="{8605C1BA-ACC6-44B7-B6BA-3B49ED35AE65}" id="{F80EEE27-9E14-4815-953B-8B17BF92BAED}">
    <text>Krishnan et al. 2023 - average of 2030 range</text>
  </threadedComment>
  <threadedComment ref="M390" dT="2025-06-03T10:29:06.03" personId="{8605C1BA-ACC6-44B7-B6BA-3B49ED35AE65}" id="{622BF7A8-987E-49BB-AEBB-CC329BCDC9DA}" parentId="{F80EEE27-9E14-4815-953B-8B17BF92BAED}">
    <text>Updated from Julia’s cluster model - very similar costs</text>
  </threadedComment>
  <threadedComment ref="M390" dT="2025-06-12T13:13:27.68" personId="{8605C1BA-ACC6-44B7-B6BA-3B49ED35AE65}" id="{B7E0FC7C-38FE-4F3A-90F1-B940E85FFEAF}" parentId="{F80EEE27-9E14-4815-953B-8B17BF92BAED}">
    <text>For linking study, constant CAPEX from 2030</text>
  </threadedComment>
  <threadedComment ref="O390" dT="2024-11-27T14:56:26.68" personId="{8605C1BA-ACC6-44B7-B6BA-3B49ED35AE65}" id="{C589F381-23D9-48CC-8E19-54DC45B7AFFF}">
    <text>Danish Energy Agency Tech catalogue AEC 100 MW average of 2050 range</text>
  </threadedComment>
  <threadedComment ref="O390" dT="2025-06-03T10:29:17.52" personId="{8605C1BA-ACC6-44B7-B6BA-3B49ED35AE65}" id="{15465270-4C04-481B-A3E6-A230E7A2A70B}" parentId="{C589F381-23D9-48CC-8E19-54DC45B7AFFF}">
    <text>Updated from Julia’s model, very similar costs</text>
  </threadedComment>
  <threadedComment ref="O390" dT="2025-06-12T13:13:48.04" personId="{8605C1BA-ACC6-44B7-B6BA-3B49ED35AE65}" id="{0ED2CA04-D6F8-435A-BC33-4EAED694BEF1}" parentId="{C589F381-23D9-48CC-8E19-54DC45B7AFFF}">
    <text>For linking study, constant CAPEX from 2030</text>
  </threadedComment>
  <threadedComment ref="Q390" dT="2024-11-27T15:16:08.60" personId="{8605C1BA-ACC6-44B7-B6BA-3B49ED35AE65}" id="{AC7A1106-27A9-44E8-95A9-C8AC6A8299A4}">
    <text>Based on percentages from TNO factsheets</text>
  </threadedComment>
  <threadedComment ref="X390"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0" dT="2024-11-29T11:52:50.36" personId="{8605C1BA-ACC6-44B7-B6BA-3B49ED35AE65}" id="{91F21462-EF11-42F6-8183-0DEEC4EAE24A}">
    <text>ISPT GW scale research</text>
  </threadedComment>
  <threadedComment ref="AS390"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0" dT="2024-11-27T15:17:31.40" personId="{8605C1BA-ACC6-44B7-B6BA-3B49ED35AE65}" id="{3E752B01-3BEB-4EC0-851C-CAB0BC159642}">
    <text>Updated but not yet added to data list, see comments</text>
  </threadedComment>
  <threadedComment ref="K391" dT="2024-11-27T14:56:31.90" personId="{8605C1BA-ACC6-44B7-B6BA-3B49ED35AE65}" id="{EC778AFD-3099-421E-8D5C-80C29E19A844}">
    <text>Krishnan et al. average of 2030 range</text>
  </threadedComment>
  <threadedComment ref="L391" dT="2024-11-27T14:56:31.90" personId="{8605C1BA-ACC6-44B7-B6BA-3B49ED35AE65}" id="{FA766223-2F6A-470B-A12A-C7A4B345A2A6}">
    <text>Krishnan et al. average of 2030 range</text>
  </threadedComment>
  <threadedComment ref="O391" dT="2024-11-27T14:56:31.90" personId="{8605C1BA-ACC6-44B7-B6BA-3B49ED35AE65}" id="{22E96A8C-3B0B-4C76-9D06-D212E717EA06}">
    <text>Danish Energy Agency Tech catalogue PEM 100 MW average of 2050 range</text>
  </threadedComment>
  <threadedComment ref="O391" dT="2025-06-12T13:14:01.62" personId="{8605C1BA-ACC6-44B7-B6BA-3B49ED35AE65}" id="{B85C452F-6056-4478-825D-1E288028E423}" parentId="{22E96A8C-3B0B-4C76-9D06-D212E717EA06}">
    <text>For linking study, constant from 2030</text>
  </threadedComment>
  <threadedComment ref="Q391" dT="2024-11-27T15:16:17.18" personId="{8605C1BA-ACC6-44B7-B6BA-3B49ED35AE65}" id="{20789F4A-C5FB-4254-9777-CCF01D4F111B}">
    <text>Based on percentages from TNO factsheets</text>
  </threadedComment>
  <threadedComment ref="X391"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1" dT="2024-11-27T15:17:52.20" personId="{8605C1BA-ACC6-44B7-B6BA-3B49ED35AE65}" id="{CFC433E4-85C8-44C7-A6BD-F063C2E3C60B}">
    <text>Updated but not yet added to data list, see comments</text>
  </threadedComment>
  <threadedComment ref="I392"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2"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2" dT="2024-11-27T15:44:03.67" personId="{8605C1BA-ACC6-44B7-B6BA-3B49ED35AE65}" id="{98645B3D-D0AF-4AAE-91A4-760351C83159}" parentId="{7ACB3EFF-BF5A-4BFB-8A70-CADA5419E292}">
    <text>Used upper range of 2050 value</text>
  </threadedComment>
  <threadedComment ref="O392" dT="2025-06-12T13:14:19.11" personId="{8605C1BA-ACC6-44B7-B6BA-3B49ED35AE65}" id="{CB6282DE-EB59-489D-9FF8-0D13511BE480}">
    <text>For linking study, constant from 2030</text>
  </threadedComment>
  <threadedComment ref="Q392" dT="2024-11-29T09:36:45.38" personId="{8605C1BA-ACC6-44B7-B6BA-3B49ED35AE65}" id="{C5152D7B-D0DB-4004-A790-D2E95258A6C0}">
    <text>12% of CAPEX (from Danish Energy Agency technology catalogue)</text>
  </threadedComment>
  <threadedComment ref="X392"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2"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7" dT="2025-07-01T12:53:18.66" personId="{8605C1BA-ACC6-44B7-B6BA-3B49ED35AE65}" id="{EDA4326B-EFE6-42E2-B682-E662DB378EA9}">
    <text>Lobelle et al. table, value for 2017 but no more recent data</text>
  </threadedComment>
  <threadedComment ref="CB417" dT="2025-07-01T12:53:35.54" personId="{8605C1BA-ACC6-44B7-B6BA-3B49ED35AE65}" id="{4003FF95-54DD-4A79-9215-7F6420843016}" parentId="{EDA4326B-EFE6-42E2-B682-E662DB378EA9}">
    <text>Materiaal Monitor puts the value at 1000 kt, which is used for 2025 onwards.</text>
  </threadedComment>
  <threadedComment ref="CB418"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5-03-14T12:27:49.96" personId="{7525724F-FAA8-4979-825E-563E74177B66}" id="{3200780D-AA9E-43E0-8E7A-D07C5C0C3633}" parentId="{4673BAAC-A6E8-400E-8E6A-0882424B475B}">
    <text>Updated from CE Delft Bioscope</text>
  </threadedComment>
  <threadedComment ref="CH418"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8" dT="2025-03-14T12:28:03.46" personId="{7525724F-FAA8-4979-825E-563E74177B66}" id="{FF8682ED-CFAB-48E3-803D-49FB53BC3B40}" parentId="{1C914880-ACD9-41E3-BEEC-4FC350901124}">
    <text>Updated from CE Delft Bioscope</text>
  </threadedComment>
  <threadedComment ref="CH419"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1" dT="2024-11-29T09:41:06.88" personId="{8605C1BA-ACC6-44B7-B6BA-3B49ED35AE65}" id="{34A52C14-B5A6-4605-AC77-4EF64B1AD109}">
    <text>Updated based on ENSPRESO project, Med scenario - MINBIOCRP31 (miscanthus, switchgrass, RCG)</text>
  </threadedComment>
  <threadedComment ref="CD421" dT="2024-11-29T09:41:06.88" personId="{8605C1BA-ACC6-44B7-B6BA-3B49ED35AE65}" id="{163FCD87-E460-46C1-9986-74DC958D8038}">
    <text>Updated based on ENSPRESO project, Med scenario - MINBIOCRP31 (miscanthus, switchgrass, RCG)</text>
  </threadedComment>
  <threadedComment ref="CF421" dT="2024-11-29T09:41:06.88" personId="{8605C1BA-ACC6-44B7-B6BA-3B49ED35AE65}" id="{382866ED-CC6D-42DA-97DC-95CAAA45CE34}">
    <text>Updated based on ENSPRESO project, Med scenario - MINBIOCRP31 (miscanthus, switchgrass, RCG)</text>
  </threadedComment>
  <threadedComment ref="CH421" dT="2024-11-29T09:41:06.88" personId="{8605C1BA-ACC6-44B7-B6BA-3B49ED35AE65}" id="{82BC1229-3F33-4E11-811C-E06E1408B700}">
    <text>Updated based on ENSPRESO project, Med scenario - MINBIOCRP31 (miscanthus, switchgrass, RCG)</text>
  </threadedComment>
  <threadedComment ref="CB422" dT="2024-11-29T09:41:06.88" personId="{8605C1BA-ACC6-44B7-B6BA-3B49ED35AE65}" id="{2E1B26F3-98EE-40CD-8C4A-9C90B40BDDBA}">
    <text>Updated based on ENSPRESO project, Med scenario - MINBIOAGRW1 (agricultural waste)</text>
  </threadedComment>
  <threadedComment ref="CB423" dT="2024-11-29T09:41:06.88" personId="{8605C1BA-ACC6-44B7-B6BA-3B49ED35AE65}" id="{5AA3DA6D-1BE0-4343-A533-BD887E91640F}">
    <text>Updated based on ENSPRESO project, Med scenario - MINBIOSLU1 (sludge)</text>
  </threadedComment>
  <threadedComment ref="CB424" dT="2024-11-29T09:41:06.88" personId="{8605C1BA-ACC6-44B7-B6BA-3B49ED35AE65}" id="{FAF2B650-FC74-4AA3-8A97-91EDFB9F6724}">
    <text>Updated based on ENSPRESO project, Med scenario HIGH - MINBIOGAS1 (manure solid, liquid)</text>
  </threadedComment>
  <threadedComment ref="CD424" dT="2024-11-29T09:41:06.88" personId="{8605C1BA-ACC6-44B7-B6BA-3B49ED35AE65}" id="{F91B7F1B-A81A-41A2-A45B-A73E981AB6C4}">
    <text>Updated based on ENSPRESO project, Med scenario - MINBIOGAS1 (manure solid, liquid)</text>
  </threadedComment>
  <threadedComment ref="CF424" dT="2024-11-29T09:41:06.88" personId="{8605C1BA-ACC6-44B7-B6BA-3B49ED35AE65}" id="{6CFBC518-6408-4E32-825F-C1610266190A}">
    <text>Updated based on ENSPRESO project, Med scenario - MINBIOGAS1 (manure solid, liquid)</text>
  </threadedComment>
  <threadedComment ref="CH424" dT="2024-11-29T09:41:06.88" personId="{8605C1BA-ACC6-44B7-B6BA-3B49ED35AE65}" id="{47D3725D-6607-4EE0-ADF7-E32EDFC1AC69}">
    <text>Updated based on ENSPRESO project, Med scenario - MINBIOGAS1 (manure solid, liquid)</text>
  </threadedComment>
  <threadedComment ref="CB425" dT="2024-11-29T09:41:06.88" personId="{8605C1BA-ACC6-44B7-B6BA-3B49ED35AE65}" id="{CF37514D-1597-4501-8862-1BD5E09F8CA2}">
    <text>Updated based on ENSPRESO project, Med scenario - MINBIOCRP21 (sugar from sugar beet)</text>
  </threadedComment>
  <threadedComment ref="CB426" dT="2024-11-29T09:41:06.88" personId="{8605C1BA-ACC6-44B7-B6BA-3B49ED35AE65}" id="{5E0AAC94-EFDF-4E80-9C00-E146B397CFDB}">
    <text>No data available from ENSPRESO</text>
  </threadedComment>
  <threadedComment ref="CB427" dT="2024-11-29T09:41:06.88" personId="{8605C1BA-ACC6-44B7-B6BA-3B49ED35AE65}" id="{806CB0F0-6E85-45B4-BD40-086ED57622F6}">
    <text>Updated based on ENSPRESO project, Med scenario - MINBIOLIQ1 (sunflower, soya seed) &amp; MINBIORPS1 (rapeseed)</text>
  </threadedComment>
  <threadedComment ref="CB428" dT="2025-06-26T13:07:34.36" personId="{8605C1BA-ACC6-44B7-B6BA-3B49ED35AE65}" id="{0F183645-3247-40F9-91BA-A6A9B7383CA1}">
    <text>Updated based on ESNPRESO - total EU potential minus NL (MINBIOLIQ1)</text>
  </threadedComment>
  <threadedComment ref="X440" dT="2025-04-02T15:07:33.75" personId="{8605C1BA-ACC6-44B7-B6BA-3B49ED35AE65}" id="{C8A86A82-BC0C-4309-BA96-F1D937B2EAD3}">
    <text>MIDDEN report table 4, in range for 89% of market</text>
  </threadedComment>
  <threadedComment ref="CB440"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2"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3" dT="2025-03-18T15:37:18.52" personId="{8605C1BA-ACC6-44B7-B6BA-3B49ED35AE65}" id="{BD89145D-22CE-47B6-AF2D-9A20F70C6B77}">
    <text>Zhang et al. 2020, Table 1, price for secondary material, recycling for concrete industry</text>
  </threadedComment>
  <threadedComment ref="CB443" dT="2025-03-20T15:21:02.50" personId="{8605C1BA-ACC6-44B7-B6BA-3B49ED35AE65}" id="{082C45E5-5C27-4E7B-A30A-C2CACA6303CA}">
    <text>Zhang et al 2020
BAU 2025 sum of all EOL concrete
Minus road base use (not modelled)</text>
  </threadedComment>
  <threadedComment ref="X444"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4" dT="2025-07-31T21:26:09.02" personId="{8605C1BA-ACC6-44B7-B6BA-3B49ED35AE65}" id="{31EC526B-2CAB-4EB8-A1D3-8715D3E5DAE5}" parentId="{7A08BF17-9F85-4E1C-BC81-E804D1EE2BBD}">
    <text>Assumed half the cost of end-of-life concrete to avoid numerical instability</text>
  </threadedComment>
  <threadedComment ref="CB444" dT="2025-03-20T15:18:20.58" personId="{8605C1BA-ACC6-44B7-B6BA-3B49ED35AE65}" id="{B62E5AF4-AFB6-4316-8EE3-7E89CB04376F}">
    <text>Materiaalvoorradenmonitor 2024, ceramic in buildings multiplied by average demolition rate for houses / non-houses from CBS</text>
  </threadedComment>
  <threadedComment ref="I445"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5"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5"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5"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5" dT="2025-06-20T15:12:46.90" personId="{8605C1BA-ACC6-44B7-B6BA-3B49ED35AE65}" id="{0CB3D0E7-2EE4-41DA-9091-FA954BCD7E3C}" parentId="{0A21F33F-9B13-4845-BFEE-1326611C8D95}">
    <text>Largest factor in concrete cost is raw materials (esp cement)</text>
  </threadedComment>
  <threadedComment ref="BN445" dT="2025-03-05T16:03:54.48" personId="{8605C1BA-ACC6-44B7-B6BA-3B49ED35AE65}" id="{0875A096-0E3E-48F1-A20E-CF55F429C9F6}">
    <text>Based on 2015 statistics from ERMCO, via Zhang et al 2020</text>
  </threadedComment>
  <threadedComment ref="G446"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6" dT="2025-06-18T14:34:39.51" personId="{8605C1BA-ACC6-44B7-B6BA-3B49ED35AE65}" id="{38DD45EA-3BD4-4817-AACD-6F4EF708D99D}">
    <text xml:space="preserve">Betonakkoord - 350 km3 saved per year through reuse of existing structures/renovation
</text>
  </threadedComment>
  <threadedComment ref="CD446"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6"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7" dT="2025-06-20T09:05:03.04" personId="{8605C1BA-ACC6-44B7-B6BA-3B49ED35AE65}" id="{6D130EC8-C6E8-4FB7-B335-7AF6EC01B722}">
    <text>Based on the Betonakkoord CO2 Roadmap estimates. Demand reduction (produces concrete)</text>
  </threadedComment>
  <threadedComment ref="CC447" dT="2025-06-18T15:01:29.52" personId="{8605C1BA-ACC6-44B7-B6BA-3B49ED35AE65}" id="{593A6914-7EF8-4714-BCE6-90B3AC06D3CA}">
    <text>And 75 km3 per year via reuse of columns and beams as foundation
Betonakkoord</text>
  </threadedComment>
  <threadedComment ref="X448" dT="2025-03-19T13:37:59.75" personId="{8605C1BA-ACC6-44B7-B6BA-3B49ED35AE65}" id="{854ECFAE-430B-49F3-994E-2E72050DA2CB}">
    <text>Zhang et al 2019, Table 4 cost data (virgin material cost)</text>
  </threadedComment>
  <threadedComment ref="X449" dT="2025-03-19T13:37:59.75" personId="{8605C1BA-ACC6-44B7-B6BA-3B49ED35AE65}" id="{997A0044-6103-4D09-B4B6-C4A79514EB96}">
    <text>Zhang et al 2019, Table 4 cost data (virgin material cost)</text>
  </threadedComment>
  <threadedComment ref="X450"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2" dT="2025-03-19T13:43:26.22" personId="{8605C1BA-ACC6-44B7-B6BA-3B49ED35AE65}" id="{3EC4A03A-5121-4B45-8A1C-BCBADD91C371}">
    <text>Costs from Table 4 in Zhang et al. 2019 Equipment Cost
Unclear how many hours of operation are required per tonne of material processed</text>
  </threadedComment>
  <threadedComment ref="I452"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3"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3"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3"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3" dT="2025-03-19T12:36:37.11" personId="{8605C1BA-ACC6-44B7-B6BA-3B49ED35AE65}" id="{C0EF4D0C-9318-4281-9E74-FF2DB425AE3E}">
    <text>Tam 2008</text>
  </threadedComment>
  <threadedComment ref="CD453"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4"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4"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4" dT="2025-03-19T12:36:41.93" personId="{8605C1BA-ACC6-44B7-B6BA-3B49ED35AE65}" id="{5DA375B6-D86A-4859-A36B-53828267158F}">
    <text>Tam 2008</text>
  </threadedComment>
  <threadedComment ref="CD454" dT="2025-05-13T09:47:15.44" personId="{8605C1BA-ACC6-44B7-B6BA-3B49ED35AE65}" id="{5BA17C3E-93A2-42E8-86C2-CECCED51D78A}">
    <text>10% of total cement demand potential in 2030, increasing to 30% by 2050 (see appendix of paper)(Fu &amp; Lee). Assumed same density SCM vs. cement.</text>
  </threadedComment>
  <threadedComment ref="I455"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5"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5" dT="2025-03-19T12:36:41.93" personId="{8605C1BA-ACC6-44B7-B6BA-3B49ED35AE65}" id="{3713FD56-ACAB-458C-B40D-8891EC39538E}">
    <text>Tam 2008</text>
  </threadedComment>
  <threadedComment ref="CD455"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6" dT="2025-05-13T09:41:38.70" personId="{8605C1BA-ACC6-44B7-B6BA-3B49ED35AE65}" id="{74ABF320-C216-4EEC-BC96-C92BEE52A9F7}">
    <text>Assumed same cost as crushing for SCM</text>
  </threadedComment>
  <threadedComment ref="CD456" dT="2025-05-13T09:45:22.75" personId="{8605C1BA-ACC6-44B7-B6BA-3B49ED35AE65}" id="{2C3377CC-AB5C-4A66-9B3D-01D288EAD9A1}">
    <text>Assumed 20% potential by 2030, increasing to 50% by 2050 (see appendix of paper)(Fu &amp; Lee)</text>
  </threadedComment>
  <threadedComment ref="CB460"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8" dT="2025-07-14T11:54:08.99" personId="{8605C1BA-ACC6-44B7-B6BA-3B49ED35AE65}" id="{53FEEF1F-C496-401F-B36E-B9E9502FCDE5}">
    <text>47% less energy use than virgin production</text>
  </threadedComment>
  <threadedComment ref="DO138" dT="2025-07-14T11:54:08.99" personId="{8605C1BA-ACC6-44B7-B6BA-3B49ED35AE65}" id="{3548FAC9-72EC-4A58-B5D8-BF0907D72AA4}">
    <text>47% less energy use than virgin production</text>
  </threadedComment>
  <threadedComment ref="F139" dT="2025-07-14T11:38:42.69" personId="{8605C1BA-ACC6-44B7-B6BA-3B49ED35AE65}" id="{65875D08-637B-4178-8427-E940A6998797}">
    <text>Assumed to include repolymerization because of model scope (monomer not explicit)</text>
  </threadedComment>
  <threadedComment ref="F139"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39" dT="2025-07-15T09:39:08.87" personId="{8605C1BA-ACC6-44B7-B6BA-3B49ED35AE65}" id="{BEC5365E-1675-4900-84BE-B6316AE7394F}">
    <text>Assumed similar yield to glycolysis</text>
  </threadedComment>
  <threadedComment ref="DH140" dT="2025-07-14T11:54:08.99" personId="{8605C1BA-ACC6-44B7-B6BA-3B49ED35AE65}" id="{D971FD4D-DBF4-4E11-9E3A-3458A519EF1B}">
    <text>47% less energy use than virgin production</text>
  </threadedComment>
  <threadedComment ref="DO140" dT="2025-07-14T11:54:08.99" personId="{8605C1BA-ACC6-44B7-B6BA-3B49ED35AE65}" id="{031C1276-06B6-434C-868C-A1202863BC87}">
    <text>47% less energy use than virgin production</text>
  </threadedComment>
  <threadedComment ref="DI273" dT="2025-05-02T10:49:25.07" personId="{8605C1BA-ACC6-44B7-B6BA-3B49ED35AE65}" id="{1BB8E577-FD59-43B0-BE54-3770EF2D0756}">
    <text>Updated based on cluster model</text>
  </threadedComment>
  <threadedComment ref="DI284" dT="2025-05-02T10:49:25.07" personId="{8605C1BA-ACC6-44B7-B6BA-3B49ED35AE65}" id="{6593E699-63F2-4EF2-AEB2-6987B58B36FF}">
    <text>Updated based on cluster model</text>
  </threadedComment>
  <threadedComment ref="DI297" dT="2025-05-02T10:49:25.07" personId="{8605C1BA-ACC6-44B7-B6BA-3B49ED35AE65}" id="{E2EE3FED-33EA-4124-8F8B-5A8D9E0F5681}">
    <text>Updated based on cluster model</text>
  </threadedComment>
  <threadedComment ref="DI304" dT="2025-05-02T10:49:25.07" personId="{8605C1BA-ACC6-44B7-B6BA-3B49ED35AE65}" id="{0FE4F90F-A872-4147-B5B3-05C2F7C1D12E}">
    <text>Updated based on cluster model</text>
  </threadedComment>
  <threadedComment ref="DH320" dT="2025-05-02T10:49:25.07" personId="{8605C1BA-ACC6-44B7-B6BA-3B49ED35AE65}" id="{3817C2BA-E95E-48BC-A937-F43A80D52AC2}">
    <text>Updated based on cluster model</text>
  </threadedComment>
  <threadedComment ref="AG337"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0"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2"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4"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6" dT="2025-07-29T12:32:51.63" personId="{8605C1BA-ACC6-44B7-B6BA-3B49ED35AE65}" id="{9933C29B-1500-469E-8657-5593F524103A}">
    <text>Electricity input neglected to avoid numerical issues</text>
  </threadedComment>
  <threadedComment ref="H367" dT="2025-05-02T10:55:04.60" personId="{8605C1BA-ACC6-44B7-B6BA-3B49ED35AE65}" id="{7060E41D-A36E-4DC9-8EE7-3705C0AC3271}">
    <text>Updated based on cluster model</text>
  </threadedComment>
  <threadedComment ref="DH367" dT="2025-05-02T10:53:01.27" personId="{8605C1BA-ACC6-44B7-B6BA-3B49ED35AE65}" id="{635B43F4-D707-4D8A-8CC5-372D2A482793}">
    <text>Updated based on cluster model</text>
  </threadedComment>
  <threadedComment ref="DO367" dT="2025-05-02T10:53:14.08" personId="{8605C1BA-ACC6-44B7-B6BA-3B49ED35AE65}" id="{82AE99DC-7A52-4396-90C3-452B1D1BB852}">
    <text>Updated based on cluster model</text>
  </threadedComment>
  <threadedComment ref="EM367" dT="2025-05-02T10:54:06.11" personId="{8605C1BA-ACC6-44B7-B6BA-3B49ED35AE65}" id="{C5E7CC56-149B-4100-A855-BC15FACCE41F}">
    <text>Updated based on cluster model (very similar values)</text>
  </threadedComment>
  <threadedComment ref="DH370" dT="2025-05-02T10:58:06.04" personId="{8605C1BA-ACC6-44B7-B6BA-3B49ED35AE65}" id="{D1699EA9-2195-4A25-B159-84E11843A6E2}">
    <text>Updated from cluster model</text>
  </threadedComment>
  <threadedComment ref="DO370" dT="2025-05-02T10:58:39.82" personId="{8605C1BA-ACC6-44B7-B6BA-3B49ED35AE65}" id="{442B3202-805C-49F9-861D-B7F16939F84E}">
    <text>Updated from cluster model</text>
  </threadedComment>
  <threadedComment ref="EG370" dT="2025-05-02T10:59:17.15" personId="{8605C1BA-ACC6-44B7-B6BA-3B49ED35AE65}" id="{6E7175FA-E91E-4908-B903-C753D18CEE3C}">
    <text>Updated from cluster model</text>
  </threadedComment>
  <threadedComment ref="DH390" dT="2024-11-29T12:16:38.08" personId="{8605C1BA-ACC6-44B7-B6BA-3B49ED35AE65}" id="{DD0BEEA3-1991-46F1-AB29-E31F5BF0A967}">
    <text>2020 efficiency from Danish Energy Agency catalogue (19.1 kg/MWh input)
For AEC 1 GW</text>
  </threadedComment>
  <threadedComment ref="DH391" dT="2024-11-29T12:16:38.08" personId="{8605C1BA-ACC6-44B7-B6BA-3B49ED35AE65}" id="{BEDB5BE0-ADE6-4D44-BA38-9962D33B67A0}">
    <text>2020 efficiency from Danish Energy Agency catalogue (17.8 kg/MWh input)
For PEMEC 1 GW</text>
  </threadedComment>
  <threadedComment ref="DH392" dT="2024-11-29T12:16:38.08" personId="{8605C1BA-ACC6-44B7-B6BA-3B49ED35AE65}" id="{ADD53CFF-CAEC-4A49-A749-C70C933E8908}">
    <text>2020 efficiency from Danish Energy Agency catalogue (24.7 kg/MWh input * 79.5% electricity in total input)
For SOEC 100 MW</text>
  </threadedComment>
  <threadedComment ref="DO392" dT="2024-11-29T12:16:38.08" personId="{8605C1BA-ACC6-44B7-B6BA-3B49ED35AE65}" id="{5E6C0831-A365-47AB-B4F7-72717341C7E3}">
    <text>2020 efficiency from Danish Energy Agency catalogue (24.7 kg/MWh input * 20.5% electricity in total input). For SOEC 100 MW</text>
  </threadedComment>
  <threadedComment ref="DH401" dT="2025-05-02T11:15:48.85" personId="{8605C1BA-ACC6-44B7-B6BA-3B49ED35AE65}" id="{0E3A7BDA-D14B-4E63-B23F-BE4FBD5405DD}">
    <text>Updated from cluster model</text>
  </threadedComment>
  <threadedComment ref="DO401" dT="2025-05-02T11:15:37.50" personId="{8605C1BA-ACC6-44B7-B6BA-3B49ED35AE65}" id="{10059675-5422-4DDA-A222-29C0B2E2D23B}">
    <text>Updated from cluster model</text>
  </threadedComment>
  <threadedComment ref="EJ401" dT="2025-05-02T11:15:25.48" personId="{8605C1BA-ACC6-44B7-B6BA-3B49ED35AE65}" id="{614B9D65-A52D-4C61-9BCF-48547B0EE5A8}">
    <text>Updated from cluster model</text>
  </threadedComment>
  <threadedComment ref="DH402" dT="2025-05-02T11:15:48.85" personId="{8605C1BA-ACC6-44B7-B6BA-3B49ED35AE65}" id="{B326B448-DC67-4F50-8CF7-DEB908500772}">
    <text>Updated from cluster model</text>
  </threadedComment>
  <threadedComment ref="DO402" dT="2025-05-02T11:15:37.50" personId="{8605C1BA-ACC6-44B7-B6BA-3B49ED35AE65}" id="{4AB9F1F6-372E-4845-A491-FC2CD13EE7C7}">
    <text>Updated from cluster model</text>
  </threadedComment>
  <threadedComment ref="EJ402" dT="2025-05-02T11:15:25.48" personId="{8605C1BA-ACC6-44B7-B6BA-3B49ED35AE65}" id="{CAB00208-7533-4ECE-B7E7-5D4C07C9674C}">
    <text>Updated from cluster model</text>
  </threadedComment>
  <threadedComment ref="DH405" dT="2025-05-05T10:53:59.73" personId="{8605C1BA-ACC6-44B7-B6BA-3B49ED35AE65}" id="{31898F7D-07B2-40ED-8076-EBBE85086C7D}">
    <text>Updated from cluster data</text>
  </threadedComment>
  <threadedComment ref="DO405" dT="2025-05-05T10:55:24.35" personId="{8605C1BA-ACC6-44B7-B6BA-3B49ED35AE65}" id="{DD81F1EC-8F91-49C4-9A8F-A5CE02059387}">
    <text>Updated from cluster data</text>
  </threadedComment>
  <threadedComment ref="DP405" dT="2025-05-05T10:56:02.86" personId="{8605C1BA-ACC6-44B7-B6BA-3B49ED35AE65}" id="{8F461CFD-1047-45D2-98C0-BCAD118218CA}">
    <text>Updated from cluster model</text>
  </threadedComment>
  <threadedComment ref="DH442" dT="2025-04-02T15:35:46.09" personId="{8605C1BA-ACC6-44B7-B6BA-3B49ED35AE65}" id="{CB5A5C0D-3C99-4FCE-9BEE-D64C4630CE91}">
    <text>MIDDEN report on salt - Figure 1 total electricity consumption</text>
  </threadedComment>
  <threadedComment ref="DO442" dT="2025-04-02T15:35:46.09" personId="{8605C1BA-ACC6-44B7-B6BA-3B49ED35AE65}" id="{105E2956-9F2F-4087-A21E-F3DCDF76B6A3}">
    <text>MIDDEN report on salt - Figure 1 total heat consumption</text>
  </threadedComment>
  <threadedComment ref="CG445" dT="2025-03-05T16:05:46.17" personId="{8605C1BA-ACC6-44B7-B6BA-3B49ED35AE65}" id="{F690DAF2-7F2D-4CE7-BCEB-70E5791FFAB9}">
    <text>Based on Zhang et al. 2020, Table 2 (composition of 1 M3 hardened concrete)</text>
  </threadedComment>
  <threadedComment ref="CG450" dT="2025-03-19T13:31:22.77" personId="{8605C1BA-ACC6-44B7-B6BA-3B49ED35AE65}" id="{19B306EA-91BA-4C48-907F-9CF952F2EAC0}">
    <text>Values from Zhang et al 2019, p 654, description of ADR + HAS system</text>
  </threadedComment>
  <threadedComment ref="DH450" dT="2025-03-25T13:59:32.20" personId="{8605C1BA-ACC6-44B7-B6BA-3B49ED35AE65}" id="{A5A0620E-E0EF-4778-8CC9-4E775B74F2AF}">
    <text>Supplementary information Zhang et al 2019</text>
  </threadedComment>
  <threadedComment ref="DU450"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1" dT="2025-03-19T13:23:30.07" personId="{8605C1BA-ACC6-44B7-B6BA-3B49ED35AE65}" id="{4612922E-9F06-48D0-BC95-3F33895200C0}">
    <text>Assumed the same as concrete recycling</text>
  </threadedComment>
  <threadedComment ref="DH451" dT="2025-03-19T10:17:04.75" personId="{8605C1BA-ACC6-44B7-B6BA-3B49ED35AE65}" id="{6203CF3A-5F84-4F6C-AD90-8C04C5F28D36}">
    <text>Samadi et al 2020
Table 9, CFA (ceramic fine aggregate)</text>
  </threadedComment>
  <threadedComment ref="CK452" dT="2025-03-19T13:23:30.07" personId="{8605C1BA-ACC6-44B7-B6BA-3B49ED35AE65}" id="{F1A9F5FF-1321-4A49-AEAE-E943C47B290D}">
    <text>Samadi et al section 2.1</text>
  </threadedComment>
  <threadedComment ref="DH452" dT="2025-03-19T10:17:38.29" personId="{8605C1BA-ACC6-44B7-B6BA-3B49ED35AE65}" id="{82760936-EF29-4066-85A1-F6EE6E9DF295}">
    <text>Samadi et al 2020
Table 9, GC (ground ceramic)</text>
  </threadedComment>
  <threadedComment ref="DU452"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3" dT="2025-03-19T13:23:03.51" personId="{8605C1BA-ACC6-44B7-B6BA-3B49ED35AE65}" id="{305D3879-906F-47E6-B538-87FC7D3A5086}">
    <text>Based on in and outputs from Tam 2008 (sum of all sizes of aggregate output)</text>
  </threadedComment>
  <threadedComment ref="CG455" dT="2025-03-05T16:05:46.17" personId="{8605C1BA-ACC6-44B7-B6BA-3B49ED35AE65}" id="{56230820-4D15-49C2-A351-20A5AE3F6801}">
    <text>Based on Zhang et al. 2020, Table 2 (composition of 1 M3 hardened concrete)</text>
  </threadedComment>
  <threadedComment ref="CG457"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2017</v>
      </c>
      <c r="B74" s="211" t="s">
        <v>2018</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2019</v>
      </c>
      <c r="S74" s="83"/>
    </row>
    <row r="75" spans="1:35" x14ac:dyDescent="0.35">
      <c r="A75" s="211" t="s">
        <v>2020</v>
      </c>
      <c r="B75" s="211" t="s">
        <v>2021</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2022</v>
      </c>
      <c r="B76" s="211" t="s">
        <v>2023</v>
      </c>
      <c r="C76" s="211">
        <v>0</v>
      </c>
      <c r="D76" s="211">
        <v>0</v>
      </c>
      <c r="E76" s="211">
        <v>0</v>
      </c>
      <c r="F76" s="211">
        <v>0</v>
      </c>
      <c r="G76" s="211">
        <v>0</v>
      </c>
      <c r="H76" s="211">
        <v>0</v>
      </c>
      <c r="I76" s="211">
        <v>0</v>
      </c>
      <c r="J76" s="14"/>
      <c r="K76" s="33" t="s">
        <v>318</v>
      </c>
      <c r="L76" s="33" t="s">
        <v>418</v>
      </c>
      <c r="M76" s="211" t="s">
        <v>320</v>
      </c>
      <c r="N76" s="33">
        <v>0</v>
      </c>
      <c r="O76" s="211" t="s">
        <v>1990</v>
      </c>
      <c r="P76" s="41" t="s">
        <v>29</v>
      </c>
      <c r="Q76" s="41" t="s">
        <v>29</v>
      </c>
      <c r="R76" s="79"/>
      <c r="S76" s="83">
        <v>1</v>
      </c>
    </row>
    <row r="77" spans="1:35" x14ac:dyDescent="0.35">
      <c r="A77" s="1" t="s">
        <v>2024</v>
      </c>
      <c r="B77" s="49" t="s">
        <v>2025</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2026</v>
      </c>
      <c r="B78" s="49" t="s">
        <v>2027</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2028</v>
      </c>
      <c r="B79" s="49" t="s">
        <v>2029</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2030</v>
      </c>
      <c r="B80" s="356" t="s">
        <v>2031</v>
      </c>
      <c r="C80" s="1">
        <v>0</v>
      </c>
      <c r="D80" s="1">
        <v>0</v>
      </c>
      <c r="E80" s="1">
        <v>0</v>
      </c>
      <c r="F80" s="1">
        <v>0</v>
      </c>
      <c r="G80" s="1">
        <v>0</v>
      </c>
      <c r="H80" s="1">
        <v>0</v>
      </c>
      <c r="I80" s="1">
        <v>0</v>
      </c>
      <c r="J80" s="14"/>
      <c r="K80" s="33" t="s">
        <v>318</v>
      </c>
      <c r="L80" s="33" t="s">
        <v>418</v>
      </c>
      <c r="M80" s="211" t="s">
        <v>320</v>
      </c>
      <c r="N80" s="33">
        <v>0</v>
      </c>
      <c r="O80" s="211" t="s">
        <v>1990</v>
      </c>
      <c r="P80" s="41" t="s">
        <v>29</v>
      </c>
      <c r="Q80" s="41" t="s">
        <v>29</v>
      </c>
      <c r="R80" s="79"/>
      <c r="S80" s="83">
        <v>1</v>
      </c>
    </row>
    <row r="81" spans="1:35" x14ac:dyDescent="0.35">
      <c r="A81" s="211" t="s">
        <v>2032</v>
      </c>
      <c r="B81" s="356" t="s">
        <v>2033</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2034</v>
      </c>
      <c r="B84" s="356" t="s">
        <v>2021</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2035</v>
      </c>
      <c r="B85" s="356" t="s">
        <v>2036</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2037</v>
      </c>
      <c r="B86" s="356" t="s">
        <v>368</v>
      </c>
      <c r="C86" s="1">
        <v>0</v>
      </c>
      <c r="D86" s="1">
        <v>0</v>
      </c>
      <c r="E86" s="1">
        <v>0</v>
      </c>
      <c r="F86" s="1">
        <v>0</v>
      </c>
      <c r="G86" s="1">
        <v>0</v>
      </c>
      <c r="H86" s="1">
        <v>0</v>
      </c>
      <c r="I86" s="1">
        <v>0</v>
      </c>
      <c r="K86" s="33" t="s">
        <v>318</v>
      </c>
      <c r="L86" s="33" t="s">
        <v>418</v>
      </c>
      <c r="M86" s="211" t="s">
        <v>320</v>
      </c>
      <c r="N86" s="33">
        <v>0</v>
      </c>
      <c r="O86" s="211" t="s">
        <v>1990</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1990</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1"/>
  <sheetViews>
    <sheetView zoomScale="70" zoomScaleNormal="70" workbookViewId="0">
      <pane xSplit="8" ySplit="6" topLeftCell="CB122" activePane="bottomRight" state="frozen"/>
      <selection pane="topRight" activeCell="I1" sqref="I1"/>
      <selection pane="bottomLeft" activeCell="A7" sqref="A7"/>
      <selection pane="bottomRight" activeCell="A138" sqref="A138:XFD138"/>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23" t="s">
        <v>556</v>
      </c>
      <c r="B2" s="423"/>
      <c r="C2" s="423"/>
      <c r="D2" s="423"/>
      <c r="E2" s="423"/>
      <c r="F2" s="423"/>
      <c r="G2" s="423"/>
      <c r="H2" s="110"/>
      <c r="I2" s="421" t="s">
        <v>557</v>
      </c>
      <c r="J2" s="421"/>
      <c r="K2" s="421"/>
      <c r="L2" s="421"/>
      <c r="M2" s="421"/>
      <c r="N2" s="421"/>
      <c r="O2" s="421"/>
      <c r="P2" s="421"/>
      <c r="Q2" s="421"/>
      <c r="R2" s="421"/>
      <c r="S2" s="421"/>
      <c r="T2" s="421"/>
      <c r="U2" s="421"/>
      <c r="V2" s="421"/>
      <c r="W2" s="421"/>
      <c r="X2" s="421"/>
      <c r="Y2" s="421"/>
      <c r="Z2" s="421"/>
      <c r="AA2" s="421"/>
      <c r="AB2" s="421"/>
      <c r="AC2" s="421"/>
      <c r="AD2" s="421"/>
      <c r="AE2" s="421"/>
      <c r="AF2" s="421"/>
      <c r="AG2" s="421"/>
      <c r="AH2" s="421"/>
      <c r="AI2" s="426" t="s">
        <v>558</v>
      </c>
      <c r="AJ2" s="426"/>
      <c r="AK2" s="426"/>
      <c r="AL2" s="426"/>
      <c r="AM2" s="415" t="s">
        <v>559</v>
      </c>
      <c r="AN2" s="415"/>
      <c r="AO2" s="415"/>
      <c r="AP2" s="415"/>
      <c r="AQ2" s="415"/>
      <c r="AR2" s="415"/>
      <c r="AS2" s="427" t="s">
        <v>560</v>
      </c>
      <c r="AT2" s="427"/>
      <c r="AU2" s="427"/>
      <c r="AV2" s="425" t="s">
        <v>561</v>
      </c>
      <c r="AW2" s="425"/>
      <c r="AX2" s="425"/>
      <c r="AY2" s="420" t="s">
        <v>562</v>
      </c>
      <c r="AZ2" s="420"/>
      <c r="BA2" s="420"/>
      <c r="BB2" s="420"/>
      <c r="BC2" s="420"/>
      <c r="BD2" s="420"/>
      <c r="BE2" s="420"/>
      <c r="BF2" s="420"/>
      <c r="BG2" s="420"/>
      <c r="BH2" s="424" t="s">
        <v>563</v>
      </c>
      <c r="BI2" s="424"/>
      <c r="BJ2" s="424"/>
      <c r="BK2" s="424"/>
      <c r="BL2" s="413"/>
      <c r="BM2" s="413"/>
      <c r="BN2" s="413"/>
      <c r="BO2" s="421" t="s">
        <v>564</v>
      </c>
      <c r="BP2" s="421"/>
      <c r="BQ2" s="421"/>
      <c r="BR2" s="421"/>
      <c r="BS2" s="421"/>
      <c r="BT2" s="421"/>
      <c r="BU2" s="420" t="s">
        <v>565</v>
      </c>
      <c r="BV2" s="420"/>
      <c r="BW2" s="420"/>
      <c r="BX2" s="420"/>
      <c r="BY2" s="420"/>
      <c r="BZ2" s="420"/>
      <c r="CA2" s="420"/>
      <c r="CB2" s="422" t="s">
        <v>566</v>
      </c>
      <c r="CC2" s="422"/>
      <c r="CD2" s="422"/>
      <c r="CE2" s="422"/>
      <c r="CF2" s="422"/>
      <c r="CG2" s="422"/>
      <c r="CH2" s="422"/>
      <c r="CI2" s="415" t="s">
        <v>567</v>
      </c>
      <c r="CJ2" s="415"/>
      <c r="CK2" s="415"/>
      <c r="CL2" s="415"/>
      <c r="CM2" s="415"/>
      <c r="CN2" s="415"/>
      <c r="CO2" s="415"/>
      <c r="CP2" s="413" t="s">
        <v>568</v>
      </c>
      <c r="CQ2" s="413"/>
      <c r="CR2" s="413"/>
      <c r="CS2" s="413"/>
      <c r="CT2" s="413"/>
      <c r="CU2" s="413"/>
      <c r="CV2" s="413"/>
      <c r="CW2" s="416" t="s">
        <v>569</v>
      </c>
      <c r="CX2" s="416"/>
      <c r="CY2" s="416"/>
      <c r="CZ2" s="416"/>
      <c r="DA2" s="416"/>
      <c r="DB2" s="416"/>
      <c r="DC2" s="416"/>
      <c r="DD2" s="418" t="s">
        <v>570</v>
      </c>
      <c r="DE2" s="418"/>
      <c r="DF2" s="418"/>
      <c r="DG2" s="418"/>
      <c r="DH2" s="418"/>
      <c r="DI2" s="418"/>
      <c r="DJ2" s="418"/>
      <c r="DK2" s="77" t="s">
        <v>17</v>
      </c>
      <c r="DL2" s="423" t="s">
        <v>571</v>
      </c>
      <c r="DM2" s="423"/>
      <c r="DN2" s="423"/>
      <c r="DO2" s="423"/>
      <c r="DP2" s="423"/>
      <c r="DQ2" s="423"/>
      <c r="DR2" s="42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17" t="s">
        <v>619</v>
      </c>
      <c r="CX3" s="417"/>
      <c r="CY3" s="417"/>
      <c r="CZ3" s="417"/>
      <c r="DA3" s="417"/>
      <c r="DB3" s="417"/>
      <c r="DC3" s="417"/>
      <c r="DD3" s="419" t="s">
        <v>620</v>
      </c>
      <c r="DE3" s="419"/>
      <c r="DF3" s="419"/>
      <c r="DG3" s="419"/>
      <c r="DH3" s="419"/>
      <c r="DI3" s="419"/>
      <c r="DJ3" s="419"/>
      <c r="DK3" s="78"/>
      <c r="DL3" s="412" t="s">
        <v>621</v>
      </c>
      <c r="DM3" s="412"/>
      <c r="DN3" s="412"/>
      <c r="DO3" s="412"/>
      <c r="DP3" s="412"/>
      <c r="DQ3" s="412"/>
      <c r="DR3" s="412"/>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14"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14"/>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2"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v>984.21052631578948</v>
      </c>
      <c r="J137" s="102">
        <v>984.21052631578948</v>
      </c>
      <c r="K137" s="102">
        <v>984.21052631578948</v>
      </c>
      <c r="L137" s="102">
        <v>984.21052631578948</v>
      </c>
      <c r="M137" s="102">
        <v>984.21052631578948</v>
      </c>
      <c r="N137" s="102">
        <v>984.21052631578948</v>
      </c>
      <c r="O137" s="10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v>0</v>
      </c>
      <c r="DM137" s="129">
        <v>0</v>
      </c>
      <c r="DN137" s="129">
        <v>0</v>
      </c>
      <c r="DO137" s="129">
        <v>0</v>
      </c>
      <c r="DP137" s="129">
        <v>0</v>
      </c>
      <c r="DQ137" s="129">
        <v>0</v>
      </c>
      <c r="DR137" s="129">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6" t="s">
        <v>1013</v>
      </c>
      <c r="B138" s="6" t="s">
        <v>740</v>
      </c>
      <c r="C138" s="6" t="s">
        <v>655</v>
      </c>
      <c r="D138" s="6" t="s">
        <v>741</v>
      </c>
      <c r="E138" s="6" t="s">
        <v>971</v>
      </c>
      <c r="F138" s="6" t="s">
        <v>442</v>
      </c>
      <c r="G138" s="48" t="s">
        <v>1014</v>
      </c>
      <c r="H138" s="48" t="s">
        <v>994</v>
      </c>
      <c r="I138" s="102">
        <v>742.19033123142719</v>
      </c>
      <c r="J138" s="102">
        <v>742.19033123142719</v>
      </c>
      <c r="K138" s="102">
        <v>742.19033123142719</v>
      </c>
      <c r="L138" s="102">
        <v>742.19033123142719</v>
      </c>
      <c r="M138" s="102">
        <v>742.19033123142719</v>
      </c>
      <c r="N138" s="102">
        <v>742.19033123142719</v>
      </c>
      <c r="O138" s="102">
        <v>742.19033123142719</v>
      </c>
      <c r="P138" s="94">
        <v>0</v>
      </c>
      <c r="Q138" s="102">
        <v>37.109516561571361</v>
      </c>
      <c r="R138" s="102">
        <v>37.109516561571361</v>
      </c>
      <c r="S138" s="102">
        <v>37.109516561571361</v>
      </c>
      <c r="T138" s="102">
        <v>37.109516561571361</v>
      </c>
      <c r="U138" s="102">
        <v>37.109516561571361</v>
      </c>
      <c r="V138" s="102">
        <v>37.109516561571361</v>
      </c>
      <c r="W138" s="102">
        <v>37.109516561571361</v>
      </c>
      <c r="X138" s="102">
        <v>0</v>
      </c>
      <c r="Y138" s="102">
        <v>0</v>
      </c>
      <c r="Z138" s="102">
        <v>0</v>
      </c>
      <c r="AA138" s="102">
        <v>0</v>
      </c>
      <c r="AB138" s="102">
        <v>0</v>
      </c>
      <c r="AC138" s="102">
        <v>0</v>
      </c>
      <c r="AD138" s="102">
        <v>0</v>
      </c>
      <c r="AE138" s="186">
        <v>0.08</v>
      </c>
      <c r="AF138" s="94">
        <v>0</v>
      </c>
      <c r="AG138" s="94">
        <v>30</v>
      </c>
      <c r="AH138" s="94">
        <v>30</v>
      </c>
      <c r="AI138" s="17">
        <v>1</v>
      </c>
      <c r="AJ138" s="17" t="s">
        <v>660</v>
      </c>
      <c r="AK138" s="16" t="s">
        <v>745</v>
      </c>
      <c r="AL138" s="17"/>
      <c r="AM138" s="61"/>
      <c r="AN138" s="61"/>
      <c r="AO138" s="61"/>
      <c r="AP138" s="61"/>
      <c r="AQ138" s="61"/>
      <c r="AR138" s="61"/>
      <c r="AS138" s="64"/>
      <c r="AT138" s="64"/>
      <c r="AU138" s="64"/>
      <c r="AV138" s="132"/>
      <c r="AW138" s="132"/>
      <c r="AX138" s="132"/>
      <c r="AY138" s="28" t="s">
        <v>662</v>
      </c>
      <c r="AZ138" s="28"/>
      <c r="BA138" s="354"/>
      <c r="BB138" s="28"/>
      <c r="BC138" s="28"/>
      <c r="BD138" s="28"/>
      <c r="BE138" s="28"/>
      <c r="BF138" s="28"/>
      <c r="BG138" s="28"/>
      <c r="BH138" s="106"/>
      <c r="BI138" s="106"/>
      <c r="BJ138" s="106"/>
      <c r="BK138" s="106"/>
      <c r="BL138" s="137"/>
      <c r="BM138" s="123"/>
      <c r="BN138" s="139">
        <v>0</v>
      </c>
      <c r="BO138" s="94"/>
      <c r="BP138" s="94"/>
      <c r="BQ138" s="94"/>
      <c r="BR138" s="94"/>
      <c r="BS138" s="94"/>
      <c r="BT138" s="94"/>
      <c r="BU138" s="28">
        <v>0</v>
      </c>
      <c r="BV138" s="28"/>
      <c r="BW138" s="28"/>
      <c r="BX138" s="28"/>
      <c r="BY138" s="28"/>
      <c r="BZ138" s="28"/>
      <c r="CA138" s="28"/>
      <c r="CB138" s="99">
        <v>0</v>
      </c>
      <c r="CC138" s="99"/>
      <c r="CD138" s="99"/>
      <c r="CE138" s="99"/>
      <c r="CF138" s="99"/>
      <c r="CG138" s="99"/>
      <c r="CH138" s="99"/>
      <c r="CI138" s="175"/>
      <c r="CJ138" s="175"/>
      <c r="CK138" s="175"/>
      <c r="CL138" s="175"/>
      <c r="CM138" s="175"/>
      <c r="CN138" s="175"/>
      <c r="CO138" s="175"/>
      <c r="CP138" s="176"/>
      <c r="CQ138" s="176"/>
      <c r="CR138" s="176"/>
      <c r="CS138" s="176"/>
      <c r="CT138" s="176"/>
      <c r="CU138" s="176"/>
      <c r="CV138" s="176"/>
      <c r="CW138" s="167"/>
      <c r="CX138" s="168"/>
      <c r="CY138" s="168"/>
      <c r="CZ138" s="168"/>
      <c r="DA138" s="168"/>
      <c r="DB138" s="168"/>
      <c r="DC138" s="168"/>
      <c r="DD138" s="172"/>
      <c r="DE138" s="172"/>
      <c r="DF138" s="172"/>
      <c r="DG138" s="172"/>
      <c r="DH138" s="172"/>
      <c r="DI138" s="172"/>
      <c r="DJ138" s="172"/>
      <c r="DK138" s="80" t="s">
        <v>1012</v>
      </c>
      <c r="DL138" s="129">
        <v>0</v>
      </c>
      <c r="DM138" s="129">
        <v>0</v>
      </c>
      <c r="DN138" s="129">
        <v>0</v>
      </c>
      <c r="DO138" s="129">
        <v>0</v>
      </c>
      <c r="DP138" s="129">
        <v>0</v>
      </c>
      <c r="DQ138" s="129">
        <v>0</v>
      </c>
      <c r="DR138" s="129">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5" t="s">
        <v>1015</v>
      </c>
      <c r="B139" s="5" t="s">
        <v>740</v>
      </c>
      <c r="C139" s="5" t="s">
        <v>655</v>
      </c>
      <c r="D139" s="5" t="s">
        <v>741</v>
      </c>
      <c r="E139" s="5" t="s">
        <v>971</v>
      </c>
      <c r="F139" s="5" t="s">
        <v>446</v>
      </c>
      <c r="G139" s="47" t="s">
        <v>1016</v>
      </c>
      <c r="H139" s="47" t="s">
        <v>997</v>
      </c>
      <c r="I139" s="101">
        <v>984.21052631578948</v>
      </c>
      <c r="J139" s="101">
        <v>984.21052631578948</v>
      </c>
      <c r="K139" s="101">
        <v>984.21052631578948</v>
      </c>
      <c r="L139" s="101">
        <v>984.21052631578948</v>
      </c>
      <c r="M139" s="101">
        <v>984.21052631578948</v>
      </c>
      <c r="N139" s="101">
        <v>984.21052631578948</v>
      </c>
      <c r="O139" s="101">
        <v>984.21052631578948</v>
      </c>
      <c r="P139" s="94">
        <v>0</v>
      </c>
      <c r="Q139" s="101">
        <v>49.21052631578948</v>
      </c>
      <c r="R139" s="101">
        <v>49.21052631578948</v>
      </c>
      <c r="S139" s="101">
        <v>49.21052631578948</v>
      </c>
      <c r="T139" s="101">
        <v>49.21052631578948</v>
      </c>
      <c r="U139" s="101">
        <v>49.21052631578948</v>
      </c>
      <c r="V139" s="101">
        <v>49.21052631578948</v>
      </c>
      <c r="W139" s="101">
        <v>49.21052631578948</v>
      </c>
      <c r="X139" s="101">
        <v>0</v>
      </c>
      <c r="Y139" s="101">
        <v>0</v>
      </c>
      <c r="Z139" s="101">
        <v>0</v>
      </c>
      <c r="AA139" s="101">
        <v>0</v>
      </c>
      <c r="AB139" s="101">
        <v>0</v>
      </c>
      <c r="AC139" s="101">
        <v>0</v>
      </c>
      <c r="AD139" s="101">
        <v>0</v>
      </c>
      <c r="AE139" s="186">
        <v>0.08</v>
      </c>
      <c r="AF139" s="93">
        <v>0</v>
      </c>
      <c r="AG139" s="93">
        <v>30</v>
      </c>
      <c r="AH139" s="93">
        <v>30</v>
      </c>
      <c r="AI139" s="16">
        <v>1</v>
      </c>
      <c r="AJ139" s="16" t="s">
        <v>660</v>
      </c>
      <c r="AK139" s="16" t="s">
        <v>745</v>
      </c>
      <c r="AL139" s="16"/>
      <c r="AM139" s="60"/>
      <c r="AN139" s="60"/>
      <c r="AO139" s="60"/>
      <c r="AP139" s="60"/>
      <c r="AQ139" s="60"/>
      <c r="AR139" s="60"/>
      <c r="AS139" s="63"/>
      <c r="AT139" s="63"/>
      <c r="AU139" s="63"/>
      <c r="AV139" s="131"/>
      <c r="AW139" s="131"/>
      <c r="AX139" s="131"/>
      <c r="AY139" s="27" t="s">
        <v>662</v>
      </c>
      <c r="AZ139" s="27"/>
      <c r="BA139" s="29"/>
      <c r="BB139" s="30"/>
      <c r="BC139" s="30"/>
      <c r="BD139" s="30"/>
      <c r="BE139" s="30"/>
      <c r="BF139" s="30"/>
      <c r="BG139" s="30"/>
      <c r="BH139" s="107"/>
      <c r="BI139" s="107"/>
      <c r="BJ139" s="107"/>
      <c r="BK139" s="107"/>
      <c r="BL139" s="136"/>
      <c r="BM139" s="122"/>
      <c r="BN139" s="138">
        <v>0</v>
      </c>
      <c r="BO139" s="93"/>
      <c r="BP139" s="93"/>
      <c r="BQ139" s="93"/>
      <c r="BR139" s="93"/>
      <c r="BS139" s="93"/>
      <c r="BT139" s="93"/>
      <c r="BU139" s="27">
        <v>0</v>
      </c>
      <c r="BV139" s="27"/>
      <c r="BW139" s="27"/>
      <c r="BX139" s="27"/>
      <c r="BY139" s="27"/>
      <c r="BZ139" s="27"/>
      <c r="CA139" s="27"/>
      <c r="CB139" s="97">
        <v>0</v>
      </c>
      <c r="CC139" s="99"/>
      <c r="CD139" s="99"/>
      <c r="CE139" s="99"/>
      <c r="CF139" s="99"/>
      <c r="CG139" s="99"/>
      <c r="CH139" s="99"/>
      <c r="CI139" s="173"/>
      <c r="CJ139" s="173"/>
      <c r="CK139" s="173"/>
      <c r="CL139" s="173"/>
      <c r="CM139" s="173"/>
      <c r="CN139" s="173"/>
      <c r="CO139" s="173"/>
      <c r="CP139" s="174"/>
      <c r="CQ139" s="174"/>
      <c r="CR139" s="174"/>
      <c r="CS139" s="174"/>
      <c r="CT139" s="174"/>
      <c r="CU139" s="174"/>
      <c r="CV139" s="174"/>
      <c r="CW139" s="165"/>
      <c r="CX139" s="166"/>
      <c r="CY139" s="166"/>
      <c r="CZ139" s="166"/>
      <c r="DA139" s="166"/>
      <c r="DB139" s="166"/>
      <c r="DC139" s="166"/>
      <c r="DD139" s="171"/>
      <c r="DE139" s="171"/>
      <c r="DF139" s="171"/>
      <c r="DG139" s="171"/>
      <c r="DH139" s="171"/>
      <c r="DI139" s="171"/>
      <c r="DJ139" s="171"/>
      <c r="DK139" s="80" t="s">
        <v>1012</v>
      </c>
      <c r="DL139" s="129">
        <v>0</v>
      </c>
      <c r="DM139" s="129">
        <v>0</v>
      </c>
      <c r="DN139" s="129">
        <v>0</v>
      </c>
      <c r="DO139" s="129">
        <v>0</v>
      </c>
      <c r="DP139" s="129">
        <v>0</v>
      </c>
      <c r="DQ139" s="129">
        <v>0</v>
      </c>
      <c r="DR139" s="129">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6" t="s">
        <v>1017</v>
      </c>
      <c r="B140" s="6" t="s">
        <v>740</v>
      </c>
      <c r="C140" s="6" t="s">
        <v>655</v>
      </c>
      <c r="D140" s="6" t="s">
        <v>741</v>
      </c>
      <c r="E140" s="6" t="s">
        <v>971</v>
      </c>
      <c r="F140" s="6" t="s">
        <v>439</v>
      </c>
      <c r="G140" s="48" t="s">
        <v>1018</v>
      </c>
      <c r="H140" s="48" t="s">
        <v>991</v>
      </c>
      <c r="I140" s="102">
        <v>742.19033123142719</v>
      </c>
      <c r="J140" s="102">
        <v>742.19033123142719</v>
      </c>
      <c r="K140" s="102">
        <v>742.19033123142719</v>
      </c>
      <c r="L140" s="102">
        <v>742.19033123142719</v>
      </c>
      <c r="M140" s="102">
        <v>742.19033123142719</v>
      </c>
      <c r="N140" s="102">
        <v>742.19033123142719</v>
      </c>
      <c r="O140" s="102">
        <v>742.19033123142719</v>
      </c>
      <c r="P140" s="94">
        <v>0</v>
      </c>
      <c r="Q140" s="102">
        <v>37.109516561571361</v>
      </c>
      <c r="R140" s="102">
        <v>37.109516561571361</v>
      </c>
      <c r="S140" s="102">
        <v>37.109516561571361</v>
      </c>
      <c r="T140" s="102">
        <v>37.109516561571361</v>
      </c>
      <c r="U140" s="102">
        <v>37.109516561571361</v>
      </c>
      <c r="V140" s="102">
        <v>37.109516561571361</v>
      </c>
      <c r="W140" s="102">
        <v>37.109516561571361</v>
      </c>
      <c r="X140" s="102">
        <v>0</v>
      </c>
      <c r="Y140" s="102">
        <v>0</v>
      </c>
      <c r="Z140" s="102">
        <v>0</v>
      </c>
      <c r="AA140" s="102">
        <v>0</v>
      </c>
      <c r="AB140" s="102">
        <v>0</v>
      </c>
      <c r="AC140" s="102">
        <v>0</v>
      </c>
      <c r="AD140" s="102">
        <v>0</v>
      </c>
      <c r="AE140" s="186">
        <v>0.08</v>
      </c>
      <c r="AF140" s="94">
        <v>0</v>
      </c>
      <c r="AG140" s="94">
        <v>30</v>
      </c>
      <c r="AH140" s="94">
        <v>30</v>
      </c>
      <c r="AI140" s="17">
        <v>1</v>
      </c>
      <c r="AJ140" s="17" t="s">
        <v>660</v>
      </c>
      <c r="AK140" s="16" t="s">
        <v>745</v>
      </c>
      <c r="AL140" s="17"/>
      <c r="AM140" s="61"/>
      <c r="AN140" s="61"/>
      <c r="AO140" s="61"/>
      <c r="AP140" s="61"/>
      <c r="AQ140" s="61"/>
      <c r="AR140" s="61"/>
      <c r="AS140" s="64"/>
      <c r="AT140" s="64"/>
      <c r="AU140" s="64"/>
      <c r="AV140" s="132"/>
      <c r="AW140" s="132"/>
      <c r="AX140" s="132"/>
      <c r="AY140" s="28" t="s">
        <v>662</v>
      </c>
      <c r="AZ140" s="28"/>
      <c r="BA140" s="354"/>
      <c r="BB140" s="28"/>
      <c r="BC140" s="28"/>
      <c r="BD140" s="28"/>
      <c r="BE140" s="28"/>
      <c r="BF140" s="28"/>
      <c r="BG140" s="28"/>
      <c r="BH140" s="106"/>
      <c r="BI140" s="106"/>
      <c r="BJ140" s="106"/>
      <c r="BK140" s="106"/>
      <c r="BL140" s="137"/>
      <c r="BM140" s="123"/>
      <c r="BN140" s="139">
        <v>0</v>
      </c>
      <c r="BO140" s="94"/>
      <c r="BP140" s="94"/>
      <c r="BQ140" s="94"/>
      <c r="BR140" s="94"/>
      <c r="BS140" s="94"/>
      <c r="BT140" s="94"/>
      <c r="BU140" s="28">
        <v>0</v>
      </c>
      <c r="BV140" s="28"/>
      <c r="BW140" s="28"/>
      <c r="BX140" s="28"/>
      <c r="BY140" s="28"/>
      <c r="BZ140" s="28"/>
      <c r="CA140" s="28"/>
      <c r="CB140" s="99">
        <v>0</v>
      </c>
      <c r="CC140" s="99">
        <v>50</v>
      </c>
      <c r="CD140" s="99">
        <v>50</v>
      </c>
      <c r="CE140" s="99">
        <v>50</v>
      </c>
      <c r="CF140" s="99">
        <v>50</v>
      </c>
      <c r="CG140" s="99">
        <v>50</v>
      </c>
      <c r="CH140" s="99">
        <v>50</v>
      </c>
      <c r="CI140" s="175"/>
      <c r="CJ140" s="175"/>
      <c r="CK140" s="175"/>
      <c r="CL140" s="175"/>
      <c r="CM140" s="175"/>
      <c r="CN140" s="175"/>
      <c r="CO140" s="175"/>
      <c r="CP140" s="176"/>
      <c r="CQ140" s="176"/>
      <c r="CR140" s="176"/>
      <c r="CS140" s="176"/>
      <c r="CT140" s="176"/>
      <c r="CU140" s="176"/>
      <c r="CV140" s="176"/>
      <c r="CW140" s="167"/>
      <c r="CX140" s="168"/>
      <c r="CY140" s="168"/>
      <c r="CZ140" s="168"/>
      <c r="DA140" s="168"/>
      <c r="DB140" s="168"/>
      <c r="DC140" s="168"/>
      <c r="DD140" s="172"/>
      <c r="DE140" s="172"/>
      <c r="DF140" s="172"/>
      <c r="DG140" s="172"/>
      <c r="DH140" s="172"/>
      <c r="DI140" s="172"/>
      <c r="DJ140" s="172"/>
      <c r="DK140" s="79" t="s">
        <v>1019</v>
      </c>
      <c r="DL140" s="129">
        <v>0</v>
      </c>
      <c r="DM140" s="129">
        <v>0</v>
      </c>
      <c r="DN140" s="129">
        <v>0</v>
      </c>
      <c r="DO140" s="129">
        <v>0</v>
      </c>
      <c r="DP140" s="129">
        <v>0</v>
      </c>
      <c r="DQ140" s="129">
        <v>0</v>
      </c>
      <c r="DR140" s="129">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5" t="s">
        <v>1020</v>
      </c>
      <c r="B141" s="5" t="s">
        <v>740</v>
      </c>
      <c r="C141" s="5" t="s">
        <v>788</v>
      </c>
      <c r="D141" s="5" t="s">
        <v>741</v>
      </c>
      <c r="E141" s="5" t="s">
        <v>971</v>
      </c>
      <c r="F141" s="5" t="s">
        <v>514</v>
      </c>
      <c r="G141" s="47" t="s">
        <v>1021</v>
      </c>
      <c r="H141" s="47" t="s">
        <v>659</v>
      </c>
      <c r="I141" s="101">
        <v>1E-4</v>
      </c>
      <c r="J141" s="101">
        <v>1E-4</v>
      </c>
      <c r="K141" s="101">
        <v>1E-4</v>
      </c>
      <c r="L141" s="101">
        <v>1E-4</v>
      </c>
      <c r="M141" s="101">
        <v>1E-4</v>
      </c>
      <c r="N141" s="101">
        <v>1E-4</v>
      </c>
      <c r="O141" s="101">
        <v>1E-4</v>
      </c>
      <c r="P141" s="94">
        <v>0</v>
      </c>
      <c r="Q141" s="101">
        <v>0</v>
      </c>
      <c r="R141" s="101">
        <v>0</v>
      </c>
      <c r="S141" s="101">
        <v>0</v>
      </c>
      <c r="T141" s="101">
        <v>0</v>
      </c>
      <c r="U141" s="101">
        <v>0</v>
      </c>
      <c r="V141" s="101">
        <v>0</v>
      </c>
      <c r="W141" s="101">
        <v>0</v>
      </c>
      <c r="X141" s="101">
        <v>0</v>
      </c>
      <c r="Y141" s="101">
        <v>0</v>
      </c>
      <c r="Z141" s="101">
        <v>0</v>
      </c>
      <c r="AA141" s="101">
        <v>0</v>
      </c>
      <c r="AB141" s="101">
        <v>0</v>
      </c>
      <c r="AC141" s="101">
        <v>0</v>
      </c>
      <c r="AD141" s="101">
        <v>0</v>
      </c>
      <c r="AE141" s="186">
        <v>0.08</v>
      </c>
      <c r="AF141" s="93"/>
      <c r="AG141" s="93">
        <v>25</v>
      </c>
      <c r="AH141" s="93">
        <v>50</v>
      </c>
      <c r="AI141" s="16">
        <v>1</v>
      </c>
      <c r="AJ141" s="16" t="s">
        <v>660</v>
      </c>
      <c r="AK141" s="16" t="s">
        <v>745</v>
      </c>
      <c r="AL141" s="16"/>
      <c r="AM141" s="60"/>
      <c r="AN141" s="60"/>
      <c r="AO141" s="60"/>
      <c r="AP141" s="60"/>
      <c r="AQ141" s="60"/>
      <c r="AR141" s="60"/>
      <c r="AS141" s="63"/>
      <c r="AT141" s="63"/>
      <c r="AU141" s="63"/>
      <c r="AV141" s="131"/>
      <c r="AW141" s="131"/>
      <c r="AX141" s="131"/>
      <c r="AY141" s="27" t="s">
        <v>662</v>
      </c>
      <c r="AZ141" s="27"/>
      <c r="BA141" s="29"/>
      <c r="BB141" s="30"/>
      <c r="BC141" s="30"/>
      <c r="BD141" s="30"/>
      <c r="BE141" s="30"/>
      <c r="BF141" s="30"/>
      <c r="BG141" s="30"/>
      <c r="BH141" s="107"/>
      <c r="BI141" s="107"/>
      <c r="BJ141" s="107"/>
      <c r="BK141" s="107"/>
      <c r="BL141" s="136"/>
      <c r="BM141" s="122"/>
      <c r="BN141" s="138"/>
      <c r="BO141" s="93"/>
      <c r="BP141" s="93"/>
      <c r="BQ141" s="93"/>
      <c r="BR141" s="93"/>
      <c r="BS141" s="93"/>
      <c r="BT141" s="93"/>
      <c r="BU141" s="27">
        <v>0</v>
      </c>
      <c r="BV141" s="27"/>
      <c r="BW141" s="27"/>
      <c r="BX141" s="27"/>
      <c r="BY141" s="27"/>
      <c r="BZ141" s="27"/>
      <c r="CA141" s="27"/>
      <c r="CB141" s="97">
        <v>500</v>
      </c>
      <c r="CC141" s="97">
        <v>500</v>
      </c>
      <c r="CD141" s="97">
        <v>500</v>
      </c>
      <c r="CE141" s="97">
        <v>500</v>
      </c>
      <c r="CF141" s="97">
        <v>500</v>
      </c>
      <c r="CG141" s="97">
        <v>500</v>
      </c>
      <c r="CH141" s="97">
        <v>500</v>
      </c>
      <c r="CI141" s="173"/>
      <c r="CJ141" s="173"/>
      <c r="CK141" s="173"/>
      <c r="CL141" s="173"/>
      <c r="CM141" s="173"/>
      <c r="CN141" s="173"/>
      <c r="CO141" s="173"/>
      <c r="CP141" s="174"/>
      <c r="CQ141" s="174"/>
      <c r="CR141" s="174"/>
      <c r="CS141" s="174"/>
      <c r="CT141" s="174"/>
      <c r="CU141" s="174"/>
      <c r="CV141" s="174"/>
      <c r="CW141" s="165"/>
      <c r="CX141" s="166"/>
      <c r="CY141" s="166"/>
      <c r="CZ141" s="166"/>
      <c r="DA141" s="166"/>
      <c r="DB141" s="166"/>
      <c r="DC141" s="166"/>
      <c r="DD141" s="171"/>
      <c r="DE141" s="171"/>
      <c r="DF141" s="171"/>
      <c r="DG141" s="171"/>
      <c r="DH141" s="171"/>
      <c r="DI141" s="171"/>
      <c r="DJ141" s="171"/>
      <c r="DK141" s="79" t="s">
        <v>502</v>
      </c>
      <c r="DL141" s="129">
        <f>VLOOKUP($F141,Activities!$A$9:$I$227,3,FALSE)/$AI141</f>
        <v>0</v>
      </c>
      <c r="DM141" s="129">
        <f>VLOOKUP($F141,Activities!$A$9:$I$227,4,FALSE)/$AI141</f>
        <v>0</v>
      </c>
      <c r="DN141" s="129">
        <f>VLOOKUP($F141,Activities!$A$9:$I$227,5,FALSE)/$AI141</f>
        <v>0</v>
      </c>
      <c r="DO141" s="129">
        <f>VLOOKUP($F141,Activities!$A$9:$I$227,6,FALSE)/$AI141</f>
        <v>0</v>
      </c>
      <c r="DP141" s="129">
        <f>VLOOKUP($F141,Activities!$A$9:$I$227,7,FALSE)/$AI141</f>
        <v>0</v>
      </c>
      <c r="DQ141" s="129">
        <f>VLOOKUP($F141,Activities!$A$9:$I$227,8,FALSE)/$AI141</f>
        <v>0</v>
      </c>
      <c r="DR141" s="129">
        <f>VLOOKUP($F141,Activities!$A$9:$I$227,9,FALSE)/$AI141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6" t="s">
        <v>1022</v>
      </c>
      <c r="B142" s="6" t="s">
        <v>740</v>
      </c>
      <c r="C142" s="6" t="s">
        <v>788</v>
      </c>
      <c r="D142" s="6" t="s">
        <v>741</v>
      </c>
      <c r="E142" s="6" t="s">
        <v>971</v>
      </c>
      <c r="F142" s="6" t="s">
        <v>514</v>
      </c>
      <c r="G142" s="48" t="s">
        <v>1023</v>
      </c>
      <c r="H142" s="48" t="s">
        <v>659</v>
      </c>
      <c r="I142" s="102">
        <v>1E-4</v>
      </c>
      <c r="J142" s="102">
        <v>1E-4</v>
      </c>
      <c r="K142" s="102">
        <v>1E-4</v>
      </c>
      <c r="L142" s="102">
        <v>1E-4</v>
      </c>
      <c r="M142" s="102">
        <v>1E-4</v>
      </c>
      <c r="N142" s="102">
        <v>1E-4</v>
      </c>
      <c r="O142" s="102">
        <v>1E-4</v>
      </c>
      <c r="P142" s="94">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86">
        <v>0.08</v>
      </c>
      <c r="AF142" s="94"/>
      <c r="AG142" s="94">
        <v>25</v>
      </c>
      <c r="AH142" s="94">
        <v>50</v>
      </c>
      <c r="AI142" s="17">
        <v>1</v>
      </c>
      <c r="AJ142" s="17" t="s">
        <v>660</v>
      </c>
      <c r="AK142" s="17" t="s">
        <v>745</v>
      </c>
      <c r="AL142" s="17"/>
      <c r="AM142" s="61"/>
      <c r="AN142" s="61"/>
      <c r="AO142" s="61"/>
      <c r="AP142" s="61"/>
      <c r="AQ142" s="61"/>
      <c r="AR142" s="61"/>
      <c r="AS142" s="64"/>
      <c r="AT142" s="64"/>
      <c r="AU142" s="64"/>
      <c r="AV142" s="132"/>
      <c r="AW142" s="132"/>
      <c r="AX142" s="132"/>
      <c r="AY142" s="28" t="s">
        <v>662</v>
      </c>
      <c r="AZ142" s="28"/>
      <c r="BA142" s="354"/>
      <c r="BB142" s="28"/>
      <c r="BC142" s="28"/>
      <c r="BD142" s="28"/>
      <c r="BE142" s="28"/>
      <c r="BF142" s="28"/>
      <c r="BG142" s="28"/>
      <c r="BH142" s="106"/>
      <c r="BI142" s="106"/>
      <c r="BJ142" s="106"/>
      <c r="BK142" s="106"/>
      <c r="BL142" s="137"/>
      <c r="BM142" s="123"/>
      <c r="BN142" s="139"/>
      <c r="BO142" s="94"/>
      <c r="BP142" s="94"/>
      <c r="BQ142" s="94"/>
      <c r="BR142" s="94"/>
      <c r="BS142" s="94"/>
      <c r="BT142" s="94"/>
      <c r="BU142" s="28">
        <v>0</v>
      </c>
      <c r="BV142" s="28"/>
      <c r="BW142" s="28"/>
      <c r="BX142" s="28"/>
      <c r="BY142" s="28"/>
      <c r="BZ142" s="28"/>
      <c r="CA142" s="28"/>
      <c r="CB142" s="99">
        <v>500</v>
      </c>
      <c r="CC142" s="99">
        <v>500</v>
      </c>
      <c r="CD142" s="99">
        <v>500</v>
      </c>
      <c r="CE142" s="99">
        <v>500</v>
      </c>
      <c r="CF142" s="99">
        <v>500</v>
      </c>
      <c r="CG142" s="99">
        <v>500</v>
      </c>
      <c r="CH142" s="99">
        <v>500</v>
      </c>
      <c r="CI142" s="175"/>
      <c r="CJ142" s="175"/>
      <c r="CK142" s="175"/>
      <c r="CL142" s="175"/>
      <c r="CM142" s="175"/>
      <c r="CN142" s="175"/>
      <c r="CO142" s="175"/>
      <c r="CP142" s="176"/>
      <c r="CQ142" s="176"/>
      <c r="CR142" s="176"/>
      <c r="CS142" s="176"/>
      <c r="CT142" s="176"/>
      <c r="CU142" s="176"/>
      <c r="CV142" s="176"/>
      <c r="CW142" s="167"/>
      <c r="CX142" s="168"/>
      <c r="CY142" s="168"/>
      <c r="CZ142" s="168"/>
      <c r="DA142" s="168"/>
      <c r="DB142" s="168"/>
      <c r="DC142" s="168"/>
      <c r="DD142" s="172"/>
      <c r="DE142" s="172"/>
      <c r="DF142" s="172"/>
      <c r="DG142" s="172"/>
      <c r="DH142" s="172"/>
      <c r="DI142" s="172"/>
      <c r="DJ142" s="172"/>
      <c r="DK142" s="80"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5" t="s">
        <v>1024</v>
      </c>
      <c r="B143" s="5" t="s">
        <v>740</v>
      </c>
      <c r="C143" s="5" t="s">
        <v>788</v>
      </c>
      <c r="D143" s="5" t="s">
        <v>741</v>
      </c>
      <c r="E143" s="5" t="s">
        <v>971</v>
      </c>
      <c r="F143" s="5" t="s">
        <v>514</v>
      </c>
      <c r="G143" s="47" t="s">
        <v>1025</v>
      </c>
      <c r="H143" s="47" t="s">
        <v>659</v>
      </c>
      <c r="I143" s="101">
        <v>1E-4</v>
      </c>
      <c r="J143" s="101">
        <v>1E-4</v>
      </c>
      <c r="K143" s="101">
        <v>1E-4</v>
      </c>
      <c r="L143" s="101">
        <v>1E-4</v>
      </c>
      <c r="M143" s="101">
        <v>1E-4</v>
      </c>
      <c r="N143" s="101">
        <v>1E-4</v>
      </c>
      <c r="O143" s="101">
        <v>1E-4</v>
      </c>
      <c r="P143" s="93">
        <v>0</v>
      </c>
      <c r="Q143" s="101">
        <v>0</v>
      </c>
      <c r="R143" s="101">
        <v>0</v>
      </c>
      <c r="S143" s="101">
        <v>0</v>
      </c>
      <c r="T143" s="101">
        <v>0</v>
      </c>
      <c r="U143" s="101">
        <v>0</v>
      </c>
      <c r="V143" s="101">
        <v>0</v>
      </c>
      <c r="W143" s="101">
        <v>0</v>
      </c>
      <c r="X143" s="101">
        <v>0</v>
      </c>
      <c r="Y143" s="101">
        <v>0</v>
      </c>
      <c r="Z143" s="101">
        <v>0</v>
      </c>
      <c r="AA143" s="101">
        <v>0</v>
      </c>
      <c r="AB143" s="101">
        <v>0</v>
      </c>
      <c r="AC143" s="101">
        <v>0</v>
      </c>
      <c r="AD143" s="101">
        <v>0</v>
      </c>
      <c r="AE143" s="186">
        <v>0.08</v>
      </c>
      <c r="AF143" s="93"/>
      <c r="AG143" s="93">
        <v>25</v>
      </c>
      <c r="AH143" s="93">
        <v>50</v>
      </c>
      <c r="AI143" s="16">
        <v>1</v>
      </c>
      <c r="AJ143" s="16" t="s">
        <v>660</v>
      </c>
      <c r="AK143" s="16" t="s">
        <v>745</v>
      </c>
      <c r="AL143" s="16"/>
      <c r="AM143" s="60"/>
      <c r="AN143" s="60"/>
      <c r="AO143" s="60"/>
      <c r="AP143" s="60"/>
      <c r="AQ143" s="60"/>
      <c r="AR143" s="60"/>
      <c r="AS143" s="63"/>
      <c r="AT143" s="63"/>
      <c r="AU143" s="63"/>
      <c r="AV143" s="131"/>
      <c r="AW143" s="131"/>
      <c r="AX143" s="131"/>
      <c r="AY143" s="27" t="s">
        <v>662</v>
      </c>
      <c r="AZ143" s="27"/>
      <c r="BA143" s="29"/>
      <c r="BB143" s="30"/>
      <c r="BC143" s="30"/>
      <c r="BD143" s="30"/>
      <c r="BE143" s="30"/>
      <c r="BF143" s="30"/>
      <c r="BG143" s="30"/>
      <c r="BH143" s="107"/>
      <c r="BI143" s="107"/>
      <c r="BJ143" s="107"/>
      <c r="BK143" s="107"/>
      <c r="BL143" s="136"/>
      <c r="BM143" s="122"/>
      <c r="BN143" s="138"/>
      <c r="BO143" s="93"/>
      <c r="BP143" s="93"/>
      <c r="BQ143" s="93"/>
      <c r="BR143" s="93"/>
      <c r="BS143" s="93"/>
      <c r="BT143" s="93"/>
      <c r="BU143" s="27">
        <v>0</v>
      </c>
      <c r="BV143" s="27"/>
      <c r="BW143" s="27"/>
      <c r="BX143" s="27"/>
      <c r="BY143" s="27"/>
      <c r="BZ143" s="27"/>
      <c r="CA143" s="27"/>
      <c r="CB143" s="97">
        <v>500</v>
      </c>
      <c r="CC143" s="97">
        <v>500</v>
      </c>
      <c r="CD143" s="97">
        <v>500</v>
      </c>
      <c r="CE143" s="97">
        <v>500</v>
      </c>
      <c r="CF143" s="97">
        <v>500</v>
      </c>
      <c r="CG143" s="97">
        <v>500</v>
      </c>
      <c r="CH143" s="185"/>
      <c r="CI143" s="173"/>
      <c r="CJ143" s="173"/>
      <c r="CK143" s="173"/>
      <c r="CL143" s="173"/>
      <c r="CM143" s="173"/>
      <c r="CN143" s="173"/>
      <c r="CO143" s="173"/>
      <c r="CP143" s="174"/>
      <c r="CQ143" s="174"/>
      <c r="CR143" s="174"/>
      <c r="CS143" s="174"/>
      <c r="CT143" s="174"/>
      <c r="CU143" s="174"/>
      <c r="CV143" s="174"/>
      <c r="CW143" s="165"/>
      <c r="CX143" s="166"/>
      <c r="CY143" s="166"/>
      <c r="CZ143" s="166"/>
      <c r="DA143" s="166"/>
      <c r="DB143" s="166"/>
      <c r="DC143" s="166"/>
      <c r="DD143" s="171"/>
      <c r="DE143" s="171"/>
      <c r="DF143" s="171"/>
      <c r="DG143" s="171"/>
      <c r="DH143" s="171"/>
      <c r="DI143" s="171"/>
      <c r="DJ143" s="171"/>
      <c r="DK143" s="79"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655</v>
      </c>
      <c r="D144" s="5" t="s">
        <v>741</v>
      </c>
      <c r="E144" s="5" t="s">
        <v>971</v>
      </c>
      <c r="F144" s="5" t="s">
        <v>442</v>
      </c>
      <c r="G144" s="47" t="s">
        <v>1027</v>
      </c>
      <c r="H144" s="48" t="s">
        <v>994</v>
      </c>
      <c r="I144" s="101">
        <f>I137</f>
        <v>984.21052631578948</v>
      </c>
      <c r="J144" s="101">
        <f>J137</f>
        <v>984.21052631578948</v>
      </c>
      <c r="K144" s="101">
        <f>K137</f>
        <v>984.21052631578948</v>
      </c>
      <c r="L144" s="101">
        <f>L137</f>
        <v>984.21052631578948</v>
      </c>
      <c r="M144" s="101">
        <f>M137</f>
        <v>984.21052631578948</v>
      </c>
      <c r="N144" s="101">
        <f>N137</f>
        <v>984.21052631578948</v>
      </c>
      <c r="O144" s="101">
        <f>O137</f>
        <v>984.21052631578948</v>
      </c>
      <c r="P144" s="93"/>
      <c r="Q144" s="101">
        <f t="shared" ref="Q144" si="122">I144*0.05</f>
        <v>49.21052631578948</v>
      </c>
      <c r="R144" s="101">
        <f t="shared" ref="R144" si="123">J144*0.05</f>
        <v>49.21052631578948</v>
      </c>
      <c r="S144" s="101">
        <f t="shared" ref="S144" si="124">K144*0.05</f>
        <v>49.21052631578948</v>
      </c>
      <c r="T144" s="101">
        <f t="shared" ref="T144" si="125">L144*0.05</f>
        <v>49.21052631578948</v>
      </c>
      <c r="U144" s="101">
        <f t="shared" ref="U144" si="126">M144*0.05</f>
        <v>49.21052631578948</v>
      </c>
      <c r="V144" s="101">
        <f t="shared" ref="V144" si="127">N144*0.05</f>
        <v>49.21052631578948</v>
      </c>
      <c r="W144" s="101">
        <f t="shared" ref="W144" si="128">O144*0.05</f>
        <v>49.21052631578948</v>
      </c>
      <c r="X144" s="101">
        <v>0</v>
      </c>
      <c r="Y144" s="101">
        <v>0</v>
      </c>
      <c r="Z144" s="101">
        <v>0</v>
      </c>
      <c r="AA144" s="101">
        <v>0</v>
      </c>
      <c r="AB144" s="101">
        <v>0</v>
      </c>
      <c r="AC144" s="101">
        <v>0</v>
      </c>
      <c r="AD144" s="101">
        <v>0</v>
      </c>
      <c r="AE144" s="186">
        <v>0.08</v>
      </c>
      <c r="AF144" s="93">
        <v>0</v>
      </c>
      <c r="AG144" s="93">
        <v>30</v>
      </c>
      <c r="AH144" s="93">
        <v>30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c r="BV144" s="27"/>
      <c r="BW144" s="27"/>
      <c r="BX144" s="27"/>
      <c r="BY144" s="27"/>
      <c r="BZ144" s="27"/>
      <c r="CA144" s="27"/>
      <c r="CB144" s="97"/>
      <c r="CC144" s="97"/>
      <c r="CD144" s="97"/>
      <c r="CE144" s="97"/>
      <c r="CF144" s="97"/>
      <c r="CG144" s="97"/>
      <c r="CH144" s="97"/>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80" t="s">
        <v>1012</v>
      </c>
      <c r="DL144" s="129"/>
      <c r="DM144" s="129"/>
      <c r="DN144" s="129"/>
      <c r="DO144" s="129"/>
      <c r="DP144" s="129"/>
      <c r="DQ144" s="129"/>
      <c r="DR144" s="129"/>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6" t="s">
        <v>1028</v>
      </c>
      <c r="B145" s="6" t="s">
        <v>734</v>
      </c>
      <c r="C145" s="6" t="s">
        <v>655</v>
      </c>
      <c r="D145" s="6" t="s">
        <v>1029</v>
      </c>
      <c r="E145" s="6" t="s">
        <v>1030</v>
      </c>
      <c r="F145" s="6" t="s">
        <v>381</v>
      </c>
      <c r="G145" s="48" t="s">
        <v>1031</v>
      </c>
      <c r="H145" s="48" t="s">
        <v>1032</v>
      </c>
      <c r="I145" s="102">
        <v>3487.65</v>
      </c>
      <c r="J145" s="102">
        <v>3487.65</v>
      </c>
      <c r="K145" s="102">
        <v>3487.65</v>
      </c>
      <c r="L145" s="102">
        <v>3487.65</v>
      </c>
      <c r="M145" s="102">
        <v>3487.65</v>
      </c>
      <c r="N145" s="102">
        <v>3487.65</v>
      </c>
      <c r="O145" s="102">
        <v>3487.65</v>
      </c>
      <c r="P145" s="94">
        <v>0</v>
      </c>
      <c r="Q145" s="102">
        <v>209.26</v>
      </c>
      <c r="R145" s="102">
        <v>209.26</v>
      </c>
      <c r="S145" s="102">
        <v>209.26</v>
      </c>
      <c r="T145" s="102">
        <v>209.26</v>
      </c>
      <c r="U145" s="102">
        <v>209.26</v>
      </c>
      <c r="V145" s="102">
        <v>209.26</v>
      </c>
      <c r="W145" s="102">
        <v>209.26</v>
      </c>
      <c r="X145" s="102">
        <v>0</v>
      </c>
      <c r="Y145" s="102">
        <v>0</v>
      </c>
      <c r="Z145" s="102">
        <v>0</v>
      </c>
      <c r="AA145" s="102">
        <v>0</v>
      </c>
      <c r="AB145" s="102">
        <v>0</v>
      </c>
      <c r="AC145" s="102">
        <v>0</v>
      </c>
      <c r="AD145" s="102">
        <v>0</v>
      </c>
      <c r="AE145" s="186">
        <v>0.08</v>
      </c>
      <c r="AF145" s="94">
        <v>0</v>
      </c>
      <c r="AG145" s="94">
        <v>15</v>
      </c>
      <c r="AH145" s="94">
        <v>15</v>
      </c>
      <c r="AI145" s="17">
        <v>2.5</v>
      </c>
      <c r="AJ145" s="17" t="s">
        <v>660</v>
      </c>
      <c r="AK145" s="17" t="s">
        <v>745</v>
      </c>
      <c r="AL145" s="17"/>
      <c r="AM145" s="61"/>
      <c r="AN145" s="61"/>
      <c r="AO145" s="61"/>
      <c r="AP145" s="61"/>
      <c r="AQ145" s="61"/>
      <c r="AR145" s="61"/>
      <c r="AS145" s="64"/>
      <c r="AT145" s="64"/>
      <c r="AU145" s="64"/>
      <c r="AV145" s="132"/>
      <c r="AW145" s="132"/>
      <c r="AX145" s="132"/>
      <c r="AY145" s="28" t="s">
        <v>662</v>
      </c>
      <c r="AZ145" s="28"/>
      <c r="BA145" s="28"/>
      <c r="BB145" s="28"/>
      <c r="BC145" s="28"/>
      <c r="BD145" s="28"/>
      <c r="BE145" s="28"/>
      <c r="BF145" s="28"/>
      <c r="BG145" s="28"/>
      <c r="BH145" s="106"/>
      <c r="BI145" s="106"/>
      <c r="BJ145" s="106"/>
      <c r="BK145" s="106"/>
      <c r="BL145" s="137"/>
      <c r="BM145" s="123"/>
      <c r="BN145" s="139">
        <f>DL145-BN146</f>
        <v>1.9899999999999998</v>
      </c>
      <c r="BO145" s="94">
        <v>0.64666666666666661</v>
      </c>
      <c r="BP145" s="94">
        <v>0.64666666666666661</v>
      </c>
      <c r="BQ145" s="94">
        <f>BN145-SUM(BO145:BP145)</f>
        <v>0.69666666666666655</v>
      </c>
      <c r="BR145" s="94"/>
      <c r="BS145" s="94"/>
      <c r="BT145" s="94"/>
      <c r="BU145" s="28">
        <f t="shared" si="95"/>
        <v>0</v>
      </c>
      <c r="BV145" s="28"/>
      <c r="BW145" s="28"/>
      <c r="BX145" s="28"/>
      <c r="BY145" s="28"/>
      <c r="BZ145" s="28"/>
      <c r="CA145" s="28"/>
      <c r="CB145" s="99">
        <f t="shared" ref="CB145:CH151" si="129">DL145</f>
        <v>2.1199999999999997</v>
      </c>
      <c r="CC145" s="99">
        <f t="shared" si="129"/>
        <v>2.21</v>
      </c>
      <c r="CD145" s="99">
        <f t="shared" si="129"/>
        <v>2.2599999999999998</v>
      </c>
      <c r="CE145" s="99">
        <f t="shared" si="129"/>
        <v>2.2799999999999998</v>
      </c>
      <c r="CF145" s="99">
        <f t="shared" si="129"/>
        <v>2.2899999999999996</v>
      </c>
      <c r="CG145" s="99">
        <f t="shared" si="129"/>
        <v>2.2899999999999996</v>
      </c>
      <c r="CH145" s="99">
        <f>DR145</f>
        <v>2.2799999999999998</v>
      </c>
      <c r="CI145" s="175"/>
      <c r="CJ145" s="175"/>
      <c r="CK145" s="175"/>
      <c r="CL145" s="175"/>
      <c r="CM145" s="175"/>
      <c r="CN145" s="175"/>
      <c r="CO145" s="175"/>
      <c r="CP145" s="176"/>
      <c r="CQ145" s="176"/>
      <c r="CR145" s="176"/>
      <c r="CS145" s="176"/>
      <c r="CT145" s="176"/>
      <c r="CU145" s="176"/>
      <c r="CV145" s="176"/>
      <c r="CW145" s="167"/>
      <c r="CX145" s="168"/>
      <c r="CY145" s="168"/>
      <c r="CZ145" s="168"/>
      <c r="DA145" s="168"/>
      <c r="DB145" s="168"/>
      <c r="DC145" s="168"/>
      <c r="DD145" s="172"/>
      <c r="DE145" s="172"/>
      <c r="DF145" s="172"/>
      <c r="DG145" s="172"/>
      <c r="DH145" s="172"/>
      <c r="DI145" s="172"/>
      <c r="DJ145" s="172"/>
      <c r="DK145" s="80" t="s">
        <v>699</v>
      </c>
      <c r="DL145" s="129">
        <f>ROUNDUP(VLOOKUP($F145,Activities!$A$9:$I$180,3,FALSE)/$AI145,2)</f>
        <v>2.1199999999999997</v>
      </c>
      <c r="DM145" s="129">
        <f>ROUNDUP(VLOOKUP($F145,Activities!$A$9:$I$180,4,FALSE)/$AI145,2)</f>
        <v>2.21</v>
      </c>
      <c r="DN145" s="129">
        <f>ROUNDUP(VLOOKUP($F145,Activities!$A$9:$I$180,5,FALSE)/$AI145,2)</f>
        <v>2.2599999999999998</v>
      </c>
      <c r="DO145" s="129">
        <f>ROUNDUP(VLOOKUP($F145,Activities!$A$9:$I$180,6,FALSE)/$AI145,2)</f>
        <v>2.2799999999999998</v>
      </c>
      <c r="DP145" s="129">
        <f>ROUNDUP(VLOOKUP($F145,Activities!$A$9:$I$180,7,FALSE)/$AI145,2)</f>
        <v>2.2899999999999996</v>
      </c>
      <c r="DQ145" s="129">
        <f>ROUNDUP(VLOOKUP($F145,Activities!$A$9:$I$180,8,FALSE)/$AI145,2)</f>
        <v>2.2899999999999996</v>
      </c>
      <c r="DR145" s="129">
        <f>ROUNDUP(VLOOKUP($F145,Activities!$A$9:$I$180,9,FALSE)/$AI145,2)</f>
        <v>2.2799999999999998</v>
      </c>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5" t="s">
        <v>1033</v>
      </c>
      <c r="B146" s="5" t="s">
        <v>734</v>
      </c>
      <c r="C146" s="5" t="s">
        <v>655</v>
      </c>
      <c r="D146" s="5" t="s">
        <v>1029</v>
      </c>
      <c r="E146" s="5" t="s">
        <v>1030</v>
      </c>
      <c r="F146" s="5" t="s">
        <v>381</v>
      </c>
      <c r="G146" s="47" t="s">
        <v>1034</v>
      </c>
      <c r="H146" s="47" t="s">
        <v>1032</v>
      </c>
      <c r="I146" s="101">
        <v>8745.33</v>
      </c>
      <c r="J146" s="101">
        <v>8308.06</v>
      </c>
      <c r="K146" s="101">
        <v>7892.66</v>
      </c>
      <c r="L146" s="101">
        <v>7498.03</v>
      </c>
      <c r="M146" s="101">
        <v>7123.13</v>
      </c>
      <c r="N146" s="101">
        <v>6766.97</v>
      </c>
      <c r="O146" s="101">
        <v>6428.62</v>
      </c>
      <c r="P146" s="93">
        <v>0</v>
      </c>
      <c r="Q146" s="101">
        <v>146.47999999999999</v>
      </c>
      <c r="R146" s="101">
        <v>146.47999999999999</v>
      </c>
      <c r="S146" s="101">
        <v>146.47999999999999</v>
      </c>
      <c r="T146" s="101">
        <v>146.47999999999999</v>
      </c>
      <c r="U146" s="101">
        <v>146.47999999999999</v>
      </c>
      <c r="V146" s="101">
        <v>146.47999999999999</v>
      </c>
      <c r="W146" s="101">
        <v>146.47999999999999</v>
      </c>
      <c r="X146" s="101">
        <v>0</v>
      </c>
      <c r="Y146" s="101">
        <v>0</v>
      </c>
      <c r="Z146" s="101">
        <v>0</v>
      </c>
      <c r="AA146" s="101">
        <v>0</v>
      </c>
      <c r="AB146" s="101">
        <v>0</v>
      </c>
      <c r="AC146" s="101">
        <v>0</v>
      </c>
      <c r="AD146" s="101">
        <v>0</v>
      </c>
      <c r="AE146" s="186">
        <v>0.08</v>
      </c>
      <c r="AF146" s="93">
        <v>0</v>
      </c>
      <c r="AG146" s="93">
        <v>15</v>
      </c>
      <c r="AH146" s="93">
        <v>15</v>
      </c>
      <c r="AI146" s="16">
        <v>2.5</v>
      </c>
      <c r="AJ146" s="16" t="s">
        <v>660</v>
      </c>
      <c r="AK146" s="16" t="s">
        <v>1035</v>
      </c>
      <c r="AL146" s="16"/>
      <c r="AM146" s="60"/>
      <c r="AN146" s="60"/>
      <c r="AO146" s="60"/>
      <c r="AP146" s="60"/>
      <c r="AQ146" s="60"/>
      <c r="AR146" s="60"/>
      <c r="AS146" s="63"/>
      <c r="AT146" s="63"/>
      <c r="AU146" s="63"/>
      <c r="AV146" s="131"/>
      <c r="AW146" s="131"/>
      <c r="AX146" s="131"/>
      <c r="AY146" s="27" t="s">
        <v>662</v>
      </c>
      <c r="AZ146" s="27"/>
      <c r="BA146" s="27"/>
      <c r="BB146" s="30"/>
      <c r="BC146" s="30"/>
      <c r="BD146" s="30"/>
      <c r="BE146" s="30"/>
      <c r="BF146" s="30"/>
      <c r="BG146" s="30"/>
      <c r="BH146" s="107"/>
      <c r="BI146" s="107"/>
      <c r="BJ146" s="107"/>
      <c r="BK146" s="107"/>
      <c r="BL146" s="136"/>
      <c r="BM146" s="122"/>
      <c r="BN146" s="138">
        <v>0.13</v>
      </c>
      <c r="BO146" s="93">
        <v>2.1666666666666667E-2</v>
      </c>
      <c r="BP146" s="93">
        <v>4.3333333333333335E-2</v>
      </c>
      <c r="BQ146" s="93">
        <v>6.5000000000000002E-2</v>
      </c>
      <c r="BR146" s="93"/>
      <c r="BS146" s="93"/>
      <c r="BT146" s="93"/>
      <c r="BU146" s="27">
        <f t="shared" si="95"/>
        <v>0</v>
      </c>
      <c r="BV146" s="27"/>
      <c r="BW146" s="27"/>
      <c r="BX146" s="27"/>
      <c r="BY146" s="27"/>
      <c r="BZ146" s="27"/>
      <c r="CA146" s="27"/>
      <c r="CB146" s="97">
        <v>0.5</v>
      </c>
      <c r="CC146" s="97">
        <v>1</v>
      </c>
      <c r="CD146" s="97">
        <f t="shared" si="129"/>
        <v>2.2599999999999998</v>
      </c>
      <c r="CE146" s="97">
        <f t="shared" si="129"/>
        <v>2.2799999999999998</v>
      </c>
      <c r="CF146" s="97">
        <f t="shared" si="129"/>
        <v>2.2899999999999996</v>
      </c>
      <c r="CG146" s="97">
        <f t="shared" si="129"/>
        <v>2.2899999999999996</v>
      </c>
      <c r="CH146" s="97">
        <f t="shared" si="129"/>
        <v>2.2799999999999998</v>
      </c>
      <c r="CI146" s="173"/>
      <c r="CJ146" s="173"/>
      <c r="CK146" s="173"/>
      <c r="CL146" s="173"/>
      <c r="CM146" s="173"/>
      <c r="CN146" s="173"/>
      <c r="CO146" s="173"/>
      <c r="CP146" s="174"/>
      <c r="CQ146" s="174"/>
      <c r="CR146" s="174"/>
      <c r="CS146" s="174"/>
      <c r="CT146" s="174"/>
      <c r="CU146" s="174"/>
      <c r="CV146" s="174"/>
      <c r="CW146" s="165"/>
      <c r="CX146" s="166"/>
      <c r="CY146" s="166"/>
      <c r="CZ146" s="166"/>
      <c r="DA146" s="166"/>
      <c r="DB146" s="166"/>
      <c r="DC146" s="166"/>
      <c r="DD146" s="171"/>
      <c r="DE146" s="171"/>
      <c r="DF146" s="171"/>
      <c r="DG146" s="171"/>
      <c r="DH146" s="171"/>
      <c r="DI146" s="171"/>
      <c r="DJ146" s="171"/>
      <c r="DK146" s="79" t="s">
        <v>699</v>
      </c>
      <c r="DL146" s="128">
        <f>ROUNDUP(VLOOKUP($F146,Activities!$A$9:$I$180,3,FALSE)/$AI146,2)</f>
        <v>2.1199999999999997</v>
      </c>
      <c r="DM146" s="128">
        <f>ROUNDUP(VLOOKUP($F146,Activities!$A$9:$I$180,4,FALSE)/$AI146,2)</f>
        <v>2.21</v>
      </c>
      <c r="DN146" s="128">
        <f>ROUNDUP(VLOOKUP($F146,Activities!$A$9:$I$180,5,FALSE)/$AI146,2)</f>
        <v>2.2599999999999998</v>
      </c>
      <c r="DO146" s="128">
        <f>ROUNDUP(VLOOKUP($F146,Activities!$A$9:$I$180,6,FALSE)/$AI146,2)</f>
        <v>2.2799999999999998</v>
      </c>
      <c r="DP146" s="128">
        <f>ROUNDUP(VLOOKUP($F146,Activities!$A$9:$I$180,7,FALSE)/$AI146,2)</f>
        <v>2.2899999999999996</v>
      </c>
      <c r="DQ146" s="128">
        <f>ROUNDUP(VLOOKUP($F146,Activities!$A$9:$I$180,8,FALSE)/$AI146,2)</f>
        <v>2.2899999999999996</v>
      </c>
      <c r="DR146" s="128">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6" t="s">
        <v>1036</v>
      </c>
      <c r="B147" s="6" t="s">
        <v>734</v>
      </c>
      <c r="C147" s="6" t="s">
        <v>655</v>
      </c>
      <c r="D147" s="6" t="s">
        <v>1029</v>
      </c>
      <c r="E147" s="6" t="s">
        <v>1030</v>
      </c>
      <c r="F147" s="6" t="s">
        <v>383</v>
      </c>
      <c r="G147" s="48" t="s">
        <v>1037</v>
      </c>
      <c r="H147" s="48" t="s">
        <v>1032</v>
      </c>
      <c r="I147" s="102">
        <v>5833.12</v>
      </c>
      <c r="J147" s="102">
        <v>5833.12</v>
      </c>
      <c r="K147" s="102">
        <v>5833.12</v>
      </c>
      <c r="L147" s="102">
        <v>5833.12</v>
      </c>
      <c r="M147" s="102">
        <v>5833.12</v>
      </c>
      <c r="N147" s="102">
        <v>5833.12</v>
      </c>
      <c r="O147" s="102">
        <v>5833.12</v>
      </c>
      <c r="P147" s="94">
        <v>0</v>
      </c>
      <c r="Q147" s="102">
        <v>1946.65</v>
      </c>
      <c r="R147" s="102">
        <v>1946.65</v>
      </c>
      <c r="S147" s="102">
        <v>1946.65</v>
      </c>
      <c r="T147" s="102">
        <v>1946.65</v>
      </c>
      <c r="U147" s="102">
        <v>1946.65</v>
      </c>
      <c r="V147" s="102">
        <v>1946.65</v>
      </c>
      <c r="W147" s="102">
        <v>1946.65</v>
      </c>
      <c r="X147" s="102">
        <v>0</v>
      </c>
      <c r="Y147" s="102">
        <v>0</v>
      </c>
      <c r="Z147" s="102">
        <v>0</v>
      </c>
      <c r="AA147" s="102">
        <v>0</v>
      </c>
      <c r="AB147" s="102">
        <v>0</v>
      </c>
      <c r="AC147" s="102">
        <v>0</v>
      </c>
      <c r="AD147" s="102">
        <v>0</v>
      </c>
      <c r="AE147" s="186">
        <v>0.08</v>
      </c>
      <c r="AF147" s="94">
        <v>0</v>
      </c>
      <c r="AG147" s="94">
        <v>15</v>
      </c>
      <c r="AH147" s="94">
        <v>15</v>
      </c>
      <c r="AI147" s="17">
        <v>11.1</v>
      </c>
      <c r="AJ147" s="17" t="s">
        <v>660</v>
      </c>
      <c r="AK147" s="17" t="s">
        <v>745</v>
      </c>
      <c r="AL147" s="17"/>
      <c r="AM147" s="61"/>
      <c r="AN147" s="61"/>
      <c r="AO147" s="61"/>
      <c r="AP147" s="61"/>
      <c r="AQ147" s="61"/>
      <c r="AR147" s="61"/>
      <c r="AS147" s="64"/>
      <c r="AT147" s="64"/>
      <c r="AU147" s="64"/>
      <c r="AV147" s="132"/>
      <c r="AW147" s="132"/>
      <c r="AX147" s="132"/>
      <c r="AY147" s="28" t="s">
        <v>662</v>
      </c>
      <c r="AZ147" s="28"/>
      <c r="BA147" s="28"/>
      <c r="BB147" s="28"/>
      <c r="BC147" s="28"/>
      <c r="BD147" s="28"/>
      <c r="BE147" s="28"/>
      <c r="BF147" s="28"/>
      <c r="BG147" s="28"/>
      <c r="BH147" s="106"/>
      <c r="BI147" s="106"/>
      <c r="BJ147" s="106"/>
      <c r="BK147" s="106"/>
      <c r="BL147" s="137"/>
      <c r="BM147" s="123"/>
      <c r="BN147" s="196">
        <f>DL147-SUM(BN148:BN157)</f>
        <v>5.6199999999999992</v>
      </c>
      <c r="BO147" s="94">
        <v>0.65</v>
      </c>
      <c r="BP147" s="94">
        <v>0.35</v>
      </c>
      <c r="BQ147" s="94"/>
      <c r="BR147" s="94"/>
      <c r="BS147" s="94"/>
      <c r="BT147" s="94"/>
      <c r="BU147" s="28">
        <f t="shared" si="95"/>
        <v>0</v>
      </c>
      <c r="BV147" s="28"/>
      <c r="BW147" s="28"/>
      <c r="BX147" s="28"/>
      <c r="BY147" s="28"/>
      <c r="BZ147" s="28"/>
      <c r="CA147" s="28"/>
      <c r="CB147" s="99">
        <f t="shared" ref="CB147:CC151" si="130">DL147</f>
        <v>9.26</v>
      </c>
      <c r="CC147" s="99">
        <f t="shared" si="130"/>
        <v>9.66</v>
      </c>
      <c r="CD147" s="99">
        <f t="shared" si="129"/>
        <v>9.8699999999999992</v>
      </c>
      <c r="CE147" s="99">
        <f t="shared" si="129"/>
        <v>9.99</v>
      </c>
      <c r="CF147" s="99">
        <f t="shared" si="129"/>
        <v>10.029999999999999</v>
      </c>
      <c r="CG147" s="99">
        <f t="shared" si="129"/>
        <v>10.02</v>
      </c>
      <c r="CH147" s="99">
        <f t="shared" si="129"/>
        <v>9.98</v>
      </c>
      <c r="CI147" s="175"/>
      <c r="CJ147" s="175"/>
      <c r="CK147" s="175"/>
      <c r="CL147" s="175"/>
      <c r="CM147" s="175"/>
      <c r="CN147" s="175"/>
      <c r="CO147" s="175"/>
      <c r="CP147" s="176"/>
      <c r="CQ147" s="176"/>
      <c r="CR147" s="176"/>
      <c r="CS147" s="176"/>
      <c r="CT147" s="176"/>
      <c r="CU147" s="176"/>
      <c r="CV147" s="176"/>
      <c r="CW147" s="167"/>
      <c r="CX147" s="168"/>
      <c r="CY147" s="168"/>
      <c r="CZ147" s="168"/>
      <c r="DA147" s="168"/>
      <c r="DB147" s="168"/>
      <c r="DC147" s="168"/>
      <c r="DD147" s="172"/>
      <c r="DE147" s="172"/>
      <c r="DF147" s="172"/>
      <c r="DG147" s="172"/>
      <c r="DH147" s="172"/>
      <c r="DI147" s="172"/>
      <c r="DJ147" s="172"/>
      <c r="DK147" s="80" t="s">
        <v>699</v>
      </c>
      <c r="DL147" s="129">
        <f>ROUNDUP(VLOOKUP($F147,Activities!$A$9:$I$180,3,FALSE)/$AI147,2)</f>
        <v>9.26</v>
      </c>
      <c r="DM147" s="129">
        <f>ROUNDUP(VLOOKUP($F147,Activities!$A$9:$I$180,4,FALSE)/$AI147,2)</f>
        <v>9.66</v>
      </c>
      <c r="DN147" s="129">
        <f>ROUNDUP(VLOOKUP($F147,Activities!$A$9:$I$180,5,FALSE)/$AI147,2)</f>
        <v>9.8699999999999992</v>
      </c>
      <c r="DO147" s="129">
        <f>ROUNDUP(VLOOKUP($F147,Activities!$A$9:$I$180,6,FALSE)/$AI147,2)</f>
        <v>9.99</v>
      </c>
      <c r="DP147" s="129">
        <f>ROUNDUP(VLOOKUP($F147,Activities!$A$9:$I$180,7,FALSE)/$AI147,2)</f>
        <v>10.029999999999999</v>
      </c>
      <c r="DQ147" s="129">
        <f>ROUNDUP(VLOOKUP($F147,Activities!$A$9:$I$180,8,FALSE)/$AI147,2)</f>
        <v>10.02</v>
      </c>
      <c r="DR147" s="129">
        <f>ROUNDUP(VLOOKUP($F147,Activities!$A$9:$I$180,9,FALSE)/$AI147,2)</f>
        <v>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5" t="s">
        <v>1038</v>
      </c>
      <c r="B148" s="5" t="s">
        <v>734</v>
      </c>
      <c r="C148" s="5" t="s">
        <v>655</v>
      </c>
      <c r="D148" s="5" t="s">
        <v>1029</v>
      </c>
      <c r="E148" s="5" t="s">
        <v>1030</v>
      </c>
      <c r="F148" s="5" t="s">
        <v>383</v>
      </c>
      <c r="G148" s="47" t="s">
        <v>1039</v>
      </c>
      <c r="H148" s="47" t="s">
        <v>1032</v>
      </c>
      <c r="I148" s="101">
        <v>9880.9500000000007</v>
      </c>
      <c r="J148" s="101">
        <v>8461.91</v>
      </c>
      <c r="K148" s="101">
        <v>7113.81</v>
      </c>
      <c r="L148" s="101">
        <v>5833.12</v>
      </c>
      <c r="M148" s="101">
        <v>5833.12</v>
      </c>
      <c r="N148" s="101">
        <v>5833.12</v>
      </c>
      <c r="O148" s="101">
        <v>5833.12</v>
      </c>
      <c r="P148" s="93">
        <v>0</v>
      </c>
      <c r="Q148" s="101">
        <v>1946.65</v>
      </c>
      <c r="R148" s="101">
        <v>1946.65</v>
      </c>
      <c r="S148" s="101">
        <v>1946.65</v>
      </c>
      <c r="T148" s="101">
        <v>1946.65</v>
      </c>
      <c r="U148" s="101">
        <v>1946.65</v>
      </c>
      <c r="V148" s="101">
        <v>1946.65</v>
      </c>
      <c r="W148" s="101">
        <v>1946.65</v>
      </c>
      <c r="X148" s="101">
        <v>0</v>
      </c>
      <c r="Y148" s="101">
        <v>0</v>
      </c>
      <c r="Z148" s="101">
        <v>0</v>
      </c>
      <c r="AA148" s="101">
        <v>0</v>
      </c>
      <c r="AB148" s="101">
        <v>0</v>
      </c>
      <c r="AC148" s="101">
        <v>0</v>
      </c>
      <c r="AD148" s="101">
        <v>0</v>
      </c>
      <c r="AE148" s="186">
        <v>0.08</v>
      </c>
      <c r="AF148" s="93">
        <v>0</v>
      </c>
      <c r="AG148" s="93">
        <v>15</v>
      </c>
      <c r="AH148" s="93">
        <v>15</v>
      </c>
      <c r="AI148" s="16">
        <v>11.1</v>
      </c>
      <c r="AJ148" s="16" t="s">
        <v>660</v>
      </c>
      <c r="AK148" s="16" t="s">
        <v>745</v>
      </c>
      <c r="AL148" s="16"/>
      <c r="AM148" s="60"/>
      <c r="AN148" s="60"/>
      <c r="AO148" s="60"/>
      <c r="AP148" s="60"/>
      <c r="AQ148" s="60"/>
      <c r="AR148" s="60"/>
      <c r="AS148" s="63"/>
      <c r="AT148" s="63"/>
      <c r="AU148" s="63"/>
      <c r="AV148" s="131"/>
      <c r="AW148" s="131"/>
      <c r="AX148" s="131"/>
      <c r="AY148" s="27" t="s">
        <v>662</v>
      </c>
      <c r="AZ148" s="27"/>
      <c r="BA148" s="27"/>
      <c r="BB148" s="30"/>
      <c r="BC148" s="30"/>
      <c r="BD148" s="30"/>
      <c r="BE148" s="30"/>
      <c r="BF148" s="30"/>
      <c r="BG148" s="30"/>
      <c r="BH148" s="107"/>
      <c r="BI148" s="107"/>
      <c r="BJ148" s="107"/>
      <c r="BK148" s="107"/>
      <c r="BL148" s="136"/>
      <c r="BM148" s="122"/>
      <c r="BN148" s="138">
        <v>1.7</v>
      </c>
      <c r="BO148" s="93">
        <v>0.3</v>
      </c>
      <c r="BP148" s="93">
        <v>0.6</v>
      </c>
      <c r="BQ148" s="93">
        <v>0.8</v>
      </c>
      <c r="BR148" s="93"/>
      <c r="BS148" s="93"/>
      <c r="BT148" s="93"/>
      <c r="BU148" s="27">
        <f t="shared" si="95"/>
        <v>0</v>
      </c>
      <c r="BV148" s="27"/>
      <c r="BW148" s="27"/>
      <c r="BX148" s="27"/>
      <c r="BY148" s="27"/>
      <c r="BZ148" s="27"/>
      <c r="CA148" s="27"/>
      <c r="CB148" s="97">
        <f t="shared" si="130"/>
        <v>9.26</v>
      </c>
      <c r="CC148" s="97">
        <f t="shared" si="130"/>
        <v>9.66</v>
      </c>
      <c r="CD148" s="97">
        <f t="shared" si="129"/>
        <v>9.8699999999999992</v>
      </c>
      <c r="CE148" s="97">
        <f t="shared" si="129"/>
        <v>9.99</v>
      </c>
      <c r="CF148" s="97">
        <f t="shared" si="129"/>
        <v>10.029999999999999</v>
      </c>
      <c r="CG148" s="97">
        <f t="shared" si="129"/>
        <v>10.02</v>
      </c>
      <c r="CH148" s="97">
        <f t="shared" si="129"/>
        <v>9.98</v>
      </c>
      <c r="CI148" s="173"/>
      <c r="CJ148" s="173"/>
      <c r="CK148" s="173"/>
      <c r="CL148" s="173"/>
      <c r="CM148" s="173"/>
      <c r="CN148" s="173"/>
      <c r="CO148" s="173"/>
      <c r="CP148" s="174"/>
      <c r="CQ148" s="174"/>
      <c r="CR148" s="174"/>
      <c r="CS148" s="174"/>
      <c r="CT148" s="174"/>
      <c r="CU148" s="174"/>
      <c r="CV148" s="174"/>
      <c r="CW148" s="165"/>
      <c r="CX148" s="166"/>
      <c r="CY148" s="166"/>
      <c r="CZ148" s="166"/>
      <c r="DA148" s="166"/>
      <c r="DB148" s="166"/>
      <c r="DC148" s="166"/>
      <c r="DD148" s="171"/>
      <c r="DE148" s="171"/>
      <c r="DF148" s="171"/>
      <c r="DG148" s="171"/>
      <c r="DH148" s="171"/>
      <c r="DI148" s="171"/>
      <c r="DJ148" s="171"/>
      <c r="DK148" s="79" t="s">
        <v>1040</v>
      </c>
      <c r="DL148" s="128">
        <f>ROUNDUP(VLOOKUP($F148,Activities!$A$9:$I$180,3,FALSE)/$AI148,2)</f>
        <v>9.26</v>
      </c>
      <c r="DM148" s="128">
        <f>ROUNDUP(VLOOKUP($F148,Activities!$A$9:$I$180,4,FALSE)/$AI148,2)</f>
        <v>9.66</v>
      </c>
      <c r="DN148" s="128">
        <f>ROUNDUP(VLOOKUP($F148,Activities!$A$9:$I$180,5,FALSE)/$AI148,2)</f>
        <v>9.8699999999999992</v>
      </c>
      <c r="DO148" s="128">
        <f>ROUNDUP(VLOOKUP($F148,Activities!$A$9:$I$180,6,FALSE)/$AI148,2)</f>
        <v>9.99</v>
      </c>
      <c r="DP148" s="128">
        <f>ROUNDUP(VLOOKUP($F148,Activities!$A$9:$I$180,7,FALSE)/$AI148,2)</f>
        <v>10.029999999999999</v>
      </c>
      <c r="DQ148" s="128">
        <f>ROUNDUP(VLOOKUP($F148,Activities!$A$9:$I$180,8,FALSE)/$AI148,2)</f>
        <v>10.02</v>
      </c>
      <c r="DR148" s="128">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1041</v>
      </c>
      <c r="B149" s="5" t="s">
        <v>734</v>
      </c>
      <c r="C149" s="5" t="s">
        <v>655</v>
      </c>
      <c r="D149" s="5" t="s">
        <v>1029</v>
      </c>
      <c r="E149" s="5" t="s">
        <v>1030</v>
      </c>
      <c r="F149" s="5" t="s">
        <v>383</v>
      </c>
      <c r="G149" s="47" t="s">
        <v>1042</v>
      </c>
      <c r="H149" s="47" t="s">
        <v>1032</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94"/>
      <c r="BM149" s="122"/>
      <c r="BN149" s="138">
        <v>1.7</v>
      </c>
      <c r="BO149" s="93">
        <v>0.3</v>
      </c>
      <c r="BP149" s="93">
        <v>0.6</v>
      </c>
      <c r="BQ149" s="93">
        <v>0.8</v>
      </c>
      <c r="BR149" s="93"/>
      <c r="BS149" s="93"/>
      <c r="BT149" s="93"/>
      <c r="BU149" s="27">
        <f t="shared" ref="BU149" si="131">IF(BL149=1,BN149,0)</f>
        <v>0</v>
      </c>
      <c r="BV149" s="27"/>
      <c r="BW149" s="27"/>
      <c r="BX149" s="27"/>
      <c r="BY149" s="27"/>
      <c r="BZ149" s="27"/>
      <c r="CA149" s="27"/>
      <c r="CB149" s="97">
        <f t="shared" ref="CB149" si="132">DL149</f>
        <v>9.26</v>
      </c>
      <c r="CC149" s="97">
        <f t="shared" ref="CC149" si="133">DM149</f>
        <v>9.66</v>
      </c>
      <c r="CD149" s="97">
        <f t="shared" ref="CD149" si="134">DN149</f>
        <v>9.8699999999999992</v>
      </c>
      <c r="CE149" s="97">
        <f t="shared" ref="CE149" si="135">DO149</f>
        <v>9.99</v>
      </c>
      <c r="CF149" s="97">
        <f t="shared" ref="CF149" si="136">DP149</f>
        <v>10.029999999999999</v>
      </c>
      <c r="CG149" s="97">
        <f t="shared" ref="CG149" si="137">DQ149</f>
        <v>10.02</v>
      </c>
      <c r="CH149" s="97">
        <f t="shared" ref="CH149" si="138">DR149</f>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1040</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1029</v>
      </c>
      <c r="E150" s="5" t="s">
        <v>1030</v>
      </c>
      <c r="F150" s="5" t="s">
        <v>383</v>
      </c>
      <c r="G150" s="47" t="s">
        <v>1044</v>
      </c>
      <c r="H150" s="47" t="s">
        <v>1032</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0</v>
      </c>
      <c r="BO150" s="138">
        <v>0</v>
      </c>
      <c r="BP150" s="138">
        <v>0</v>
      </c>
      <c r="BQ150" s="138">
        <v>0</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1040</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6" t="s">
        <v>1045</v>
      </c>
      <c r="B151" s="6" t="s">
        <v>734</v>
      </c>
      <c r="C151" s="6" t="s">
        <v>655</v>
      </c>
      <c r="D151" s="6" t="s">
        <v>1029</v>
      </c>
      <c r="E151" s="6" t="s">
        <v>1030</v>
      </c>
      <c r="F151" s="6" t="s">
        <v>383</v>
      </c>
      <c r="G151" s="48" t="s">
        <v>1046</v>
      </c>
      <c r="H151" s="48" t="s">
        <v>1032</v>
      </c>
      <c r="I151" s="102">
        <v>12180.12</v>
      </c>
      <c r="J151" s="102">
        <v>10646.11</v>
      </c>
      <c r="K151" s="102">
        <v>9188.81</v>
      </c>
      <c r="L151" s="102">
        <v>7804.37</v>
      </c>
      <c r="M151" s="102">
        <v>6489.15</v>
      </c>
      <c r="N151" s="102">
        <v>5239.6899999999996</v>
      </c>
      <c r="O151" s="102">
        <v>4052.71</v>
      </c>
      <c r="P151" s="94">
        <v>0</v>
      </c>
      <c r="Q151" s="102">
        <v>1946.65</v>
      </c>
      <c r="R151" s="102">
        <v>1946.65</v>
      </c>
      <c r="S151" s="102">
        <v>1946.65</v>
      </c>
      <c r="T151" s="102">
        <v>1946.65</v>
      </c>
      <c r="U151" s="102">
        <v>1946.65</v>
      </c>
      <c r="V151" s="102">
        <v>1946.65</v>
      </c>
      <c r="W151" s="102">
        <v>1946.65</v>
      </c>
      <c r="X151" s="102">
        <v>0</v>
      </c>
      <c r="Y151" s="102">
        <v>0</v>
      </c>
      <c r="Z151" s="102">
        <v>0</v>
      </c>
      <c r="AA151" s="102">
        <v>0</v>
      </c>
      <c r="AB151" s="102">
        <v>0</v>
      </c>
      <c r="AC151" s="102">
        <v>0</v>
      </c>
      <c r="AD151" s="102">
        <v>0</v>
      </c>
      <c r="AE151" s="186">
        <v>0.08</v>
      </c>
      <c r="AF151" s="94">
        <v>0</v>
      </c>
      <c r="AG151" s="94">
        <v>15</v>
      </c>
      <c r="AH151" s="94">
        <v>15</v>
      </c>
      <c r="AI151" s="17">
        <v>11.1</v>
      </c>
      <c r="AJ151" s="17" t="s">
        <v>660</v>
      </c>
      <c r="AK151" s="17" t="s">
        <v>745</v>
      </c>
      <c r="AL151" s="17"/>
      <c r="AM151" s="61"/>
      <c r="AN151" s="61"/>
      <c r="AO151" s="61"/>
      <c r="AP151" s="61"/>
      <c r="AQ151" s="61"/>
      <c r="AR151" s="61"/>
      <c r="AS151" s="64"/>
      <c r="AT151" s="64"/>
      <c r="AU151" s="64"/>
      <c r="AV151" s="132"/>
      <c r="AW151" s="132"/>
      <c r="AX151" s="132"/>
      <c r="AY151" s="28" t="s">
        <v>662</v>
      </c>
      <c r="AZ151" s="28"/>
      <c r="BA151" s="28"/>
      <c r="BB151" s="28"/>
      <c r="BC151" s="28"/>
      <c r="BD151" s="28"/>
      <c r="BE151" s="28"/>
      <c r="BF151" s="28"/>
      <c r="BG151" s="28"/>
      <c r="BH151" s="106"/>
      <c r="BI151" s="106"/>
      <c r="BJ151" s="106"/>
      <c r="BK151" s="106"/>
      <c r="BL151" s="194"/>
      <c r="BM151" s="123"/>
      <c r="BN151" s="139">
        <v>0.04</v>
      </c>
      <c r="BO151" s="94">
        <v>0.01</v>
      </c>
      <c r="BP151" s="94">
        <v>0.01</v>
      </c>
      <c r="BQ151" s="94">
        <v>0.02</v>
      </c>
      <c r="BR151" s="94"/>
      <c r="BS151" s="94"/>
      <c r="BT151" s="94"/>
      <c r="BU151" s="28">
        <f t="shared" si="95"/>
        <v>0</v>
      </c>
      <c r="BV151" s="28"/>
      <c r="BW151" s="28"/>
      <c r="BX151" s="28"/>
      <c r="BY151" s="28"/>
      <c r="BZ151" s="28"/>
      <c r="CA151" s="28"/>
      <c r="CB151" s="99">
        <f t="shared" si="130"/>
        <v>9.26</v>
      </c>
      <c r="CC151" s="99">
        <f t="shared" si="130"/>
        <v>9.66</v>
      </c>
      <c r="CD151" s="99">
        <f t="shared" si="129"/>
        <v>9.8699999999999992</v>
      </c>
      <c r="CE151" s="99">
        <f t="shared" si="129"/>
        <v>9.99</v>
      </c>
      <c r="CF151" s="99">
        <f t="shared" si="129"/>
        <v>10.029999999999999</v>
      </c>
      <c r="CG151" s="99">
        <f t="shared" si="129"/>
        <v>10.02</v>
      </c>
      <c r="CH151" s="99">
        <f t="shared" si="129"/>
        <v>9.98</v>
      </c>
      <c r="CI151" s="175"/>
      <c r="CJ151" s="175"/>
      <c r="CK151" s="175"/>
      <c r="CL151" s="175"/>
      <c r="CM151" s="175"/>
      <c r="CN151" s="175"/>
      <c r="CO151" s="175"/>
      <c r="CP151" s="176"/>
      <c r="CQ151" s="176"/>
      <c r="CR151" s="176"/>
      <c r="CS151" s="176"/>
      <c r="CT151" s="176"/>
      <c r="CU151" s="176"/>
      <c r="CV151" s="176"/>
      <c r="CW151" s="167"/>
      <c r="CX151" s="168"/>
      <c r="CY151" s="168"/>
      <c r="CZ151" s="168"/>
      <c r="DA151" s="168"/>
      <c r="DB151" s="168"/>
      <c r="DC151" s="168"/>
      <c r="DD151" s="172"/>
      <c r="DE151" s="172"/>
      <c r="DF151" s="172"/>
      <c r="DG151" s="172"/>
      <c r="DH151" s="172"/>
      <c r="DI151" s="172"/>
      <c r="DJ151" s="172"/>
      <c r="DK151" s="80" t="s">
        <v>1040</v>
      </c>
      <c r="DL151" s="129">
        <f>ROUNDUP(VLOOKUP($F151,Activities!$A$9:$I$180,3,FALSE)/$AI151,2)</f>
        <v>9.26</v>
      </c>
      <c r="DM151" s="129">
        <f>ROUNDUP(VLOOKUP($F151,Activities!$A$9:$I$180,4,FALSE)/$AI151,2)</f>
        <v>9.66</v>
      </c>
      <c r="DN151" s="129">
        <f>ROUNDUP(VLOOKUP($F151,Activities!$A$9:$I$180,5,FALSE)/$AI151,2)</f>
        <v>9.8699999999999992</v>
      </c>
      <c r="DO151" s="129">
        <f>ROUNDUP(VLOOKUP($F151,Activities!$A$9:$I$180,6,FALSE)/$AI151,2)</f>
        <v>9.99</v>
      </c>
      <c r="DP151" s="129">
        <f>ROUNDUP(VLOOKUP($F151,Activities!$A$9:$I$180,7,FALSE)/$AI151,2)</f>
        <v>10.029999999999999</v>
      </c>
      <c r="DQ151" s="129">
        <f>ROUNDUP(VLOOKUP($F151,Activities!$A$9:$I$180,8,FALSE)/$AI151,2)</f>
        <v>10.02</v>
      </c>
      <c r="DR151" s="129">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5" t="s">
        <v>1047</v>
      </c>
      <c r="B152" s="5" t="s">
        <v>734</v>
      </c>
      <c r="C152" s="5" t="s">
        <v>655</v>
      </c>
      <c r="D152" s="5" t="s">
        <v>1029</v>
      </c>
      <c r="E152" s="5" t="s">
        <v>1030</v>
      </c>
      <c r="F152" s="5" t="s">
        <v>383</v>
      </c>
      <c r="G152" s="47" t="s">
        <v>1048</v>
      </c>
      <c r="H152" s="47" t="s">
        <v>1032</v>
      </c>
      <c r="I152" s="101">
        <v>10788.11</v>
      </c>
      <c r="J152" s="101">
        <v>9909.4699999999993</v>
      </c>
      <c r="K152" s="101">
        <v>9057.18</v>
      </c>
      <c r="L152" s="101">
        <v>8230.4699999999993</v>
      </c>
      <c r="M152" s="101">
        <v>7428.55</v>
      </c>
      <c r="N152" s="101">
        <v>6650.7</v>
      </c>
      <c r="O152" s="101">
        <v>5896.18</v>
      </c>
      <c r="P152" s="93">
        <v>0</v>
      </c>
      <c r="Q152" s="101">
        <v>1654.65</v>
      </c>
      <c r="R152" s="101">
        <v>1654.65</v>
      </c>
      <c r="S152" s="101">
        <v>1654.65</v>
      </c>
      <c r="T152" s="101">
        <v>1654.65</v>
      </c>
      <c r="U152" s="101">
        <v>1654.65</v>
      </c>
      <c r="V152" s="101">
        <v>1654.65</v>
      </c>
      <c r="W152" s="101">
        <v>1654.65</v>
      </c>
      <c r="X152" s="101">
        <v>0</v>
      </c>
      <c r="Y152" s="101">
        <v>0</v>
      </c>
      <c r="Z152" s="101">
        <v>0</v>
      </c>
      <c r="AA152" s="101">
        <v>0</v>
      </c>
      <c r="AB152" s="101">
        <v>0</v>
      </c>
      <c r="AC152" s="101">
        <v>0</v>
      </c>
      <c r="AD152" s="101">
        <v>0</v>
      </c>
      <c r="AE152" s="186">
        <v>0.08</v>
      </c>
      <c r="AF152" s="93">
        <v>0</v>
      </c>
      <c r="AG152" s="93">
        <v>15</v>
      </c>
      <c r="AH152" s="93">
        <v>15</v>
      </c>
      <c r="AI152" s="16">
        <v>11.1</v>
      </c>
      <c r="AJ152" s="16" t="s">
        <v>660</v>
      </c>
      <c r="AK152" s="16" t="s">
        <v>1035</v>
      </c>
      <c r="AL152" s="16"/>
      <c r="AM152" s="60"/>
      <c r="AN152" s="60"/>
      <c r="AO152" s="60"/>
      <c r="AP152" s="60"/>
      <c r="AQ152" s="60"/>
      <c r="AR152" s="60"/>
      <c r="AS152" s="63"/>
      <c r="AT152" s="63"/>
      <c r="AU152" s="63"/>
      <c r="AV152" s="131"/>
      <c r="AW152" s="131"/>
      <c r="AX152" s="131"/>
      <c r="AY152" s="27" t="s">
        <v>662</v>
      </c>
      <c r="AZ152" s="27"/>
      <c r="BA152" s="27"/>
      <c r="BB152" s="30"/>
      <c r="BC152" s="30"/>
      <c r="BD152" s="30"/>
      <c r="BE152" s="30"/>
      <c r="BF152" s="30"/>
      <c r="BG152" s="30"/>
      <c r="BH152" s="107"/>
      <c r="BI152" s="107"/>
      <c r="BJ152" s="107"/>
      <c r="BK152" s="107"/>
      <c r="BL152" s="194"/>
      <c r="BM152" s="122"/>
      <c r="BN152" s="138">
        <v>0</v>
      </c>
      <c r="BO152" s="93"/>
      <c r="BP152" s="93"/>
      <c r="BQ152" s="93"/>
      <c r="BR152" s="93"/>
      <c r="BS152" s="93"/>
      <c r="BT152" s="93"/>
      <c r="BU152" s="27">
        <f t="shared" si="95"/>
        <v>0</v>
      </c>
      <c r="BV152" s="27"/>
      <c r="BW152" s="27"/>
      <c r="BX152" s="27"/>
      <c r="BY152" s="27"/>
      <c r="BZ152" s="27"/>
      <c r="CA152" s="27"/>
      <c r="CB152" s="97">
        <v>0.01</v>
      </c>
      <c r="CC152" s="97">
        <v>0.01</v>
      </c>
      <c r="CD152" s="97">
        <f>0.1*CD147</f>
        <v>0.98699999999999999</v>
      </c>
      <c r="CE152" s="97">
        <f>0.15*CE147</f>
        <v>1.4984999999999999</v>
      </c>
      <c r="CF152" s="97">
        <f>0.2*CF147</f>
        <v>2.0059999999999998</v>
      </c>
      <c r="CG152" s="97">
        <f>0.25*CG147</f>
        <v>2.5049999999999999</v>
      </c>
      <c r="CH152" s="97">
        <f>0.3*CH147</f>
        <v>2.9940000000000002</v>
      </c>
      <c r="CI152" s="173"/>
      <c r="CJ152" s="173"/>
      <c r="CK152" s="173"/>
      <c r="CL152" s="173"/>
      <c r="CM152" s="173"/>
      <c r="CN152" s="173"/>
      <c r="CO152" s="173"/>
      <c r="CP152" s="174"/>
      <c r="CQ152" s="174"/>
      <c r="CR152" s="174"/>
      <c r="CS152" s="174"/>
      <c r="CT152" s="174"/>
      <c r="CU152" s="174"/>
      <c r="CV152" s="174"/>
      <c r="CW152" s="165"/>
      <c r="CX152" s="166"/>
      <c r="CY152" s="166"/>
      <c r="CZ152" s="166"/>
      <c r="DA152" s="166"/>
      <c r="DB152" s="166"/>
      <c r="DC152" s="166"/>
      <c r="DD152" s="171"/>
      <c r="DE152" s="171"/>
      <c r="DF152" s="171"/>
      <c r="DG152" s="171"/>
      <c r="DH152" s="171"/>
      <c r="DI152" s="171"/>
      <c r="DJ152" s="171"/>
      <c r="DK152" s="79" t="s">
        <v>1040</v>
      </c>
      <c r="DL152" s="128">
        <f>ROUNDUP(VLOOKUP($F152,Activities!$A$9:$I$180,3,FALSE)/$AI152,2)</f>
        <v>9.26</v>
      </c>
      <c r="DM152" s="128">
        <f>ROUNDUP(VLOOKUP($F152,Activities!$A$9:$I$180,4,FALSE)/$AI152,2)</f>
        <v>9.66</v>
      </c>
      <c r="DN152" s="128">
        <f>ROUNDUP(VLOOKUP($F152,Activities!$A$9:$I$180,5,FALSE)/$AI152,2)</f>
        <v>9.8699999999999992</v>
      </c>
      <c r="DO152" s="128">
        <f>ROUNDUP(VLOOKUP($F152,Activities!$A$9:$I$180,6,FALSE)/$AI152,2)</f>
        <v>9.99</v>
      </c>
      <c r="DP152" s="128">
        <f>ROUNDUP(VLOOKUP($F152,Activities!$A$9:$I$180,7,FALSE)/$AI152,2)</f>
        <v>10.029999999999999</v>
      </c>
      <c r="DQ152" s="128">
        <f>ROUNDUP(VLOOKUP($F152,Activities!$A$9:$I$180,8,FALSE)/$AI152,2)</f>
        <v>10.02</v>
      </c>
      <c r="DR152" s="128">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6" t="s">
        <v>1049</v>
      </c>
      <c r="B153" s="6" t="s">
        <v>734</v>
      </c>
      <c r="C153" s="6" t="s">
        <v>655</v>
      </c>
      <c r="D153" s="6" t="s">
        <v>1029</v>
      </c>
      <c r="E153" s="6" t="s">
        <v>1030</v>
      </c>
      <c r="F153" s="6" t="s">
        <v>383</v>
      </c>
      <c r="G153" s="48" t="s">
        <v>1050</v>
      </c>
      <c r="H153" s="48" t="s">
        <v>1032</v>
      </c>
      <c r="I153" s="102">
        <v>16833.21</v>
      </c>
      <c r="J153" s="102">
        <v>15243.22</v>
      </c>
      <c r="K153" s="102">
        <v>13724.77</v>
      </c>
      <c r="L153" s="102">
        <v>12274.66</v>
      </c>
      <c r="M153" s="102">
        <v>10889.8</v>
      </c>
      <c r="N153" s="102">
        <v>9567.26</v>
      </c>
      <c r="O153" s="102">
        <v>8304.23</v>
      </c>
      <c r="P153" s="94">
        <v>0</v>
      </c>
      <c r="Q153" s="102">
        <v>1946.65</v>
      </c>
      <c r="R153" s="102">
        <v>1946.65</v>
      </c>
      <c r="S153" s="102">
        <v>1946.65</v>
      </c>
      <c r="T153" s="102">
        <v>1946.65</v>
      </c>
      <c r="U153" s="102">
        <v>1946.65</v>
      </c>
      <c r="V153" s="102">
        <v>1946.65</v>
      </c>
      <c r="W153" s="102">
        <v>1946.65</v>
      </c>
      <c r="X153" s="102">
        <v>0</v>
      </c>
      <c r="Y153" s="102">
        <v>0</v>
      </c>
      <c r="Z153" s="102">
        <v>0</v>
      </c>
      <c r="AA153" s="102">
        <v>0</v>
      </c>
      <c r="AB153" s="102">
        <v>0</v>
      </c>
      <c r="AC153" s="102">
        <v>0</v>
      </c>
      <c r="AD153" s="102">
        <v>0</v>
      </c>
      <c r="AE153" s="186">
        <v>0.08</v>
      </c>
      <c r="AF153" s="94">
        <v>0</v>
      </c>
      <c r="AG153" s="94">
        <v>15</v>
      </c>
      <c r="AH153" s="94">
        <v>15</v>
      </c>
      <c r="AI153" s="17">
        <v>11.1</v>
      </c>
      <c r="AJ153" s="17" t="s">
        <v>660</v>
      </c>
      <c r="AK153" s="17" t="s">
        <v>1035</v>
      </c>
      <c r="AL153" s="17"/>
      <c r="AM153" s="61"/>
      <c r="AN153" s="61"/>
      <c r="AO153" s="61"/>
      <c r="AP153" s="61"/>
      <c r="AQ153" s="61"/>
      <c r="AR153" s="61"/>
      <c r="AS153" s="64"/>
      <c r="AT153" s="64"/>
      <c r="AU153" s="64"/>
      <c r="AV153" s="132"/>
      <c r="AW153" s="132"/>
      <c r="AX153" s="132"/>
      <c r="AY153" s="28" t="s">
        <v>662</v>
      </c>
      <c r="AZ153" s="28"/>
      <c r="BA153" s="28"/>
      <c r="BB153" s="28"/>
      <c r="BC153" s="28"/>
      <c r="BD153" s="28"/>
      <c r="BE153" s="28"/>
      <c r="BF153" s="28"/>
      <c r="BG153" s="28"/>
      <c r="BH153" s="106"/>
      <c r="BI153" s="106"/>
      <c r="BJ153" s="106"/>
      <c r="BK153" s="106"/>
      <c r="BL153" s="137"/>
      <c r="BM153" s="123"/>
      <c r="BN153" s="139">
        <v>0.1</v>
      </c>
      <c r="BO153" s="94">
        <v>2.5000000000000001E-2</v>
      </c>
      <c r="BP153" s="94">
        <v>0.05</v>
      </c>
      <c r="BQ153" s="94">
        <v>2.5000000000000001E-2</v>
      </c>
      <c r="BR153" s="94"/>
      <c r="BS153" s="94"/>
      <c r="BT153" s="94"/>
      <c r="BU153" s="28">
        <f t="shared" si="95"/>
        <v>0</v>
      </c>
      <c r="BV153" s="28"/>
      <c r="BW153" s="28"/>
      <c r="BX153" s="28"/>
      <c r="BY153" s="28"/>
      <c r="BZ153" s="28"/>
      <c r="CA153" s="28"/>
      <c r="CB153" s="99">
        <v>0.1</v>
      </c>
      <c r="CC153" s="99">
        <v>1</v>
      </c>
      <c r="CD153" s="99">
        <v>10</v>
      </c>
      <c r="CE153" s="99">
        <v>12</v>
      </c>
      <c r="CF153" s="99">
        <v>12</v>
      </c>
      <c r="CG153" s="99">
        <f t="shared" ref="CF153:CH182" si="147">DQ153</f>
        <v>10.02</v>
      </c>
      <c r="CH153" s="99">
        <f>DR153</f>
        <v>9.98</v>
      </c>
      <c r="CI153" s="175"/>
      <c r="CJ153" s="175"/>
      <c r="CK153" s="175"/>
      <c r="CL153" s="175"/>
      <c r="CM153" s="175"/>
      <c r="CN153" s="175"/>
      <c r="CO153" s="175"/>
      <c r="CP153" s="176"/>
      <c r="CQ153" s="176"/>
      <c r="CR153" s="176"/>
      <c r="CS153" s="176"/>
      <c r="CT153" s="176"/>
      <c r="CU153" s="176"/>
      <c r="CV153" s="176"/>
      <c r="CW153" s="167"/>
      <c r="CX153" s="168"/>
      <c r="CY153" s="168"/>
      <c r="CZ153" s="168"/>
      <c r="DA153" s="168"/>
      <c r="DB153" s="168"/>
      <c r="DC153" s="168"/>
      <c r="DD153" s="172"/>
      <c r="DE153" s="172"/>
      <c r="DF153" s="172"/>
      <c r="DG153" s="172"/>
      <c r="DH153" s="172"/>
      <c r="DI153" s="172"/>
      <c r="DJ153" s="172"/>
      <c r="DK153" s="80" t="s">
        <v>663</v>
      </c>
      <c r="DL153" s="129">
        <f>ROUNDUP(VLOOKUP($F153,Activities!$A$9:$I$180,3,FALSE)/$AI153,2)</f>
        <v>9.26</v>
      </c>
      <c r="DM153" s="129">
        <f>ROUNDUP(VLOOKUP($F153,Activities!$A$9:$I$180,4,FALSE)/$AI153,2)</f>
        <v>9.66</v>
      </c>
      <c r="DN153" s="129">
        <f>ROUNDUP(VLOOKUP($F153,Activities!$A$9:$I$180,5,FALSE)/$AI153,2)</f>
        <v>9.8699999999999992</v>
      </c>
      <c r="DO153" s="129">
        <f>ROUNDUP(VLOOKUP($F153,Activities!$A$9:$I$180,6,FALSE)/$AI153,2)</f>
        <v>9.99</v>
      </c>
      <c r="DP153" s="129">
        <f>ROUNDUP(VLOOKUP($F153,Activities!$A$9:$I$180,7,FALSE)/$AI153,2)</f>
        <v>10.029999999999999</v>
      </c>
      <c r="DQ153" s="129">
        <f>ROUNDUP(VLOOKUP($F153,Activities!$A$9:$I$180,8,FALSE)/$AI153,2)</f>
        <v>10.02</v>
      </c>
      <c r="DR153" s="129">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5" t="s">
        <v>1051</v>
      </c>
      <c r="B154" s="5" t="s">
        <v>734</v>
      </c>
      <c r="C154" s="5" t="s">
        <v>655</v>
      </c>
      <c r="D154" s="5" t="s">
        <v>1029</v>
      </c>
      <c r="E154" s="5" t="s">
        <v>1030</v>
      </c>
      <c r="F154" s="5" t="s">
        <v>383</v>
      </c>
      <c r="G154" s="47" t="s">
        <v>1052</v>
      </c>
      <c r="H154" s="47" t="s">
        <v>1032</v>
      </c>
      <c r="I154" s="101">
        <v>26935.77</v>
      </c>
      <c r="J154" s="101">
        <v>23300.91</v>
      </c>
      <c r="K154" s="101">
        <v>19956.84</v>
      </c>
      <c r="L154" s="101">
        <v>16880.29</v>
      </c>
      <c r="M154" s="101">
        <v>14049.87</v>
      </c>
      <c r="N154" s="101">
        <v>11445.88</v>
      </c>
      <c r="O154" s="101">
        <v>9050.2099999999991</v>
      </c>
      <c r="P154" s="93">
        <v>0</v>
      </c>
      <c r="Q154" s="101">
        <v>1297.77</v>
      </c>
      <c r="R154" s="101">
        <v>1297.77</v>
      </c>
      <c r="S154" s="101">
        <v>1297.77</v>
      </c>
      <c r="T154" s="101">
        <v>1297.77</v>
      </c>
      <c r="U154" s="101">
        <v>1297.77</v>
      </c>
      <c r="V154" s="101">
        <v>1297.77</v>
      </c>
      <c r="W154" s="101">
        <v>1297.77</v>
      </c>
      <c r="X154" s="101">
        <v>0</v>
      </c>
      <c r="Y154" s="101">
        <v>0</v>
      </c>
      <c r="Z154" s="101">
        <v>0</v>
      </c>
      <c r="AA154" s="101">
        <v>0</v>
      </c>
      <c r="AB154" s="101">
        <v>0</v>
      </c>
      <c r="AC154" s="101">
        <v>0</v>
      </c>
      <c r="AD154" s="101">
        <v>0</v>
      </c>
      <c r="AE154" s="186">
        <v>0.08</v>
      </c>
      <c r="AF154" s="93">
        <v>0</v>
      </c>
      <c r="AG154" s="93">
        <v>15</v>
      </c>
      <c r="AH154" s="93">
        <v>15</v>
      </c>
      <c r="AI154" s="16">
        <v>11.1</v>
      </c>
      <c r="AJ154" s="16" t="s">
        <v>660</v>
      </c>
      <c r="AK154" s="16" t="s">
        <v>1035</v>
      </c>
      <c r="AL154" s="16"/>
      <c r="AM154" s="60"/>
      <c r="AN154" s="60"/>
      <c r="AO154" s="60"/>
      <c r="AP154" s="60"/>
      <c r="AQ154" s="60"/>
      <c r="AR154" s="60"/>
      <c r="AS154" s="63"/>
      <c r="AT154" s="63"/>
      <c r="AU154" s="63"/>
      <c r="AV154" s="131"/>
      <c r="AW154" s="131"/>
      <c r="AX154" s="131"/>
      <c r="AY154" s="27" t="s">
        <v>662</v>
      </c>
      <c r="AZ154" s="27"/>
      <c r="BA154" s="27"/>
      <c r="BB154" s="30"/>
      <c r="BC154" s="30"/>
      <c r="BD154" s="30"/>
      <c r="BE154" s="30"/>
      <c r="BF154" s="30"/>
      <c r="BG154" s="30"/>
      <c r="BH154" s="107"/>
      <c r="BI154" s="107"/>
      <c r="BJ154" s="107"/>
      <c r="BK154" s="107"/>
      <c r="BL154" s="136"/>
      <c r="BM154" s="122"/>
      <c r="BN154" s="138">
        <v>0.1</v>
      </c>
      <c r="BO154" s="93">
        <v>0.02</v>
      </c>
      <c r="BP154" s="93">
        <v>0.03</v>
      </c>
      <c r="BQ154" s="93">
        <v>0.05</v>
      </c>
      <c r="BR154" s="93"/>
      <c r="BS154" s="93"/>
      <c r="BT154" s="93"/>
      <c r="BU154" s="27">
        <f t="shared" si="95"/>
        <v>0</v>
      </c>
      <c r="BV154" s="27"/>
      <c r="BW154" s="27"/>
      <c r="BX154" s="27"/>
      <c r="BY154" s="27"/>
      <c r="BZ154" s="27"/>
      <c r="CA154" s="27"/>
      <c r="CB154" s="97">
        <v>0.1</v>
      </c>
      <c r="CC154" s="97">
        <v>1</v>
      </c>
      <c r="CD154" s="97">
        <v>10</v>
      </c>
      <c r="CE154" s="97">
        <v>12</v>
      </c>
      <c r="CF154" s="97">
        <v>12</v>
      </c>
      <c r="CG154" s="97">
        <f t="shared" si="147"/>
        <v>10.02</v>
      </c>
      <c r="CH154" s="97">
        <f t="shared" si="147"/>
        <v>9.98</v>
      </c>
      <c r="CI154" s="173"/>
      <c r="CJ154" s="173"/>
      <c r="CK154" s="173"/>
      <c r="CL154" s="173"/>
      <c r="CM154" s="173"/>
      <c r="CN154" s="173"/>
      <c r="CO154" s="173"/>
      <c r="CP154" s="174"/>
      <c r="CQ154" s="174"/>
      <c r="CR154" s="174"/>
      <c r="CS154" s="174"/>
      <c r="CT154" s="174"/>
      <c r="CU154" s="174"/>
      <c r="CV154" s="174"/>
      <c r="CW154" s="165"/>
      <c r="CX154" s="166"/>
      <c r="CY154" s="166"/>
      <c r="CZ154" s="166"/>
      <c r="DA154" s="166"/>
      <c r="DB154" s="166"/>
      <c r="DC154" s="166"/>
      <c r="DD154" s="171"/>
      <c r="DE154" s="171"/>
      <c r="DF154" s="171"/>
      <c r="DG154" s="171"/>
      <c r="DH154" s="171"/>
      <c r="DI154" s="171"/>
      <c r="DJ154" s="171"/>
      <c r="DK154" s="79" t="s">
        <v>663</v>
      </c>
      <c r="DL154" s="128">
        <f>ROUNDUP(VLOOKUP($F154,Activities!$A$9:$I$180,3,FALSE)/$AI154,2)</f>
        <v>9.26</v>
      </c>
      <c r="DM154" s="128">
        <f>ROUNDUP(VLOOKUP($F154,Activities!$A$9:$I$180,4,FALSE)/$AI154,2)</f>
        <v>9.66</v>
      </c>
      <c r="DN154" s="128">
        <f>ROUNDUP(VLOOKUP($F154,Activities!$A$9:$I$180,5,FALSE)/$AI154,2)</f>
        <v>9.8699999999999992</v>
      </c>
      <c r="DO154" s="128">
        <f>ROUNDUP(VLOOKUP($F154,Activities!$A$9:$I$180,6,FALSE)/$AI154,2)</f>
        <v>9.99</v>
      </c>
      <c r="DP154" s="128">
        <f>ROUNDUP(VLOOKUP($F154,Activities!$A$9:$I$180,7,FALSE)/$AI154,2)</f>
        <v>10.029999999999999</v>
      </c>
      <c r="DQ154" s="128">
        <f>ROUNDUP(VLOOKUP($F154,Activities!$A$9:$I$180,8,FALSE)/$AI154,2)</f>
        <v>10.02</v>
      </c>
      <c r="DR154" s="128">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6" t="s">
        <v>1053</v>
      </c>
      <c r="B155" s="6" t="s">
        <v>734</v>
      </c>
      <c r="C155" s="6" t="s">
        <v>655</v>
      </c>
      <c r="D155" s="6" t="s">
        <v>1029</v>
      </c>
      <c r="E155" s="6" t="s">
        <v>1030</v>
      </c>
      <c r="F155" s="6" t="s">
        <v>383</v>
      </c>
      <c r="G155" s="48" t="s">
        <v>1054</v>
      </c>
      <c r="H155" s="48" t="s">
        <v>1032</v>
      </c>
      <c r="I155" s="102">
        <v>26935.77</v>
      </c>
      <c r="J155" s="102">
        <v>23300.91</v>
      </c>
      <c r="K155" s="102">
        <v>19956.84</v>
      </c>
      <c r="L155" s="102">
        <v>16880.29</v>
      </c>
      <c r="M155" s="102">
        <v>14049.87</v>
      </c>
      <c r="N155" s="102">
        <v>11445.88</v>
      </c>
      <c r="O155" s="102">
        <v>9050.2099999999991</v>
      </c>
      <c r="P155" s="94">
        <v>0</v>
      </c>
      <c r="Q155" s="102">
        <v>1297.77</v>
      </c>
      <c r="R155" s="102">
        <v>1297.77</v>
      </c>
      <c r="S155" s="102">
        <v>1297.77</v>
      </c>
      <c r="T155" s="102">
        <v>1297.77</v>
      </c>
      <c r="U155" s="102">
        <v>1297.77</v>
      </c>
      <c r="V155" s="102">
        <v>1297.77</v>
      </c>
      <c r="W155" s="102">
        <v>1297.77</v>
      </c>
      <c r="X155" s="102">
        <v>0</v>
      </c>
      <c r="Y155" s="102">
        <v>0</v>
      </c>
      <c r="Z155" s="102">
        <v>0</v>
      </c>
      <c r="AA155" s="102">
        <v>0</v>
      </c>
      <c r="AB155" s="102">
        <v>0</v>
      </c>
      <c r="AC155" s="102">
        <v>0</v>
      </c>
      <c r="AD155" s="102">
        <v>0</v>
      </c>
      <c r="AE155" s="186">
        <v>0.08</v>
      </c>
      <c r="AF155" s="94">
        <v>0</v>
      </c>
      <c r="AG155" s="94">
        <v>15</v>
      </c>
      <c r="AH155" s="94">
        <v>15</v>
      </c>
      <c r="AI155" s="17">
        <v>11.1</v>
      </c>
      <c r="AJ155" s="17" t="s">
        <v>660</v>
      </c>
      <c r="AK155" s="17" t="s">
        <v>1035</v>
      </c>
      <c r="AL155" s="17"/>
      <c r="AM155" s="61"/>
      <c r="AN155" s="61"/>
      <c r="AO155" s="61"/>
      <c r="AP155" s="61"/>
      <c r="AQ155" s="61"/>
      <c r="AR155" s="61"/>
      <c r="AS155" s="64"/>
      <c r="AT155" s="64"/>
      <c r="AU155" s="64"/>
      <c r="AV155" s="132"/>
      <c r="AW155" s="132"/>
      <c r="AX155" s="132"/>
      <c r="AY155" s="28" t="s">
        <v>1055</v>
      </c>
      <c r="AZ155" s="28" t="s">
        <v>456</v>
      </c>
      <c r="BA155" s="28">
        <v>1</v>
      </c>
      <c r="BB155" s="28">
        <v>6</v>
      </c>
      <c r="BC155" s="28" t="s">
        <v>932</v>
      </c>
      <c r="BD155" s="28">
        <v>0</v>
      </c>
      <c r="BE155" s="28">
        <v>0.25</v>
      </c>
      <c r="BF155" s="28">
        <v>1</v>
      </c>
      <c r="BG155" s="28">
        <v>5.0000000000000001E-3</v>
      </c>
      <c r="BH155" s="106"/>
      <c r="BI155" s="106"/>
      <c r="BJ155" s="106"/>
      <c r="BK155" s="106"/>
      <c r="BL155" s="194"/>
      <c r="BM155" s="123"/>
      <c r="BN155" s="139">
        <v>0</v>
      </c>
      <c r="BO155" s="94">
        <v>0</v>
      </c>
      <c r="BP155" s="94">
        <v>0</v>
      </c>
      <c r="BQ155" s="94">
        <v>0</v>
      </c>
      <c r="BR155" s="94"/>
      <c r="BS155" s="94"/>
      <c r="BT155" s="94"/>
      <c r="BU155" s="28">
        <f t="shared" si="95"/>
        <v>0</v>
      </c>
      <c r="BV155" s="28"/>
      <c r="BW155" s="28"/>
      <c r="BX155" s="28"/>
      <c r="BY155" s="28"/>
      <c r="BZ155" s="28"/>
      <c r="CA155" s="28"/>
      <c r="CB155" s="99">
        <v>0</v>
      </c>
      <c r="CC155" s="99">
        <v>1</v>
      </c>
      <c r="CD155" s="99">
        <v>10</v>
      </c>
      <c r="CE155" s="99">
        <v>12</v>
      </c>
      <c r="CF155" s="99">
        <v>12</v>
      </c>
      <c r="CG155" s="99">
        <f t="shared" si="147"/>
        <v>10.02</v>
      </c>
      <c r="CH155" s="99">
        <f t="shared" si="147"/>
        <v>9.98</v>
      </c>
      <c r="CI155" s="175"/>
      <c r="CJ155" s="175"/>
      <c r="CK155" s="175"/>
      <c r="CL155" s="175"/>
      <c r="CM155" s="175"/>
      <c r="CN155" s="175"/>
      <c r="CO155" s="175"/>
      <c r="CP155" s="176"/>
      <c r="CQ155" s="176"/>
      <c r="CR155" s="176"/>
      <c r="CS155" s="176"/>
      <c r="CT155" s="176"/>
      <c r="CU155" s="176"/>
      <c r="CV155" s="176"/>
      <c r="CW155" s="167"/>
      <c r="CX155" s="168"/>
      <c r="CY155" s="168"/>
      <c r="CZ155" s="168"/>
      <c r="DA155" s="168"/>
      <c r="DB155" s="168"/>
      <c r="DC155" s="168"/>
      <c r="DD155" s="172"/>
      <c r="DE155" s="172"/>
      <c r="DF155" s="172"/>
      <c r="DG155" s="172"/>
      <c r="DH155" s="172"/>
      <c r="DI155" s="172"/>
      <c r="DJ155" s="172"/>
      <c r="DK155" s="80" t="s">
        <v>663</v>
      </c>
      <c r="DL155" s="129">
        <f>ROUNDUP(VLOOKUP($F155,Activities!$A$9:$I$180,3,FALSE)/$AI155,2)</f>
        <v>9.26</v>
      </c>
      <c r="DM155" s="129">
        <f>ROUNDUP(VLOOKUP($F155,Activities!$A$9:$I$180,4,FALSE)/$AI155,2)</f>
        <v>9.66</v>
      </c>
      <c r="DN155" s="129">
        <f>ROUNDUP(VLOOKUP($F155,Activities!$A$9:$I$180,5,FALSE)/$AI155,2)</f>
        <v>9.8699999999999992</v>
      </c>
      <c r="DO155" s="129">
        <f>ROUNDUP(VLOOKUP($F155,Activities!$A$9:$I$180,6,FALSE)/$AI155,2)</f>
        <v>9.99</v>
      </c>
      <c r="DP155" s="129">
        <f>ROUNDUP(VLOOKUP($F155,Activities!$A$9:$I$180,7,FALSE)/$AI155,2)</f>
        <v>10.029999999999999</v>
      </c>
      <c r="DQ155" s="129">
        <f>ROUNDUP(VLOOKUP($F155,Activities!$A$9:$I$180,8,FALSE)/$AI155,2)</f>
        <v>10.02</v>
      </c>
      <c r="DR155" s="129">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5" t="s">
        <v>1056</v>
      </c>
      <c r="B156" s="5" t="s">
        <v>734</v>
      </c>
      <c r="C156" s="5" t="s">
        <v>655</v>
      </c>
      <c r="D156" s="5" t="s">
        <v>1029</v>
      </c>
      <c r="E156" s="5" t="s">
        <v>1030</v>
      </c>
      <c r="F156" s="5" t="s">
        <v>383</v>
      </c>
      <c r="G156" s="47" t="s">
        <v>1057</v>
      </c>
      <c r="H156" s="47" t="s">
        <v>1032</v>
      </c>
      <c r="I156" s="101">
        <v>26935.77</v>
      </c>
      <c r="J156" s="101">
        <v>23300.91</v>
      </c>
      <c r="K156" s="101">
        <v>19956.84</v>
      </c>
      <c r="L156" s="101">
        <v>16880.29</v>
      </c>
      <c r="M156" s="101">
        <v>14049.87</v>
      </c>
      <c r="N156" s="101">
        <v>11445.88</v>
      </c>
      <c r="O156" s="101">
        <v>9050.2099999999991</v>
      </c>
      <c r="P156" s="93">
        <v>0</v>
      </c>
      <c r="Q156" s="101">
        <v>1297.77</v>
      </c>
      <c r="R156" s="101">
        <v>1297.77</v>
      </c>
      <c r="S156" s="101">
        <v>1297.77</v>
      </c>
      <c r="T156" s="101">
        <v>1297.77</v>
      </c>
      <c r="U156" s="101">
        <v>1297.77</v>
      </c>
      <c r="V156" s="101">
        <v>1297.77</v>
      </c>
      <c r="W156" s="101">
        <v>1297.77</v>
      </c>
      <c r="X156" s="101">
        <v>0</v>
      </c>
      <c r="Y156" s="101">
        <v>0</v>
      </c>
      <c r="Z156" s="101">
        <v>0</v>
      </c>
      <c r="AA156" s="101">
        <v>0</v>
      </c>
      <c r="AB156" s="101">
        <v>0</v>
      </c>
      <c r="AC156" s="101">
        <v>0</v>
      </c>
      <c r="AD156" s="101">
        <v>0</v>
      </c>
      <c r="AE156" s="186">
        <v>0.08</v>
      </c>
      <c r="AF156" s="93">
        <v>0</v>
      </c>
      <c r="AG156" s="93">
        <v>10</v>
      </c>
      <c r="AH156" s="93">
        <v>10</v>
      </c>
      <c r="AI156" s="16">
        <v>11.1</v>
      </c>
      <c r="AJ156" s="16" t="s">
        <v>660</v>
      </c>
      <c r="AK156" s="16" t="s">
        <v>1035</v>
      </c>
      <c r="AL156" s="16"/>
      <c r="AM156" s="60"/>
      <c r="AN156" s="60"/>
      <c r="AO156" s="60"/>
      <c r="AP156" s="60"/>
      <c r="AQ156" s="60"/>
      <c r="AR156" s="60"/>
      <c r="AS156" s="63"/>
      <c r="AT156" s="63"/>
      <c r="AU156" s="63"/>
      <c r="AV156" s="131"/>
      <c r="AW156" s="131"/>
      <c r="AX156" s="131"/>
      <c r="AY156" s="27" t="s">
        <v>1058</v>
      </c>
      <c r="AZ156" s="27" t="s">
        <v>456</v>
      </c>
      <c r="BA156" s="27">
        <v>1</v>
      </c>
      <c r="BB156" s="30">
        <v>6</v>
      </c>
      <c r="BC156" s="30" t="s">
        <v>932</v>
      </c>
      <c r="BD156" s="30">
        <v>0.35</v>
      </c>
      <c r="BE156" s="30">
        <v>0.1</v>
      </c>
      <c r="BF156" s="30">
        <v>1</v>
      </c>
      <c r="BG156" s="30">
        <v>5.0000000000000001E-3</v>
      </c>
      <c r="BH156" s="107"/>
      <c r="BI156" s="107"/>
      <c r="BJ156" s="107"/>
      <c r="BK156" s="107"/>
      <c r="BL156" s="194"/>
      <c r="BM156" s="122"/>
      <c r="BN156" s="138">
        <v>0</v>
      </c>
      <c r="BO156" s="93"/>
      <c r="BP156" s="93"/>
      <c r="BQ156" s="93"/>
      <c r="BR156" s="93"/>
      <c r="BS156" s="93"/>
      <c r="BT156" s="93"/>
      <c r="BU156" s="27">
        <f t="shared" si="95"/>
        <v>0</v>
      </c>
      <c r="BV156" s="27"/>
      <c r="BW156" s="27"/>
      <c r="BX156" s="27"/>
      <c r="BY156" s="27"/>
      <c r="BZ156" s="27"/>
      <c r="CA156" s="27"/>
      <c r="CB156" s="97">
        <v>0</v>
      </c>
      <c r="CC156" s="97">
        <v>1</v>
      </c>
      <c r="CD156" s="97">
        <v>10</v>
      </c>
      <c r="CE156" s="97">
        <v>12</v>
      </c>
      <c r="CF156" s="97">
        <v>12</v>
      </c>
      <c r="CG156" s="97">
        <f t="shared" si="147"/>
        <v>10.02</v>
      </c>
      <c r="CH156" s="97">
        <f t="shared" si="147"/>
        <v>9.98</v>
      </c>
      <c r="CI156" s="173"/>
      <c r="CJ156" s="173"/>
      <c r="CK156" s="173"/>
      <c r="CL156" s="173"/>
      <c r="CM156" s="173"/>
      <c r="CN156" s="173"/>
      <c r="CO156" s="173"/>
      <c r="CP156" s="174"/>
      <c r="CQ156" s="174"/>
      <c r="CR156" s="174"/>
      <c r="CS156" s="174"/>
      <c r="CT156" s="174"/>
      <c r="CU156" s="174"/>
      <c r="CV156" s="174"/>
      <c r="CW156" s="165"/>
      <c r="CX156" s="166"/>
      <c r="CY156" s="166"/>
      <c r="CZ156" s="166"/>
      <c r="DA156" s="166"/>
      <c r="DB156" s="166"/>
      <c r="DC156" s="166"/>
      <c r="DD156" s="171"/>
      <c r="DE156" s="171"/>
      <c r="DF156" s="171"/>
      <c r="DG156" s="171"/>
      <c r="DH156" s="171"/>
      <c r="DI156" s="171"/>
      <c r="DJ156" s="171"/>
      <c r="DK156" s="79" t="s">
        <v>663</v>
      </c>
      <c r="DL156" s="128">
        <f>ROUNDUP(VLOOKUP($F156,Activities!$A$9:$I$180,3,FALSE)/$AI156,2)</f>
        <v>9.26</v>
      </c>
      <c r="DM156" s="128">
        <f>ROUNDUP(VLOOKUP($F156,Activities!$A$9:$I$180,4,FALSE)/$AI156,2)</f>
        <v>9.66</v>
      </c>
      <c r="DN156" s="128">
        <f>ROUNDUP(VLOOKUP($F156,Activities!$A$9:$I$180,5,FALSE)/$AI156,2)</f>
        <v>9.8699999999999992</v>
      </c>
      <c r="DO156" s="128">
        <f>ROUNDUP(VLOOKUP($F156,Activities!$A$9:$I$180,6,FALSE)/$AI156,2)</f>
        <v>9.99</v>
      </c>
      <c r="DP156" s="128">
        <f>ROUNDUP(VLOOKUP($F156,Activities!$A$9:$I$180,7,FALSE)/$AI156,2)</f>
        <v>10.029999999999999</v>
      </c>
      <c r="DQ156" s="128">
        <f>ROUNDUP(VLOOKUP($F156,Activities!$A$9:$I$180,8,FALSE)/$AI156,2)</f>
        <v>10.02</v>
      </c>
      <c r="DR156" s="128">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6" t="s">
        <v>1059</v>
      </c>
      <c r="B157" s="6" t="s">
        <v>734</v>
      </c>
      <c r="C157" s="6" t="s">
        <v>655</v>
      </c>
      <c r="D157" s="6" t="s">
        <v>1029</v>
      </c>
      <c r="E157" s="6" t="s">
        <v>1030</v>
      </c>
      <c r="F157" s="6" t="s">
        <v>383</v>
      </c>
      <c r="G157" s="48" t="s">
        <v>1060</v>
      </c>
      <c r="H157" s="48" t="s">
        <v>1032</v>
      </c>
      <c r="I157" s="102">
        <v>51688.4</v>
      </c>
      <c r="J157" s="102">
        <v>50284.63</v>
      </c>
      <c r="K157" s="102">
        <v>48908.94</v>
      </c>
      <c r="L157" s="102">
        <v>42168.05</v>
      </c>
      <c r="M157" s="102">
        <v>36101.24</v>
      </c>
      <c r="N157" s="102">
        <v>30641.119999999999</v>
      </c>
      <c r="O157" s="102">
        <v>25727.01</v>
      </c>
      <c r="P157" s="94">
        <v>0</v>
      </c>
      <c r="Q157" s="102">
        <v>3509.42</v>
      </c>
      <c r="R157" s="102">
        <v>3439.23</v>
      </c>
      <c r="S157" s="102">
        <v>3370.45</v>
      </c>
      <c r="T157" s="102">
        <v>3033.4</v>
      </c>
      <c r="U157" s="102">
        <v>2730.06</v>
      </c>
      <c r="V157" s="102">
        <v>2457.06</v>
      </c>
      <c r="W157" s="102">
        <v>2211.35</v>
      </c>
      <c r="X157" s="102">
        <v>0</v>
      </c>
      <c r="Y157" s="102">
        <v>0</v>
      </c>
      <c r="Z157" s="102">
        <v>0</v>
      </c>
      <c r="AA157" s="102">
        <v>0</v>
      </c>
      <c r="AB157" s="102">
        <v>0</v>
      </c>
      <c r="AC157" s="102">
        <v>0</v>
      </c>
      <c r="AD157" s="102">
        <v>0</v>
      </c>
      <c r="AE157" s="186">
        <v>0.08</v>
      </c>
      <c r="AF157" s="94">
        <v>0</v>
      </c>
      <c r="AG157" s="94">
        <v>15</v>
      </c>
      <c r="AH157" s="94">
        <v>15</v>
      </c>
      <c r="AI157" s="17">
        <v>11.1</v>
      </c>
      <c r="AJ157" s="17" t="s">
        <v>660</v>
      </c>
      <c r="AK157" s="17" t="s">
        <v>1035</v>
      </c>
      <c r="AL157" s="17"/>
      <c r="AM157" s="61"/>
      <c r="AN157" s="61"/>
      <c r="AO157" s="61"/>
      <c r="AP157" s="61"/>
      <c r="AQ157" s="61"/>
      <c r="AR157" s="61"/>
      <c r="AS157" s="64"/>
      <c r="AT157" s="64"/>
      <c r="AU157" s="64"/>
      <c r="AV157" s="132"/>
      <c r="AW157" s="132"/>
      <c r="AX157" s="132"/>
      <c r="AY157" s="28" t="s">
        <v>662</v>
      </c>
      <c r="AZ157" s="28"/>
      <c r="BA157" s="28"/>
      <c r="BB157" s="28"/>
      <c r="BC157" s="28"/>
      <c r="BD157" s="28"/>
      <c r="BE157" s="28"/>
      <c r="BF157" s="28"/>
      <c r="BG157" s="28"/>
      <c r="BH157" s="106"/>
      <c r="BI157" s="106"/>
      <c r="BJ157" s="106"/>
      <c r="BK157" s="106"/>
      <c r="BL157" s="194"/>
      <c r="BM157" s="123"/>
      <c r="BN157" s="139">
        <v>0</v>
      </c>
      <c r="BO157" s="94"/>
      <c r="BP157" s="94"/>
      <c r="BQ157" s="94"/>
      <c r="BR157" s="94"/>
      <c r="BS157" s="94"/>
      <c r="BT157" s="94"/>
      <c r="BU157" s="28">
        <f t="shared" si="95"/>
        <v>0</v>
      </c>
      <c r="BV157" s="28"/>
      <c r="BW157" s="28"/>
      <c r="BX157" s="28"/>
      <c r="BY157" s="28"/>
      <c r="BZ157" s="28"/>
      <c r="CA157" s="28"/>
      <c r="CB157" s="99">
        <v>5.0000000000000001E-3</v>
      </c>
      <c r="CC157" s="99">
        <v>0.1</v>
      </c>
      <c r="CD157" s="99">
        <v>1</v>
      </c>
      <c r="CE157" s="99">
        <v>5</v>
      </c>
      <c r="CF157" s="99">
        <v>12</v>
      </c>
      <c r="CG157" s="99">
        <f t="shared" si="147"/>
        <v>10.02</v>
      </c>
      <c r="CH157" s="99">
        <f t="shared" si="147"/>
        <v>9.98</v>
      </c>
      <c r="CI157" s="175"/>
      <c r="CJ157" s="175"/>
      <c r="CK157" s="175"/>
      <c r="CL157" s="175"/>
      <c r="CM157" s="175"/>
      <c r="CN157" s="175"/>
      <c r="CO157" s="175"/>
      <c r="CP157" s="176"/>
      <c r="CQ157" s="176"/>
      <c r="CR157" s="176"/>
      <c r="CS157" s="176"/>
      <c r="CT157" s="176"/>
      <c r="CU157" s="176"/>
      <c r="CV157" s="176"/>
      <c r="CW157" s="167"/>
      <c r="CX157" s="168"/>
      <c r="CY157" s="168"/>
      <c r="CZ157" s="168"/>
      <c r="DA157" s="168"/>
      <c r="DB157" s="168"/>
      <c r="DC157" s="168"/>
      <c r="DD157" s="172"/>
      <c r="DE157" s="172"/>
      <c r="DF157" s="172"/>
      <c r="DG157" s="172"/>
      <c r="DH157" s="172"/>
      <c r="DI157" s="172"/>
      <c r="DJ157" s="172"/>
      <c r="DK157" s="80" t="s">
        <v>663</v>
      </c>
      <c r="DL157" s="129">
        <f>ROUNDUP(VLOOKUP($F157,Activities!$A$9:$I$180,3,FALSE)/$AI157,2)</f>
        <v>9.26</v>
      </c>
      <c r="DM157" s="129">
        <f>ROUNDUP(VLOOKUP($F157,Activities!$A$9:$I$180,4,FALSE)/$AI157,2)</f>
        <v>9.66</v>
      </c>
      <c r="DN157" s="129">
        <f>ROUNDUP(VLOOKUP($F157,Activities!$A$9:$I$180,5,FALSE)/$AI157,2)</f>
        <v>9.8699999999999992</v>
      </c>
      <c r="DO157" s="129">
        <f>ROUNDUP(VLOOKUP($F157,Activities!$A$9:$I$180,6,FALSE)/$AI157,2)</f>
        <v>9.99</v>
      </c>
      <c r="DP157" s="129">
        <f>ROUNDUP(VLOOKUP($F157,Activities!$A$9:$I$180,7,FALSE)/$AI157,2)</f>
        <v>10.029999999999999</v>
      </c>
      <c r="DQ157" s="129">
        <f>ROUNDUP(VLOOKUP($F157,Activities!$A$9:$I$180,8,FALSE)/$AI157,2)</f>
        <v>10.02</v>
      </c>
      <c r="DR157" s="129">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5" t="s">
        <v>1061</v>
      </c>
      <c r="B158" s="5" t="s">
        <v>734</v>
      </c>
      <c r="C158" s="5" t="s">
        <v>655</v>
      </c>
      <c r="D158" s="5" t="s">
        <v>1029</v>
      </c>
      <c r="E158" s="5" t="s">
        <v>1030</v>
      </c>
      <c r="F158" s="5" t="s">
        <v>384</v>
      </c>
      <c r="G158" s="47" t="s">
        <v>1062</v>
      </c>
      <c r="H158" s="47" t="s">
        <v>1032</v>
      </c>
      <c r="I158" s="101">
        <v>2866.37</v>
      </c>
      <c r="J158" s="101">
        <v>2866.37</v>
      </c>
      <c r="K158" s="101">
        <v>2866.37</v>
      </c>
      <c r="L158" s="101">
        <v>2866.37</v>
      </c>
      <c r="M158" s="101">
        <v>2866.37</v>
      </c>
      <c r="N158" s="101">
        <v>2866.37</v>
      </c>
      <c r="O158" s="101">
        <v>2866.37</v>
      </c>
      <c r="P158" s="93">
        <v>0</v>
      </c>
      <c r="Q158" s="101">
        <v>3406.64</v>
      </c>
      <c r="R158" s="101">
        <v>3406.64</v>
      </c>
      <c r="S158" s="101">
        <v>3406.64</v>
      </c>
      <c r="T158" s="101">
        <v>3406.64</v>
      </c>
      <c r="U158" s="101">
        <v>3406.64</v>
      </c>
      <c r="V158" s="101">
        <v>3406.64</v>
      </c>
      <c r="W158" s="101">
        <v>3406.64</v>
      </c>
      <c r="X158" s="101">
        <v>0</v>
      </c>
      <c r="Y158" s="101">
        <v>0</v>
      </c>
      <c r="Z158" s="101">
        <v>0</v>
      </c>
      <c r="AA158" s="101">
        <v>0</v>
      </c>
      <c r="AB158" s="101">
        <v>0</v>
      </c>
      <c r="AC158" s="101">
        <v>0</v>
      </c>
      <c r="AD158" s="101">
        <v>0</v>
      </c>
      <c r="AE158" s="186">
        <v>0.08</v>
      </c>
      <c r="AF158" s="93">
        <v>0</v>
      </c>
      <c r="AG158" s="93">
        <v>15</v>
      </c>
      <c r="AH158" s="93">
        <v>15</v>
      </c>
      <c r="AI158" s="16">
        <v>20.8</v>
      </c>
      <c r="AJ158" s="16" t="s">
        <v>660</v>
      </c>
      <c r="AK158" s="16" t="s">
        <v>745</v>
      </c>
      <c r="AL158" s="16"/>
      <c r="AM158" s="60"/>
      <c r="AN158" s="60"/>
      <c r="AO158" s="60"/>
      <c r="AP158" s="60"/>
      <c r="AQ158" s="60"/>
      <c r="AR158" s="60"/>
      <c r="AS158" s="63"/>
      <c r="AT158" s="63"/>
      <c r="AU158" s="63"/>
      <c r="AV158" s="131"/>
      <c r="AW158" s="131"/>
      <c r="AX158" s="131"/>
      <c r="AY158" s="27" t="s">
        <v>662</v>
      </c>
      <c r="AZ158" s="27"/>
      <c r="BA158" s="27"/>
      <c r="BB158" s="30"/>
      <c r="BC158" s="30"/>
      <c r="BD158" s="30"/>
      <c r="BE158" s="30"/>
      <c r="BF158" s="30"/>
      <c r="BG158" s="30"/>
      <c r="BH158" s="107"/>
      <c r="BI158" s="107"/>
      <c r="BJ158" s="107"/>
      <c r="BK158" s="107"/>
      <c r="BL158" s="136"/>
      <c r="BM158" s="122"/>
      <c r="BN158" s="196">
        <f>DL158-SUM(BN159:BN165)</f>
        <v>0.29999999999999993</v>
      </c>
      <c r="BO158" s="93">
        <v>7.0000000000000007E-2</v>
      </c>
      <c r="BP158" s="93">
        <v>0.03</v>
      </c>
      <c r="BQ158" s="93"/>
      <c r="BR158" s="93"/>
      <c r="BS158" s="93"/>
      <c r="BT158" s="93"/>
      <c r="BU158" s="27">
        <f t="shared" si="95"/>
        <v>0</v>
      </c>
      <c r="BV158" s="27"/>
      <c r="BW158" s="27"/>
      <c r="BX158" s="27"/>
      <c r="BY158" s="27"/>
      <c r="BZ158" s="27"/>
      <c r="CA158" s="27"/>
      <c r="CB158" s="97">
        <f t="shared" ref="CB158:CF161" si="148">DL158</f>
        <v>0.92</v>
      </c>
      <c r="CC158" s="97">
        <f t="shared" si="148"/>
        <v>0.95</v>
      </c>
      <c r="CD158" s="97">
        <f t="shared" si="148"/>
        <v>0.98</v>
      </c>
      <c r="CE158" s="97">
        <f t="shared" si="148"/>
        <v>0.99</v>
      </c>
      <c r="CF158" s="97">
        <f t="shared" si="148"/>
        <v>0.99</v>
      </c>
      <c r="CG158" s="97">
        <f t="shared" si="147"/>
        <v>0.99</v>
      </c>
      <c r="CH158" s="97">
        <f t="shared" si="147"/>
        <v>0.99</v>
      </c>
      <c r="CI158" s="173"/>
      <c r="CJ158" s="173"/>
      <c r="CK158" s="173"/>
      <c r="CL158" s="173"/>
      <c r="CM158" s="173"/>
      <c r="CN158" s="173"/>
      <c r="CO158" s="173"/>
      <c r="CP158" s="174"/>
      <c r="CQ158" s="174"/>
      <c r="CR158" s="174"/>
      <c r="CS158" s="174"/>
      <c r="CT158" s="174"/>
      <c r="CU158" s="174"/>
      <c r="CV158" s="174"/>
      <c r="CW158" s="165"/>
      <c r="CX158" s="166"/>
      <c r="CY158" s="166"/>
      <c r="CZ158" s="166"/>
      <c r="DA158" s="166"/>
      <c r="DB158" s="166"/>
      <c r="DC158" s="166"/>
      <c r="DD158" s="171"/>
      <c r="DE158" s="171"/>
      <c r="DF158" s="171"/>
      <c r="DG158" s="171"/>
      <c r="DH158" s="171"/>
      <c r="DI158" s="171"/>
      <c r="DJ158" s="171"/>
      <c r="DK158" s="79" t="s">
        <v>663</v>
      </c>
      <c r="DL158" s="128">
        <f>ROUNDUP(VLOOKUP($F158,Activities!$A$9:$I$180,3,FALSE)/$AI158,2)</f>
        <v>0.92</v>
      </c>
      <c r="DM158" s="128">
        <f>ROUNDUP(VLOOKUP($F158,Activities!$A$9:$I$180,4,FALSE)/$AI158,2)</f>
        <v>0.95</v>
      </c>
      <c r="DN158" s="128">
        <f>ROUNDUP(VLOOKUP($F158,Activities!$A$9:$I$180,5,FALSE)/$AI158,2)</f>
        <v>0.98</v>
      </c>
      <c r="DO158" s="128">
        <f>ROUNDUP(VLOOKUP($F158,Activities!$A$9:$I$180,6,FALSE)/$AI158,2)</f>
        <v>0.99</v>
      </c>
      <c r="DP158" s="128">
        <f>ROUNDUP(VLOOKUP($F158,Activities!$A$9:$I$180,7,FALSE)/$AI158,2)</f>
        <v>0.99</v>
      </c>
      <c r="DQ158" s="128">
        <f>ROUNDUP(VLOOKUP($F158,Activities!$A$9:$I$180,8,FALSE)/$AI158,2)</f>
        <v>0.99</v>
      </c>
      <c r="DR158" s="128">
        <f>ROUNDUP(VLOOKUP($F158,Activities!$A$9:$I$180,9,FALSE)/$AI158,2)</f>
        <v>0.99</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6" t="s">
        <v>1063</v>
      </c>
      <c r="B159" s="6" t="s">
        <v>734</v>
      </c>
      <c r="C159" s="6" t="s">
        <v>655</v>
      </c>
      <c r="D159" s="6" t="s">
        <v>1029</v>
      </c>
      <c r="E159" s="6" t="s">
        <v>1030</v>
      </c>
      <c r="F159" s="6" t="s">
        <v>384</v>
      </c>
      <c r="G159" s="48" t="s">
        <v>1064</v>
      </c>
      <c r="H159" s="48" t="s">
        <v>1032</v>
      </c>
      <c r="I159" s="102">
        <v>4224.8500000000004</v>
      </c>
      <c r="J159" s="102">
        <v>3748.61</v>
      </c>
      <c r="K159" s="102">
        <v>3296.18</v>
      </c>
      <c r="L159" s="102">
        <v>2866.37</v>
      </c>
      <c r="M159" s="102">
        <v>2866.37</v>
      </c>
      <c r="N159" s="102">
        <v>2866.37</v>
      </c>
      <c r="O159" s="102">
        <v>2866.37</v>
      </c>
      <c r="P159" s="94">
        <v>0</v>
      </c>
      <c r="Q159" s="102">
        <v>3406.64</v>
      </c>
      <c r="R159" s="102">
        <v>3406.64</v>
      </c>
      <c r="S159" s="102">
        <v>3406.64</v>
      </c>
      <c r="T159" s="102">
        <v>3406.64</v>
      </c>
      <c r="U159" s="102">
        <v>3406.64</v>
      </c>
      <c r="V159" s="102">
        <v>3406.64</v>
      </c>
      <c r="W159" s="102">
        <v>3406.64</v>
      </c>
      <c r="X159" s="102">
        <v>0</v>
      </c>
      <c r="Y159" s="102">
        <v>0</v>
      </c>
      <c r="Z159" s="102">
        <v>0</v>
      </c>
      <c r="AA159" s="102">
        <v>0</v>
      </c>
      <c r="AB159" s="102">
        <v>0</v>
      </c>
      <c r="AC159" s="102">
        <v>0</v>
      </c>
      <c r="AD159" s="102">
        <v>0</v>
      </c>
      <c r="AE159" s="186">
        <v>0.08</v>
      </c>
      <c r="AF159" s="94">
        <v>0</v>
      </c>
      <c r="AG159" s="94">
        <v>15</v>
      </c>
      <c r="AH159" s="94">
        <v>15</v>
      </c>
      <c r="AI159" s="17">
        <v>20.8</v>
      </c>
      <c r="AJ159" s="17" t="s">
        <v>660</v>
      </c>
      <c r="AK159" s="17" t="s">
        <v>745</v>
      </c>
      <c r="AL159" s="17"/>
      <c r="AM159" s="61"/>
      <c r="AN159" s="61"/>
      <c r="AO159" s="61"/>
      <c r="AP159" s="61"/>
      <c r="AQ159" s="61"/>
      <c r="AR159" s="61"/>
      <c r="AS159" s="64"/>
      <c r="AT159" s="64"/>
      <c r="AU159" s="64"/>
      <c r="AV159" s="132"/>
      <c r="AW159" s="132"/>
      <c r="AX159" s="132"/>
      <c r="AY159" s="28" t="s">
        <v>662</v>
      </c>
      <c r="AZ159" s="28"/>
      <c r="BA159" s="28"/>
      <c r="BB159" s="28"/>
      <c r="BC159" s="28"/>
      <c r="BD159" s="28"/>
      <c r="BE159" s="28"/>
      <c r="BF159" s="28"/>
      <c r="BG159" s="28"/>
      <c r="BH159" s="106"/>
      <c r="BI159" s="106"/>
      <c r="BJ159" s="106"/>
      <c r="BK159" s="106"/>
      <c r="BL159" s="137"/>
      <c r="BM159" s="123"/>
      <c r="BN159" s="139">
        <v>0.2</v>
      </c>
      <c r="BO159" s="94">
        <v>0.03</v>
      </c>
      <c r="BP159" s="94">
        <v>7.0000000000000007E-2</v>
      </c>
      <c r="BQ159" s="94">
        <v>0.1</v>
      </c>
      <c r="BR159" s="94"/>
      <c r="BS159" s="94"/>
      <c r="BT159" s="94"/>
      <c r="BU159" s="28">
        <f t="shared" ref="BU159" si="149">IF(BL159=1,BN159,0)</f>
        <v>0</v>
      </c>
      <c r="BV159" s="28"/>
      <c r="BW159" s="28"/>
      <c r="BX159" s="28"/>
      <c r="BY159" s="28"/>
      <c r="BZ159" s="28"/>
      <c r="CA159" s="28"/>
      <c r="CB159" s="99">
        <f t="shared" ref="CB159" si="150">DL159</f>
        <v>0.92</v>
      </c>
      <c r="CC159" s="99">
        <f t="shared" ref="CC159" si="151">DM159</f>
        <v>0.95</v>
      </c>
      <c r="CD159" s="99">
        <f t="shared" ref="CD159" si="152">DN159</f>
        <v>0.98</v>
      </c>
      <c r="CE159" s="99">
        <f t="shared" ref="CE159" si="153">DO159</f>
        <v>0.99</v>
      </c>
      <c r="CF159" s="99">
        <f t="shared" ref="CF159" si="154">DP159</f>
        <v>0.99</v>
      </c>
      <c r="CG159" s="99">
        <f t="shared" ref="CG159" si="155">DQ159</f>
        <v>0.99</v>
      </c>
      <c r="CH159" s="99">
        <f t="shared" ref="CH159" si="156">DR159</f>
        <v>0.99</v>
      </c>
      <c r="CI159" s="175"/>
      <c r="CJ159" s="175"/>
      <c r="CK159" s="175"/>
      <c r="CL159" s="175"/>
      <c r="CM159" s="175"/>
      <c r="CN159" s="175"/>
      <c r="CO159" s="175"/>
      <c r="CP159" s="176"/>
      <c r="CQ159" s="176"/>
      <c r="CR159" s="176"/>
      <c r="CS159" s="176"/>
      <c r="CT159" s="176"/>
      <c r="CU159" s="176"/>
      <c r="CV159" s="176"/>
      <c r="CW159" s="167"/>
      <c r="CX159" s="168"/>
      <c r="CY159" s="168"/>
      <c r="CZ159" s="168"/>
      <c r="DA159" s="168"/>
      <c r="DB159" s="168"/>
      <c r="DC159" s="168"/>
      <c r="DD159" s="172"/>
      <c r="DE159" s="172"/>
      <c r="DF159" s="172"/>
      <c r="DG159" s="172"/>
      <c r="DH159" s="172"/>
      <c r="DI159" s="172"/>
      <c r="DJ159" s="172"/>
      <c r="DK159" s="80" t="s">
        <v>687</v>
      </c>
      <c r="DL159" s="129">
        <f>ROUNDUP(VLOOKUP($F159,Activities!$A$9:$I$180,3,FALSE)/$AI159,2)</f>
        <v>0.92</v>
      </c>
      <c r="DM159" s="129">
        <f>ROUNDUP(VLOOKUP($F159,Activities!$A$9:$I$180,4,FALSE)/$AI159,2)</f>
        <v>0.95</v>
      </c>
      <c r="DN159" s="129">
        <f>ROUNDUP(VLOOKUP($F159,Activities!$A$9:$I$180,5,FALSE)/$AI159,2)</f>
        <v>0.98</v>
      </c>
      <c r="DO159" s="129">
        <f>ROUNDUP(VLOOKUP($F159,Activities!$A$9:$I$180,6,FALSE)/$AI159,2)</f>
        <v>0.99</v>
      </c>
      <c r="DP159" s="129">
        <f>ROUNDUP(VLOOKUP($F159,Activities!$A$9:$I$180,7,FALSE)/$AI159,2)</f>
        <v>0.99</v>
      </c>
      <c r="DQ159" s="129">
        <f>ROUNDUP(VLOOKUP($F159,Activities!$A$9:$I$180,8,FALSE)/$AI159,2)</f>
        <v>0.99</v>
      </c>
      <c r="DR159" s="129">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1029</v>
      </c>
      <c r="E160" s="6" t="s">
        <v>1030</v>
      </c>
      <c r="F160" s="6" t="s">
        <v>384</v>
      </c>
      <c r="G160" s="48" t="s">
        <v>1066</v>
      </c>
      <c r="H160" s="48" t="s">
        <v>1032</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si="95"/>
        <v>0</v>
      </c>
      <c r="BV160" s="28"/>
      <c r="BW160" s="28"/>
      <c r="BX160" s="28"/>
      <c r="BY160" s="28"/>
      <c r="BZ160" s="28"/>
      <c r="CA160" s="28"/>
      <c r="CB160" s="99">
        <f t="shared" si="148"/>
        <v>0.92</v>
      </c>
      <c r="CC160" s="99">
        <f t="shared" si="148"/>
        <v>0.95</v>
      </c>
      <c r="CD160" s="99">
        <f t="shared" si="148"/>
        <v>0.98</v>
      </c>
      <c r="CE160" s="99">
        <f t="shared" si="148"/>
        <v>0.99</v>
      </c>
      <c r="CF160" s="99">
        <f t="shared" si="148"/>
        <v>0.99</v>
      </c>
      <c r="CG160" s="99">
        <f t="shared" si="147"/>
        <v>0.99</v>
      </c>
      <c r="CH160" s="99">
        <f t="shared" si="147"/>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1029</v>
      </c>
      <c r="E161" s="6" t="s">
        <v>1030</v>
      </c>
      <c r="F161" s="6" t="s">
        <v>384</v>
      </c>
      <c r="G161" s="48" t="s">
        <v>1068</v>
      </c>
      <c r="H161" s="48" t="s">
        <v>1032</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94"/>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48"/>
        <v>0.92</v>
      </c>
      <c r="CC161" s="99">
        <f t="shared" si="148"/>
        <v>0.95</v>
      </c>
      <c r="CD161" s="99">
        <f t="shared" si="148"/>
        <v>0.98</v>
      </c>
      <c r="CE161" s="99">
        <f t="shared" si="148"/>
        <v>0.99</v>
      </c>
      <c r="CF161" s="99">
        <f t="shared" si="148"/>
        <v>0.99</v>
      </c>
      <c r="CG161" s="99">
        <f t="shared" si="147"/>
        <v>0.99</v>
      </c>
      <c r="CH161" s="99">
        <f t="shared" si="147"/>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5" t="s">
        <v>1069</v>
      </c>
      <c r="B162" s="5" t="s">
        <v>734</v>
      </c>
      <c r="C162" s="5" t="s">
        <v>655</v>
      </c>
      <c r="D162" s="5" t="s">
        <v>1029</v>
      </c>
      <c r="E162" s="5" t="s">
        <v>1030</v>
      </c>
      <c r="F162" s="5" t="s">
        <v>384</v>
      </c>
      <c r="G162" s="47" t="s">
        <v>1070</v>
      </c>
      <c r="H162" s="47" t="s">
        <v>1032</v>
      </c>
      <c r="I162" s="101">
        <v>10926.55</v>
      </c>
      <c r="J162" s="101">
        <v>10196.36</v>
      </c>
      <c r="K162" s="101">
        <v>9499.02</v>
      </c>
      <c r="L162" s="101">
        <v>8833.06</v>
      </c>
      <c r="M162" s="101">
        <v>8197.08</v>
      </c>
      <c r="N162" s="101">
        <v>7589.71</v>
      </c>
      <c r="O162" s="101">
        <v>7009.67</v>
      </c>
      <c r="P162" s="93">
        <v>0</v>
      </c>
      <c r="Q162" s="101">
        <v>3406.64</v>
      </c>
      <c r="R162" s="101">
        <v>3406.64</v>
      </c>
      <c r="S162" s="101">
        <v>3406.64</v>
      </c>
      <c r="T162" s="101">
        <v>3406.64</v>
      </c>
      <c r="U162" s="101">
        <v>3406.64</v>
      </c>
      <c r="V162" s="101">
        <v>3406.64</v>
      </c>
      <c r="W162" s="101">
        <v>3406.64</v>
      </c>
      <c r="X162" s="101">
        <v>0</v>
      </c>
      <c r="Y162" s="101">
        <v>0</v>
      </c>
      <c r="Z162" s="101">
        <v>0</v>
      </c>
      <c r="AA162" s="101">
        <v>0</v>
      </c>
      <c r="AB162" s="101">
        <v>0</v>
      </c>
      <c r="AC162" s="101">
        <v>0</v>
      </c>
      <c r="AD162" s="101">
        <v>0</v>
      </c>
      <c r="AE162" s="186">
        <v>0.08</v>
      </c>
      <c r="AF162" s="93">
        <v>0</v>
      </c>
      <c r="AG162" s="93">
        <v>15</v>
      </c>
      <c r="AH162" s="93">
        <v>15</v>
      </c>
      <c r="AI162" s="16">
        <v>20.8</v>
      </c>
      <c r="AJ162" s="16" t="s">
        <v>660</v>
      </c>
      <c r="AK162" s="16" t="s">
        <v>1071</v>
      </c>
      <c r="AL162" s="16"/>
      <c r="AM162" s="60"/>
      <c r="AN162" s="60"/>
      <c r="AO162" s="60"/>
      <c r="AP162" s="60"/>
      <c r="AQ162" s="60"/>
      <c r="AR162" s="60"/>
      <c r="AS162" s="63"/>
      <c r="AT162" s="63"/>
      <c r="AU162" s="63"/>
      <c r="AV162" s="131"/>
      <c r="AW162" s="131"/>
      <c r="AX162" s="131"/>
      <c r="AY162" s="27" t="s">
        <v>662</v>
      </c>
      <c r="AZ162" s="27"/>
      <c r="BA162" s="27"/>
      <c r="BB162" s="30"/>
      <c r="BC162" s="30"/>
      <c r="BD162" s="30"/>
      <c r="BE162" s="30"/>
      <c r="BF162" s="30"/>
      <c r="BG162" s="30"/>
      <c r="BH162" s="107"/>
      <c r="BI162" s="107"/>
      <c r="BJ162" s="107"/>
      <c r="BK162" s="107"/>
      <c r="BL162" s="194"/>
      <c r="BM162" s="122"/>
      <c r="BN162" s="138">
        <v>0.01</v>
      </c>
      <c r="BO162" s="93"/>
      <c r="BP162" s="93"/>
      <c r="BQ162" s="93">
        <v>0.01</v>
      </c>
      <c r="BR162" s="93"/>
      <c r="BS162" s="93"/>
      <c r="BT162" s="93"/>
      <c r="BU162" s="27">
        <f t="shared" si="95"/>
        <v>0</v>
      </c>
      <c r="BV162" s="27"/>
      <c r="BW162" s="27"/>
      <c r="BX162" s="27"/>
      <c r="BY162" s="27"/>
      <c r="BZ162" s="27"/>
      <c r="CA162" s="27"/>
      <c r="CB162" s="97">
        <v>0.01</v>
      </c>
      <c r="CC162" s="97">
        <v>0.1</v>
      </c>
      <c r="CD162" s="97">
        <v>0.5</v>
      </c>
      <c r="CE162" s="97">
        <v>1</v>
      </c>
      <c r="CF162" s="97">
        <v>1</v>
      </c>
      <c r="CG162" s="97">
        <f t="shared" si="147"/>
        <v>0.99</v>
      </c>
      <c r="CH162" s="97">
        <f t="shared" si="147"/>
        <v>0.99</v>
      </c>
      <c r="CI162" s="173"/>
      <c r="CJ162" s="173"/>
      <c r="CK162" s="173"/>
      <c r="CL162" s="173"/>
      <c r="CM162" s="173"/>
      <c r="CN162" s="173"/>
      <c r="CO162" s="173"/>
      <c r="CP162" s="174"/>
      <c r="CQ162" s="174"/>
      <c r="CR162" s="174"/>
      <c r="CS162" s="174"/>
      <c r="CT162" s="174"/>
      <c r="CU162" s="174"/>
      <c r="CV162" s="174"/>
      <c r="CW162" s="165"/>
      <c r="CX162" s="166"/>
      <c r="CY162" s="166"/>
      <c r="CZ162" s="166"/>
      <c r="DA162" s="166"/>
      <c r="DB162" s="166"/>
      <c r="DC162" s="166"/>
      <c r="DD162" s="171"/>
      <c r="DE162" s="171"/>
      <c r="DF162" s="171"/>
      <c r="DG162" s="171"/>
      <c r="DH162" s="171"/>
      <c r="DI162" s="171"/>
      <c r="DJ162" s="171"/>
      <c r="DK162" s="79" t="s">
        <v>687</v>
      </c>
      <c r="DL162" s="128">
        <f>ROUNDUP(VLOOKUP($F162,Activities!$A$9:$I$180,3,FALSE)/$AI162,2)</f>
        <v>0.92</v>
      </c>
      <c r="DM162" s="128">
        <f>ROUNDUP(VLOOKUP($F162,Activities!$A$9:$I$180,4,FALSE)/$AI162,2)</f>
        <v>0.95</v>
      </c>
      <c r="DN162" s="128">
        <f>ROUNDUP(VLOOKUP($F162,Activities!$A$9:$I$180,5,FALSE)/$AI162,2)</f>
        <v>0.98</v>
      </c>
      <c r="DO162" s="128">
        <f>ROUNDUP(VLOOKUP($F162,Activities!$A$9:$I$180,6,FALSE)/$AI162,2)</f>
        <v>0.99</v>
      </c>
      <c r="DP162" s="128">
        <f>ROUNDUP(VLOOKUP($F162,Activities!$A$9:$I$180,7,FALSE)/$AI162,2)</f>
        <v>0.99</v>
      </c>
      <c r="DQ162" s="128">
        <f>ROUNDUP(VLOOKUP($F162,Activities!$A$9:$I$180,8,FALSE)/$AI162,2)</f>
        <v>0.99</v>
      </c>
      <c r="DR162" s="128">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6" t="s">
        <v>1072</v>
      </c>
      <c r="B163" s="6" t="s">
        <v>734</v>
      </c>
      <c r="C163" s="6" t="s">
        <v>655</v>
      </c>
      <c r="D163" s="6" t="s">
        <v>1029</v>
      </c>
      <c r="E163" s="6" t="s">
        <v>1030</v>
      </c>
      <c r="F163" s="6" t="s">
        <v>384</v>
      </c>
      <c r="G163" s="48" t="s">
        <v>1073</v>
      </c>
      <c r="H163" s="48" t="s">
        <v>1032</v>
      </c>
      <c r="I163" s="102">
        <v>20665.02</v>
      </c>
      <c r="J163" s="102">
        <v>18587.82</v>
      </c>
      <c r="K163" s="102">
        <v>16676.79</v>
      </c>
      <c r="L163" s="102">
        <v>14918.65</v>
      </c>
      <c r="M163" s="102">
        <v>13301.16</v>
      </c>
      <c r="N163" s="102">
        <v>11813.07</v>
      </c>
      <c r="O163" s="102">
        <v>10444.02</v>
      </c>
      <c r="P163" s="94">
        <v>0</v>
      </c>
      <c r="Q163" s="102">
        <v>2271.09</v>
      </c>
      <c r="R163" s="102">
        <v>2271.09</v>
      </c>
      <c r="S163" s="102">
        <v>2271.09</v>
      </c>
      <c r="T163" s="102">
        <v>2271.09</v>
      </c>
      <c r="U163" s="102">
        <v>2271.09</v>
      </c>
      <c r="V163" s="102">
        <v>2271.09</v>
      </c>
      <c r="W163" s="102">
        <v>2271.09</v>
      </c>
      <c r="X163" s="102">
        <v>0</v>
      </c>
      <c r="Y163" s="102">
        <v>0</v>
      </c>
      <c r="Z163" s="102">
        <v>0</v>
      </c>
      <c r="AA163" s="102">
        <v>0</v>
      </c>
      <c r="AB163" s="102">
        <v>0</v>
      </c>
      <c r="AC163" s="102">
        <v>0</v>
      </c>
      <c r="AD163" s="102">
        <v>0</v>
      </c>
      <c r="AE163" s="186">
        <v>0.08</v>
      </c>
      <c r="AF163" s="94">
        <v>0</v>
      </c>
      <c r="AG163" s="94">
        <v>15</v>
      </c>
      <c r="AH163" s="94">
        <v>15</v>
      </c>
      <c r="AI163" s="17">
        <v>20.8</v>
      </c>
      <c r="AJ163" s="17" t="s">
        <v>660</v>
      </c>
      <c r="AK163" s="17" t="s">
        <v>1071</v>
      </c>
      <c r="AL163" s="17"/>
      <c r="AM163" s="61"/>
      <c r="AN163" s="61"/>
      <c r="AO163" s="61"/>
      <c r="AP163" s="61"/>
      <c r="AQ163" s="61"/>
      <c r="AR163" s="61"/>
      <c r="AS163" s="64"/>
      <c r="AT163" s="64"/>
      <c r="AU163" s="64"/>
      <c r="AV163" s="132"/>
      <c r="AW163" s="132"/>
      <c r="AX163" s="132"/>
      <c r="AY163" s="28" t="s">
        <v>662</v>
      </c>
      <c r="AZ163" s="28"/>
      <c r="BA163" s="28"/>
      <c r="BB163" s="28"/>
      <c r="BC163" s="28"/>
      <c r="BD163" s="28"/>
      <c r="BE163" s="28"/>
      <c r="BF163" s="28"/>
      <c r="BG163" s="28"/>
      <c r="BH163" s="106"/>
      <c r="BI163" s="106"/>
      <c r="BJ163" s="106"/>
      <c r="BK163" s="106"/>
      <c r="BL163" s="194"/>
      <c r="BM163" s="123"/>
      <c r="BN163" s="139">
        <v>0.01</v>
      </c>
      <c r="BO163" s="94"/>
      <c r="BP163" s="94"/>
      <c r="BQ163" s="94">
        <v>0.01</v>
      </c>
      <c r="BR163" s="94"/>
      <c r="BS163" s="94"/>
      <c r="BT163" s="94"/>
      <c r="BU163" s="28">
        <f t="shared" si="95"/>
        <v>0</v>
      </c>
      <c r="BV163" s="28"/>
      <c r="BW163" s="28"/>
      <c r="BX163" s="28"/>
      <c r="BY163" s="28"/>
      <c r="BZ163" s="28"/>
      <c r="CA163" s="28"/>
      <c r="CB163" s="99">
        <v>0.01</v>
      </c>
      <c r="CC163" s="99">
        <v>0.1</v>
      </c>
      <c r="CD163" s="99">
        <v>0.5</v>
      </c>
      <c r="CE163" s="99">
        <v>1</v>
      </c>
      <c r="CF163" s="99">
        <v>2</v>
      </c>
      <c r="CG163" s="99">
        <f t="shared" si="147"/>
        <v>0.99</v>
      </c>
      <c r="CH163" s="99">
        <f t="shared" si="147"/>
        <v>0.99</v>
      </c>
      <c r="CI163" s="175"/>
      <c r="CJ163" s="175"/>
      <c r="CK163" s="175"/>
      <c r="CL163" s="175"/>
      <c r="CM163" s="175"/>
      <c r="CN163" s="175"/>
      <c r="CO163" s="175"/>
      <c r="CP163" s="176"/>
      <c r="CQ163" s="176"/>
      <c r="CR163" s="176"/>
      <c r="CS163" s="176"/>
      <c r="CT163" s="176"/>
      <c r="CU163" s="176"/>
      <c r="CV163" s="176"/>
      <c r="CW163" s="167"/>
      <c r="CX163" s="168"/>
      <c r="CY163" s="168"/>
      <c r="CZ163" s="168"/>
      <c r="DA163" s="168"/>
      <c r="DB163" s="168"/>
      <c r="DC163" s="168"/>
      <c r="DD163" s="172"/>
      <c r="DE163" s="172"/>
      <c r="DF163" s="172"/>
      <c r="DG163" s="172"/>
      <c r="DH163" s="172"/>
      <c r="DI163" s="172"/>
      <c r="DJ163" s="172"/>
      <c r="DK163" s="80" t="s">
        <v>687</v>
      </c>
      <c r="DL163" s="129">
        <f>ROUNDUP(VLOOKUP($F163,Activities!$A$9:$I$180,3,FALSE)/$AI163,2)</f>
        <v>0.92</v>
      </c>
      <c r="DM163" s="129">
        <f>ROUNDUP(VLOOKUP($F163,Activities!$A$9:$I$180,4,FALSE)/$AI163,2)</f>
        <v>0.95</v>
      </c>
      <c r="DN163" s="129">
        <f>ROUNDUP(VLOOKUP($F163,Activities!$A$9:$I$180,5,FALSE)/$AI163,2)</f>
        <v>0.98</v>
      </c>
      <c r="DO163" s="129">
        <f>ROUNDUP(VLOOKUP($F163,Activities!$A$9:$I$180,6,FALSE)/$AI163,2)</f>
        <v>0.99</v>
      </c>
      <c r="DP163" s="129">
        <f>ROUNDUP(VLOOKUP($F163,Activities!$A$9:$I$180,7,FALSE)/$AI163,2)</f>
        <v>0.99</v>
      </c>
      <c r="DQ163" s="129">
        <f>ROUNDUP(VLOOKUP($F163,Activities!$A$9:$I$180,8,FALSE)/$AI163,2)</f>
        <v>0.99</v>
      </c>
      <c r="DR163" s="129">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5" t="s">
        <v>1074</v>
      </c>
      <c r="B164" s="5" t="s">
        <v>734</v>
      </c>
      <c r="C164" s="5" t="s">
        <v>655</v>
      </c>
      <c r="D164" s="5" t="s">
        <v>1029</v>
      </c>
      <c r="E164" s="5" t="s">
        <v>1030</v>
      </c>
      <c r="F164" s="5" t="s">
        <v>384</v>
      </c>
      <c r="G164" s="47" t="s">
        <v>1075</v>
      </c>
      <c r="H164" s="47" t="s">
        <v>1032</v>
      </c>
      <c r="I164" s="101">
        <v>20665.02</v>
      </c>
      <c r="J164" s="101">
        <v>18587.82</v>
      </c>
      <c r="K164" s="101">
        <v>16676.79</v>
      </c>
      <c r="L164" s="101">
        <v>14918.65</v>
      </c>
      <c r="M164" s="101">
        <v>13301.16</v>
      </c>
      <c r="N164" s="101">
        <v>11813.07</v>
      </c>
      <c r="O164" s="101">
        <v>10444.02</v>
      </c>
      <c r="P164" s="93">
        <v>0</v>
      </c>
      <c r="Q164" s="101">
        <v>2271.09</v>
      </c>
      <c r="R164" s="101">
        <v>2271.09</v>
      </c>
      <c r="S164" s="101">
        <v>2271.09</v>
      </c>
      <c r="T164" s="101">
        <v>2271.09</v>
      </c>
      <c r="U164" s="101">
        <v>2271.09</v>
      </c>
      <c r="V164" s="101">
        <v>2271.09</v>
      </c>
      <c r="W164" s="101">
        <v>2271.09</v>
      </c>
      <c r="X164" s="101">
        <v>0</v>
      </c>
      <c r="Y164" s="101">
        <v>0</v>
      </c>
      <c r="Z164" s="101">
        <v>0</v>
      </c>
      <c r="AA164" s="101">
        <v>0</v>
      </c>
      <c r="AB164" s="101">
        <v>0</v>
      </c>
      <c r="AC164" s="101">
        <v>0</v>
      </c>
      <c r="AD164" s="101">
        <v>0</v>
      </c>
      <c r="AE164" s="186">
        <v>0.08</v>
      </c>
      <c r="AF164" s="93">
        <v>0</v>
      </c>
      <c r="AG164" s="93">
        <v>15</v>
      </c>
      <c r="AH164" s="93">
        <v>15</v>
      </c>
      <c r="AI164" s="16">
        <v>20.8</v>
      </c>
      <c r="AJ164" s="16" t="s">
        <v>660</v>
      </c>
      <c r="AK164" s="16" t="s">
        <v>1071</v>
      </c>
      <c r="AL164" s="16"/>
      <c r="AM164" s="60"/>
      <c r="AN164" s="60"/>
      <c r="AO164" s="60"/>
      <c r="AP164" s="60"/>
      <c r="AQ164" s="60"/>
      <c r="AR164" s="60"/>
      <c r="AS164" s="63"/>
      <c r="AT164" s="63"/>
      <c r="AU164" s="63"/>
      <c r="AV164" s="131"/>
      <c r="AW164" s="131"/>
      <c r="AX164" s="131"/>
      <c r="AY164" s="27" t="s">
        <v>1055</v>
      </c>
      <c r="AZ164" s="27" t="s">
        <v>456</v>
      </c>
      <c r="BA164" s="27">
        <v>1</v>
      </c>
      <c r="BB164" s="30">
        <v>9</v>
      </c>
      <c r="BC164" s="30" t="s">
        <v>667</v>
      </c>
      <c r="BD164" s="30">
        <v>0</v>
      </c>
      <c r="BE164" s="30">
        <v>0.8</v>
      </c>
      <c r="BF164" s="30">
        <v>2</v>
      </c>
      <c r="BG164" s="30">
        <v>5.0000000000000001E-3</v>
      </c>
      <c r="BH164" s="107"/>
      <c r="BI164" s="107"/>
      <c r="BJ164" s="107"/>
      <c r="BK164" s="107"/>
      <c r="BL164" s="194"/>
      <c r="BM164" s="122"/>
      <c r="BN164" s="138">
        <v>0</v>
      </c>
      <c r="BO164" s="93"/>
      <c r="BP164" s="93"/>
      <c r="BQ164" s="93"/>
      <c r="BR164" s="93"/>
      <c r="BS164" s="93"/>
      <c r="BT164" s="93"/>
      <c r="BU164" s="27">
        <f t="shared" si="95"/>
        <v>0</v>
      </c>
      <c r="BV164" s="27"/>
      <c r="BW164" s="27"/>
      <c r="BX164" s="27"/>
      <c r="BY164" s="27"/>
      <c r="BZ164" s="27"/>
      <c r="CA164" s="27"/>
      <c r="CB164" s="97"/>
      <c r="CC164" s="97">
        <v>0.1</v>
      </c>
      <c r="CD164" s="97">
        <v>0.5</v>
      </c>
      <c r="CE164" s="97">
        <v>1</v>
      </c>
      <c r="CF164" s="97">
        <f t="shared" si="147"/>
        <v>0.99</v>
      </c>
      <c r="CG164" s="97">
        <f t="shared" si="147"/>
        <v>0.99</v>
      </c>
      <c r="CH164" s="97">
        <f t="shared" si="147"/>
        <v>0.99</v>
      </c>
      <c r="CI164" s="173"/>
      <c r="CJ164" s="173"/>
      <c r="CK164" s="173"/>
      <c r="CL164" s="173"/>
      <c r="CM164" s="173"/>
      <c r="CN164" s="173"/>
      <c r="CO164" s="173"/>
      <c r="CP164" s="174"/>
      <c r="CQ164" s="174"/>
      <c r="CR164" s="174"/>
      <c r="CS164" s="174"/>
      <c r="CT164" s="174"/>
      <c r="CU164" s="174"/>
      <c r="CV164" s="174"/>
      <c r="CW164" s="165"/>
      <c r="CX164" s="166"/>
      <c r="CY164" s="166"/>
      <c r="CZ164" s="166"/>
      <c r="DA164" s="166"/>
      <c r="DB164" s="166"/>
      <c r="DC164" s="166"/>
      <c r="DD164" s="171"/>
      <c r="DE164" s="171"/>
      <c r="DF164" s="171"/>
      <c r="DG164" s="171"/>
      <c r="DH164" s="171"/>
      <c r="DI164" s="171"/>
      <c r="DJ164" s="171"/>
      <c r="DK164" s="79" t="s">
        <v>687</v>
      </c>
      <c r="DL164" s="128">
        <f>ROUNDUP(VLOOKUP($F164,Activities!$A$9:$I$180,3,FALSE)/$AI164,2)</f>
        <v>0.92</v>
      </c>
      <c r="DM164" s="128">
        <f>ROUNDUP(VLOOKUP($F164,Activities!$A$9:$I$180,4,FALSE)/$AI164,2)</f>
        <v>0.95</v>
      </c>
      <c r="DN164" s="128">
        <f>ROUNDUP(VLOOKUP($F164,Activities!$A$9:$I$180,5,FALSE)/$AI164,2)</f>
        <v>0.98</v>
      </c>
      <c r="DO164" s="128">
        <f>ROUNDUP(VLOOKUP($F164,Activities!$A$9:$I$180,6,FALSE)/$AI164,2)</f>
        <v>0.99</v>
      </c>
      <c r="DP164" s="128">
        <f>ROUNDUP(VLOOKUP($F164,Activities!$A$9:$I$180,7,FALSE)/$AI164,2)</f>
        <v>0.99</v>
      </c>
      <c r="DQ164" s="128">
        <f>ROUNDUP(VLOOKUP($F164,Activities!$A$9:$I$180,8,FALSE)/$AI164,2)</f>
        <v>0.99</v>
      </c>
      <c r="DR164" s="128">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6" t="s">
        <v>1076</v>
      </c>
      <c r="B165" s="6" t="s">
        <v>734</v>
      </c>
      <c r="C165" s="6" t="s">
        <v>655</v>
      </c>
      <c r="D165" s="6" t="s">
        <v>1029</v>
      </c>
      <c r="E165" s="6" t="s">
        <v>1030</v>
      </c>
      <c r="F165" s="6" t="s">
        <v>384</v>
      </c>
      <c r="G165" s="48" t="s">
        <v>1077</v>
      </c>
      <c r="H165" s="48" t="s">
        <v>1032</v>
      </c>
      <c r="I165" s="102">
        <v>44525.58</v>
      </c>
      <c r="J165" s="102">
        <v>43529.07</v>
      </c>
      <c r="K165" s="102">
        <v>42552.49</v>
      </c>
      <c r="L165" s="102">
        <v>37767.24</v>
      </c>
      <c r="M165" s="102">
        <v>33460.51</v>
      </c>
      <c r="N165" s="102">
        <v>29584.46</v>
      </c>
      <c r="O165" s="102">
        <v>26096.02</v>
      </c>
      <c r="P165" s="94">
        <v>0</v>
      </c>
      <c r="Q165" s="102">
        <v>5895.83</v>
      </c>
      <c r="R165" s="102">
        <v>5777.91</v>
      </c>
      <c r="S165" s="102">
        <v>5662.35</v>
      </c>
      <c r="T165" s="102">
        <v>5096.12</v>
      </c>
      <c r="U165" s="102">
        <v>4586.5</v>
      </c>
      <c r="V165" s="102">
        <v>4127.8500000000004</v>
      </c>
      <c r="W165" s="102">
        <v>3715.07</v>
      </c>
      <c r="X165" s="102">
        <v>0</v>
      </c>
      <c r="Y165" s="102">
        <v>0</v>
      </c>
      <c r="Z165" s="102">
        <v>0</v>
      </c>
      <c r="AA165" s="102">
        <v>0</v>
      </c>
      <c r="AB165" s="102">
        <v>0</v>
      </c>
      <c r="AC165" s="102">
        <v>0</v>
      </c>
      <c r="AD165" s="102">
        <v>0</v>
      </c>
      <c r="AE165" s="186">
        <v>0.08</v>
      </c>
      <c r="AF165" s="94">
        <v>0</v>
      </c>
      <c r="AG165" s="94">
        <v>15</v>
      </c>
      <c r="AH165" s="94">
        <v>15</v>
      </c>
      <c r="AI165" s="17">
        <v>20.8</v>
      </c>
      <c r="AJ165" s="17" t="s">
        <v>660</v>
      </c>
      <c r="AK165" s="17" t="s">
        <v>1071</v>
      </c>
      <c r="AL165" s="17"/>
      <c r="AM165" s="61"/>
      <c r="AN165" s="61"/>
      <c r="AO165" s="61"/>
      <c r="AP165" s="61"/>
      <c r="AQ165" s="61"/>
      <c r="AR165" s="61"/>
      <c r="AS165" s="64"/>
      <c r="AT165" s="64"/>
      <c r="AU165" s="64"/>
      <c r="AV165" s="132"/>
      <c r="AW165" s="132"/>
      <c r="AX165" s="132"/>
      <c r="AY165" s="28" t="s">
        <v>662</v>
      </c>
      <c r="AZ165" s="28"/>
      <c r="BA165" s="28"/>
      <c r="BB165" s="28"/>
      <c r="BC165" s="28"/>
      <c r="BD165" s="28"/>
      <c r="BE165" s="28"/>
      <c r="BF165" s="28"/>
      <c r="BG165" s="28"/>
      <c r="BH165" s="106"/>
      <c r="BI165" s="106"/>
      <c r="BJ165" s="106"/>
      <c r="BK165" s="106"/>
      <c r="BL165" s="194"/>
      <c r="BM165" s="123"/>
      <c r="BN165" s="139">
        <v>0</v>
      </c>
      <c r="BO165" s="94"/>
      <c r="BP165" s="94"/>
      <c r="BQ165" s="94"/>
      <c r="BR165" s="94"/>
      <c r="BS165" s="94"/>
      <c r="BT165" s="94"/>
      <c r="BU165" s="28">
        <f t="shared" si="95"/>
        <v>0</v>
      </c>
      <c r="BV165" s="28"/>
      <c r="BW165" s="28"/>
      <c r="BX165" s="28"/>
      <c r="BY165" s="28"/>
      <c r="BZ165" s="28"/>
      <c r="CA165" s="28"/>
      <c r="CB165" s="99">
        <v>1E-3</v>
      </c>
      <c r="CC165" s="99">
        <v>0.01</v>
      </c>
      <c r="CD165" s="99">
        <v>0.1</v>
      </c>
      <c r="CE165" s="99">
        <v>0.5</v>
      </c>
      <c r="CF165" s="99">
        <v>1</v>
      </c>
      <c r="CG165" s="99">
        <f t="shared" si="147"/>
        <v>0.99</v>
      </c>
      <c r="CH165" s="99">
        <f t="shared" si="147"/>
        <v>0.99</v>
      </c>
      <c r="CI165" s="175"/>
      <c r="CJ165" s="175"/>
      <c r="CK165" s="175"/>
      <c r="CL165" s="175"/>
      <c r="CM165" s="175"/>
      <c r="CN165" s="175"/>
      <c r="CO165" s="175"/>
      <c r="CP165" s="176"/>
      <c r="CQ165" s="176"/>
      <c r="CR165" s="176"/>
      <c r="CS165" s="176"/>
      <c r="CT165" s="176"/>
      <c r="CU165" s="176"/>
      <c r="CV165" s="176"/>
      <c r="CW165" s="167"/>
      <c r="CX165" s="168"/>
      <c r="CY165" s="168"/>
      <c r="CZ165" s="168"/>
      <c r="DA165" s="168"/>
      <c r="DB165" s="168"/>
      <c r="DC165" s="168"/>
      <c r="DD165" s="172"/>
      <c r="DE165" s="172"/>
      <c r="DF165" s="172"/>
      <c r="DG165" s="172"/>
      <c r="DH165" s="172"/>
      <c r="DI165" s="172"/>
      <c r="DJ165" s="172"/>
      <c r="DK165" s="80" t="s">
        <v>687</v>
      </c>
      <c r="DL165" s="129">
        <f>ROUNDUP(VLOOKUP($F165,Activities!$A$9:$I$180,3,FALSE)/$AI165,2)</f>
        <v>0.92</v>
      </c>
      <c r="DM165" s="129">
        <f>ROUNDUP(VLOOKUP($F165,Activities!$A$9:$I$180,4,FALSE)/$AI165,2)</f>
        <v>0.95</v>
      </c>
      <c r="DN165" s="129">
        <f>ROUNDUP(VLOOKUP($F165,Activities!$A$9:$I$180,5,FALSE)/$AI165,2)</f>
        <v>0.98</v>
      </c>
      <c r="DO165" s="129">
        <f>ROUNDUP(VLOOKUP($F165,Activities!$A$9:$I$180,6,FALSE)/$AI165,2)</f>
        <v>0.99</v>
      </c>
      <c r="DP165" s="129">
        <f>ROUNDUP(VLOOKUP($F165,Activities!$A$9:$I$180,7,FALSE)/$AI165,2)</f>
        <v>0.99</v>
      </c>
      <c r="DQ165" s="129">
        <f>ROUNDUP(VLOOKUP($F165,Activities!$A$9:$I$180,8,FALSE)/$AI165,2)</f>
        <v>0.99</v>
      </c>
      <c r="DR165" s="129">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5" t="s">
        <v>1078</v>
      </c>
      <c r="B166" s="5" t="s">
        <v>734</v>
      </c>
      <c r="C166" s="5" t="s">
        <v>655</v>
      </c>
      <c r="D166" s="5" t="s">
        <v>1029</v>
      </c>
      <c r="E166" s="5" t="s">
        <v>1030</v>
      </c>
      <c r="F166" s="5" t="s">
        <v>385</v>
      </c>
      <c r="G166" s="47" t="s">
        <v>1079</v>
      </c>
      <c r="H166" s="47" t="s">
        <v>1080</v>
      </c>
      <c r="I166" s="101">
        <v>53.11</v>
      </c>
      <c r="J166" s="101">
        <v>53.11</v>
      </c>
      <c r="K166" s="101">
        <v>53.11</v>
      </c>
      <c r="L166" s="101">
        <v>53.11</v>
      </c>
      <c r="M166" s="101">
        <v>53.11</v>
      </c>
      <c r="N166" s="101">
        <v>53.11</v>
      </c>
      <c r="O166" s="101">
        <v>53.11</v>
      </c>
      <c r="P166" s="93">
        <v>0</v>
      </c>
      <c r="Q166" s="101">
        <v>14.17</v>
      </c>
      <c r="R166" s="101">
        <v>14.17</v>
      </c>
      <c r="S166" s="101">
        <v>14.17</v>
      </c>
      <c r="T166" s="101">
        <v>14.17</v>
      </c>
      <c r="U166" s="101">
        <v>14.17</v>
      </c>
      <c r="V166" s="101">
        <v>14.17</v>
      </c>
      <c r="W166" s="101">
        <v>14.17</v>
      </c>
      <c r="X166" s="101">
        <v>0</v>
      </c>
      <c r="Y166" s="101">
        <v>0</v>
      </c>
      <c r="Z166" s="101">
        <v>0</v>
      </c>
      <c r="AA166" s="101">
        <v>0</v>
      </c>
      <c r="AB166" s="101">
        <v>0</v>
      </c>
      <c r="AC166" s="101">
        <v>0</v>
      </c>
      <c r="AD166" s="101">
        <v>0</v>
      </c>
      <c r="AE166" s="186">
        <v>0.08</v>
      </c>
      <c r="AF166" s="93">
        <v>0</v>
      </c>
      <c r="AG166" s="93">
        <v>15</v>
      </c>
      <c r="AH166" s="93">
        <v>15</v>
      </c>
      <c r="AI166" s="16">
        <v>5.7500000000000002E-2</v>
      </c>
      <c r="AJ166" s="16" t="s">
        <v>660</v>
      </c>
      <c r="AK166" s="16" t="s">
        <v>745</v>
      </c>
      <c r="AL166" s="16"/>
      <c r="AM166" s="60"/>
      <c r="AN166" s="60"/>
      <c r="AO166" s="60"/>
      <c r="AP166" s="60"/>
      <c r="AQ166" s="60"/>
      <c r="AR166" s="60"/>
      <c r="AS166" s="63"/>
      <c r="AT166" s="63"/>
      <c r="AU166" s="63"/>
      <c r="AV166" s="131"/>
      <c r="AW166" s="131"/>
      <c r="AX166" s="131"/>
      <c r="AY166" s="27" t="s">
        <v>662</v>
      </c>
      <c r="AZ166" s="27"/>
      <c r="BA166" s="27"/>
      <c r="BB166" s="30"/>
      <c r="BC166" s="30"/>
      <c r="BD166" s="30"/>
      <c r="BE166" s="30"/>
      <c r="BF166" s="30"/>
      <c r="BG166" s="30"/>
      <c r="BH166" s="107"/>
      <c r="BI166" s="107"/>
      <c r="BJ166" s="107"/>
      <c r="BK166" s="107"/>
      <c r="BL166" s="136"/>
      <c r="BM166" s="122"/>
      <c r="BN166" s="138">
        <f>DL166-SUM(BN167:BN172)</f>
        <v>51.679999999999978</v>
      </c>
      <c r="BO166" s="93">
        <v>30</v>
      </c>
      <c r="BP166" s="93">
        <v>20</v>
      </c>
      <c r="BQ166" s="93"/>
      <c r="BR166" s="93"/>
      <c r="BS166" s="93"/>
      <c r="BT166" s="93"/>
      <c r="BU166" s="27">
        <f t="shared" si="95"/>
        <v>0</v>
      </c>
      <c r="BV166" s="27"/>
      <c r="BW166" s="27"/>
      <c r="BX166" s="27"/>
      <c r="BY166" s="27"/>
      <c r="BZ166" s="27"/>
      <c r="CA166" s="27"/>
      <c r="CB166" s="97">
        <f t="shared" ref="CB166:CF167" si="157">DL166</f>
        <v>132.67999999999998</v>
      </c>
      <c r="CC166" s="97">
        <f t="shared" si="157"/>
        <v>138.38999999999999</v>
      </c>
      <c r="CD166" s="97">
        <f t="shared" si="157"/>
        <v>141.48999999999998</v>
      </c>
      <c r="CE166" s="97">
        <f t="shared" si="157"/>
        <v>143.14999999999998</v>
      </c>
      <c r="CF166" s="97">
        <f t="shared" si="157"/>
        <v>143.79</v>
      </c>
      <c r="CG166" s="97">
        <f t="shared" si="147"/>
        <v>143.63999999999999</v>
      </c>
      <c r="CH166" s="97">
        <f t="shared" si="147"/>
        <v>143</v>
      </c>
      <c r="CI166" s="173"/>
      <c r="CJ166" s="173"/>
      <c r="CK166" s="173"/>
      <c r="CL166" s="173"/>
      <c r="CM166" s="173"/>
      <c r="CN166" s="173"/>
      <c r="CO166" s="173"/>
      <c r="CP166" s="174"/>
      <c r="CQ166" s="174"/>
      <c r="CR166" s="174"/>
      <c r="CS166" s="174"/>
      <c r="CT166" s="174"/>
      <c r="CU166" s="174"/>
      <c r="CV166" s="174"/>
      <c r="CW166" s="165"/>
      <c r="CX166" s="166"/>
      <c r="CY166" s="166"/>
      <c r="CZ166" s="166"/>
      <c r="DA166" s="166"/>
      <c r="DB166" s="166"/>
      <c r="DC166" s="166"/>
      <c r="DD166" s="171"/>
      <c r="DE166" s="171"/>
      <c r="DF166" s="171"/>
      <c r="DG166" s="171"/>
      <c r="DH166" s="171"/>
      <c r="DI166" s="171"/>
      <c r="DJ166" s="171"/>
      <c r="DK166" s="79" t="s">
        <v>699</v>
      </c>
      <c r="DL166" s="128">
        <f>ROUNDUP(VLOOKUP($F166,Activities!$A$9:$I$180,3,FALSE)/$AI166,2)</f>
        <v>132.67999999999998</v>
      </c>
      <c r="DM166" s="128">
        <f>ROUNDUP(VLOOKUP($F166,Activities!$A$9:$I$180,4,FALSE)/$AI166,2)</f>
        <v>138.38999999999999</v>
      </c>
      <c r="DN166" s="128">
        <f>ROUNDUP(VLOOKUP($F166,Activities!$A$9:$I$180,5,FALSE)/$AI166,2)</f>
        <v>141.48999999999998</v>
      </c>
      <c r="DO166" s="128">
        <f>ROUNDUP(VLOOKUP($F166,Activities!$A$9:$I$180,6,FALSE)/$AI166,2)</f>
        <v>143.14999999999998</v>
      </c>
      <c r="DP166" s="128">
        <f>ROUNDUP(VLOOKUP($F166,Activities!$A$9:$I$180,7,FALSE)/$AI166,2)</f>
        <v>143.79</v>
      </c>
      <c r="DQ166" s="128">
        <f>ROUNDUP(VLOOKUP($F166,Activities!$A$9:$I$180,8,FALSE)/$AI166,2)</f>
        <v>143.63999999999999</v>
      </c>
      <c r="DR166" s="128">
        <f>ROUNDUP(VLOOKUP($F166,Activities!$A$9:$I$180,9,FALSE)/$AI166,2)</f>
        <v>143</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6" t="s">
        <v>1081</v>
      </c>
      <c r="B167" s="6" t="s">
        <v>734</v>
      </c>
      <c r="C167" s="6" t="s">
        <v>655</v>
      </c>
      <c r="D167" s="6" t="s">
        <v>1029</v>
      </c>
      <c r="E167" s="6" t="s">
        <v>1030</v>
      </c>
      <c r="F167" s="6" t="s">
        <v>385</v>
      </c>
      <c r="G167" s="48" t="s">
        <v>1082</v>
      </c>
      <c r="H167" s="48" t="s">
        <v>1080</v>
      </c>
      <c r="I167" s="102">
        <v>65.87</v>
      </c>
      <c r="J167" s="102">
        <v>59.33</v>
      </c>
      <c r="K167" s="102">
        <v>53.11</v>
      </c>
      <c r="L167" s="102">
        <v>53.11</v>
      </c>
      <c r="M167" s="102">
        <v>53.11</v>
      </c>
      <c r="N167" s="102">
        <v>53.11</v>
      </c>
      <c r="O167" s="102">
        <v>53.11</v>
      </c>
      <c r="P167" s="94">
        <v>0</v>
      </c>
      <c r="Q167" s="102">
        <v>14.17</v>
      </c>
      <c r="R167" s="102">
        <v>14.17</v>
      </c>
      <c r="S167" s="102">
        <v>14.17</v>
      </c>
      <c r="T167" s="102">
        <v>14.17</v>
      </c>
      <c r="U167" s="102">
        <v>14.17</v>
      </c>
      <c r="V167" s="102">
        <v>14.17</v>
      </c>
      <c r="W167" s="102">
        <v>14.17</v>
      </c>
      <c r="X167" s="102">
        <v>0</v>
      </c>
      <c r="Y167" s="102">
        <v>0</v>
      </c>
      <c r="Z167" s="102">
        <v>0</v>
      </c>
      <c r="AA167" s="102">
        <v>0</v>
      </c>
      <c r="AB167" s="102">
        <v>0</v>
      </c>
      <c r="AC167" s="102">
        <v>0</v>
      </c>
      <c r="AD167" s="102">
        <v>0</v>
      </c>
      <c r="AE167" s="186">
        <v>0.08</v>
      </c>
      <c r="AF167" s="94">
        <v>0</v>
      </c>
      <c r="AG167" s="94">
        <v>15</v>
      </c>
      <c r="AH167" s="94">
        <v>15</v>
      </c>
      <c r="AI167" s="17">
        <v>5.7500000000000002E-2</v>
      </c>
      <c r="AJ167" s="17" t="s">
        <v>660</v>
      </c>
      <c r="AK167" s="17" t="s">
        <v>745</v>
      </c>
      <c r="AL167" s="17"/>
      <c r="AM167" s="61"/>
      <c r="AN167" s="61"/>
      <c r="AO167" s="61"/>
      <c r="AP167" s="61"/>
      <c r="AQ167" s="61"/>
      <c r="AR167" s="61"/>
      <c r="AS167" s="64"/>
      <c r="AT167" s="64"/>
      <c r="AU167" s="64"/>
      <c r="AV167" s="132"/>
      <c r="AW167" s="132"/>
      <c r="AX167" s="132"/>
      <c r="AY167" s="28" t="s">
        <v>662</v>
      </c>
      <c r="AZ167" s="28"/>
      <c r="BA167" s="28"/>
      <c r="BB167" s="28"/>
      <c r="BC167" s="28"/>
      <c r="BD167" s="28"/>
      <c r="BE167" s="28"/>
      <c r="BF167" s="28"/>
      <c r="BG167" s="28"/>
      <c r="BH167" s="106"/>
      <c r="BI167" s="106"/>
      <c r="BJ167" s="106"/>
      <c r="BK167" s="106"/>
      <c r="BL167" s="194"/>
      <c r="BM167" s="123"/>
      <c r="BN167" s="139">
        <v>40</v>
      </c>
      <c r="BO167" s="94">
        <v>25</v>
      </c>
      <c r="BP167" s="94">
        <v>15</v>
      </c>
      <c r="BQ167" s="94"/>
      <c r="BR167" s="94"/>
      <c r="BS167" s="94"/>
      <c r="BT167" s="94"/>
      <c r="BU167" s="28">
        <f t="shared" si="95"/>
        <v>0</v>
      </c>
      <c r="BV167" s="28"/>
      <c r="BW167" s="28"/>
      <c r="BX167" s="28"/>
      <c r="BY167" s="28"/>
      <c r="BZ167" s="28"/>
      <c r="CA167" s="28"/>
      <c r="CB167" s="99">
        <f t="shared" si="157"/>
        <v>132.67999999999998</v>
      </c>
      <c r="CC167" s="99">
        <f t="shared" si="157"/>
        <v>138.38999999999999</v>
      </c>
      <c r="CD167" s="99">
        <f t="shared" si="157"/>
        <v>141.48999999999998</v>
      </c>
      <c r="CE167" s="99">
        <f t="shared" si="157"/>
        <v>143.14999999999998</v>
      </c>
      <c r="CF167" s="99">
        <f t="shared" si="157"/>
        <v>143.79</v>
      </c>
      <c r="CG167" s="99">
        <f t="shared" si="147"/>
        <v>143.63999999999999</v>
      </c>
      <c r="CH167" s="99">
        <f t="shared" si="147"/>
        <v>143</v>
      </c>
      <c r="CI167" s="175"/>
      <c r="CJ167" s="175"/>
      <c r="CK167" s="175"/>
      <c r="CL167" s="175"/>
      <c r="CM167" s="175"/>
      <c r="CN167" s="175"/>
      <c r="CO167" s="175"/>
      <c r="CP167" s="176"/>
      <c r="CQ167" s="176"/>
      <c r="CR167" s="176"/>
      <c r="CS167" s="176"/>
      <c r="CT167" s="176"/>
      <c r="CU167" s="176"/>
      <c r="CV167" s="176"/>
      <c r="CW167" s="167"/>
      <c r="CX167" s="168"/>
      <c r="CY167" s="168"/>
      <c r="CZ167" s="168"/>
      <c r="DA167" s="168"/>
      <c r="DB167" s="168"/>
      <c r="DC167" s="168"/>
      <c r="DD167" s="172"/>
      <c r="DE167" s="172"/>
      <c r="DF167" s="172"/>
      <c r="DG167" s="172"/>
      <c r="DH167" s="172"/>
      <c r="DI167" s="172"/>
      <c r="DJ167" s="172"/>
      <c r="DK167" s="80" t="s">
        <v>663</v>
      </c>
      <c r="DL167" s="129">
        <f>ROUNDUP(VLOOKUP($F167,Activities!$A$9:$I$180,3,FALSE)/$AI167,2)</f>
        <v>132.67999999999998</v>
      </c>
      <c r="DM167" s="129">
        <f>ROUNDUP(VLOOKUP($F167,Activities!$A$9:$I$180,4,FALSE)/$AI167,2)</f>
        <v>138.38999999999999</v>
      </c>
      <c r="DN167" s="129">
        <f>ROUNDUP(VLOOKUP($F167,Activities!$A$9:$I$180,5,FALSE)/$AI167,2)</f>
        <v>141.48999999999998</v>
      </c>
      <c r="DO167" s="129">
        <f>ROUNDUP(VLOOKUP($F167,Activities!$A$9:$I$180,6,FALSE)/$AI167,2)</f>
        <v>143.14999999999998</v>
      </c>
      <c r="DP167" s="129">
        <f>ROUNDUP(VLOOKUP($F167,Activities!$A$9:$I$180,7,FALSE)/$AI167,2)</f>
        <v>143.79</v>
      </c>
      <c r="DQ167" s="129">
        <f>ROUNDUP(VLOOKUP($F167,Activities!$A$9:$I$180,8,FALSE)/$AI167,2)</f>
        <v>143.63999999999999</v>
      </c>
      <c r="DR167" s="129">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1029</v>
      </c>
      <c r="E168" s="6" t="s">
        <v>1030</v>
      </c>
      <c r="F168" s="6" t="s">
        <v>385</v>
      </c>
      <c r="G168" s="48" t="s">
        <v>1084</v>
      </c>
      <c r="H168" s="48" t="s">
        <v>1080</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ref="BU168" si="158">IF(BL168=1,BN168,0)</f>
        <v>0</v>
      </c>
      <c r="BV168" s="28"/>
      <c r="BW168" s="28"/>
      <c r="BX168" s="28"/>
      <c r="BY168" s="28"/>
      <c r="BZ168" s="28"/>
      <c r="CA168" s="28"/>
      <c r="CB168" s="99">
        <f t="shared" ref="CB168" si="159">DL168</f>
        <v>132.67999999999998</v>
      </c>
      <c r="CC168" s="99">
        <f t="shared" ref="CC168" si="160">DM168</f>
        <v>138.38999999999999</v>
      </c>
      <c r="CD168" s="99">
        <f t="shared" ref="CD168" si="161">DN168</f>
        <v>141.48999999999998</v>
      </c>
      <c r="CE168" s="99">
        <f t="shared" ref="CE168" si="162">DO168</f>
        <v>143.14999999999998</v>
      </c>
      <c r="CF168" s="99">
        <f t="shared" ref="CF168" si="163">DP168</f>
        <v>143.79</v>
      </c>
      <c r="CG168" s="99">
        <f t="shared" ref="CG168" si="164">DQ168</f>
        <v>143.63999999999999</v>
      </c>
      <c r="CH168" s="99">
        <f t="shared" ref="CH168" si="165">DR168</f>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1029</v>
      </c>
      <c r="E169" s="6" t="s">
        <v>1030</v>
      </c>
      <c r="F169" s="6" t="s">
        <v>385</v>
      </c>
      <c r="G169" s="48" t="s">
        <v>1086</v>
      </c>
      <c r="H169" s="48" t="s">
        <v>1080</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0</v>
      </c>
      <c r="BO169" s="94">
        <v>0</v>
      </c>
      <c r="BP169" s="94">
        <v>0</v>
      </c>
      <c r="BQ169" s="94">
        <v>0</v>
      </c>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5" t="s">
        <v>1087</v>
      </c>
      <c r="B170" s="5" t="s">
        <v>734</v>
      </c>
      <c r="C170" s="5" t="s">
        <v>655</v>
      </c>
      <c r="D170" s="5" t="s">
        <v>1029</v>
      </c>
      <c r="E170" s="5" t="s">
        <v>1030</v>
      </c>
      <c r="F170" s="5" t="s">
        <v>385</v>
      </c>
      <c r="G170" s="47" t="s">
        <v>1088</v>
      </c>
      <c r="H170" s="47" t="s">
        <v>1080</v>
      </c>
      <c r="I170" s="101">
        <v>70.06</v>
      </c>
      <c r="J170" s="101">
        <v>67.349999999999994</v>
      </c>
      <c r="K170" s="101">
        <v>64.709999999999994</v>
      </c>
      <c r="L170" s="101">
        <v>62.11</v>
      </c>
      <c r="M170" s="101">
        <v>59.57</v>
      </c>
      <c r="N170" s="101">
        <v>57.08</v>
      </c>
      <c r="O170" s="101">
        <v>54.64</v>
      </c>
      <c r="P170" s="93">
        <v>0</v>
      </c>
      <c r="Q170" s="101">
        <v>12.05</v>
      </c>
      <c r="R170" s="101">
        <v>12.05</v>
      </c>
      <c r="S170" s="101">
        <v>12.05</v>
      </c>
      <c r="T170" s="101">
        <v>12.05</v>
      </c>
      <c r="U170" s="101">
        <v>12.05</v>
      </c>
      <c r="V170" s="101">
        <v>12.05</v>
      </c>
      <c r="W170" s="101">
        <v>12.05</v>
      </c>
      <c r="X170" s="101">
        <v>0</v>
      </c>
      <c r="Y170" s="101">
        <v>0</v>
      </c>
      <c r="Z170" s="101">
        <v>0</v>
      </c>
      <c r="AA170" s="101">
        <v>0</v>
      </c>
      <c r="AB170" s="101">
        <v>0</v>
      </c>
      <c r="AC170" s="101">
        <v>0</v>
      </c>
      <c r="AD170" s="101">
        <v>0</v>
      </c>
      <c r="AE170" s="186">
        <v>0.08</v>
      </c>
      <c r="AF170" s="93">
        <v>0</v>
      </c>
      <c r="AG170" s="93">
        <v>15</v>
      </c>
      <c r="AH170" s="93">
        <v>15</v>
      </c>
      <c r="AI170" s="16">
        <v>5.7500000000000002E-2</v>
      </c>
      <c r="AJ170" s="16" t="s">
        <v>660</v>
      </c>
      <c r="AK170" s="16" t="s">
        <v>745</v>
      </c>
      <c r="AL170" s="16"/>
      <c r="AM170" s="60"/>
      <c r="AN170" s="60"/>
      <c r="AO170" s="60"/>
      <c r="AP170" s="60"/>
      <c r="AQ170" s="60"/>
      <c r="AR170" s="60"/>
      <c r="AS170" s="63"/>
      <c r="AT170" s="63"/>
      <c r="AU170" s="63"/>
      <c r="AV170" s="131"/>
      <c r="AW170" s="131"/>
      <c r="AX170" s="131"/>
      <c r="AY170" s="27" t="s">
        <v>662</v>
      </c>
      <c r="AZ170" s="27"/>
      <c r="BA170" s="27"/>
      <c r="BB170" s="30"/>
      <c r="BC170" s="30"/>
      <c r="BD170" s="30"/>
      <c r="BE170" s="30"/>
      <c r="BF170" s="30"/>
      <c r="BG170" s="30"/>
      <c r="BH170" s="107"/>
      <c r="BI170" s="107"/>
      <c r="BJ170" s="107"/>
      <c r="BK170" s="107"/>
      <c r="BL170" s="136"/>
      <c r="BM170" s="122"/>
      <c r="BN170" s="138">
        <v>1</v>
      </c>
      <c r="BO170" s="93">
        <v>0.2</v>
      </c>
      <c r="BP170" s="93">
        <v>0.3</v>
      </c>
      <c r="BQ170" s="93">
        <v>0.5</v>
      </c>
      <c r="BR170" s="93"/>
      <c r="BS170" s="93"/>
      <c r="BT170" s="93"/>
      <c r="BU170" s="27">
        <f t="shared" si="95"/>
        <v>0</v>
      </c>
      <c r="BV170" s="27"/>
      <c r="BW170" s="27"/>
      <c r="BX170" s="27"/>
      <c r="BY170" s="27"/>
      <c r="BZ170" s="27"/>
      <c r="CA170" s="27"/>
      <c r="CB170" s="97">
        <v>1</v>
      </c>
      <c r="CC170" s="97">
        <v>5</v>
      </c>
      <c r="CD170" s="97">
        <v>10</v>
      </c>
      <c r="CE170" s="97">
        <v>50</v>
      </c>
      <c r="CF170" s="97">
        <v>150</v>
      </c>
      <c r="CG170" s="97">
        <f t="shared" si="147"/>
        <v>143.63999999999999</v>
      </c>
      <c r="CH170" s="97">
        <f t="shared" si="147"/>
        <v>143</v>
      </c>
      <c r="CI170" s="173"/>
      <c r="CJ170" s="173"/>
      <c r="CK170" s="173"/>
      <c r="CL170" s="173"/>
      <c r="CM170" s="173"/>
      <c r="CN170" s="173"/>
      <c r="CO170" s="173"/>
      <c r="CP170" s="174"/>
      <c r="CQ170" s="174"/>
      <c r="CR170" s="174"/>
      <c r="CS170" s="174"/>
      <c r="CT170" s="174"/>
      <c r="CU170" s="174"/>
      <c r="CV170" s="174"/>
      <c r="CW170" s="165"/>
      <c r="CX170" s="166"/>
      <c r="CY170" s="166"/>
      <c r="CZ170" s="166"/>
      <c r="DA170" s="166"/>
      <c r="DB170" s="166"/>
      <c r="DC170" s="166"/>
      <c r="DD170" s="171"/>
      <c r="DE170" s="171"/>
      <c r="DF170" s="171"/>
      <c r="DG170" s="171"/>
      <c r="DH170" s="171"/>
      <c r="DI170" s="171"/>
      <c r="DJ170" s="171"/>
      <c r="DK170" s="79" t="s">
        <v>663</v>
      </c>
      <c r="DL170" s="128">
        <f>ROUNDUP(VLOOKUP($F170,Activities!$A$9:$I$180,3,FALSE)/$AI170,2)</f>
        <v>132.67999999999998</v>
      </c>
      <c r="DM170" s="128">
        <f>ROUNDUP(VLOOKUP($F170,Activities!$A$9:$I$180,4,FALSE)/$AI170,2)</f>
        <v>138.38999999999999</v>
      </c>
      <c r="DN170" s="128">
        <f>ROUNDUP(VLOOKUP($F170,Activities!$A$9:$I$180,5,FALSE)/$AI170,2)</f>
        <v>141.48999999999998</v>
      </c>
      <c r="DO170" s="128">
        <f>ROUNDUP(VLOOKUP($F170,Activities!$A$9:$I$180,6,FALSE)/$AI170,2)</f>
        <v>143.14999999999998</v>
      </c>
      <c r="DP170" s="128">
        <f>ROUNDUP(VLOOKUP($F170,Activities!$A$9:$I$180,7,FALSE)/$AI170,2)</f>
        <v>143.79</v>
      </c>
      <c r="DQ170" s="128">
        <f>ROUNDUP(VLOOKUP($F170,Activities!$A$9:$I$180,8,FALSE)/$AI170,2)</f>
        <v>143.63999999999999</v>
      </c>
      <c r="DR170" s="128">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6" t="s">
        <v>1089</v>
      </c>
      <c r="B171" s="6" t="s">
        <v>734</v>
      </c>
      <c r="C171" s="6" t="s">
        <v>655</v>
      </c>
      <c r="D171" s="6" t="s">
        <v>1029</v>
      </c>
      <c r="E171" s="6" t="s">
        <v>1030</v>
      </c>
      <c r="F171" s="6" t="s">
        <v>385</v>
      </c>
      <c r="G171" s="48" t="s">
        <v>1090</v>
      </c>
      <c r="H171" s="48" t="s">
        <v>1080</v>
      </c>
      <c r="I171" s="102">
        <v>144.52000000000001</v>
      </c>
      <c r="J171" s="102">
        <v>127.76</v>
      </c>
      <c r="K171" s="102">
        <v>112.34</v>
      </c>
      <c r="L171" s="102">
        <v>98.15</v>
      </c>
      <c r="M171" s="102">
        <v>85.1</v>
      </c>
      <c r="N171" s="102">
        <v>73.09</v>
      </c>
      <c r="O171" s="102">
        <v>62.04</v>
      </c>
      <c r="P171" s="94">
        <v>0</v>
      </c>
      <c r="Q171" s="102">
        <v>9.4499999999999993</v>
      </c>
      <c r="R171" s="102">
        <v>9.4499999999999993</v>
      </c>
      <c r="S171" s="102">
        <v>9.4499999999999993</v>
      </c>
      <c r="T171" s="102">
        <v>9.4499999999999993</v>
      </c>
      <c r="U171" s="102">
        <v>9.4499999999999993</v>
      </c>
      <c r="V171" s="102">
        <v>9.4499999999999993</v>
      </c>
      <c r="W171" s="102">
        <v>9.4499999999999993</v>
      </c>
      <c r="X171" s="102">
        <v>0</v>
      </c>
      <c r="Y171" s="102">
        <v>0</v>
      </c>
      <c r="Z171" s="102">
        <v>0</v>
      </c>
      <c r="AA171" s="102">
        <v>0</v>
      </c>
      <c r="AB171" s="102">
        <v>0</v>
      </c>
      <c r="AC171" s="102">
        <v>0</v>
      </c>
      <c r="AD171" s="102">
        <v>0</v>
      </c>
      <c r="AE171" s="186">
        <v>0.08</v>
      </c>
      <c r="AF171" s="94">
        <v>0</v>
      </c>
      <c r="AG171" s="94">
        <v>15</v>
      </c>
      <c r="AH171" s="94">
        <v>15</v>
      </c>
      <c r="AI171" s="17">
        <v>5.7500000000000002E-2</v>
      </c>
      <c r="AJ171" s="17" t="s">
        <v>660</v>
      </c>
      <c r="AK171" s="17" t="s">
        <v>1091</v>
      </c>
      <c r="AL171" s="17"/>
      <c r="AM171" s="61"/>
      <c r="AN171" s="61"/>
      <c r="AO171" s="61"/>
      <c r="AP171" s="61"/>
      <c r="AQ171" s="61"/>
      <c r="AR171" s="61"/>
      <c r="AS171" s="64"/>
      <c r="AT171" s="64"/>
      <c r="AU171" s="64"/>
      <c r="AV171" s="132"/>
      <c r="AW171" s="132"/>
      <c r="AX171" s="132"/>
      <c r="AY171" s="28" t="s">
        <v>662</v>
      </c>
      <c r="AZ171" s="28"/>
      <c r="BA171" s="28"/>
      <c r="BB171" s="28"/>
      <c r="BC171" s="28"/>
      <c r="BD171" s="28"/>
      <c r="BE171" s="28"/>
      <c r="BF171" s="28"/>
      <c r="BG171" s="28"/>
      <c r="BH171" s="106"/>
      <c r="BI171" s="106"/>
      <c r="BJ171" s="106"/>
      <c r="BK171" s="106"/>
      <c r="BL171" s="137"/>
      <c r="BM171" s="123"/>
      <c r="BN171" s="139">
        <v>0</v>
      </c>
      <c r="BO171" s="94"/>
      <c r="BP171" s="94"/>
      <c r="BQ171" s="94"/>
      <c r="BR171" s="94"/>
      <c r="BS171" s="94"/>
      <c r="BT171" s="94"/>
      <c r="BU171" s="28">
        <f t="shared" si="95"/>
        <v>0</v>
      </c>
      <c r="BV171" s="28"/>
      <c r="BW171" s="28"/>
      <c r="BX171" s="28"/>
      <c r="BY171" s="28"/>
      <c r="BZ171" s="28"/>
      <c r="CA171" s="28"/>
      <c r="CB171" s="99"/>
      <c r="CC171" s="99">
        <v>1</v>
      </c>
      <c r="CD171" s="99">
        <v>2</v>
      </c>
      <c r="CE171" s="99">
        <v>40</v>
      </c>
      <c r="CF171" s="99">
        <v>80</v>
      </c>
      <c r="CG171" s="99">
        <v>120</v>
      </c>
      <c r="CH171" s="99">
        <f t="shared" si="147"/>
        <v>143</v>
      </c>
      <c r="CI171" s="175"/>
      <c r="CJ171" s="175"/>
      <c r="CK171" s="175"/>
      <c r="CL171" s="175"/>
      <c r="CM171" s="175"/>
      <c r="CN171" s="175"/>
      <c r="CO171" s="175"/>
      <c r="CP171" s="176"/>
      <c r="CQ171" s="176"/>
      <c r="CR171" s="176"/>
      <c r="CS171" s="176"/>
      <c r="CT171" s="176"/>
      <c r="CU171" s="176"/>
      <c r="CV171" s="176"/>
      <c r="CW171" s="167"/>
      <c r="CX171" s="168"/>
      <c r="CY171" s="168"/>
      <c r="CZ171" s="168"/>
      <c r="DA171" s="168"/>
      <c r="DB171" s="168"/>
      <c r="DC171" s="168"/>
      <c r="DD171" s="172"/>
      <c r="DE171" s="172"/>
      <c r="DF171" s="172"/>
      <c r="DG171" s="172"/>
      <c r="DH171" s="172"/>
      <c r="DI171" s="172"/>
      <c r="DJ171" s="172"/>
      <c r="DK171" s="80" t="s">
        <v>706</v>
      </c>
      <c r="DL171" s="129">
        <f>ROUNDUP(VLOOKUP($F171,Activities!$A$9:$I$180,3,FALSE)/$AI171,2)</f>
        <v>132.67999999999998</v>
      </c>
      <c r="DM171" s="129">
        <f>ROUNDUP(VLOOKUP($F171,Activities!$A$9:$I$180,4,FALSE)/$AI171,2)</f>
        <v>138.38999999999999</v>
      </c>
      <c r="DN171" s="129">
        <f>ROUNDUP(VLOOKUP($F171,Activities!$A$9:$I$180,5,FALSE)/$AI171,2)</f>
        <v>141.48999999999998</v>
      </c>
      <c r="DO171" s="129">
        <f>ROUNDUP(VLOOKUP($F171,Activities!$A$9:$I$180,6,FALSE)/$AI171,2)</f>
        <v>143.14999999999998</v>
      </c>
      <c r="DP171" s="129">
        <f>ROUNDUP(VLOOKUP($F171,Activities!$A$9:$I$180,7,FALSE)/$AI171,2)</f>
        <v>143.79</v>
      </c>
      <c r="DQ171" s="129">
        <f>ROUNDUP(VLOOKUP($F171,Activities!$A$9:$I$180,8,FALSE)/$AI171,2)</f>
        <v>143.63999999999999</v>
      </c>
      <c r="DR171" s="129">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5" t="s">
        <v>1092</v>
      </c>
      <c r="B172" s="5" t="s">
        <v>734</v>
      </c>
      <c r="C172" s="5" t="s">
        <v>655</v>
      </c>
      <c r="D172" s="5" t="s">
        <v>1029</v>
      </c>
      <c r="E172" s="5" t="s">
        <v>1030</v>
      </c>
      <c r="F172" s="5" t="s">
        <v>385</v>
      </c>
      <c r="G172" s="47" t="s">
        <v>1093</v>
      </c>
      <c r="H172" s="47" t="s">
        <v>1080</v>
      </c>
      <c r="I172" s="101">
        <v>144.52000000000001</v>
      </c>
      <c r="J172" s="101">
        <v>127.76</v>
      </c>
      <c r="K172" s="101">
        <v>112.34</v>
      </c>
      <c r="L172" s="101">
        <v>98.15</v>
      </c>
      <c r="M172" s="101">
        <v>85.1</v>
      </c>
      <c r="N172" s="101">
        <v>73.09</v>
      </c>
      <c r="O172" s="101">
        <v>62.04</v>
      </c>
      <c r="P172" s="93">
        <v>0</v>
      </c>
      <c r="Q172" s="101">
        <v>9.4499999999999993</v>
      </c>
      <c r="R172" s="101">
        <v>9.4499999999999993</v>
      </c>
      <c r="S172" s="101">
        <v>9.4499999999999993</v>
      </c>
      <c r="T172" s="101">
        <v>9.4499999999999993</v>
      </c>
      <c r="U172" s="101">
        <v>9.4499999999999993</v>
      </c>
      <c r="V172" s="101">
        <v>9.4499999999999993</v>
      </c>
      <c r="W172" s="101">
        <v>9.4499999999999993</v>
      </c>
      <c r="X172" s="101">
        <v>0</v>
      </c>
      <c r="Y172" s="101">
        <v>0</v>
      </c>
      <c r="Z172" s="101">
        <v>0</v>
      </c>
      <c r="AA172" s="101">
        <v>0</v>
      </c>
      <c r="AB172" s="101">
        <v>0</v>
      </c>
      <c r="AC172" s="101">
        <v>0</v>
      </c>
      <c r="AD172" s="101">
        <v>0</v>
      </c>
      <c r="AE172" s="186">
        <v>0.08</v>
      </c>
      <c r="AF172" s="93">
        <v>0</v>
      </c>
      <c r="AG172" s="93">
        <v>15</v>
      </c>
      <c r="AH172" s="93">
        <v>15</v>
      </c>
      <c r="AI172" s="16">
        <v>5.7500000000000002E-2</v>
      </c>
      <c r="AJ172" s="16" t="s">
        <v>660</v>
      </c>
      <c r="AK172" s="16" t="s">
        <v>1091</v>
      </c>
      <c r="AL172" s="16"/>
      <c r="AM172" s="60"/>
      <c r="AN172" s="60"/>
      <c r="AO172" s="60"/>
      <c r="AP172" s="60"/>
      <c r="AQ172" s="60"/>
      <c r="AR172" s="60"/>
      <c r="AS172" s="63"/>
      <c r="AT172" s="63"/>
      <c r="AU172" s="63"/>
      <c r="AV172" s="131"/>
      <c r="AW172" s="131"/>
      <c r="AX172" s="131"/>
      <c r="AY172" s="27" t="s">
        <v>1055</v>
      </c>
      <c r="AZ172" s="27" t="s">
        <v>456</v>
      </c>
      <c r="BA172" s="27">
        <v>1</v>
      </c>
      <c r="BB172" s="30">
        <v>12</v>
      </c>
      <c r="BC172" s="30" t="s">
        <v>667</v>
      </c>
      <c r="BD172" s="30">
        <v>0</v>
      </c>
      <c r="BE172" s="30">
        <v>0.9</v>
      </c>
      <c r="BF172" s="30">
        <v>5</v>
      </c>
      <c r="BG172" s="30">
        <v>5.0000000000000001E-3</v>
      </c>
      <c r="BH172" s="107"/>
      <c r="BI172" s="107"/>
      <c r="BJ172" s="107"/>
      <c r="BK172" s="107"/>
      <c r="BL172" s="136"/>
      <c r="BM172" s="122"/>
      <c r="BN172" s="138">
        <v>0</v>
      </c>
      <c r="BO172" s="93"/>
      <c r="BP172" s="93"/>
      <c r="BQ172" s="93"/>
      <c r="BR172" s="93"/>
      <c r="BS172" s="93"/>
      <c r="BT172" s="93"/>
      <c r="BU172" s="27">
        <f t="shared" si="95"/>
        <v>0</v>
      </c>
      <c r="BV172" s="27"/>
      <c r="BW172" s="27"/>
      <c r="BX172" s="27"/>
      <c r="BY172" s="27"/>
      <c r="BZ172" s="27"/>
      <c r="CA172" s="27"/>
      <c r="CB172" s="97"/>
      <c r="CC172" s="97">
        <v>5</v>
      </c>
      <c r="CD172" s="97">
        <v>10</v>
      </c>
      <c r="CE172" s="97">
        <v>50</v>
      </c>
      <c r="CF172" s="97">
        <v>150</v>
      </c>
      <c r="CG172" s="97">
        <f t="shared" si="147"/>
        <v>143.63999999999999</v>
      </c>
      <c r="CH172" s="97">
        <f t="shared" si="147"/>
        <v>143</v>
      </c>
      <c r="CI172" s="173"/>
      <c r="CJ172" s="173"/>
      <c r="CK172" s="173"/>
      <c r="CL172" s="173"/>
      <c r="CM172" s="173"/>
      <c r="CN172" s="173"/>
      <c r="CO172" s="173"/>
      <c r="CP172" s="174"/>
      <c r="CQ172" s="174"/>
      <c r="CR172" s="174"/>
      <c r="CS172" s="174"/>
      <c r="CT172" s="174"/>
      <c r="CU172" s="174"/>
      <c r="CV172" s="174"/>
      <c r="CW172" s="165"/>
      <c r="CX172" s="166"/>
      <c r="CY172" s="166"/>
      <c r="CZ172" s="166"/>
      <c r="DA172" s="166"/>
      <c r="DB172" s="166"/>
      <c r="DC172" s="166"/>
      <c r="DD172" s="171"/>
      <c r="DE172" s="171"/>
      <c r="DF172" s="171"/>
      <c r="DG172" s="171"/>
      <c r="DH172" s="171"/>
      <c r="DI172" s="171"/>
      <c r="DJ172" s="171"/>
      <c r="DK172" s="79" t="s">
        <v>710</v>
      </c>
      <c r="DL172" s="128">
        <f>ROUNDUP(VLOOKUP($F172,Activities!$A$9:$I$180,3,FALSE)/$AI172,2)</f>
        <v>132.67999999999998</v>
      </c>
      <c r="DM172" s="128">
        <f>ROUNDUP(VLOOKUP($F172,Activities!$A$9:$I$180,4,FALSE)/$AI172,2)</f>
        <v>138.38999999999999</v>
      </c>
      <c r="DN172" s="128">
        <f>ROUNDUP(VLOOKUP($F172,Activities!$A$9:$I$180,5,FALSE)/$AI172,2)</f>
        <v>141.48999999999998</v>
      </c>
      <c r="DO172" s="128">
        <f>ROUNDUP(VLOOKUP($F172,Activities!$A$9:$I$180,6,FALSE)/$AI172,2)</f>
        <v>143.14999999999998</v>
      </c>
      <c r="DP172" s="128">
        <f>ROUNDUP(VLOOKUP($F172,Activities!$A$9:$I$180,7,FALSE)/$AI172,2)</f>
        <v>143.79</v>
      </c>
      <c r="DQ172" s="128">
        <f>ROUNDUP(VLOOKUP($F172,Activities!$A$9:$I$180,8,FALSE)/$AI172,2)</f>
        <v>143.63999999999999</v>
      </c>
      <c r="DR172" s="128">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6" t="s">
        <v>1094</v>
      </c>
      <c r="B173" s="6" t="s">
        <v>734</v>
      </c>
      <c r="C173" s="6" t="s">
        <v>655</v>
      </c>
      <c r="D173" s="6" t="s">
        <v>1029</v>
      </c>
      <c r="E173" s="6" t="s">
        <v>1030</v>
      </c>
      <c r="F173" s="6" t="s">
        <v>385</v>
      </c>
      <c r="G173" s="48" t="s">
        <v>1095</v>
      </c>
      <c r="H173" s="48" t="s">
        <v>1080</v>
      </c>
      <c r="I173" s="102">
        <v>169.66</v>
      </c>
      <c r="J173" s="102">
        <v>157.93</v>
      </c>
      <c r="K173" s="102">
        <v>146.78</v>
      </c>
      <c r="L173" s="102">
        <v>136.19</v>
      </c>
      <c r="M173" s="102">
        <v>116.07</v>
      </c>
      <c r="N173" s="102">
        <v>97.97</v>
      </c>
      <c r="O173" s="102">
        <v>81.67</v>
      </c>
      <c r="P173" s="94">
        <v>0</v>
      </c>
      <c r="Q173" s="102">
        <v>21.12</v>
      </c>
      <c r="R173" s="102">
        <v>20.059999999999999</v>
      </c>
      <c r="S173" s="102">
        <v>19.059999999999999</v>
      </c>
      <c r="T173" s="102">
        <v>18.11</v>
      </c>
      <c r="U173" s="102">
        <v>16.3</v>
      </c>
      <c r="V173" s="102">
        <v>14.67</v>
      </c>
      <c r="W173" s="102">
        <v>13.2</v>
      </c>
      <c r="X173" s="102">
        <v>0</v>
      </c>
      <c r="Y173" s="102">
        <v>0</v>
      </c>
      <c r="Z173" s="102">
        <v>0</v>
      </c>
      <c r="AA173" s="102">
        <v>0</v>
      </c>
      <c r="AB173" s="102">
        <v>0</v>
      </c>
      <c r="AC173" s="102">
        <v>0</v>
      </c>
      <c r="AD173" s="102">
        <v>0</v>
      </c>
      <c r="AE173" s="186">
        <v>0.08</v>
      </c>
      <c r="AF173" s="94">
        <v>0</v>
      </c>
      <c r="AG173" s="94">
        <v>15</v>
      </c>
      <c r="AH173" s="94">
        <v>15</v>
      </c>
      <c r="AI173" s="17">
        <v>5.7500000000000002E-2</v>
      </c>
      <c r="AJ173" s="17" t="s">
        <v>660</v>
      </c>
      <c r="AK173" s="17" t="s">
        <v>745</v>
      </c>
      <c r="AL173" s="17"/>
      <c r="AM173" s="61"/>
      <c r="AN173" s="61"/>
      <c r="AO173" s="61"/>
      <c r="AP173" s="61"/>
      <c r="AQ173" s="61"/>
      <c r="AR173" s="61"/>
      <c r="AS173" s="64"/>
      <c r="AT173" s="64"/>
      <c r="AU173" s="64"/>
      <c r="AV173" s="132"/>
      <c r="AW173" s="132"/>
      <c r="AX173" s="132"/>
      <c r="AY173" s="28" t="s">
        <v>662</v>
      </c>
      <c r="AZ173" s="28"/>
      <c r="BA173" s="28"/>
      <c r="BB173" s="28"/>
      <c r="BC173" s="28"/>
      <c r="BD173" s="28"/>
      <c r="BE173" s="28"/>
      <c r="BF173" s="28"/>
      <c r="BG173" s="28"/>
      <c r="BH173" s="106"/>
      <c r="BI173" s="106"/>
      <c r="BJ173" s="106"/>
      <c r="BK173" s="106"/>
      <c r="BL173" s="137"/>
      <c r="BM173" s="123"/>
      <c r="BN173" s="139">
        <v>0.01</v>
      </c>
      <c r="BO173" s="94"/>
      <c r="BP173" s="94"/>
      <c r="BQ173" s="94">
        <v>0.01</v>
      </c>
      <c r="BR173" s="94"/>
      <c r="BS173" s="94"/>
      <c r="BT173" s="94"/>
      <c r="BU173" s="28">
        <f t="shared" si="95"/>
        <v>0</v>
      </c>
      <c r="BV173" s="28"/>
      <c r="BW173" s="28"/>
      <c r="BX173" s="28"/>
      <c r="BY173" s="28"/>
      <c r="BZ173" s="28"/>
      <c r="CA173" s="28"/>
      <c r="CB173" s="185">
        <v>1</v>
      </c>
      <c r="CC173" s="99">
        <v>5</v>
      </c>
      <c r="CD173" s="99">
        <v>10</v>
      </c>
      <c r="CE173" s="99">
        <v>50</v>
      </c>
      <c r="CF173" s="99">
        <v>150</v>
      </c>
      <c r="CG173" s="99">
        <f t="shared" si="147"/>
        <v>143.63999999999999</v>
      </c>
      <c r="CH173" s="99">
        <f t="shared" si="147"/>
        <v>143</v>
      </c>
      <c r="CI173" s="175"/>
      <c r="CJ173" s="175"/>
      <c r="CK173" s="175"/>
      <c r="CL173" s="175"/>
      <c r="CM173" s="175"/>
      <c r="CN173" s="175"/>
      <c r="CO173" s="175"/>
      <c r="CP173" s="176"/>
      <c r="CQ173" s="176"/>
      <c r="CR173" s="176"/>
      <c r="CS173" s="176"/>
      <c r="CT173" s="176"/>
      <c r="CU173" s="176"/>
      <c r="CV173" s="176"/>
      <c r="CW173" s="167"/>
      <c r="CX173" s="168"/>
      <c r="CY173" s="168"/>
      <c r="CZ173" s="168"/>
      <c r="DA173" s="168"/>
      <c r="DB173" s="168"/>
      <c r="DC173" s="168"/>
      <c r="DD173" s="172"/>
      <c r="DE173" s="172"/>
      <c r="DF173" s="172"/>
      <c r="DG173" s="172"/>
      <c r="DH173" s="172"/>
      <c r="DI173" s="172"/>
      <c r="DJ173" s="172"/>
      <c r="DK173" s="80" t="s">
        <v>710</v>
      </c>
      <c r="DL173" s="129">
        <f>ROUNDUP(VLOOKUP($F173,Activities!$A$9:$I$180,3,FALSE)/$AI173,2)</f>
        <v>132.67999999999998</v>
      </c>
      <c r="DM173" s="129">
        <f>ROUNDUP(VLOOKUP($F173,Activities!$A$9:$I$180,4,FALSE)/$AI173,2)</f>
        <v>138.38999999999999</v>
      </c>
      <c r="DN173" s="129">
        <f>ROUNDUP(VLOOKUP($F173,Activities!$A$9:$I$180,5,FALSE)/$AI173,2)</f>
        <v>141.48999999999998</v>
      </c>
      <c r="DO173" s="129">
        <f>ROUNDUP(VLOOKUP($F173,Activities!$A$9:$I$180,6,FALSE)/$AI173,2)</f>
        <v>143.14999999999998</v>
      </c>
      <c r="DP173" s="129">
        <f>ROUNDUP(VLOOKUP($F173,Activities!$A$9:$I$180,7,FALSE)/$AI173,2)</f>
        <v>143.79</v>
      </c>
      <c r="DQ173" s="129">
        <f>ROUNDUP(VLOOKUP($F173,Activities!$A$9:$I$180,8,FALSE)/$AI173,2)</f>
        <v>143.63999999999999</v>
      </c>
      <c r="DR173" s="129">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5" t="s">
        <v>1096</v>
      </c>
      <c r="B174" s="5" t="s">
        <v>734</v>
      </c>
      <c r="C174" s="5" t="s">
        <v>655</v>
      </c>
      <c r="D174" s="5" t="s">
        <v>1029</v>
      </c>
      <c r="E174" s="5" t="s">
        <v>1030</v>
      </c>
      <c r="F174" s="5" t="s">
        <v>386</v>
      </c>
      <c r="G174" s="47" t="s">
        <v>1097</v>
      </c>
      <c r="H174" s="47" t="s">
        <v>1080</v>
      </c>
      <c r="I174" s="101">
        <v>44.68</v>
      </c>
      <c r="J174" s="101">
        <v>44.68</v>
      </c>
      <c r="K174" s="101">
        <v>44.68</v>
      </c>
      <c r="L174" s="101">
        <v>44.68</v>
      </c>
      <c r="M174" s="101">
        <v>44.68</v>
      </c>
      <c r="N174" s="101">
        <v>44.68</v>
      </c>
      <c r="O174" s="101">
        <v>44.68</v>
      </c>
      <c r="P174" s="93">
        <v>0</v>
      </c>
      <c r="Q174" s="101">
        <v>20.22</v>
      </c>
      <c r="R174" s="101">
        <v>20.22</v>
      </c>
      <c r="S174" s="101">
        <v>20.22</v>
      </c>
      <c r="T174" s="101">
        <v>20.22</v>
      </c>
      <c r="U174" s="101">
        <v>20.22</v>
      </c>
      <c r="V174" s="101">
        <v>20.22</v>
      </c>
      <c r="W174" s="101">
        <v>20.22</v>
      </c>
      <c r="X174" s="101">
        <v>0</v>
      </c>
      <c r="Y174" s="101">
        <v>0</v>
      </c>
      <c r="Z174" s="101">
        <v>0</v>
      </c>
      <c r="AA174" s="101">
        <v>0</v>
      </c>
      <c r="AB174" s="101">
        <v>0</v>
      </c>
      <c r="AC174" s="101">
        <v>0</v>
      </c>
      <c r="AD174" s="101">
        <v>0</v>
      </c>
      <c r="AE174" s="186">
        <v>0.08</v>
      </c>
      <c r="AF174" s="93">
        <v>0</v>
      </c>
      <c r="AG174" s="93">
        <v>15</v>
      </c>
      <c r="AH174" s="93">
        <v>15</v>
      </c>
      <c r="AI174" s="16">
        <v>61</v>
      </c>
      <c r="AJ174" s="16" t="s">
        <v>660</v>
      </c>
      <c r="AK174" s="16" t="s">
        <v>745</v>
      </c>
      <c r="AL174" s="16"/>
      <c r="AM174" s="60"/>
      <c r="AN174" s="60"/>
      <c r="AO174" s="60"/>
      <c r="AP174" s="60"/>
      <c r="AQ174" s="60"/>
      <c r="AR174" s="60"/>
      <c r="AS174" s="63"/>
      <c r="AT174" s="63"/>
      <c r="AU174" s="63"/>
      <c r="AV174" s="131"/>
      <c r="AW174" s="131"/>
      <c r="AX174" s="131"/>
      <c r="AY174" s="27" t="s">
        <v>662</v>
      </c>
      <c r="AZ174" s="27"/>
      <c r="BA174" s="27"/>
      <c r="BB174" s="30"/>
      <c r="BC174" s="30"/>
      <c r="BD174" s="30"/>
      <c r="BE174" s="30"/>
      <c r="BF174" s="30"/>
      <c r="BG174" s="30"/>
      <c r="BH174" s="107"/>
      <c r="BI174" s="107"/>
      <c r="BJ174" s="107"/>
      <c r="BK174" s="107"/>
      <c r="BL174" s="136"/>
      <c r="BM174" s="122"/>
      <c r="BN174" s="138">
        <f>DL174-SUM(BN175:BN180)</f>
        <v>3.9999999999999991</v>
      </c>
      <c r="BO174" s="93">
        <v>2.5</v>
      </c>
      <c r="BP174" s="93">
        <v>1.5</v>
      </c>
      <c r="BQ174" s="93"/>
      <c r="BR174" s="93">
        <v>0</v>
      </c>
      <c r="BS174" s="93">
        <v>0</v>
      </c>
      <c r="BT174" s="93">
        <v>0</v>
      </c>
      <c r="BU174" s="27">
        <f t="shared" si="95"/>
        <v>0</v>
      </c>
      <c r="BV174" s="27"/>
      <c r="BW174" s="27"/>
      <c r="BX174" s="27"/>
      <c r="BY174" s="27"/>
      <c r="BZ174" s="27"/>
      <c r="CA174" s="27"/>
      <c r="CB174" s="97">
        <f t="shared" ref="CB174:CF174" si="174">DL174</f>
        <v>8.0399999999999991</v>
      </c>
      <c r="CC174" s="97">
        <f t="shared" si="174"/>
        <v>8.379999999999999</v>
      </c>
      <c r="CD174" s="97">
        <f t="shared" si="174"/>
        <v>8.57</v>
      </c>
      <c r="CE174" s="97">
        <f t="shared" si="174"/>
        <v>8.67</v>
      </c>
      <c r="CF174" s="97">
        <f t="shared" si="174"/>
        <v>8.7099999999999991</v>
      </c>
      <c r="CG174" s="97">
        <f t="shared" si="147"/>
        <v>8.6999999999999993</v>
      </c>
      <c r="CH174" s="97">
        <f t="shared" si="147"/>
        <v>8.66</v>
      </c>
      <c r="CI174" s="173"/>
      <c r="CJ174" s="173"/>
      <c r="CK174" s="173"/>
      <c r="CL174" s="173"/>
      <c r="CM174" s="173"/>
      <c r="CN174" s="173"/>
      <c r="CO174" s="173"/>
      <c r="CP174" s="174"/>
      <c r="CQ174" s="174"/>
      <c r="CR174" s="174"/>
      <c r="CS174" s="174"/>
      <c r="CT174" s="174"/>
      <c r="CU174" s="174"/>
      <c r="CV174" s="174"/>
      <c r="CW174" s="165"/>
      <c r="CX174" s="166"/>
      <c r="CY174" s="166"/>
      <c r="CZ174" s="166"/>
      <c r="DA174" s="166"/>
      <c r="DB174" s="166"/>
      <c r="DC174" s="166"/>
      <c r="DD174" s="171"/>
      <c r="DE174" s="171"/>
      <c r="DF174" s="171"/>
      <c r="DG174" s="171"/>
      <c r="DH174" s="171"/>
      <c r="DI174" s="171"/>
      <c r="DJ174" s="171"/>
      <c r="DK174" s="79" t="s">
        <v>452</v>
      </c>
      <c r="DL174" s="128">
        <f>ROUNDUP(VLOOKUP($F174,Activities!$A$9:$I$180,3,FALSE)/$AI174,2)</f>
        <v>8.0399999999999991</v>
      </c>
      <c r="DM174" s="128">
        <f>ROUNDUP(VLOOKUP($F174,Activities!$A$9:$I$180,4,FALSE)/$AI174,2)</f>
        <v>8.379999999999999</v>
      </c>
      <c r="DN174" s="128">
        <f>ROUNDUP(VLOOKUP($F174,Activities!$A$9:$I$180,5,FALSE)/$AI174,2)</f>
        <v>8.57</v>
      </c>
      <c r="DO174" s="128">
        <f>ROUNDUP(VLOOKUP($F174,Activities!$A$9:$I$180,6,FALSE)/$AI174,2)</f>
        <v>8.67</v>
      </c>
      <c r="DP174" s="128">
        <f>ROUNDUP(VLOOKUP($F174,Activities!$A$9:$I$180,7,FALSE)/$AI174,2)</f>
        <v>8.7099999999999991</v>
      </c>
      <c r="DQ174" s="128">
        <f>ROUNDUP(VLOOKUP($F174,Activities!$A$9:$I$180,8,FALSE)/$AI174,2)</f>
        <v>8.6999999999999993</v>
      </c>
      <c r="DR174" s="128">
        <f>ROUNDUP(VLOOKUP($F174,Activities!$A$9:$I$180,9,FALSE)/$AI174,2)</f>
        <v>8.66</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1029</v>
      </c>
      <c r="E175" s="5" t="s">
        <v>1030</v>
      </c>
      <c r="F175" s="5" t="s">
        <v>386</v>
      </c>
      <c r="G175" s="47" t="s">
        <v>1099</v>
      </c>
      <c r="H175" s="47" t="s">
        <v>1080</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v>2</v>
      </c>
      <c r="BO175" s="93">
        <v>2</v>
      </c>
      <c r="BP175" s="93"/>
      <c r="BQ175" s="93"/>
      <c r="BR175" s="93">
        <v>0</v>
      </c>
      <c r="BS175" s="93">
        <v>0</v>
      </c>
      <c r="BT175" s="93">
        <v>0</v>
      </c>
      <c r="BU175" s="27">
        <f t="shared" ref="BU175" si="175">IF(BL175=1,BN175,0)</f>
        <v>0</v>
      </c>
      <c r="BV175" s="27"/>
      <c r="BW175" s="27"/>
      <c r="BX175" s="27"/>
      <c r="BY175" s="27"/>
      <c r="BZ175" s="27"/>
      <c r="CA175" s="27"/>
      <c r="CB175" s="97">
        <f t="shared" ref="CB175" si="176">DL175</f>
        <v>8.0399999999999991</v>
      </c>
      <c r="CC175" s="97">
        <f t="shared" ref="CC175" si="177">DM175</f>
        <v>8.379999999999999</v>
      </c>
      <c r="CD175" s="97">
        <f t="shared" ref="CD175" si="178">DN175</f>
        <v>8.57</v>
      </c>
      <c r="CE175" s="97">
        <f t="shared" ref="CE175" si="179">DO175</f>
        <v>8.67</v>
      </c>
      <c r="CF175" s="97">
        <f t="shared" ref="CF175" si="180">DP175</f>
        <v>8.7099999999999991</v>
      </c>
      <c r="CG175" s="97">
        <f t="shared" ref="CG175" si="181">DQ175</f>
        <v>8.6999999999999993</v>
      </c>
      <c r="CH175" s="97">
        <f t="shared" ref="CH175" si="182">DR175</f>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1029</v>
      </c>
      <c r="E176" s="5" t="s">
        <v>1030</v>
      </c>
      <c r="F176" s="5" t="s">
        <v>386</v>
      </c>
      <c r="G176" s="47" t="s">
        <v>1101</v>
      </c>
      <c r="H176" s="47" t="s">
        <v>1080</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0</v>
      </c>
      <c r="BO176" s="93">
        <v>0</v>
      </c>
      <c r="BP176" s="93">
        <v>0</v>
      </c>
      <c r="BQ176" s="93">
        <v>0</v>
      </c>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6" t="s">
        <v>734</v>
      </c>
      <c r="C177" s="6" t="s">
        <v>655</v>
      </c>
      <c r="D177" s="6" t="s">
        <v>1029</v>
      </c>
      <c r="E177" s="6" t="s">
        <v>1030</v>
      </c>
      <c r="F177" s="6" t="s">
        <v>386</v>
      </c>
      <c r="G177" s="48" t="s">
        <v>1103</v>
      </c>
      <c r="H177" s="48" t="s">
        <v>1080</v>
      </c>
      <c r="I177" s="102">
        <v>71.77</v>
      </c>
      <c r="J177" s="102">
        <v>66.73</v>
      </c>
      <c r="K177" s="102">
        <v>61.8</v>
      </c>
      <c r="L177" s="102">
        <v>56.96</v>
      </c>
      <c r="M177" s="102">
        <v>52.22</v>
      </c>
      <c r="N177" s="102">
        <v>47.58</v>
      </c>
      <c r="O177" s="102">
        <v>43.03</v>
      </c>
      <c r="P177" s="94">
        <v>0</v>
      </c>
      <c r="Q177" s="102">
        <v>20.22</v>
      </c>
      <c r="R177" s="102">
        <v>20.22</v>
      </c>
      <c r="S177" s="102">
        <v>20.22</v>
      </c>
      <c r="T177" s="102">
        <v>20.22</v>
      </c>
      <c r="U177" s="102">
        <v>20.22</v>
      </c>
      <c r="V177" s="102">
        <v>20.22</v>
      </c>
      <c r="W177" s="102">
        <v>20.22</v>
      </c>
      <c r="X177" s="102">
        <v>0</v>
      </c>
      <c r="Y177" s="102">
        <v>0</v>
      </c>
      <c r="Z177" s="102">
        <v>0</v>
      </c>
      <c r="AA177" s="102">
        <v>0</v>
      </c>
      <c r="AB177" s="102">
        <v>0</v>
      </c>
      <c r="AC177" s="102">
        <v>0</v>
      </c>
      <c r="AD177" s="102">
        <v>0</v>
      </c>
      <c r="AE177" s="186">
        <v>0.08</v>
      </c>
      <c r="AF177" s="94">
        <v>0</v>
      </c>
      <c r="AG177" s="94">
        <v>15</v>
      </c>
      <c r="AH177" s="94">
        <v>15</v>
      </c>
      <c r="AI177" s="17">
        <v>61</v>
      </c>
      <c r="AJ177" s="17" t="s">
        <v>660</v>
      </c>
      <c r="AK177" s="17" t="s">
        <v>1035</v>
      </c>
      <c r="AL177" s="17"/>
      <c r="AM177" s="61"/>
      <c r="AN177" s="61"/>
      <c r="AO177" s="61"/>
      <c r="AP177" s="61"/>
      <c r="AQ177" s="61"/>
      <c r="AR177" s="61"/>
      <c r="AS177" s="64"/>
      <c r="AT177" s="64"/>
      <c r="AU177" s="64"/>
      <c r="AV177" s="132"/>
      <c r="AW177" s="132"/>
      <c r="AX177" s="132"/>
      <c r="AY177" s="28" t="s">
        <v>662</v>
      </c>
      <c r="AZ177" s="28"/>
      <c r="BA177" s="28"/>
      <c r="BB177" s="28"/>
      <c r="BC177" s="28"/>
      <c r="BD177" s="28"/>
      <c r="BE177" s="28"/>
      <c r="BF177" s="28"/>
      <c r="BG177" s="28"/>
      <c r="BH177" s="106"/>
      <c r="BI177" s="106"/>
      <c r="BJ177" s="106"/>
      <c r="BK177" s="106"/>
      <c r="BL177" s="137"/>
      <c r="BM177" s="123"/>
      <c r="BN177" s="139">
        <v>1.8</v>
      </c>
      <c r="BO177" s="94">
        <v>0.6</v>
      </c>
      <c r="BP177" s="94">
        <v>0.6</v>
      </c>
      <c r="BQ177" s="94">
        <v>0.6</v>
      </c>
      <c r="BR177" s="94">
        <v>0</v>
      </c>
      <c r="BS177" s="94">
        <v>0</v>
      </c>
      <c r="BT177" s="94">
        <v>0</v>
      </c>
      <c r="BU177" s="28">
        <f t="shared" si="95"/>
        <v>0</v>
      </c>
      <c r="BV177" s="28"/>
      <c r="BW177" s="28"/>
      <c r="BX177" s="28"/>
      <c r="BY177" s="28"/>
      <c r="BZ177" s="28"/>
      <c r="CA177" s="28"/>
      <c r="CB177" s="99">
        <v>5</v>
      </c>
      <c r="CC177" s="99">
        <v>5</v>
      </c>
      <c r="CD177" s="99">
        <v>10</v>
      </c>
      <c r="CE177" s="99">
        <v>10</v>
      </c>
      <c r="CF177" s="99">
        <v>15</v>
      </c>
      <c r="CG177" s="99">
        <f t="shared" si="147"/>
        <v>8.6999999999999993</v>
      </c>
      <c r="CH177" s="99">
        <f t="shared" si="147"/>
        <v>8.66</v>
      </c>
      <c r="CI177" s="175"/>
      <c r="CJ177" s="175"/>
      <c r="CK177" s="175"/>
      <c r="CL177" s="175"/>
      <c r="CM177" s="175"/>
      <c r="CN177" s="175"/>
      <c r="CO177" s="175"/>
      <c r="CP177" s="176"/>
      <c r="CQ177" s="176"/>
      <c r="CR177" s="176"/>
      <c r="CS177" s="176"/>
      <c r="CT177" s="176"/>
      <c r="CU177" s="176"/>
      <c r="CV177" s="176"/>
      <c r="CW177" s="167"/>
      <c r="CX177" s="168"/>
      <c r="CY177" s="168"/>
      <c r="CZ177" s="168"/>
      <c r="DA177" s="168"/>
      <c r="DB177" s="168"/>
      <c r="DC177" s="168"/>
      <c r="DD177" s="172"/>
      <c r="DE177" s="172"/>
      <c r="DF177" s="172"/>
      <c r="DG177" s="172"/>
      <c r="DH177" s="172"/>
      <c r="DI177" s="172"/>
      <c r="DJ177" s="172"/>
      <c r="DK177" s="80" t="s">
        <v>663</v>
      </c>
      <c r="DL177" s="129">
        <f>ROUNDUP(VLOOKUP($F177,Activities!$A$9:$I$180,3,FALSE)/$AI177,2)</f>
        <v>8.0399999999999991</v>
      </c>
      <c r="DM177" s="129">
        <f>ROUNDUP(VLOOKUP($F177,Activities!$A$9:$I$180,4,FALSE)/$AI177,2)</f>
        <v>8.379999999999999</v>
      </c>
      <c r="DN177" s="129">
        <f>ROUNDUP(VLOOKUP($F177,Activities!$A$9:$I$180,5,FALSE)/$AI177,2)</f>
        <v>8.57</v>
      </c>
      <c r="DO177" s="129">
        <f>ROUNDUP(VLOOKUP($F177,Activities!$A$9:$I$180,6,FALSE)/$AI177,2)</f>
        <v>8.67</v>
      </c>
      <c r="DP177" s="129">
        <f>ROUNDUP(VLOOKUP($F177,Activities!$A$9:$I$180,7,FALSE)/$AI177,2)</f>
        <v>8.7099999999999991</v>
      </c>
      <c r="DQ177" s="129">
        <f>ROUNDUP(VLOOKUP($F177,Activities!$A$9:$I$180,8,FALSE)/$AI177,2)</f>
        <v>8.6999999999999993</v>
      </c>
      <c r="DR177" s="129">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5" t="s">
        <v>734</v>
      </c>
      <c r="C178" s="5" t="s">
        <v>655</v>
      </c>
      <c r="D178" s="5" t="s">
        <v>1029</v>
      </c>
      <c r="E178" s="5" t="s">
        <v>1030</v>
      </c>
      <c r="F178" s="5" t="s">
        <v>386</v>
      </c>
      <c r="G178" s="47" t="s">
        <v>1105</v>
      </c>
      <c r="H178" s="47" t="s">
        <v>1080</v>
      </c>
      <c r="I178" s="101">
        <v>146.25</v>
      </c>
      <c r="J178" s="101">
        <v>131.56</v>
      </c>
      <c r="K178" s="101">
        <v>117.54</v>
      </c>
      <c r="L178" s="101">
        <v>104.15</v>
      </c>
      <c r="M178" s="101">
        <v>91.37</v>
      </c>
      <c r="N178" s="101">
        <v>79.16</v>
      </c>
      <c r="O178" s="101">
        <v>67.489999999999995</v>
      </c>
      <c r="P178" s="93">
        <v>0</v>
      </c>
      <c r="Q178" s="101">
        <v>17.190000000000001</v>
      </c>
      <c r="R178" s="101">
        <v>17.190000000000001</v>
      </c>
      <c r="S178" s="101">
        <v>17.190000000000001</v>
      </c>
      <c r="T178" s="101">
        <v>17.190000000000001</v>
      </c>
      <c r="U178" s="101">
        <v>17.190000000000001</v>
      </c>
      <c r="V178" s="101">
        <v>17.190000000000001</v>
      </c>
      <c r="W178" s="101">
        <v>17.190000000000001</v>
      </c>
      <c r="X178" s="101">
        <v>0</v>
      </c>
      <c r="Y178" s="101">
        <v>0</v>
      </c>
      <c r="Z178" s="101">
        <v>0</v>
      </c>
      <c r="AA178" s="101">
        <v>0</v>
      </c>
      <c r="AB178" s="101">
        <v>0</v>
      </c>
      <c r="AC178" s="101">
        <v>0</v>
      </c>
      <c r="AD178" s="101">
        <v>0</v>
      </c>
      <c r="AE178" s="186">
        <v>0.08</v>
      </c>
      <c r="AF178" s="93">
        <v>0</v>
      </c>
      <c r="AG178" s="93">
        <v>15</v>
      </c>
      <c r="AH178" s="93">
        <v>15</v>
      </c>
      <c r="AI178" s="16">
        <v>61</v>
      </c>
      <c r="AJ178" s="16" t="s">
        <v>660</v>
      </c>
      <c r="AK178" s="16" t="s">
        <v>1035</v>
      </c>
      <c r="AL178" s="16"/>
      <c r="AM178" s="60"/>
      <c r="AN178" s="60"/>
      <c r="AO178" s="60"/>
      <c r="AP178" s="60"/>
      <c r="AQ178" s="60"/>
      <c r="AR178" s="60"/>
      <c r="AS178" s="63"/>
      <c r="AT178" s="63"/>
      <c r="AU178" s="63"/>
      <c r="AV178" s="131"/>
      <c r="AW178" s="131"/>
      <c r="AX178" s="131"/>
      <c r="AY178" s="27" t="s">
        <v>662</v>
      </c>
      <c r="AZ178" s="27"/>
      <c r="BA178" s="27"/>
      <c r="BB178" s="30"/>
      <c r="BC178" s="30"/>
      <c r="BD178" s="30"/>
      <c r="BE178" s="30"/>
      <c r="BF178" s="30"/>
      <c r="BG178" s="30"/>
      <c r="BH178" s="107"/>
      <c r="BI178" s="107"/>
      <c r="BJ178" s="107"/>
      <c r="BK178" s="107"/>
      <c r="BL178" s="136"/>
      <c r="BM178" s="122"/>
      <c r="BN178" s="138">
        <v>0.04</v>
      </c>
      <c r="BO178" s="93"/>
      <c r="BP178" s="93">
        <v>0.02</v>
      </c>
      <c r="BQ178" s="93">
        <v>0.02</v>
      </c>
      <c r="BR178" s="93">
        <v>0</v>
      </c>
      <c r="BS178" s="93">
        <v>0</v>
      </c>
      <c r="BT178" s="93">
        <v>0</v>
      </c>
      <c r="BU178" s="27">
        <f t="shared" si="95"/>
        <v>0</v>
      </c>
      <c r="BV178" s="27"/>
      <c r="BW178" s="27"/>
      <c r="BX178" s="27"/>
      <c r="BY178" s="27"/>
      <c r="BZ178" s="27"/>
      <c r="CA178" s="27"/>
      <c r="CB178" s="97">
        <v>0.04</v>
      </c>
      <c r="CC178" s="97">
        <v>1.5</v>
      </c>
      <c r="CD178" s="97">
        <v>2</v>
      </c>
      <c r="CE178" s="97">
        <v>3.5</v>
      </c>
      <c r="CF178" s="97">
        <v>5</v>
      </c>
      <c r="CG178" s="97">
        <f t="shared" si="147"/>
        <v>8.6999999999999993</v>
      </c>
      <c r="CH178" s="97">
        <f t="shared" si="147"/>
        <v>8.66</v>
      </c>
      <c r="CI178" s="173"/>
      <c r="CJ178" s="173"/>
      <c r="CK178" s="173"/>
      <c r="CL178" s="173"/>
      <c r="CM178" s="173"/>
      <c r="CN178" s="173"/>
      <c r="CO178" s="173"/>
      <c r="CP178" s="174"/>
      <c r="CQ178" s="174"/>
      <c r="CR178" s="174"/>
      <c r="CS178" s="174"/>
      <c r="CT178" s="174"/>
      <c r="CU178" s="174"/>
      <c r="CV178" s="174"/>
      <c r="CW178" s="165"/>
      <c r="CX178" s="166"/>
      <c r="CY178" s="166"/>
      <c r="CZ178" s="166"/>
      <c r="DA178" s="166"/>
      <c r="DB178" s="166"/>
      <c r="DC178" s="166"/>
      <c r="DD178" s="171"/>
      <c r="DE178" s="171"/>
      <c r="DF178" s="171"/>
      <c r="DG178" s="171"/>
      <c r="DH178" s="171"/>
      <c r="DI178" s="171"/>
      <c r="DJ178" s="171"/>
      <c r="DK178" s="79" t="s">
        <v>699</v>
      </c>
      <c r="DL178" s="128">
        <f>ROUNDUP(VLOOKUP($F178,Activities!$A$9:$I$180,3,FALSE)/$AI178,2)</f>
        <v>8.0399999999999991</v>
      </c>
      <c r="DM178" s="128">
        <f>ROUNDUP(VLOOKUP($F178,Activities!$A$9:$I$180,4,FALSE)/$AI178,2)</f>
        <v>8.379999999999999</v>
      </c>
      <c r="DN178" s="128">
        <f>ROUNDUP(VLOOKUP($F178,Activities!$A$9:$I$180,5,FALSE)/$AI178,2)</f>
        <v>8.57</v>
      </c>
      <c r="DO178" s="128">
        <f>ROUNDUP(VLOOKUP($F178,Activities!$A$9:$I$180,6,FALSE)/$AI178,2)</f>
        <v>8.67</v>
      </c>
      <c r="DP178" s="128">
        <f>ROUNDUP(VLOOKUP($F178,Activities!$A$9:$I$180,7,FALSE)/$AI178,2)</f>
        <v>8.7099999999999991</v>
      </c>
      <c r="DQ178" s="128">
        <f>ROUNDUP(VLOOKUP($F178,Activities!$A$9:$I$180,8,FALSE)/$AI178,2)</f>
        <v>8.6999999999999993</v>
      </c>
      <c r="DR178" s="128">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6" t="s">
        <v>734</v>
      </c>
      <c r="C179" s="6" t="s">
        <v>655</v>
      </c>
      <c r="D179" s="6" t="s">
        <v>1029</v>
      </c>
      <c r="E179" s="6" t="s">
        <v>1030</v>
      </c>
      <c r="F179" s="6" t="s">
        <v>386</v>
      </c>
      <c r="G179" s="48" t="s">
        <v>1107</v>
      </c>
      <c r="H179" s="48" t="s">
        <v>1080</v>
      </c>
      <c r="I179" s="102">
        <v>239.53</v>
      </c>
      <c r="J179" s="102">
        <v>205.96</v>
      </c>
      <c r="K179" s="102">
        <v>175.09</v>
      </c>
      <c r="L179" s="102">
        <v>146.68</v>
      </c>
      <c r="M179" s="102">
        <v>120.55</v>
      </c>
      <c r="N179" s="102">
        <v>96.5</v>
      </c>
      <c r="O179" s="102">
        <v>74.38</v>
      </c>
      <c r="P179" s="94">
        <v>0</v>
      </c>
      <c r="Q179" s="102">
        <v>15.17</v>
      </c>
      <c r="R179" s="102">
        <v>15.17</v>
      </c>
      <c r="S179" s="102">
        <v>15.17</v>
      </c>
      <c r="T179" s="102">
        <v>15.17</v>
      </c>
      <c r="U179" s="102">
        <v>15.17</v>
      </c>
      <c r="V179" s="102">
        <v>15.17</v>
      </c>
      <c r="W179" s="102">
        <v>15.17</v>
      </c>
      <c r="X179" s="102">
        <v>0</v>
      </c>
      <c r="Y179" s="102">
        <v>0</v>
      </c>
      <c r="Z179" s="102">
        <v>0</v>
      </c>
      <c r="AA179" s="102">
        <v>0</v>
      </c>
      <c r="AB179" s="102">
        <v>0</v>
      </c>
      <c r="AC179" s="102">
        <v>0</v>
      </c>
      <c r="AD179" s="102">
        <v>0</v>
      </c>
      <c r="AE179" s="186">
        <v>0.08</v>
      </c>
      <c r="AF179" s="94">
        <v>0</v>
      </c>
      <c r="AG179" s="94">
        <v>15</v>
      </c>
      <c r="AH179" s="94">
        <v>15</v>
      </c>
      <c r="AI179" s="17">
        <v>61</v>
      </c>
      <c r="AJ179" s="17" t="s">
        <v>660</v>
      </c>
      <c r="AK179" s="17" t="s">
        <v>1035</v>
      </c>
      <c r="AL179" s="17"/>
      <c r="AM179" s="61"/>
      <c r="AN179" s="61"/>
      <c r="AO179" s="61"/>
      <c r="AP179" s="61"/>
      <c r="AQ179" s="61"/>
      <c r="AR179" s="61"/>
      <c r="AS179" s="64"/>
      <c r="AT179" s="64"/>
      <c r="AU179" s="64"/>
      <c r="AV179" s="132"/>
      <c r="AW179" s="132"/>
      <c r="AX179" s="132"/>
      <c r="AY179" s="28" t="s">
        <v>662</v>
      </c>
      <c r="AZ179" s="28"/>
      <c r="BA179" s="28"/>
      <c r="BB179" s="28"/>
      <c r="BC179" s="28"/>
      <c r="BD179" s="28"/>
      <c r="BE179" s="28"/>
      <c r="BF179" s="28"/>
      <c r="BG179" s="28"/>
      <c r="BH179" s="106"/>
      <c r="BI179" s="106"/>
      <c r="BJ179" s="106"/>
      <c r="BK179" s="106"/>
      <c r="BL179" s="137"/>
      <c r="BM179" s="123"/>
      <c r="BN179" s="139">
        <v>0.2</v>
      </c>
      <c r="BO179" s="94"/>
      <c r="BP179" s="94">
        <v>0.1</v>
      </c>
      <c r="BQ179" s="94">
        <v>0.1</v>
      </c>
      <c r="BR179" s="94">
        <v>0</v>
      </c>
      <c r="BS179" s="94">
        <v>0</v>
      </c>
      <c r="BT179" s="94">
        <v>0</v>
      </c>
      <c r="BU179" s="28">
        <f t="shared" si="95"/>
        <v>0</v>
      </c>
      <c r="BV179" s="28"/>
      <c r="BW179" s="28"/>
      <c r="BX179" s="28"/>
      <c r="BY179" s="28"/>
      <c r="BZ179" s="28"/>
      <c r="CA179" s="28"/>
      <c r="CB179" s="99">
        <v>0.2</v>
      </c>
      <c r="CC179" s="99">
        <v>1.5</v>
      </c>
      <c r="CD179" s="99">
        <v>2</v>
      </c>
      <c r="CE179" s="99">
        <v>3.5</v>
      </c>
      <c r="CF179" s="99">
        <v>5</v>
      </c>
      <c r="CG179" s="99">
        <f t="shared" si="147"/>
        <v>8.6999999999999993</v>
      </c>
      <c r="CH179" s="99">
        <f t="shared" si="147"/>
        <v>8.66</v>
      </c>
      <c r="CI179" s="175"/>
      <c r="CJ179" s="175"/>
      <c r="CK179" s="175"/>
      <c r="CL179" s="175"/>
      <c r="CM179" s="175"/>
      <c r="CN179" s="175"/>
      <c r="CO179" s="175"/>
      <c r="CP179" s="176"/>
      <c r="CQ179" s="176"/>
      <c r="CR179" s="176"/>
      <c r="CS179" s="176"/>
      <c r="CT179" s="176"/>
      <c r="CU179" s="176"/>
      <c r="CV179" s="176"/>
      <c r="CW179" s="167"/>
      <c r="CX179" s="168"/>
      <c r="CY179" s="168"/>
      <c r="CZ179" s="168"/>
      <c r="DA179" s="168"/>
      <c r="DB179" s="168"/>
      <c r="DC179" s="168"/>
      <c r="DD179" s="172"/>
      <c r="DE179" s="172"/>
      <c r="DF179" s="172"/>
      <c r="DG179" s="172"/>
      <c r="DH179" s="172"/>
      <c r="DI179" s="172"/>
      <c r="DJ179" s="172"/>
      <c r="DK179" s="80" t="s">
        <v>699</v>
      </c>
      <c r="DL179" s="129">
        <f>ROUNDUP(VLOOKUP($F179,Activities!$A$9:$I$180,3,FALSE)/$AI179,2)</f>
        <v>8.0399999999999991</v>
      </c>
      <c r="DM179" s="129">
        <f>ROUNDUP(VLOOKUP($F179,Activities!$A$9:$I$180,4,FALSE)/$AI179,2)</f>
        <v>8.379999999999999</v>
      </c>
      <c r="DN179" s="129">
        <f>ROUNDUP(VLOOKUP($F179,Activities!$A$9:$I$180,5,FALSE)/$AI179,2)</f>
        <v>8.57</v>
      </c>
      <c r="DO179" s="129">
        <f>ROUNDUP(VLOOKUP($F179,Activities!$A$9:$I$180,6,FALSE)/$AI179,2)</f>
        <v>8.67</v>
      </c>
      <c r="DP179" s="129">
        <f>ROUNDUP(VLOOKUP($F179,Activities!$A$9:$I$180,7,FALSE)/$AI179,2)</f>
        <v>8.7099999999999991</v>
      </c>
      <c r="DQ179" s="129">
        <f>ROUNDUP(VLOOKUP($F179,Activities!$A$9:$I$180,8,FALSE)/$AI179,2)</f>
        <v>8.6999999999999993</v>
      </c>
      <c r="DR179" s="129">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5" t="s">
        <v>734</v>
      </c>
      <c r="C180" s="5" t="s">
        <v>655</v>
      </c>
      <c r="D180" s="5" t="s">
        <v>1029</v>
      </c>
      <c r="E180" s="5" t="s">
        <v>1030</v>
      </c>
      <c r="F180" s="5" t="s">
        <v>386</v>
      </c>
      <c r="G180" s="47" t="s">
        <v>1109</v>
      </c>
      <c r="H180" s="47" t="s">
        <v>1080</v>
      </c>
      <c r="I180" s="101">
        <v>275.77</v>
      </c>
      <c r="J180" s="101">
        <v>239.31</v>
      </c>
      <c r="K180" s="101">
        <v>205.77</v>
      </c>
      <c r="L180" s="101">
        <v>174.91</v>
      </c>
      <c r="M180" s="101">
        <v>146.51</v>
      </c>
      <c r="N180" s="101">
        <v>120.39</v>
      </c>
      <c r="O180" s="101">
        <v>96.36</v>
      </c>
      <c r="P180" s="93">
        <v>0</v>
      </c>
      <c r="Q180" s="101">
        <v>31.9</v>
      </c>
      <c r="R180" s="101">
        <v>29.35</v>
      </c>
      <c r="S180" s="101">
        <v>27</v>
      </c>
      <c r="T180" s="101">
        <v>24.84</v>
      </c>
      <c r="U180" s="101">
        <v>22.86</v>
      </c>
      <c r="V180" s="101">
        <v>21.03</v>
      </c>
      <c r="W180" s="101">
        <v>19.350000000000001</v>
      </c>
      <c r="X180" s="101">
        <v>0</v>
      </c>
      <c r="Y180" s="101">
        <v>0</v>
      </c>
      <c r="Z180" s="101">
        <v>0</v>
      </c>
      <c r="AA180" s="101">
        <v>0</v>
      </c>
      <c r="AB180" s="101">
        <v>0</v>
      </c>
      <c r="AC180" s="101">
        <v>0</v>
      </c>
      <c r="AD180" s="101">
        <v>0</v>
      </c>
      <c r="AE180" s="186">
        <v>0.08</v>
      </c>
      <c r="AF180" s="93">
        <v>0</v>
      </c>
      <c r="AG180" s="93">
        <v>15</v>
      </c>
      <c r="AH180" s="93">
        <v>15</v>
      </c>
      <c r="AI180" s="16">
        <v>61</v>
      </c>
      <c r="AJ180" s="16" t="s">
        <v>660</v>
      </c>
      <c r="AK180" s="16" t="s">
        <v>1035</v>
      </c>
      <c r="AL180" s="16"/>
      <c r="AM180" s="60"/>
      <c r="AN180" s="60"/>
      <c r="AO180" s="60"/>
      <c r="AP180" s="60"/>
      <c r="AQ180" s="60"/>
      <c r="AR180" s="60"/>
      <c r="AS180" s="63"/>
      <c r="AT180" s="63"/>
      <c r="AU180" s="63"/>
      <c r="AV180" s="131"/>
      <c r="AW180" s="131"/>
      <c r="AX180" s="131"/>
      <c r="AY180" s="27" t="s">
        <v>662</v>
      </c>
      <c r="AZ180" s="27"/>
      <c r="BA180" s="27"/>
      <c r="BB180" s="30"/>
      <c r="BC180" s="30"/>
      <c r="BD180" s="30"/>
      <c r="BE180" s="30"/>
      <c r="BF180" s="30"/>
      <c r="BG180" s="30"/>
      <c r="BH180" s="107"/>
      <c r="BI180" s="107"/>
      <c r="BJ180" s="107"/>
      <c r="BK180" s="107"/>
      <c r="BL180" s="136"/>
      <c r="BM180" s="122"/>
      <c r="BN180" s="138">
        <v>0</v>
      </c>
      <c r="BO180" s="93">
        <v>0</v>
      </c>
      <c r="BP180" s="93">
        <v>0</v>
      </c>
      <c r="BQ180" s="93">
        <v>0</v>
      </c>
      <c r="BR180" s="93">
        <v>0</v>
      </c>
      <c r="BS180" s="93">
        <v>0</v>
      </c>
      <c r="BT180" s="93">
        <v>0</v>
      </c>
      <c r="BU180" s="27">
        <f t="shared" si="95"/>
        <v>0</v>
      </c>
      <c r="BV180" s="27"/>
      <c r="BW180" s="27"/>
      <c r="BX180" s="27"/>
      <c r="BY180" s="27"/>
      <c r="BZ180" s="27"/>
      <c r="CA180" s="27"/>
      <c r="CB180" s="97">
        <v>0.1</v>
      </c>
      <c r="CC180" s="97">
        <v>1.5</v>
      </c>
      <c r="CD180" s="97">
        <v>2</v>
      </c>
      <c r="CE180" s="97">
        <v>3.5</v>
      </c>
      <c r="CF180" s="97">
        <v>5</v>
      </c>
      <c r="CG180" s="97">
        <f t="shared" si="147"/>
        <v>8.6999999999999993</v>
      </c>
      <c r="CH180" s="97">
        <f t="shared" si="147"/>
        <v>8.66</v>
      </c>
      <c r="CI180" s="173"/>
      <c r="CJ180" s="173"/>
      <c r="CK180" s="173"/>
      <c r="CL180" s="173"/>
      <c r="CM180" s="173"/>
      <c r="CN180" s="173"/>
      <c r="CO180" s="173"/>
      <c r="CP180" s="174"/>
      <c r="CQ180" s="174"/>
      <c r="CR180" s="174"/>
      <c r="CS180" s="174"/>
      <c r="CT180" s="174"/>
      <c r="CU180" s="174"/>
      <c r="CV180" s="174"/>
      <c r="CW180" s="165"/>
      <c r="CX180" s="166"/>
      <c r="CY180" s="166"/>
      <c r="CZ180" s="166"/>
      <c r="DA180" s="166"/>
      <c r="DB180" s="166"/>
      <c r="DC180" s="166"/>
      <c r="DD180" s="171"/>
      <c r="DE180" s="171"/>
      <c r="DF180" s="171"/>
      <c r="DG180" s="171"/>
      <c r="DH180" s="171"/>
      <c r="DI180" s="171"/>
      <c r="DJ180" s="171"/>
      <c r="DK180" s="79" t="s">
        <v>681</v>
      </c>
      <c r="DL180" s="128">
        <f>ROUNDUP(VLOOKUP($F180,Activities!$A$9:$I$180,3,FALSE)/$AI180,2)</f>
        <v>8.0399999999999991</v>
      </c>
      <c r="DM180" s="128">
        <f>ROUNDUP(VLOOKUP($F180,Activities!$A$9:$I$180,4,FALSE)/$AI180,2)</f>
        <v>8.379999999999999</v>
      </c>
      <c r="DN180" s="128">
        <f>ROUNDUP(VLOOKUP($F180,Activities!$A$9:$I$180,5,FALSE)/$AI180,2)</f>
        <v>8.57</v>
      </c>
      <c r="DO180" s="128">
        <f>ROUNDUP(VLOOKUP($F180,Activities!$A$9:$I$180,6,FALSE)/$AI180,2)</f>
        <v>8.67</v>
      </c>
      <c r="DP180" s="128">
        <f>ROUNDUP(VLOOKUP($F180,Activities!$A$9:$I$180,7,FALSE)/$AI180,2)</f>
        <v>8.7099999999999991</v>
      </c>
      <c r="DQ180" s="128">
        <f>ROUNDUP(VLOOKUP($F180,Activities!$A$9:$I$180,8,FALSE)/$AI180,2)</f>
        <v>8.6999999999999993</v>
      </c>
      <c r="DR180" s="128">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6" t="s">
        <v>1110</v>
      </c>
      <c r="B181" s="6" t="s">
        <v>734</v>
      </c>
      <c r="C181" s="6" t="s">
        <v>655</v>
      </c>
      <c r="D181" s="6" t="s">
        <v>1029</v>
      </c>
      <c r="E181" s="6" t="s">
        <v>388</v>
      </c>
      <c r="F181" s="6" t="s">
        <v>388</v>
      </c>
      <c r="G181" s="48" t="s">
        <v>1111</v>
      </c>
      <c r="H181" s="48" t="s">
        <v>1112</v>
      </c>
      <c r="I181" s="102">
        <v>4.9400000000000004</v>
      </c>
      <c r="J181" s="102">
        <v>4.9400000000000004</v>
      </c>
      <c r="K181" s="102">
        <v>4.9400000000000004</v>
      </c>
      <c r="L181" s="102">
        <v>4.9400000000000004</v>
      </c>
      <c r="M181" s="102">
        <v>4.9400000000000004</v>
      </c>
      <c r="N181" s="102">
        <v>4.9400000000000004</v>
      </c>
      <c r="O181" s="102">
        <v>4.9400000000000004</v>
      </c>
      <c r="P181" s="94">
        <v>0</v>
      </c>
      <c r="Q181" s="102">
        <v>0.35</v>
      </c>
      <c r="R181" s="102">
        <v>0.35</v>
      </c>
      <c r="S181" s="102">
        <v>0.35</v>
      </c>
      <c r="T181" s="102">
        <v>0.35</v>
      </c>
      <c r="U181" s="102">
        <v>0.35</v>
      </c>
      <c r="V181" s="102">
        <v>0.35</v>
      </c>
      <c r="W181" s="102">
        <v>0.35</v>
      </c>
      <c r="X181" s="102">
        <v>0</v>
      </c>
      <c r="Y181" s="102">
        <v>0</v>
      </c>
      <c r="Z181" s="102">
        <v>0</v>
      </c>
      <c r="AA181" s="102">
        <v>0</v>
      </c>
      <c r="AB181" s="102">
        <v>0</v>
      </c>
      <c r="AC181" s="102">
        <v>0</v>
      </c>
      <c r="AD181" s="102">
        <v>0</v>
      </c>
      <c r="AE181" s="186">
        <v>0.08</v>
      </c>
      <c r="AF181" s="94">
        <v>0</v>
      </c>
      <c r="AG181" s="94">
        <v>30</v>
      </c>
      <c r="AH181" s="94">
        <v>30</v>
      </c>
      <c r="AI181" s="17">
        <v>0.24260000000000001</v>
      </c>
      <c r="AJ181" s="17" t="s">
        <v>660</v>
      </c>
      <c r="AK181" s="17" t="s">
        <v>745</v>
      </c>
      <c r="AL181" s="17"/>
      <c r="AM181" s="61"/>
      <c r="AN181" s="61"/>
      <c r="AO181" s="61"/>
      <c r="AP181" s="61"/>
      <c r="AQ181" s="61"/>
      <c r="AR181" s="61"/>
      <c r="AS181" s="64"/>
      <c r="AT181" s="64"/>
      <c r="AU181" s="64"/>
      <c r="AV181" s="132"/>
      <c r="AW181" s="132"/>
      <c r="AX181" s="132"/>
      <c r="AY181" s="28" t="s">
        <v>662</v>
      </c>
      <c r="AZ181" s="28"/>
      <c r="BA181" s="28"/>
      <c r="BB181" s="28"/>
      <c r="BC181" s="28"/>
      <c r="BD181" s="28"/>
      <c r="BE181" s="28"/>
      <c r="BF181" s="28"/>
      <c r="BG181" s="28"/>
      <c r="BH181" s="106"/>
      <c r="BI181" s="106"/>
      <c r="BJ181" s="106"/>
      <c r="BK181" s="106"/>
      <c r="BL181" s="137"/>
      <c r="BM181" s="123"/>
      <c r="BN181" s="139">
        <v>70</v>
      </c>
      <c r="BO181" s="94">
        <v>35</v>
      </c>
      <c r="BP181" s="94">
        <v>20</v>
      </c>
      <c r="BQ181" s="94">
        <v>8</v>
      </c>
      <c r="BR181" s="94">
        <v>4</v>
      </c>
      <c r="BS181" s="94">
        <v>2</v>
      </c>
      <c r="BT181" s="94">
        <v>1</v>
      </c>
      <c r="BU181" s="28">
        <f t="shared" si="95"/>
        <v>0</v>
      </c>
      <c r="BV181" s="28"/>
      <c r="BW181" s="28"/>
      <c r="BX181" s="28"/>
      <c r="BY181" s="28"/>
      <c r="BZ181" s="28"/>
      <c r="CA181" s="28"/>
      <c r="CB181" s="99">
        <v>200</v>
      </c>
      <c r="CC181" s="99">
        <v>200</v>
      </c>
      <c r="CD181" s="99">
        <v>200</v>
      </c>
      <c r="CE181" s="99">
        <v>200</v>
      </c>
      <c r="CF181" s="99">
        <v>200</v>
      </c>
      <c r="CG181" s="99">
        <v>200</v>
      </c>
      <c r="CH181" s="99">
        <v>200</v>
      </c>
      <c r="CI181" s="175"/>
      <c r="CJ181" s="175"/>
      <c r="CK181" s="175"/>
      <c r="CL181" s="175"/>
      <c r="CM181" s="175"/>
      <c r="CN181" s="175"/>
      <c r="CO181" s="175"/>
      <c r="CP181" s="176"/>
      <c r="CQ181" s="176"/>
      <c r="CR181" s="176"/>
      <c r="CS181" s="176"/>
      <c r="CT181" s="176"/>
      <c r="CU181" s="176"/>
      <c r="CV181" s="176"/>
      <c r="CW181" s="167"/>
      <c r="CX181" s="168"/>
      <c r="CY181" s="168"/>
      <c r="CZ181" s="168"/>
      <c r="DA181" s="168"/>
      <c r="DB181" s="168"/>
      <c r="DC181" s="168"/>
      <c r="DD181" s="172"/>
      <c r="DE181" s="172"/>
      <c r="DF181" s="172"/>
      <c r="DG181" s="172"/>
      <c r="DH181" s="172"/>
      <c r="DI181" s="172"/>
      <c r="DJ181" s="172"/>
      <c r="DK181" s="80" t="s">
        <v>681</v>
      </c>
      <c r="DL181" s="129">
        <f>ROUNDUP(VLOOKUP($F181,Activities!$A$9:$I$180,3,FALSE)/$AI181,2)</f>
        <v>700.75</v>
      </c>
      <c r="DM181" s="129">
        <f>ROUNDUP(VLOOKUP($F181,Activities!$A$9:$I$180,4,FALSE)/$AI181,2)</f>
        <v>730.9</v>
      </c>
      <c r="DN181" s="129">
        <f>ROUNDUP(VLOOKUP($F181,Activities!$A$9:$I$180,5,FALSE)/$AI181,2)</f>
        <v>747.24</v>
      </c>
      <c r="DO181" s="129">
        <f>ROUNDUP(VLOOKUP($F181,Activities!$A$9:$I$180,6,FALSE)/$AI181,2)</f>
        <v>756</v>
      </c>
      <c r="DP181" s="129">
        <f>ROUNDUP(VLOOKUP($F181,Activities!$A$9:$I$180,7,FALSE)/$AI181,2)</f>
        <v>759.43</v>
      </c>
      <c r="DQ181" s="129">
        <f>ROUNDUP(VLOOKUP($F181,Activities!$A$9:$I$180,8,FALSE)/$AI181,2)</f>
        <v>758.59</v>
      </c>
      <c r="DR181" s="129">
        <f>ROUNDUP(VLOOKUP($F181,Activities!$A$9:$I$180,9,FALSE)/$AI181,2)</f>
        <v>755.24</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5" t="s">
        <v>1113</v>
      </c>
      <c r="B182" s="5" t="s">
        <v>734</v>
      </c>
      <c r="C182" s="5" t="s">
        <v>655</v>
      </c>
      <c r="D182" s="5" t="s">
        <v>1029</v>
      </c>
      <c r="E182" s="5" t="s">
        <v>388</v>
      </c>
      <c r="F182" s="5" t="s">
        <v>388</v>
      </c>
      <c r="G182" s="47" t="s">
        <v>1114</v>
      </c>
      <c r="H182" s="47" t="s">
        <v>1112</v>
      </c>
      <c r="I182" s="101">
        <v>5.19</v>
      </c>
      <c r="J182" s="101">
        <v>5.19</v>
      </c>
      <c r="K182" s="101">
        <v>5.19</v>
      </c>
      <c r="L182" s="101">
        <v>5.19</v>
      </c>
      <c r="M182" s="101">
        <v>5.19</v>
      </c>
      <c r="N182" s="101">
        <v>5.19</v>
      </c>
      <c r="O182" s="101">
        <v>5.19</v>
      </c>
      <c r="P182" s="93">
        <v>0</v>
      </c>
      <c r="Q182" s="101">
        <v>0.28000000000000003</v>
      </c>
      <c r="R182" s="101">
        <v>0.28000000000000003</v>
      </c>
      <c r="S182" s="101">
        <v>0.28000000000000003</v>
      </c>
      <c r="T182" s="101">
        <v>0.28000000000000003</v>
      </c>
      <c r="U182" s="101">
        <v>0.28000000000000003</v>
      </c>
      <c r="V182" s="101">
        <v>0.28000000000000003</v>
      </c>
      <c r="W182" s="101">
        <v>0.28000000000000003</v>
      </c>
      <c r="X182" s="101">
        <v>0</v>
      </c>
      <c r="Y182" s="101">
        <v>0</v>
      </c>
      <c r="Z182" s="101">
        <v>0</v>
      </c>
      <c r="AA182" s="101">
        <v>0</v>
      </c>
      <c r="AB182" s="101">
        <v>0</v>
      </c>
      <c r="AC182" s="101">
        <v>0</v>
      </c>
      <c r="AD182" s="101">
        <v>0</v>
      </c>
      <c r="AE182" s="186">
        <v>0.08</v>
      </c>
      <c r="AF182" s="93">
        <v>0</v>
      </c>
      <c r="AG182" s="93">
        <v>30</v>
      </c>
      <c r="AH182" s="93">
        <v>30</v>
      </c>
      <c r="AI182" s="16">
        <v>0.24260000000000001</v>
      </c>
      <c r="AJ182" s="16" t="s">
        <v>660</v>
      </c>
      <c r="AK182" s="16" t="s">
        <v>745</v>
      </c>
      <c r="AL182" s="16"/>
      <c r="AM182" s="60"/>
      <c r="AN182" s="60"/>
      <c r="AO182" s="60"/>
      <c r="AP182" s="60"/>
      <c r="AQ182" s="60"/>
      <c r="AR182" s="60"/>
      <c r="AS182" s="63"/>
      <c r="AT182" s="63"/>
      <c r="AU182" s="63"/>
      <c r="AV182" s="131"/>
      <c r="AW182" s="131"/>
      <c r="AX182" s="131"/>
      <c r="AY182" s="27" t="s">
        <v>662</v>
      </c>
      <c r="AZ182" s="27"/>
      <c r="BA182" s="27"/>
      <c r="BB182" s="30"/>
      <c r="BC182" s="30"/>
      <c r="BD182" s="30"/>
      <c r="BE182" s="30"/>
      <c r="BF182" s="30"/>
      <c r="BG182" s="30"/>
      <c r="BH182" s="107"/>
      <c r="BI182" s="107"/>
      <c r="BJ182" s="107"/>
      <c r="BK182" s="107"/>
      <c r="BL182" s="136"/>
      <c r="BM182" s="122"/>
      <c r="BN182" s="138">
        <f>DL182-BN181</f>
        <v>630.75</v>
      </c>
      <c r="BO182" s="93">
        <v>105</v>
      </c>
      <c r="BP182" s="93">
        <v>105</v>
      </c>
      <c r="BQ182" s="93">
        <v>105</v>
      </c>
      <c r="BR182" s="93">
        <v>105</v>
      </c>
      <c r="BS182" s="93">
        <v>105</v>
      </c>
      <c r="BT182" s="93">
        <v>105</v>
      </c>
      <c r="BU182" s="27">
        <f t="shared" si="95"/>
        <v>0</v>
      </c>
      <c r="BV182" s="27"/>
      <c r="BW182" s="27"/>
      <c r="BX182" s="27"/>
      <c r="BY182" s="27"/>
      <c r="BZ182" s="27"/>
      <c r="CA182" s="27"/>
      <c r="CB182" s="97">
        <f>DL182</f>
        <v>700.75</v>
      </c>
      <c r="CC182" s="97">
        <f t="shared" ref="CC182:CG185" si="191">DM182</f>
        <v>730.9</v>
      </c>
      <c r="CD182" s="97">
        <f t="shared" si="191"/>
        <v>747.24</v>
      </c>
      <c r="CE182" s="97">
        <f t="shared" si="191"/>
        <v>756</v>
      </c>
      <c r="CF182" s="97">
        <f t="shared" si="191"/>
        <v>759.43</v>
      </c>
      <c r="CG182" s="97">
        <f t="shared" si="191"/>
        <v>758.59</v>
      </c>
      <c r="CH182" s="97">
        <f t="shared" si="147"/>
        <v>755.24</v>
      </c>
      <c r="CI182" s="173"/>
      <c r="CJ182" s="173"/>
      <c r="CK182" s="173"/>
      <c r="CL182" s="173"/>
      <c r="CM182" s="173"/>
      <c r="CN182" s="173"/>
      <c r="CO182" s="173"/>
      <c r="CP182" s="174"/>
      <c r="CQ182" s="174"/>
      <c r="CR182" s="174"/>
      <c r="CS182" s="174"/>
      <c r="CT182" s="174"/>
      <c r="CU182" s="174"/>
      <c r="CV182" s="174"/>
      <c r="CW182" s="165"/>
      <c r="CX182" s="166"/>
      <c r="CY182" s="166"/>
      <c r="CZ182" s="166"/>
      <c r="DA182" s="166"/>
      <c r="DB182" s="166"/>
      <c r="DC182" s="166"/>
      <c r="DD182" s="171"/>
      <c r="DE182" s="171"/>
      <c r="DF182" s="171"/>
      <c r="DG182" s="171"/>
      <c r="DH182" s="171"/>
      <c r="DI182" s="171"/>
      <c r="DJ182" s="171"/>
      <c r="DK182" s="79" t="s">
        <v>681</v>
      </c>
      <c r="DL182" s="128">
        <f>ROUNDUP(VLOOKUP($F182,Activities!$A$9:$I$180,3,FALSE)/$AI182,2)</f>
        <v>700.75</v>
      </c>
      <c r="DM182" s="128">
        <f>ROUNDUP(VLOOKUP($F182,Activities!$A$9:$I$180,4,FALSE)/$AI182,2)</f>
        <v>730.9</v>
      </c>
      <c r="DN182" s="128">
        <f>ROUNDUP(VLOOKUP($F182,Activities!$A$9:$I$180,5,FALSE)/$AI182,2)</f>
        <v>747.24</v>
      </c>
      <c r="DO182" s="128">
        <f>ROUNDUP(VLOOKUP($F182,Activities!$A$9:$I$180,6,FALSE)/$AI182,2)</f>
        <v>756</v>
      </c>
      <c r="DP182" s="128">
        <f>ROUNDUP(VLOOKUP($F182,Activities!$A$9:$I$180,7,FALSE)/$AI182,2)</f>
        <v>759.43</v>
      </c>
      <c r="DQ182" s="128">
        <f>ROUNDUP(VLOOKUP($F182,Activities!$A$9:$I$180,8,FALSE)/$AI182,2)</f>
        <v>758.59</v>
      </c>
      <c r="DR182" s="128">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6" t="s">
        <v>1115</v>
      </c>
      <c r="B183" s="6" t="s">
        <v>734</v>
      </c>
      <c r="C183" s="6" t="s">
        <v>655</v>
      </c>
      <c r="D183" s="6" t="s">
        <v>1029</v>
      </c>
      <c r="E183" s="6" t="s">
        <v>1116</v>
      </c>
      <c r="F183" s="6" t="s">
        <v>389</v>
      </c>
      <c r="G183" s="48" t="s">
        <v>1117</v>
      </c>
      <c r="H183" s="48" t="s">
        <v>1118</v>
      </c>
      <c r="I183" s="102">
        <v>0.44</v>
      </c>
      <c r="J183" s="102">
        <v>0.44</v>
      </c>
      <c r="K183" s="102">
        <v>0.44</v>
      </c>
      <c r="L183" s="102">
        <v>0.44</v>
      </c>
      <c r="M183" s="102">
        <v>0.44</v>
      </c>
      <c r="N183" s="102">
        <v>0.44</v>
      </c>
      <c r="O183" s="102">
        <v>0.44</v>
      </c>
      <c r="P183" s="94">
        <v>0</v>
      </c>
      <c r="Q183" s="102">
        <v>0.09</v>
      </c>
      <c r="R183" s="102">
        <v>0.09</v>
      </c>
      <c r="S183" s="102">
        <v>0.09</v>
      </c>
      <c r="T183" s="102">
        <v>0.09</v>
      </c>
      <c r="U183" s="102">
        <v>0.09</v>
      </c>
      <c r="V183" s="102">
        <v>0.09</v>
      </c>
      <c r="W183" s="102">
        <v>0.09</v>
      </c>
      <c r="X183" s="102">
        <v>0</v>
      </c>
      <c r="Y183" s="102">
        <v>0</v>
      </c>
      <c r="Z183" s="102">
        <v>0</v>
      </c>
      <c r="AA183" s="102">
        <v>0</v>
      </c>
      <c r="AB183" s="102">
        <v>0</v>
      </c>
      <c r="AC183" s="102">
        <v>0</v>
      </c>
      <c r="AD183" s="102">
        <v>0</v>
      </c>
      <c r="AE183" s="186">
        <v>0.08</v>
      </c>
      <c r="AF183" s="94">
        <v>0</v>
      </c>
      <c r="AG183" s="94">
        <v>30</v>
      </c>
      <c r="AH183" s="94">
        <v>30</v>
      </c>
      <c r="AI183" s="17">
        <v>0.19700000000000001</v>
      </c>
      <c r="AJ183" s="17" t="s">
        <v>660</v>
      </c>
      <c r="AK183" s="17" t="s">
        <v>745</v>
      </c>
      <c r="AL183" s="17"/>
      <c r="AM183" s="61"/>
      <c r="AN183" s="61"/>
      <c r="AO183" s="61"/>
      <c r="AP183" s="61"/>
      <c r="AQ183" s="61"/>
      <c r="AR183" s="61"/>
      <c r="AS183" s="64"/>
      <c r="AT183" s="64"/>
      <c r="AU183" s="64"/>
      <c r="AV183" s="132"/>
      <c r="AW183" s="132"/>
      <c r="AX183" s="132"/>
      <c r="AY183" s="28" t="s">
        <v>662</v>
      </c>
      <c r="AZ183" s="28"/>
      <c r="BA183" s="28"/>
      <c r="BB183" s="28"/>
      <c r="BC183" s="28"/>
      <c r="BD183" s="28"/>
      <c r="BE183" s="28"/>
      <c r="BF183" s="28"/>
      <c r="BG183" s="28"/>
      <c r="BH183" s="106"/>
      <c r="BI183" s="106"/>
      <c r="BJ183" s="106"/>
      <c r="BK183" s="106"/>
      <c r="BL183" s="137"/>
      <c r="BM183" s="123"/>
      <c r="BN183" s="139">
        <f>DL183-SUM(BN184:BN189)</f>
        <v>194.19</v>
      </c>
      <c r="BO183" s="94">
        <v>30</v>
      </c>
      <c r="BP183" s="94">
        <v>30</v>
      </c>
      <c r="BQ183" s="94">
        <v>15</v>
      </c>
      <c r="BR183" s="94">
        <v>15</v>
      </c>
      <c r="BS183" s="94">
        <v>5</v>
      </c>
      <c r="BT183" s="94">
        <v>5</v>
      </c>
      <c r="BU183" s="28">
        <f t="shared" ref="BU183:BU190" si="192">IF(BL183=1,BN183,0)</f>
        <v>0</v>
      </c>
      <c r="BV183" s="28"/>
      <c r="BW183" s="28"/>
      <c r="BX183" s="28"/>
      <c r="BY183" s="28"/>
      <c r="BZ183" s="28"/>
      <c r="CA183" s="28"/>
      <c r="CB183" s="99">
        <f>DL183</f>
        <v>279.19</v>
      </c>
      <c r="CC183" s="99">
        <f t="shared" ref="CC183:CE183" si="193">DM183</f>
        <v>291.20999999999998</v>
      </c>
      <c r="CD183" s="99">
        <f t="shared" si="193"/>
        <v>297.71999999999997</v>
      </c>
      <c r="CE183" s="99">
        <f t="shared" si="193"/>
        <v>301.20999999999998</v>
      </c>
      <c r="CF183" s="99">
        <f t="shared" si="191"/>
        <v>302.57</v>
      </c>
      <c r="CG183" s="99">
        <f t="shared" si="191"/>
        <v>302.24</v>
      </c>
      <c r="CH183" s="99">
        <f t="shared" ref="CH183:CH185" si="194">DR183</f>
        <v>300.90999999999997</v>
      </c>
      <c r="CI183" s="175"/>
      <c r="CJ183" s="175"/>
      <c r="CK183" s="175"/>
      <c r="CL183" s="175"/>
      <c r="CM183" s="175"/>
      <c r="CN183" s="175"/>
      <c r="CO183" s="175"/>
      <c r="CP183" s="176"/>
      <c r="CQ183" s="176"/>
      <c r="CR183" s="176"/>
      <c r="CS183" s="176"/>
      <c r="CT183" s="176"/>
      <c r="CU183" s="176"/>
      <c r="CV183" s="176"/>
      <c r="CW183" s="167"/>
      <c r="CX183" s="168"/>
      <c r="CY183" s="168"/>
      <c r="CZ183" s="168"/>
      <c r="DA183" s="168"/>
      <c r="DB183" s="168"/>
      <c r="DC183" s="168"/>
      <c r="DD183" s="172"/>
      <c r="DE183" s="172"/>
      <c r="DF183" s="172"/>
      <c r="DG183" s="172"/>
      <c r="DH183" s="172"/>
      <c r="DI183" s="172"/>
      <c r="DJ183" s="172"/>
      <c r="DK183" s="80" t="s">
        <v>699</v>
      </c>
      <c r="DL183" s="129">
        <f>ROUNDUP(VLOOKUP($F183,Activities!$A$9:$I$180,3,FALSE)/$AI183,2)</f>
        <v>279.19</v>
      </c>
      <c r="DM183" s="129">
        <f>ROUNDUP(VLOOKUP($F183,Activities!$A$9:$I$180,4,FALSE)/$AI183,2)</f>
        <v>291.20999999999998</v>
      </c>
      <c r="DN183" s="129">
        <f>ROUNDUP(VLOOKUP($F183,Activities!$A$9:$I$180,5,FALSE)/$AI183,2)</f>
        <v>297.71999999999997</v>
      </c>
      <c r="DO183" s="129">
        <f>ROUNDUP(VLOOKUP($F183,Activities!$A$9:$I$180,6,FALSE)/$AI183,2)</f>
        <v>301.20999999999998</v>
      </c>
      <c r="DP183" s="129">
        <f>ROUNDUP(VLOOKUP($F183,Activities!$A$9:$I$180,7,FALSE)/$AI183,2)</f>
        <v>302.57</v>
      </c>
      <c r="DQ183" s="129">
        <f>ROUNDUP(VLOOKUP($F183,Activities!$A$9:$I$180,8,FALSE)/$AI183,2)</f>
        <v>302.24</v>
      </c>
      <c r="DR183" s="129">
        <f>ROUNDUP(VLOOKUP($F183,Activities!$A$9:$I$180,9,FALSE)/$AI183,2)</f>
        <v>300.90999999999997</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5" t="s">
        <v>1119</v>
      </c>
      <c r="B184" s="5" t="s">
        <v>734</v>
      </c>
      <c r="C184" s="5" t="s">
        <v>655</v>
      </c>
      <c r="D184" s="5" t="s">
        <v>1029</v>
      </c>
      <c r="E184" s="5" t="s">
        <v>1116</v>
      </c>
      <c r="F184" s="5" t="s">
        <v>389</v>
      </c>
      <c r="G184" s="47" t="s">
        <v>1120</v>
      </c>
      <c r="H184" s="47" t="s">
        <v>1118</v>
      </c>
      <c r="I184" s="101">
        <v>0.44</v>
      </c>
      <c r="J184" s="101">
        <v>0.44</v>
      </c>
      <c r="K184" s="101">
        <v>0.44</v>
      </c>
      <c r="L184" s="101">
        <v>0.44</v>
      </c>
      <c r="M184" s="101">
        <v>0.44</v>
      </c>
      <c r="N184" s="101">
        <v>0.44</v>
      </c>
      <c r="O184" s="101">
        <v>0.44</v>
      </c>
      <c r="P184" s="93">
        <v>0</v>
      </c>
      <c r="Q184" s="101">
        <v>0.09</v>
      </c>
      <c r="R184" s="101">
        <v>0.09</v>
      </c>
      <c r="S184" s="101">
        <v>0.09</v>
      </c>
      <c r="T184" s="101">
        <v>0.09</v>
      </c>
      <c r="U184" s="101">
        <v>0.09</v>
      </c>
      <c r="V184" s="101">
        <v>0.09</v>
      </c>
      <c r="W184" s="101">
        <v>0.09</v>
      </c>
      <c r="X184" s="101">
        <v>0</v>
      </c>
      <c r="Y184" s="101">
        <v>0</v>
      </c>
      <c r="Z184" s="101">
        <v>0</v>
      </c>
      <c r="AA184" s="101">
        <v>0</v>
      </c>
      <c r="AB184" s="101">
        <v>0</v>
      </c>
      <c r="AC184" s="101">
        <v>0</v>
      </c>
      <c r="AD184" s="101">
        <v>0</v>
      </c>
      <c r="AE184" s="186">
        <v>0.08</v>
      </c>
      <c r="AF184" s="93">
        <v>0</v>
      </c>
      <c r="AG184" s="93">
        <v>30</v>
      </c>
      <c r="AH184" s="93">
        <v>30</v>
      </c>
      <c r="AI184" s="16">
        <v>0.19700000000000001</v>
      </c>
      <c r="AJ184" s="16" t="s">
        <v>660</v>
      </c>
      <c r="AK184" s="16" t="s">
        <v>745</v>
      </c>
      <c r="AL184" s="16"/>
      <c r="AM184" s="60"/>
      <c r="AN184" s="60"/>
      <c r="AO184" s="60"/>
      <c r="AP184" s="60"/>
      <c r="AQ184" s="60"/>
      <c r="AR184" s="60"/>
      <c r="AS184" s="63"/>
      <c r="AT184" s="63"/>
      <c r="AU184" s="63"/>
      <c r="AV184" s="131"/>
      <c r="AW184" s="131"/>
      <c r="AX184" s="131"/>
      <c r="AY184" s="27" t="s">
        <v>662</v>
      </c>
      <c r="AZ184" s="27"/>
      <c r="BA184" s="27"/>
      <c r="BB184" s="30"/>
      <c r="BC184" s="30"/>
      <c r="BD184" s="30"/>
      <c r="BE184" s="30"/>
      <c r="BF184" s="30"/>
      <c r="BG184" s="30"/>
      <c r="BH184" s="107"/>
      <c r="BI184" s="107"/>
      <c r="BJ184" s="107"/>
      <c r="BK184" s="107"/>
      <c r="BL184" s="136"/>
      <c r="BM184" s="122"/>
      <c r="BN184" s="138">
        <v>0</v>
      </c>
      <c r="BO184" s="93"/>
      <c r="BP184" s="93"/>
      <c r="BQ184" s="93"/>
      <c r="BR184" s="93"/>
      <c r="BS184" s="93"/>
      <c r="BT184" s="93"/>
      <c r="BU184" s="27">
        <f t="shared" si="192"/>
        <v>0</v>
      </c>
      <c r="BV184" s="27"/>
      <c r="BW184" s="27"/>
      <c r="BX184" s="27"/>
      <c r="BY184" s="27"/>
      <c r="BZ184" s="27"/>
      <c r="CA184" s="27"/>
      <c r="CB184" s="97"/>
      <c r="CC184" s="97">
        <v>210</v>
      </c>
      <c r="CD184" s="97">
        <f t="shared" ref="CD184:CH187" si="195">DN184</f>
        <v>297.71999999999997</v>
      </c>
      <c r="CE184" s="97">
        <f t="shared" si="195"/>
        <v>301.20999999999998</v>
      </c>
      <c r="CF184" s="97">
        <f t="shared" si="191"/>
        <v>302.57</v>
      </c>
      <c r="CG184" s="97">
        <f t="shared" si="191"/>
        <v>302.24</v>
      </c>
      <c r="CH184" s="97">
        <f t="shared" si="194"/>
        <v>300.90999999999997</v>
      </c>
      <c r="CI184" s="173"/>
      <c r="CJ184" s="173"/>
      <c r="CK184" s="173"/>
      <c r="CL184" s="173"/>
      <c r="CM184" s="173"/>
      <c r="CN184" s="173"/>
      <c r="CO184" s="173"/>
      <c r="CP184" s="174"/>
      <c r="CQ184" s="174"/>
      <c r="CR184" s="174"/>
      <c r="CS184" s="174"/>
      <c r="CT184" s="174"/>
      <c r="CU184" s="174"/>
      <c r="CV184" s="174"/>
      <c r="CW184" s="165"/>
      <c r="CX184" s="166"/>
      <c r="CY184" s="166"/>
      <c r="CZ184" s="166"/>
      <c r="DA184" s="166"/>
      <c r="DB184" s="166"/>
      <c r="DC184" s="166"/>
      <c r="DD184" s="171"/>
      <c r="DE184" s="171"/>
      <c r="DF184" s="171"/>
      <c r="DG184" s="171"/>
      <c r="DH184" s="171"/>
      <c r="DI184" s="171"/>
      <c r="DJ184" s="171"/>
      <c r="DK184" s="79" t="s">
        <v>1121</v>
      </c>
      <c r="DL184" s="128">
        <f>ROUNDUP(VLOOKUP($F184,Activities!$A$9:$I$180,3,FALSE)/$AI184,2)</f>
        <v>279.19</v>
      </c>
      <c r="DM184" s="128">
        <f>ROUNDUP(VLOOKUP($F184,Activities!$A$9:$I$180,4,FALSE)/$AI184,2)</f>
        <v>291.20999999999998</v>
      </c>
      <c r="DN184" s="128">
        <f>ROUNDUP(VLOOKUP($F184,Activities!$A$9:$I$180,5,FALSE)/$AI184,2)</f>
        <v>297.71999999999997</v>
      </c>
      <c r="DO184" s="128">
        <f>ROUNDUP(VLOOKUP($F184,Activities!$A$9:$I$180,6,FALSE)/$AI184,2)</f>
        <v>301.20999999999998</v>
      </c>
      <c r="DP184" s="128">
        <f>ROUNDUP(VLOOKUP($F184,Activities!$A$9:$I$180,7,FALSE)/$AI184,2)</f>
        <v>302.57</v>
      </c>
      <c r="DQ184" s="128">
        <f>ROUNDUP(VLOOKUP($F184,Activities!$A$9:$I$180,8,FALSE)/$AI184,2)</f>
        <v>302.24</v>
      </c>
      <c r="DR184" s="128">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6" t="s">
        <v>1122</v>
      </c>
      <c r="B185" s="6" t="s">
        <v>734</v>
      </c>
      <c r="C185" s="6" t="s">
        <v>655</v>
      </c>
      <c r="D185" s="6" t="s">
        <v>1029</v>
      </c>
      <c r="E185" s="6" t="s">
        <v>1116</v>
      </c>
      <c r="F185" s="6" t="s">
        <v>389</v>
      </c>
      <c r="G185" s="48" t="s">
        <v>1123</v>
      </c>
      <c r="H185" s="48" t="s">
        <v>1118</v>
      </c>
      <c r="I185" s="102">
        <v>0.55000000000000004</v>
      </c>
      <c r="J185" s="102">
        <v>0.44</v>
      </c>
      <c r="K185" s="102">
        <v>0.44</v>
      </c>
      <c r="L185" s="102">
        <v>0.44</v>
      </c>
      <c r="M185" s="102">
        <v>0.44</v>
      </c>
      <c r="N185" s="102">
        <v>0.44</v>
      </c>
      <c r="O185" s="102">
        <v>0.44</v>
      </c>
      <c r="P185" s="94">
        <v>0</v>
      </c>
      <c r="Q185" s="102">
        <v>0.09</v>
      </c>
      <c r="R185" s="102">
        <v>0.09</v>
      </c>
      <c r="S185" s="102">
        <v>0.09</v>
      </c>
      <c r="T185" s="102">
        <v>0.09</v>
      </c>
      <c r="U185" s="102">
        <v>0.09</v>
      </c>
      <c r="V185" s="102">
        <v>0.09</v>
      </c>
      <c r="W185" s="102">
        <v>0.09</v>
      </c>
      <c r="X185" s="102">
        <v>0</v>
      </c>
      <c r="Y185" s="102">
        <v>0</v>
      </c>
      <c r="Z185" s="102">
        <v>0</v>
      </c>
      <c r="AA185" s="102">
        <v>0</v>
      </c>
      <c r="AB185" s="102">
        <v>0</v>
      </c>
      <c r="AC185" s="102">
        <v>0</v>
      </c>
      <c r="AD185" s="102">
        <v>0</v>
      </c>
      <c r="AE185" s="186">
        <v>0.08</v>
      </c>
      <c r="AF185" s="94">
        <v>0</v>
      </c>
      <c r="AG185" s="94">
        <v>30</v>
      </c>
      <c r="AH185" s="94">
        <v>30</v>
      </c>
      <c r="AI185" s="17">
        <v>0.19700000000000001</v>
      </c>
      <c r="AJ185" s="17" t="s">
        <v>660</v>
      </c>
      <c r="AK185" s="17" t="s">
        <v>745</v>
      </c>
      <c r="AL185" s="17"/>
      <c r="AM185" s="61"/>
      <c r="AN185" s="61"/>
      <c r="AO185" s="61"/>
      <c r="AP185" s="61"/>
      <c r="AQ185" s="61"/>
      <c r="AR185" s="61"/>
      <c r="AS185" s="64"/>
      <c r="AT185" s="64"/>
      <c r="AU185" s="64"/>
      <c r="AV185" s="132"/>
      <c r="AW185" s="132"/>
      <c r="AX185" s="132"/>
      <c r="AY185" s="28" t="s">
        <v>662</v>
      </c>
      <c r="AZ185" s="28"/>
      <c r="BA185" s="28"/>
      <c r="BB185" s="28"/>
      <c r="BC185" s="28"/>
      <c r="BD185" s="28"/>
      <c r="BE185" s="28"/>
      <c r="BF185" s="28"/>
      <c r="BG185" s="28"/>
      <c r="BH185" s="106"/>
      <c r="BI185" s="106"/>
      <c r="BJ185" s="106"/>
      <c r="BK185" s="106"/>
      <c r="BL185" s="137"/>
      <c r="BM185" s="123"/>
      <c r="BN185" s="139">
        <v>30</v>
      </c>
      <c r="BO185" s="94">
        <v>10</v>
      </c>
      <c r="BP185" s="94">
        <v>10</v>
      </c>
      <c r="BQ185" s="94">
        <v>10</v>
      </c>
      <c r="BR185" s="94"/>
      <c r="BS185" s="94"/>
      <c r="BT185" s="94"/>
      <c r="BU185" s="28">
        <f t="shared" si="192"/>
        <v>0</v>
      </c>
      <c r="BV185" s="28"/>
      <c r="BW185" s="28"/>
      <c r="BX185" s="28"/>
      <c r="BY185" s="28"/>
      <c r="BZ185" s="28"/>
      <c r="CA185" s="28"/>
      <c r="CB185" s="99">
        <v>120</v>
      </c>
      <c r="CC185" s="99">
        <v>210</v>
      </c>
      <c r="CD185" s="99">
        <f t="shared" si="195"/>
        <v>297.71999999999997</v>
      </c>
      <c r="CE185" s="99">
        <f t="shared" si="195"/>
        <v>301.20999999999998</v>
      </c>
      <c r="CF185" s="99">
        <f t="shared" si="191"/>
        <v>302.57</v>
      </c>
      <c r="CG185" s="99">
        <f t="shared" si="191"/>
        <v>302.24</v>
      </c>
      <c r="CH185" s="99">
        <f t="shared" si="194"/>
        <v>300.90999999999997</v>
      </c>
      <c r="CI185" s="175"/>
      <c r="CJ185" s="175"/>
      <c r="CK185" s="175"/>
      <c r="CL185" s="175"/>
      <c r="CM185" s="175"/>
      <c r="CN185" s="175"/>
      <c r="CO185" s="175"/>
      <c r="CP185" s="176"/>
      <c r="CQ185" s="176"/>
      <c r="CR185" s="176"/>
      <c r="CS185" s="176"/>
      <c r="CT185" s="176"/>
      <c r="CU185" s="176"/>
      <c r="CV185" s="176"/>
      <c r="CW185" s="167"/>
      <c r="CX185" s="168"/>
      <c r="CY185" s="168"/>
      <c r="CZ185" s="168"/>
      <c r="DA185" s="168"/>
      <c r="DB185" s="168"/>
      <c r="DC185" s="168"/>
      <c r="DD185" s="172"/>
      <c r="DE185" s="172"/>
      <c r="DF185" s="172"/>
      <c r="DG185" s="172"/>
      <c r="DH185" s="172"/>
      <c r="DI185" s="172"/>
      <c r="DJ185" s="172"/>
      <c r="DK185" s="80" t="s">
        <v>1121</v>
      </c>
      <c r="DL185" s="129">
        <f>ROUNDUP(VLOOKUP($F185,Activities!$A$9:$I$180,3,FALSE)/$AI185,2)</f>
        <v>279.19</v>
      </c>
      <c r="DM185" s="129">
        <f>ROUNDUP(VLOOKUP($F185,Activities!$A$9:$I$180,4,FALSE)/$AI185,2)</f>
        <v>291.20999999999998</v>
      </c>
      <c r="DN185" s="129">
        <f>ROUNDUP(VLOOKUP($F185,Activities!$A$9:$I$180,5,FALSE)/$AI185,2)</f>
        <v>297.71999999999997</v>
      </c>
      <c r="DO185" s="129">
        <f>ROUNDUP(VLOOKUP($F185,Activities!$A$9:$I$180,6,FALSE)/$AI185,2)</f>
        <v>301.20999999999998</v>
      </c>
      <c r="DP185" s="129">
        <f>ROUNDUP(VLOOKUP($F185,Activities!$A$9:$I$180,7,FALSE)/$AI185,2)</f>
        <v>302.57</v>
      </c>
      <c r="DQ185" s="129">
        <f>ROUNDUP(VLOOKUP($F185,Activities!$A$9:$I$180,8,FALSE)/$AI185,2)</f>
        <v>302.24</v>
      </c>
      <c r="DR185" s="129">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5" t="s">
        <v>1124</v>
      </c>
      <c r="B186" s="5" t="s">
        <v>734</v>
      </c>
      <c r="C186" s="5" t="s">
        <v>655</v>
      </c>
      <c r="D186" s="5" t="s">
        <v>1029</v>
      </c>
      <c r="E186" s="5" t="s">
        <v>1116</v>
      </c>
      <c r="F186" s="5" t="s">
        <v>389</v>
      </c>
      <c r="G186" s="47" t="s">
        <v>1125</v>
      </c>
      <c r="H186" s="47" t="s">
        <v>1118</v>
      </c>
      <c r="I186" s="101">
        <v>0.55000000000000004</v>
      </c>
      <c r="J186" s="101">
        <v>0.44</v>
      </c>
      <c r="K186" s="101">
        <v>0.44</v>
      </c>
      <c r="L186" s="101">
        <v>0.44</v>
      </c>
      <c r="M186" s="101">
        <v>0.44</v>
      </c>
      <c r="N186" s="101">
        <v>0.44</v>
      </c>
      <c r="O186" s="101">
        <v>0.44</v>
      </c>
      <c r="P186" s="93">
        <v>0</v>
      </c>
      <c r="Q186" s="101">
        <v>0.09</v>
      </c>
      <c r="R186" s="101">
        <v>0.09</v>
      </c>
      <c r="S186" s="101">
        <v>0.09</v>
      </c>
      <c r="T186" s="101">
        <v>0.09</v>
      </c>
      <c r="U186" s="101">
        <v>0.09</v>
      </c>
      <c r="V186" s="101">
        <v>0.09</v>
      </c>
      <c r="W186" s="101">
        <v>0.09</v>
      </c>
      <c r="X186" s="101">
        <v>0</v>
      </c>
      <c r="Y186" s="101">
        <v>0</v>
      </c>
      <c r="Z186" s="101">
        <v>0</v>
      </c>
      <c r="AA186" s="101">
        <v>0</v>
      </c>
      <c r="AB186" s="101">
        <v>0</v>
      </c>
      <c r="AC186" s="101">
        <v>0</v>
      </c>
      <c r="AD186" s="101">
        <v>0</v>
      </c>
      <c r="AE186" s="186">
        <v>0.08</v>
      </c>
      <c r="AF186" s="93">
        <v>0</v>
      </c>
      <c r="AG186" s="93">
        <v>30</v>
      </c>
      <c r="AH186" s="93">
        <v>30</v>
      </c>
      <c r="AI186" s="16">
        <v>0.19700000000000001</v>
      </c>
      <c r="AJ186" s="16" t="s">
        <v>660</v>
      </c>
      <c r="AK186" s="16" t="s">
        <v>745</v>
      </c>
      <c r="AL186" s="16"/>
      <c r="AM186" s="60"/>
      <c r="AN186" s="60"/>
      <c r="AO186" s="60"/>
      <c r="AP186" s="60"/>
      <c r="AQ186" s="60"/>
      <c r="AR186" s="60"/>
      <c r="AS186" s="63"/>
      <c r="AT186" s="63"/>
      <c r="AU186" s="63"/>
      <c r="AV186" s="131"/>
      <c r="AW186" s="131"/>
      <c r="AX186" s="131"/>
      <c r="AY186" s="27" t="s">
        <v>662</v>
      </c>
      <c r="AZ186" s="27"/>
      <c r="BA186" s="27"/>
      <c r="BB186" s="30"/>
      <c r="BC186" s="30"/>
      <c r="BD186" s="30"/>
      <c r="BE186" s="30"/>
      <c r="BF186" s="30"/>
      <c r="BG186" s="30"/>
      <c r="BH186" s="107"/>
      <c r="BI186" s="107"/>
      <c r="BJ186" s="107"/>
      <c r="BK186" s="107"/>
      <c r="BL186" s="136"/>
      <c r="BM186" s="122"/>
      <c r="BN186" s="138">
        <v>0</v>
      </c>
      <c r="BO186" s="93"/>
      <c r="BP186" s="93"/>
      <c r="BQ186" s="93"/>
      <c r="BR186" s="93"/>
      <c r="BS186" s="93"/>
      <c r="BT186" s="93"/>
      <c r="BU186" s="27">
        <f t="shared" si="192"/>
        <v>0</v>
      </c>
      <c r="BV186" s="27"/>
      <c r="BW186" s="27"/>
      <c r="BX186" s="27"/>
      <c r="BY186" s="27"/>
      <c r="BZ186" s="27"/>
      <c r="CA186" s="27"/>
      <c r="CB186" s="97"/>
      <c r="CC186" s="97">
        <v>210</v>
      </c>
      <c r="CD186" s="97">
        <f t="shared" si="195"/>
        <v>297.71999999999997</v>
      </c>
      <c r="CE186" s="97">
        <f t="shared" si="195"/>
        <v>301.20999999999998</v>
      </c>
      <c r="CF186" s="97">
        <f t="shared" si="195"/>
        <v>302.57</v>
      </c>
      <c r="CG186" s="97">
        <f t="shared" si="195"/>
        <v>302.24</v>
      </c>
      <c r="CH186" s="97">
        <f t="shared" si="195"/>
        <v>300.90999999999997</v>
      </c>
      <c r="CI186" s="173"/>
      <c r="CJ186" s="173"/>
      <c r="CK186" s="173"/>
      <c r="CL186" s="173"/>
      <c r="CM186" s="173"/>
      <c r="CN186" s="173"/>
      <c r="CO186" s="173"/>
      <c r="CP186" s="174"/>
      <c r="CQ186" s="174"/>
      <c r="CR186" s="174"/>
      <c r="CS186" s="174"/>
      <c r="CT186" s="174"/>
      <c r="CU186" s="174"/>
      <c r="CV186" s="174"/>
      <c r="CW186" s="165"/>
      <c r="CX186" s="166"/>
      <c r="CY186" s="166"/>
      <c r="CZ186" s="166"/>
      <c r="DA186" s="166"/>
      <c r="DB186" s="166"/>
      <c r="DC186" s="166"/>
      <c r="DD186" s="171"/>
      <c r="DE186" s="171"/>
      <c r="DF186" s="171"/>
      <c r="DG186" s="171"/>
      <c r="DH186" s="171"/>
      <c r="DI186" s="171"/>
      <c r="DJ186" s="171"/>
      <c r="DK186" s="79" t="s">
        <v>1121</v>
      </c>
      <c r="DL186" s="128">
        <f>ROUNDUP(VLOOKUP($F186,Activities!$A$9:$I$180,3,FALSE)/$AI186,2)</f>
        <v>279.19</v>
      </c>
      <c r="DM186" s="128">
        <f>ROUNDUP(VLOOKUP($F186,Activities!$A$9:$I$180,4,FALSE)/$AI186,2)</f>
        <v>291.20999999999998</v>
      </c>
      <c r="DN186" s="128">
        <f>ROUNDUP(VLOOKUP($F186,Activities!$A$9:$I$180,5,FALSE)/$AI186,2)</f>
        <v>297.71999999999997</v>
      </c>
      <c r="DO186" s="128">
        <f>ROUNDUP(VLOOKUP($F186,Activities!$A$9:$I$180,6,FALSE)/$AI186,2)</f>
        <v>301.20999999999998</v>
      </c>
      <c r="DP186" s="128">
        <f>ROUNDUP(VLOOKUP($F186,Activities!$A$9:$I$180,7,FALSE)/$AI186,2)</f>
        <v>302.57</v>
      </c>
      <c r="DQ186" s="128">
        <f>ROUNDUP(VLOOKUP($F186,Activities!$A$9:$I$180,8,FALSE)/$AI186,2)</f>
        <v>302.24</v>
      </c>
      <c r="DR186" s="128">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6" t="s">
        <v>1126</v>
      </c>
      <c r="B187" s="6" t="s">
        <v>734</v>
      </c>
      <c r="C187" s="6" t="s">
        <v>655</v>
      </c>
      <c r="D187" s="6" t="s">
        <v>1029</v>
      </c>
      <c r="E187" s="6" t="s">
        <v>1116</v>
      </c>
      <c r="F187" s="6" t="s">
        <v>389</v>
      </c>
      <c r="G187" s="48" t="s">
        <v>1127</v>
      </c>
      <c r="H187" s="48" t="s">
        <v>1118</v>
      </c>
      <c r="I187" s="102">
        <v>0.55000000000000004</v>
      </c>
      <c r="J187" s="102">
        <v>0.44</v>
      </c>
      <c r="K187" s="102">
        <v>0.44</v>
      </c>
      <c r="L187" s="102">
        <v>0.44</v>
      </c>
      <c r="M187" s="102">
        <v>0.44</v>
      </c>
      <c r="N187" s="102">
        <v>0.44</v>
      </c>
      <c r="O187" s="102">
        <v>0.44</v>
      </c>
      <c r="P187" s="94">
        <v>0</v>
      </c>
      <c r="Q187" s="102">
        <v>0.09</v>
      </c>
      <c r="R187" s="102">
        <v>0.09</v>
      </c>
      <c r="S187" s="102">
        <v>0.09</v>
      </c>
      <c r="T187" s="102">
        <v>0.09</v>
      </c>
      <c r="U187" s="102">
        <v>0.09</v>
      </c>
      <c r="V187" s="102">
        <v>0.09</v>
      </c>
      <c r="W187" s="102">
        <v>0.09</v>
      </c>
      <c r="X187" s="102">
        <v>0</v>
      </c>
      <c r="Y187" s="102">
        <v>0</v>
      </c>
      <c r="Z187" s="102">
        <v>0</v>
      </c>
      <c r="AA187" s="102">
        <v>0</v>
      </c>
      <c r="AB187" s="102">
        <v>0</v>
      </c>
      <c r="AC187" s="102">
        <v>0</v>
      </c>
      <c r="AD187" s="102">
        <v>0</v>
      </c>
      <c r="AE187" s="186">
        <v>0.08</v>
      </c>
      <c r="AF187" s="94">
        <v>0</v>
      </c>
      <c r="AG187" s="94">
        <v>30</v>
      </c>
      <c r="AH187" s="94">
        <v>30</v>
      </c>
      <c r="AI187" s="17">
        <v>0.19700000000000001</v>
      </c>
      <c r="AJ187" s="17" t="s">
        <v>660</v>
      </c>
      <c r="AK187" s="17" t="s">
        <v>745</v>
      </c>
      <c r="AL187" s="17"/>
      <c r="AM187" s="61"/>
      <c r="AN187" s="61"/>
      <c r="AO187" s="61"/>
      <c r="AP187" s="61"/>
      <c r="AQ187" s="61"/>
      <c r="AR187" s="61"/>
      <c r="AS187" s="64"/>
      <c r="AT187" s="64"/>
      <c r="AU187" s="64"/>
      <c r="AV187" s="132"/>
      <c r="AW187" s="132"/>
      <c r="AX187" s="132"/>
      <c r="AY187" s="28" t="s">
        <v>662</v>
      </c>
      <c r="AZ187" s="28"/>
      <c r="BA187" s="28"/>
      <c r="BB187" s="28"/>
      <c r="BC187" s="28"/>
      <c r="BD187" s="28"/>
      <c r="BE187" s="28"/>
      <c r="BF187" s="28"/>
      <c r="BG187" s="28"/>
      <c r="BH187" s="106"/>
      <c r="BI187" s="106"/>
      <c r="BJ187" s="106"/>
      <c r="BK187" s="106"/>
      <c r="BL187" s="137"/>
      <c r="BM187" s="123"/>
      <c r="BN187" s="139">
        <v>0</v>
      </c>
      <c r="BO187" s="94"/>
      <c r="BP187" s="94"/>
      <c r="BQ187" s="94"/>
      <c r="BR187" s="94"/>
      <c r="BS187" s="94"/>
      <c r="BT187" s="94"/>
      <c r="BU187" s="28">
        <f t="shared" si="192"/>
        <v>0</v>
      </c>
      <c r="BV187" s="28"/>
      <c r="BW187" s="28"/>
      <c r="BX187" s="28"/>
      <c r="BY187" s="28"/>
      <c r="BZ187" s="28"/>
      <c r="CA187" s="28"/>
      <c r="CB187" s="99"/>
      <c r="CC187" s="99">
        <v>210</v>
      </c>
      <c r="CD187" s="99">
        <f t="shared" si="195"/>
        <v>297.71999999999997</v>
      </c>
      <c r="CE187" s="99">
        <f t="shared" si="195"/>
        <v>301.20999999999998</v>
      </c>
      <c r="CF187" s="99">
        <f t="shared" si="195"/>
        <v>302.57</v>
      </c>
      <c r="CG187" s="99">
        <f t="shared" si="195"/>
        <v>302.24</v>
      </c>
      <c r="CH187" s="99">
        <f t="shared" si="195"/>
        <v>300.90999999999997</v>
      </c>
      <c r="CI187" s="175"/>
      <c r="CJ187" s="175"/>
      <c r="CK187" s="175"/>
      <c r="CL187" s="175"/>
      <c r="CM187" s="175"/>
      <c r="CN187" s="175"/>
      <c r="CO187" s="175"/>
      <c r="CP187" s="176"/>
      <c r="CQ187" s="176"/>
      <c r="CR187" s="176"/>
      <c r="CS187" s="176"/>
      <c r="CT187" s="176"/>
      <c r="CU187" s="176"/>
      <c r="CV187" s="176"/>
      <c r="CW187" s="167"/>
      <c r="CX187" s="168"/>
      <c r="CY187" s="168"/>
      <c r="CZ187" s="168"/>
      <c r="DA187" s="168"/>
      <c r="DB187" s="168"/>
      <c r="DC187" s="168"/>
      <c r="DD187" s="172"/>
      <c r="DE187" s="172"/>
      <c r="DF187" s="172"/>
      <c r="DG187" s="172"/>
      <c r="DH187" s="172"/>
      <c r="DI187" s="172"/>
      <c r="DJ187" s="172"/>
      <c r="DK187" s="80" t="s">
        <v>1121</v>
      </c>
      <c r="DL187" s="129">
        <f>ROUNDUP(VLOOKUP($F187,Activities!$A$9:$I$180,3,FALSE)/$AI187,2)</f>
        <v>279.19</v>
      </c>
      <c r="DM187" s="129">
        <f>ROUNDUP(VLOOKUP($F187,Activities!$A$9:$I$180,4,FALSE)/$AI187,2)</f>
        <v>291.20999999999998</v>
      </c>
      <c r="DN187" s="129">
        <f>ROUNDUP(VLOOKUP($F187,Activities!$A$9:$I$180,5,FALSE)/$AI187,2)</f>
        <v>297.71999999999997</v>
      </c>
      <c r="DO187" s="129">
        <f>ROUNDUP(VLOOKUP($F187,Activities!$A$9:$I$180,6,FALSE)/$AI187,2)</f>
        <v>301.20999999999998</v>
      </c>
      <c r="DP187" s="129">
        <f>ROUNDUP(VLOOKUP($F187,Activities!$A$9:$I$180,7,FALSE)/$AI187,2)</f>
        <v>302.57</v>
      </c>
      <c r="DQ187" s="129">
        <f>ROUNDUP(VLOOKUP($F187,Activities!$A$9:$I$180,8,FALSE)/$AI187,2)</f>
        <v>302.24</v>
      </c>
      <c r="DR187" s="129">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5" t="s">
        <v>1128</v>
      </c>
      <c r="B188" s="5" t="s">
        <v>734</v>
      </c>
      <c r="C188" s="5" t="s">
        <v>655</v>
      </c>
      <c r="D188" s="5" t="s">
        <v>1029</v>
      </c>
      <c r="E188" s="5" t="s">
        <v>1116</v>
      </c>
      <c r="F188" s="5" t="s">
        <v>389</v>
      </c>
      <c r="G188" s="47" t="s">
        <v>1129</v>
      </c>
      <c r="H188" s="47" t="s">
        <v>1118</v>
      </c>
      <c r="I188" s="101">
        <v>0.67</v>
      </c>
      <c r="J188" s="101">
        <v>0.55000000000000004</v>
      </c>
      <c r="K188" s="101">
        <v>0.44</v>
      </c>
      <c r="L188" s="101">
        <v>0.44</v>
      </c>
      <c r="M188" s="101">
        <v>0.44</v>
      </c>
      <c r="N188" s="101">
        <v>0.44</v>
      </c>
      <c r="O188" s="101">
        <v>0.44</v>
      </c>
      <c r="P188" s="93">
        <v>0</v>
      </c>
      <c r="Q188" s="101">
        <v>0.09</v>
      </c>
      <c r="R188" s="101">
        <v>0.09</v>
      </c>
      <c r="S188" s="101">
        <v>0.09</v>
      </c>
      <c r="T188" s="101">
        <v>0.09</v>
      </c>
      <c r="U188" s="101">
        <v>0.09</v>
      </c>
      <c r="V188" s="101">
        <v>0.09</v>
      </c>
      <c r="W188" s="101">
        <v>0.09</v>
      </c>
      <c r="X188" s="101">
        <v>0</v>
      </c>
      <c r="Y188" s="101">
        <v>0</v>
      </c>
      <c r="Z188" s="101">
        <v>0</v>
      </c>
      <c r="AA188" s="101">
        <v>0</v>
      </c>
      <c r="AB188" s="101">
        <v>0</v>
      </c>
      <c r="AC188" s="101">
        <v>0</v>
      </c>
      <c r="AD188" s="101">
        <v>0</v>
      </c>
      <c r="AE188" s="186">
        <v>0.08</v>
      </c>
      <c r="AF188" s="93">
        <v>0</v>
      </c>
      <c r="AG188" s="93">
        <v>30</v>
      </c>
      <c r="AH188" s="93">
        <v>30</v>
      </c>
      <c r="AI188" s="16">
        <v>0.19700000000000001</v>
      </c>
      <c r="AJ188" s="16" t="s">
        <v>660</v>
      </c>
      <c r="AK188" s="16" t="s">
        <v>745</v>
      </c>
      <c r="AL188" s="16"/>
      <c r="AM188" s="60"/>
      <c r="AN188" s="60"/>
      <c r="AO188" s="60"/>
      <c r="AP188" s="60"/>
      <c r="AQ188" s="60"/>
      <c r="AR188" s="60"/>
      <c r="AS188" s="63"/>
      <c r="AT188" s="63"/>
      <c r="AU188" s="63"/>
      <c r="AV188" s="131"/>
      <c r="AW188" s="131"/>
      <c r="AX188" s="131"/>
      <c r="AY188" s="27" t="s">
        <v>662</v>
      </c>
      <c r="AZ188" s="27"/>
      <c r="BA188" s="27"/>
      <c r="BB188" s="30"/>
      <c r="BC188" s="30"/>
      <c r="BD188" s="30"/>
      <c r="BE188" s="30"/>
      <c r="BF188" s="30"/>
      <c r="BG188" s="30"/>
      <c r="BH188" s="107"/>
      <c r="BI188" s="107"/>
      <c r="BJ188" s="107"/>
      <c r="BK188" s="107"/>
      <c r="BL188" s="136"/>
      <c r="BM188" s="122"/>
      <c r="BN188" s="138">
        <v>55</v>
      </c>
      <c r="BO188" s="93">
        <v>5</v>
      </c>
      <c r="BP188" s="93">
        <v>10</v>
      </c>
      <c r="BQ188" s="93">
        <v>10</v>
      </c>
      <c r="BR188" s="93">
        <v>10</v>
      </c>
      <c r="BS188" s="93">
        <v>10</v>
      </c>
      <c r="BT188" s="93">
        <v>10</v>
      </c>
      <c r="BU188" s="27">
        <f t="shared" si="192"/>
        <v>0</v>
      </c>
      <c r="BV188" s="27"/>
      <c r="BW188" s="27"/>
      <c r="BX188" s="27"/>
      <c r="BY188" s="27"/>
      <c r="BZ188" s="27"/>
      <c r="CA188" s="27"/>
      <c r="CB188" s="97">
        <v>55</v>
      </c>
      <c r="CC188" s="97">
        <v>210</v>
      </c>
      <c r="CD188" s="97">
        <f>0.3*CD183</f>
        <v>89.315999999999988</v>
      </c>
      <c r="CE188" s="97">
        <f>0.4*CE183</f>
        <v>120.48399999999999</v>
      </c>
      <c r="CF188" s="97">
        <f>CE188</f>
        <v>120.48399999999999</v>
      </c>
      <c r="CG188" s="97">
        <f t="shared" ref="CG188:CH188" si="196">CF188</f>
        <v>120.48399999999999</v>
      </c>
      <c r="CH188" s="97">
        <f t="shared" si="196"/>
        <v>120.48399999999999</v>
      </c>
      <c r="CI188" s="173"/>
      <c r="CJ188" s="173"/>
      <c r="CK188" s="173"/>
      <c r="CL188" s="173"/>
      <c r="CM188" s="173"/>
      <c r="CN188" s="173"/>
      <c r="CO188" s="173"/>
      <c r="CP188" s="174"/>
      <c r="CQ188" s="174"/>
      <c r="CR188" s="174"/>
      <c r="CS188" s="174"/>
      <c r="CT188" s="174"/>
      <c r="CU188" s="174"/>
      <c r="CV188" s="174"/>
      <c r="CW188" s="165"/>
      <c r="CX188" s="166"/>
      <c r="CY188" s="166"/>
      <c r="CZ188" s="166"/>
      <c r="DA188" s="166"/>
      <c r="DB188" s="166"/>
      <c r="DC188" s="166"/>
      <c r="DD188" s="171"/>
      <c r="DE188" s="171"/>
      <c r="DF188" s="171"/>
      <c r="DG188" s="171"/>
      <c r="DH188" s="171"/>
      <c r="DI188" s="171"/>
      <c r="DJ188" s="171"/>
      <c r="DK188" s="79" t="s">
        <v>1121</v>
      </c>
      <c r="DL188" s="128">
        <f>ROUNDUP(VLOOKUP($F188,Activities!$A$9:$I$180,3,FALSE)/$AI188,2)</f>
        <v>279.19</v>
      </c>
      <c r="DM188" s="128">
        <f>ROUNDUP(VLOOKUP($F188,Activities!$A$9:$I$180,4,FALSE)/$AI188,2)</f>
        <v>291.20999999999998</v>
      </c>
      <c r="DN188" s="128">
        <f>ROUNDUP(VLOOKUP($F188,Activities!$A$9:$I$180,5,FALSE)/$AI188,2)</f>
        <v>297.71999999999997</v>
      </c>
      <c r="DO188" s="128">
        <f>ROUNDUP(VLOOKUP($F188,Activities!$A$9:$I$180,6,FALSE)/$AI188,2)</f>
        <v>301.20999999999998</v>
      </c>
      <c r="DP188" s="128">
        <f>ROUNDUP(VLOOKUP($F188,Activities!$A$9:$I$180,7,FALSE)/$AI188,2)</f>
        <v>302.57</v>
      </c>
      <c r="DQ188" s="128">
        <f>ROUNDUP(VLOOKUP($F188,Activities!$A$9:$I$180,8,FALSE)/$AI188,2)</f>
        <v>302.24</v>
      </c>
      <c r="DR188" s="128">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6" t="s">
        <v>1130</v>
      </c>
      <c r="B189" s="6" t="s">
        <v>734</v>
      </c>
      <c r="C189" s="6" t="s">
        <v>655</v>
      </c>
      <c r="D189" s="6" t="s">
        <v>1029</v>
      </c>
      <c r="E189" s="6" t="s">
        <v>1116</v>
      </c>
      <c r="F189" s="6" t="s">
        <v>389</v>
      </c>
      <c r="G189" s="48" t="s">
        <v>1131</v>
      </c>
      <c r="H189" s="48" t="s">
        <v>1118</v>
      </c>
      <c r="I189" s="102">
        <v>1.21</v>
      </c>
      <c r="J189" s="102">
        <v>0.94</v>
      </c>
      <c r="K189" s="102">
        <v>0.92</v>
      </c>
      <c r="L189" s="102">
        <v>0.79</v>
      </c>
      <c r="M189" s="102">
        <v>0.68</v>
      </c>
      <c r="N189" s="102">
        <v>0.57999999999999996</v>
      </c>
      <c r="O189" s="102">
        <v>0.54</v>
      </c>
      <c r="P189" s="94">
        <v>0</v>
      </c>
      <c r="Q189" s="102">
        <v>0.15</v>
      </c>
      <c r="R189" s="102">
        <v>0.15</v>
      </c>
      <c r="S189" s="102">
        <v>0.15</v>
      </c>
      <c r="T189" s="102">
        <v>0.15</v>
      </c>
      <c r="U189" s="102">
        <v>0.15</v>
      </c>
      <c r="V189" s="102">
        <v>0.15</v>
      </c>
      <c r="W189" s="102">
        <v>0.15</v>
      </c>
      <c r="X189" s="102">
        <v>0</v>
      </c>
      <c r="Y189" s="102">
        <v>0</v>
      </c>
      <c r="Z189" s="102">
        <v>0</v>
      </c>
      <c r="AA189" s="102">
        <v>0</v>
      </c>
      <c r="AB189" s="102">
        <v>0</v>
      </c>
      <c r="AC189" s="102">
        <v>0</v>
      </c>
      <c r="AD189" s="102">
        <v>0</v>
      </c>
      <c r="AE189" s="186">
        <v>0.08</v>
      </c>
      <c r="AF189" s="94">
        <v>0</v>
      </c>
      <c r="AG189" s="94">
        <v>30</v>
      </c>
      <c r="AH189" s="94">
        <v>30</v>
      </c>
      <c r="AI189" s="17">
        <v>0.19700000000000001</v>
      </c>
      <c r="AJ189" s="17" t="s">
        <v>660</v>
      </c>
      <c r="AK189" s="17" t="s">
        <v>745</v>
      </c>
      <c r="AL189" s="17"/>
      <c r="AM189" s="61"/>
      <c r="AN189" s="61"/>
      <c r="AO189" s="61"/>
      <c r="AP189" s="61"/>
      <c r="AQ189" s="61"/>
      <c r="AR189" s="61"/>
      <c r="AS189" s="64"/>
      <c r="AT189" s="64"/>
      <c r="AU189" s="64"/>
      <c r="AV189" s="132"/>
      <c r="AW189" s="132"/>
      <c r="AX189" s="132"/>
      <c r="AY189" s="28" t="s">
        <v>662</v>
      </c>
      <c r="AZ189" s="28"/>
      <c r="BA189" s="28"/>
      <c r="BB189" s="28"/>
      <c r="BC189" s="28"/>
      <c r="BD189" s="28"/>
      <c r="BE189" s="28"/>
      <c r="BF189" s="28"/>
      <c r="BG189" s="28"/>
      <c r="BH189" s="106"/>
      <c r="BI189" s="106"/>
      <c r="BJ189" s="106"/>
      <c r="BK189" s="106"/>
      <c r="BL189" s="137"/>
      <c r="BM189" s="123"/>
      <c r="BN189" s="139">
        <v>0</v>
      </c>
      <c r="BO189" s="94"/>
      <c r="BP189" s="94"/>
      <c r="BQ189" s="94"/>
      <c r="BR189" s="94"/>
      <c r="BS189" s="94"/>
      <c r="BT189" s="94"/>
      <c r="BU189" s="28">
        <f t="shared" si="192"/>
        <v>0</v>
      </c>
      <c r="BV189" s="28"/>
      <c r="BW189" s="28"/>
      <c r="BX189" s="28"/>
      <c r="BY189" s="28"/>
      <c r="BZ189" s="28"/>
      <c r="CA189" s="28"/>
      <c r="CB189" s="99"/>
      <c r="CC189" s="99"/>
      <c r="CD189" s="99">
        <v>50</v>
      </c>
      <c r="CE189" s="99">
        <f t="shared" ref="CE189" si="197">DO189</f>
        <v>301.20999999999998</v>
      </c>
      <c r="CF189" s="99">
        <v>400</v>
      </c>
      <c r="CG189" s="99">
        <v>800</v>
      </c>
      <c r="CH189" s="99">
        <v>1000</v>
      </c>
      <c r="CI189" s="175"/>
      <c r="CJ189" s="175"/>
      <c r="CK189" s="175"/>
      <c r="CL189" s="175"/>
      <c r="CM189" s="175"/>
      <c r="CN189" s="175"/>
      <c r="CO189" s="175"/>
      <c r="CP189" s="176"/>
      <c r="CQ189" s="176"/>
      <c r="CR189" s="176"/>
      <c r="CS189" s="176"/>
      <c r="CT189" s="176"/>
      <c r="CU189" s="176"/>
      <c r="CV189" s="176"/>
      <c r="CW189" s="167"/>
      <c r="CX189" s="168"/>
      <c r="CY189" s="168"/>
      <c r="CZ189" s="168"/>
      <c r="DA189" s="168"/>
      <c r="DB189" s="168"/>
      <c r="DC189" s="168"/>
      <c r="DD189" s="172"/>
      <c r="DE189" s="172"/>
      <c r="DF189" s="172"/>
      <c r="DG189" s="172"/>
      <c r="DH189" s="172"/>
      <c r="DI189" s="172"/>
      <c r="DJ189" s="172"/>
      <c r="DK189" s="80" t="s">
        <v>1121</v>
      </c>
      <c r="DL189" s="129">
        <f>ROUNDUP(VLOOKUP($F189,Activities!$A$9:$I$180,3,FALSE)/$AI189,2)</f>
        <v>279.19</v>
      </c>
      <c r="DM189" s="129">
        <f>ROUNDUP(VLOOKUP($F189,Activities!$A$9:$I$180,4,FALSE)/$AI189,2)</f>
        <v>291.20999999999998</v>
      </c>
      <c r="DN189" s="129">
        <f>ROUNDUP(VLOOKUP($F189,Activities!$A$9:$I$180,5,FALSE)/$AI189,2)</f>
        <v>297.71999999999997</v>
      </c>
      <c r="DO189" s="129">
        <f>ROUNDUP(VLOOKUP($F189,Activities!$A$9:$I$180,6,FALSE)/$AI189,2)</f>
        <v>301.20999999999998</v>
      </c>
      <c r="DP189" s="129">
        <f>ROUNDUP(VLOOKUP($F189,Activities!$A$9:$I$180,7,FALSE)/$AI189,2)</f>
        <v>302.57</v>
      </c>
      <c r="DQ189" s="129">
        <f>ROUNDUP(VLOOKUP($F189,Activities!$A$9:$I$180,8,FALSE)/$AI189,2)</f>
        <v>302.24</v>
      </c>
      <c r="DR189" s="129">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5" t="s">
        <v>1132</v>
      </c>
      <c r="B190" s="5" t="s">
        <v>734</v>
      </c>
      <c r="C190" s="5" t="s">
        <v>655</v>
      </c>
      <c r="D190" s="5" t="s">
        <v>1029</v>
      </c>
      <c r="E190" s="5" t="s">
        <v>1133</v>
      </c>
      <c r="F190" s="5" t="s">
        <v>1134</v>
      </c>
      <c r="G190" s="47" t="s">
        <v>1135</v>
      </c>
      <c r="H190" s="47" t="s">
        <v>659</v>
      </c>
      <c r="I190" s="101">
        <v>0</v>
      </c>
      <c r="J190" s="101">
        <v>0</v>
      </c>
      <c r="K190" s="101">
        <v>0</v>
      </c>
      <c r="L190" s="101">
        <v>0</v>
      </c>
      <c r="M190" s="101">
        <v>0</v>
      </c>
      <c r="N190" s="101">
        <v>0</v>
      </c>
      <c r="O190" s="101">
        <v>0</v>
      </c>
      <c r="P190" s="93">
        <v>0</v>
      </c>
      <c r="Q190" s="101">
        <v>0</v>
      </c>
      <c r="R190" s="101">
        <v>0</v>
      </c>
      <c r="S190" s="101">
        <v>0</v>
      </c>
      <c r="T190" s="101">
        <v>0</v>
      </c>
      <c r="U190" s="101">
        <v>0</v>
      </c>
      <c r="V190" s="101">
        <v>0</v>
      </c>
      <c r="W190" s="101">
        <v>0</v>
      </c>
      <c r="X190" s="101">
        <v>0</v>
      </c>
      <c r="Y190" s="101">
        <v>0</v>
      </c>
      <c r="Z190" s="101">
        <v>0</v>
      </c>
      <c r="AA190" s="101">
        <v>0</v>
      </c>
      <c r="AB190" s="101">
        <v>0</v>
      </c>
      <c r="AC190" s="101">
        <v>0</v>
      </c>
      <c r="AD190" s="101">
        <v>0</v>
      </c>
      <c r="AE190" s="186">
        <v>0.08</v>
      </c>
      <c r="AF190" s="93">
        <v>0</v>
      </c>
      <c r="AG190" s="93">
        <v>1</v>
      </c>
      <c r="AH190" s="93">
        <v>1</v>
      </c>
      <c r="AI190" s="16">
        <v>1</v>
      </c>
      <c r="AJ190" s="16" t="s">
        <v>660</v>
      </c>
      <c r="AK190" s="16" t="s">
        <v>745</v>
      </c>
      <c r="AL190" s="16"/>
      <c r="AM190" s="60"/>
      <c r="AN190" s="60"/>
      <c r="AO190" s="60"/>
      <c r="AP190" s="60"/>
      <c r="AQ190" s="60"/>
      <c r="AR190" s="60"/>
      <c r="AS190" s="63"/>
      <c r="AT190" s="63"/>
      <c r="AU190" s="63"/>
      <c r="AV190" s="131"/>
      <c r="AW190" s="131"/>
      <c r="AX190" s="131"/>
      <c r="AY190" s="27" t="s">
        <v>662</v>
      </c>
      <c r="AZ190" s="27"/>
      <c r="BA190" s="27"/>
      <c r="BB190" s="30"/>
      <c r="BC190" s="30"/>
      <c r="BD190" s="30"/>
      <c r="BE190" s="30"/>
      <c r="BF190" s="30"/>
      <c r="BG190" s="30"/>
      <c r="BH190" s="107"/>
      <c r="BI190" s="107"/>
      <c r="BJ190" s="107"/>
      <c r="BK190" s="107"/>
      <c r="BL190" s="136"/>
      <c r="BM190" s="122"/>
      <c r="BN190" s="138">
        <f>DL190</f>
        <v>0.4</v>
      </c>
      <c r="BO190" s="93"/>
      <c r="BP190" s="93"/>
      <c r="BQ190" s="93"/>
      <c r="BR190" s="93"/>
      <c r="BS190" s="93"/>
      <c r="BT190" s="93"/>
      <c r="BU190" s="27">
        <f t="shared" si="192"/>
        <v>0</v>
      </c>
      <c r="BV190" s="27"/>
      <c r="BW190" s="27"/>
      <c r="BX190" s="27"/>
      <c r="BY190" s="27"/>
      <c r="BZ190" s="27"/>
      <c r="CA190" s="27"/>
      <c r="CB190" s="97">
        <f t="shared" ref="CB190:CE190" si="198">DL190</f>
        <v>0.4</v>
      </c>
      <c r="CC190" s="97">
        <f t="shared" si="198"/>
        <v>0.42</v>
      </c>
      <c r="CD190" s="97">
        <f t="shared" si="198"/>
        <v>0.43</v>
      </c>
      <c r="CE190" s="97">
        <f t="shared" si="198"/>
        <v>0.44</v>
      </c>
      <c r="CF190" s="97">
        <v>400</v>
      </c>
      <c r="CG190" s="97">
        <v>800</v>
      </c>
      <c r="CH190" s="97">
        <v>1000</v>
      </c>
      <c r="CI190" s="173"/>
      <c r="CJ190" s="173"/>
      <c r="CK190" s="173"/>
      <c r="CL190" s="173"/>
      <c r="CM190" s="173"/>
      <c r="CN190" s="173"/>
      <c r="CO190" s="173"/>
      <c r="CP190" s="174"/>
      <c r="CQ190" s="174"/>
      <c r="CR190" s="174"/>
      <c r="CS190" s="174"/>
      <c r="CT190" s="174"/>
      <c r="CU190" s="174"/>
      <c r="CV190" s="174"/>
      <c r="CW190" s="165"/>
      <c r="CX190" s="166"/>
      <c r="CY190" s="166"/>
      <c r="CZ190" s="166"/>
      <c r="DA190" s="166"/>
      <c r="DB190" s="166"/>
      <c r="DC190" s="166"/>
      <c r="DD190" s="171"/>
      <c r="DE190" s="171"/>
      <c r="DF190" s="171"/>
      <c r="DG190" s="171"/>
      <c r="DH190" s="171"/>
      <c r="DI190" s="171"/>
      <c r="DJ190" s="171"/>
      <c r="DK190" s="79" t="s">
        <v>663</v>
      </c>
      <c r="DL190" s="128">
        <f>ROUNDUP(VLOOKUP($F190,Activities!$A$9:$I$180,3,FALSE)/$AI190,2)</f>
        <v>0.4</v>
      </c>
      <c r="DM190" s="128">
        <f>ROUNDUP(VLOOKUP($F190,Activities!$A$9:$I$180,4,FALSE)/$AI190,2)</f>
        <v>0.42</v>
      </c>
      <c r="DN190" s="128">
        <f>ROUNDUP(VLOOKUP($F190,Activities!$A$9:$I$180,5,FALSE)/$AI190,2)</f>
        <v>0.43</v>
      </c>
      <c r="DO190" s="128">
        <f>ROUNDUP(VLOOKUP($F190,Activities!$A$9:$I$180,6,FALSE)/$AI190,2)</f>
        <v>0.44</v>
      </c>
      <c r="DP190" s="128">
        <f>ROUNDUP(VLOOKUP($F190,Activities!$A$9:$I$180,7,FALSE)/$AI190,2)</f>
        <v>0.44</v>
      </c>
      <c r="DQ190" s="128">
        <f>ROUNDUP(VLOOKUP($F190,Activities!$A$9:$I$180,8,FALSE)/$AI190,2)</f>
        <v>0.44</v>
      </c>
      <c r="DR190" s="128">
        <f>ROUNDUP(VLOOKUP($F190,Activities!$A$9:$I$180,9,FALSE)/$AI190,2)</f>
        <v>0.44</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1136</v>
      </c>
      <c r="B191" s="5" t="s">
        <v>734</v>
      </c>
      <c r="C191" s="5" t="s">
        <v>655</v>
      </c>
      <c r="D191" s="5" t="s">
        <v>1029</v>
      </c>
      <c r="E191" s="5" t="s">
        <v>1133</v>
      </c>
      <c r="F191" s="5" t="s">
        <v>1134</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c r="BO191" s="93"/>
      <c r="BP191" s="93"/>
      <c r="BQ191" s="93"/>
      <c r="BR191" s="93"/>
      <c r="BS191" s="93"/>
      <c r="BT191" s="93"/>
      <c r="BU191" s="27">
        <f t="shared" ref="BU191" si="199">IF(BL191=1,BN191,0)</f>
        <v>0</v>
      </c>
      <c r="BV191" s="27"/>
      <c r="BW191" s="27"/>
      <c r="BX191" s="27"/>
      <c r="BY191" s="27"/>
      <c r="BZ191" s="27"/>
      <c r="CA191" s="27"/>
      <c r="CB191" s="97"/>
      <c r="CC191" s="97"/>
      <c r="CD191" s="97">
        <f>0.1*DN191</f>
        <v>4.3000000000000003E-2</v>
      </c>
      <c r="CE191" s="97">
        <f>0.2*DO191</f>
        <v>8.8000000000000009E-2</v>
      </c>
      <c r="CF191" s="342"/>
      <c r="CG191" s="342"/>
      <c r="CH191" s="342"/>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1029</v>
      </c>
      <c r="E192" s="5" t="s">
        <v>1133</v>
      </c>
      <c r="F192" s="327" t="s">
        <v>499</v>
      </c>
      <c r="G192" s="47" t="s">
        <v>1139</v>
      </c>
      <c r="H192" s="47" t="s">
        <v>659</v>
      </c>
      <c r="I192" s="329">
        <v>0</v>
      </c>
      <c r="J192" s="329">
        <v>0</v>
      </c>
      <c r="K192" s="329">
        <v>0</v>
      </c>
      <c r="L192" s="329">
        <v>0</v>
      </c>
      <c r="M192" s="329">
        <v>0</v>
      </c>
      <c r="N192" s="329">
        <v>0</v>
      </c>
      <c r="O192" s="329">
        <v>0</v>
      </c>
      <c r="P192" s="330"/>
      <c r="Q192" s="329">
        <v>0</v>
      </c>
      <c r="R192" s="329">
        <v>0</v>
      </c>
      <c r="S192" s="329">
        <v>0</v>
      </c>
      <c r="T192" s="329">
        <v>0</v>
      </c>
      <c r="U192" s="329">
        <v>0</v>
      </c>
      <c r="V192" s="329">
        <v>0</v>
      </c>
      <c r="W192" s="329">
        <v>0</v>
      </c>
      <c r="X192" s="329">
        <v>0</v>
      </c>
      <c r="Y192" s="329">
        <v>0</v>
      </c>
      <c r="Z192" s="329">
        <v>0</v>
      </c>
      <c r="AA192" s="329">
        <v>0</v>
      </c>
      <c r="AB192" s="329">
        <v>0</v>
      </c>
      <c r="AC192" s="329">
        <v>0</v>
      </c>
      <c r="AD192" s="329">
        <v>0</v>
      </c>
      <c r="AE192" s="186">
        <v>0.08</v>
      </c>
      <c r="AF192" s="330">
        <v>0</v>
      </c>
      <c r="AG192" s="330">
        <v>30</v>
      </c>
      <c r="AH192" s="330">
        <v>30</v>
      </c>
      <c r="AI192" s="331">
        <v>1</v>
      </c>
      <c r="AJ192" s="331" t="s">
        <v>660</v>
      </c>
      <c r="AK192" s="331" t="s">
        <v>745</v>
      </c>
      <c r="AL192" s="331"/>
      <c r="AM192" s="332"/>
      <c r="AN192" s="332"/>
      <c r="AO192" s="332"/>
      <c r="AP192" s="332"/>
      <c r="AQ192" s="332"/>
      <c r="AR192" s="332"/>
      <c r="AS192" s="333"/>
      <c r="AT192" s="333"/>
      <c r="AU192" s="333"/>
      <c r="AV192" s="334"/>
      <c r="AW192" s="334"/>
      <c r="AX192" s="334"/>
      <c r="AY192" s="335" t="s">
        <v>662</v>
      </c>
      <c r="AZ192" s="335"/>
      <c r="BA192" s="336"/>
      <c r="BB192" s="337"/>
      <c r="BC192" s="337"/>
      <c r="BD192" s="337"/>
      <c r="BE192" s="337"/>
      <c r="BF192" s="337"/>
      <c r="BG192" s="337"/>
      <c r="BH192" s="338"/>
      <c r="BI192" s="338"/>
      <c r="BJ192" s="338"/>
      <c r="BK192" s="338"/>
      <c r="BL192" s="339"/>
      <c r="BM192" s="340"/>
      <c r="BN192" s="341">
        <v>0</v>
      </c>
      <c r="BO192" s="330"/>
      <c r="BP192" s="330"/>
      <c r="BQ192" s="330"/>
      <c r="BR192" s="330"/>
      <c r="BS192" s="330"/>
      <c r="BT192" s="330"/>
      <c r="BU192" s="335">
        <v>0</v>
      </c>
      <c r="BV192" s="335"/>
      <c r="BW192" s="335"/>
      <c r="BX192" s="335"/>
      <c r="BY192" s="335"/>
      <c r="BZ192" s="335"/>
      <c r="CA192" s="335"/>
      <c r="CB192" s="342"/>
      <c r="CC192" s="342"/>
      <c r="CD192" s="342"/>
      <c r="CE192" s="342"/>
      <c r="CF192" s="342"/>
      <c r="CG192" s="342"/>
      <c r="CH192" s="342"/>
      <c r="CI192" s="335"/>
      <c r="CJ192" s="335"/>
      <c r="CK192" s="335"/>
      <c r="CL192" s="335"/>
      <c r="CM192" s="335"/>
      <c r="CN192" s="335"/>
      <c r="CO192" s="335"/>
      <c r="CP192" s="343"/>
      <c r="CQ192" s="343"/>
      <c r="CR192" s="343"/>
      <c r="CS192" s="343"/>
      <c r="CT192" s="343"/>
      <c r="CU192" s="343"/>
      <c r="CV192" s="343"/>
      <c r="CW192" s="344"/>
      <c r="CX192" s="345"/>
      <c r="CY192" s="345"/>
      <c r="CZ192" s="345"/>
      <c r="DA192" s="345"/>
      <c r="DB192" s="345"/>
      <c r="DC192" s="345"/>
      <c r="DD192" s="345"/>
      <c r="DE192" s="345"/>
      <c r="DF192" s="345"/>
      <c r="DG192" s="345"/>
      <c r="DH192" s="345"/>
      <c r="DI192" s="345"/>
      <c r="DJ192" s="345"/>
      <c r="DK192" s="289" t="s">
        <v>452</v>
      </c>
      <c r="DL192" s="344">
        <v>0</v>
      </c>
      <c r="DM192" s="344">
        <v>0</v>
      </c>
      <c r="DN192" s="344">
        <v>0</v>
      </c>
      <c r="DO192" s="344">
        <v>0</v>
      </c>
      <c r="DP192" s="344">
        <v>0</v>
      </c>
      <c r="DQ192" s="344">
        <v>0</v>
      </c>
      <c r="DR192" s="344">
        <v>0</v>
      </c>
      <c r="DS192" s="346"/>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6" t="s">
        <v>1140</v>
      </c>
      <c r="B193" s="6" t="s">
        <v>1141</v>
      </c>
      <c r="C193" s="6" t="s">
        <v>655</v>
      </c>
      <c r="D193" s="6" t="s">
        <v>1029</v>
      </c>
      <c r="E193" s="6" t="s">
        <v>1142</v>
      </c>
      <c r="F193" s="6" t="s">
        <v>392</v>
      </c>
      <c r="G193" s="48" t="s">
        <v>1143</v>
      </c>
      <c r="H193" s="48" t="s">
        <v>1118</v>
      </c>
      <c r="I193" s="102">
        <v>9.39</v>
      </c>
      <c r="J193" s="102">
        <v>10.39</v>
      </c>
      <c r="K193" s="102">
        <v>11.39</v>
      </c>
      <c r="L193" s="102">
        <v>12.39</v>
      </c>
      <c r="M193" s="102">
        <v>13.39</v>
      </c>
      <c r="N193" s="102">
        <v>14.39</v>
      </c>
      <c r="O193" s="102">
        <v>15.39</v>
      </c>
      <c r="P193" s="269">
        <v>0</v>
      </c>
      <c r="Q193" s="253">
        <f>0.2*I193</f>
        <v>1.8780000000000001</v>
      </c>
      <c r="R193" s="253">
        <f t="shared" ref="R193:W200" si="200">0.2*J193</f>
        <v>2.0780000000000003</v>
      </c>
      <c r="S193" s="253">
        <f t="shared" si="200"/>
        <v>2.278</v>
      </c>
      <c r="T193" s="253">
        <f t="shared" si="200"/>
        <v>2.4780000000000002</v>
      </c>
      <c r="U193" s="253">
        <f t="shared" si="200"/>
        <v>2.6780000000000004</v>
      </c>
      <c r="V193" s="253">
        <f t="shared" si="200"/>
        <v>2.8780000000000001</v>
      </c>
      <c r="W193" s="253">
        <f t="shared" si="200"/>
        <v>3.0780000000000003</v>
      </c>
      <c r="X193" s="102">
        <v>0</v>
      </c>
      <c r="Y193" s="102">
        <v>0</v>
      </c>
      <c r="Z193" s="102">
        <v>0</v>
      </c>
      <c r="AA193" s="102">
        <v>0</v>
      </c>
      <c r="AB193" s="102">
        <v>0</v>
      </c>
      <c r="AC193" s="102">
        <v>0</v>
      </c>
      <c r="AD193" s="102">
        <v>0</v>
      </c>
      <c r="AE193" s="186">
        <v>0.08</v>
      </c>
      <c r="AF193" s="94">
        <v>0</v>
      </c>
      <c r="AG193" s="94">
        <v>30</v>
      </c>
      <c r="AH193" s="94">
        <v>30</v>
      </c>
      <c r="AI193" s="17">
        <v>0.19400000000000001</v>
      </c>
      <c r="AJ193" s="17" t="s">
        <v>660</v>
      </c>
      <c r="AK193" s="17" t="s">
        <v>745</v>
      </c>
      <c r="AL193" s="17"/>
      <c r="AM193" s="61"/>
      <c r="AN193" s="61"/>
      <c r="AO193" s="61"/>
      <c r="AP193" s="61"/>
      <c r="AQ193" s="61"/>
      <c r="AR193" s="61"/>
      <c r="AS193" s="64"/>
      <c r="AT193" s="64"/>
      <c r="AU193" s="64"/>
      <c r="AV193" s="132"/>
      <c r="AW193" s="132"/>
      <c r="AX193" s="132"/>
      <c r="AY193" s="28" t="s">
        <v>662</v>
      </c>
      <c r="AZ193" s="28"/>
      <c r="BA193" s="28"/>
      <c r="BB193" s="28"/>
      <c r="BC193" s="28"/>
      <c r="BD193" s="28"/>
      <c r="BE193" s="28"/>
      <c r="BF193" s="28"/>
      <c r="BG193" s="28"/>
      <c r="BH193" s="106"/>
      <c r="BI193" s="106"/>
      <c r="BJ193" s="106"/>
      <c r="BK193" s="106"/>
      <c r="BL193" s="137"/>
      <c r="BM193" s="123"/>
      <c r="BN193" s="139">
        <f>CB193</f>
        <v>567.02</v>
      </c>
      <c r="BO193" s="94">
        <v>120</v>
      </c>
      <c r="BP193" s="94">
        <v>120</v>
      </c>
      <c r="BQ193" s="94">
        <v>90</v>
      </c>
      <c r="BR193" s="94">
        <v>90</v>
      </c>
      <c r="BS193" s="94">
        <v>60</v>
      </c>
      <c r="BT193" s="94">
        <v>50</v>
      </c>
      <c r="BU193" s="28">
        <f t="shared" ref="BU193:BU224" si="201">IF(BL193=1,BN193,0)</f>
        <v>0</v>
      </c>
      <c r="BV193" s="28"/>
      <c r="BW193" s="28"/>
      <c r="BX193" s="28"/>
      <c r="BY193" s="28"/>
      <c r="BZ193" s="28"/>
      <c r="CA193" s="28"/>
      <c r="CB193" s="99">
        <f t="shared" ref="CB193:CH197" si="202">DL193</f>
        <v>567.02</v>
      </c>
      <c r="CC193" s="99">
        <f t="shared" si="202"/>
        <v>567.02</v>
      </c>
      <c r="CD193" s="99">
        <f t="shared" si="202"/>
        <v>567.02</v>
      </c>
      <c r="CE193" s="99">
        <f t="shared" si="202"/>
        <v>567.02</v>
      </c>
      <c r="CF193" s="389">
        <f>(CE193+CH193)/2</f>
        <v>320.01191249999999</v>
      </c>
      <c r="CG193" s="389">
        <f>DQ193*0.5</f>
        <v>283.51</v>
      </c>
      <c r="CH193" s="389">
        <f>(CE193-(DR193-(DR193*0.01))*(0.75))/2</f>
        <v>73.003825000000006</v>
      </c>
      <c r="CI193" s="175"/>
      <c r="CJ193" s="175"/>
      <c r="CK193" s="175"/>
      <c r="CL193" s="175"/>
      <c r="CM193" s="175"/>
      <c r="CN193" s="175"/>
      <c r="CO193" s="175"/>
      <c r="CP193" s="176"/>
      <c r="CQ193" s="176"/>
      <c r="CR193" s="176"/>
      <c r="CS193" s="176"/>
      <c r="CT193" s="176"/>
      <c r="CU193" s="176"/>
      <c r="CV193" s="176"/>
      <c r="CW193" s="167"/>
      <c r="CX193" s="168"/>
      <c r="CY193" s="168"/>
      <c r="CZ193" s="168"/>
      <c r="DA193" s="168"/>
      <c r="DB193" s="168"/>
      <c r="DC193" s="168"/>
      <c r="DD193" s="172"/>
      <c r="DE193" s="172"/>
      <c r="DF193" s="172"/>
      <c r="DG193" s="172"/>
      <c r="DH193" s="172"/>
      <c r="DI193" s="172"/>
      <c r="DJ193" s="172"/>
      <c r="DK193" s="80" t="s">
        <v>663</v>
      </c>
      <c r="DL193" s="129">
        <f>ROUNDUP(VLOOKUP($F193,Activities!$A$9:$I$180,3,FALSE)/$AI193,2)</f>
        <v>567.02</v>
      </c>
      <c r="DM193" s="129">
        <f>ROUNDUP(VLOOKUP($F193,Activities!$A$9:$I$180,4,FALSE)/$AI193,2)</f>
        <v>567.02</v>
      </c>
      <c r="DN193" s="129">
        <f>ROUNDUP(VLOOKUP($F193,Activities!$A$9:$I$180,5,FALSE)/$AI193,2)</f>
        <v>567.02</v>
      </c>
      <c r="DO193" s="129">
        <f>ROUNDUP(VLOOKUP($F193,Activities!$A$9:$I$180,6,FALSE)/$AI193,2)</f>
        <v>567.02</v>
      </c>
      <c r="DP193" s="129">
        <f>ROUNDUP(VLOOKUP($F193,Activities!$A$9:$I$180,7,FALSE)/$AI193,2)</f>
        <v>567.02</v>
      </c>
      <c r="DQ193" s="129">
        <f>ROUNDUP(VLOOKUP($F193,Activities!$A$9:$I$180,8,FALSE)/$AI193,2)</f>
        <v>567.02</v>
      </c>
      <c r="DR193" s="129">
        <f>ROUNDUP(VLOOKUP($F193,Activities!$A$9:$I$180,9,FALSE)/$AI193,2)</f>
        <v>567.02</v>
      </c>
      <c r="DS193" s="218"/>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5" t="s">
        <v>1144</v>
      </c>
      <c r="B194" s="5" t="s">
        <v>1141</v>
      </c>
      <c r="C194" s="5" t="s">
        <v>655</v>
      </c>
      <c r="D194" s="5" t="s">
        <v>1029</v>
      </c>
      <c r="E194" s="5" t="s">
        <v>1142</v>
      </c>
      <c r="F194" s="5" t="s">
        <v>392</v>
      </c>
      <c r="G194" s="47" t="s">
        <v>1145</v>
      </c>
      <c r="H194" s="47" t="s">
        <v>1118</v>
      </c>
      <c r="I194" s="101">
        <f>I193*1.05</f>
        <v>9.8595000000000006</v>
      </c>
      <c r="J194" s="101">
        <f t="shared" ref="J194:O194" si="203">J193*1.05</f>
        <v>10.909500000000001</v>
      </c>
      <c r="K194" s="101">
        <f t="shared" si="203"/>
        <v>11.9595</v>
      </c>
      <c r="L194" s="101">
        <f t="shared" si="203"/>
        <v>13.009500000000001</v>
      </c>
      <c r="M194" s="101">
        <f t="shared" si="203"/>
        <v>14.059500000000002</v>
      </c>
      <c r="N194" s="101">
        <f t="shared" si="203"/>
        <v>15.109500000000001</v>
      </c>
      <c r="O194" s="101">
        <f t="shared" si="203"/>
        <v>16.159500000000001</v>
      </c>
      <c r="P194" s="269">
        <v>0</v>
      </c>
      <c r="Q194" s="253">
        <f t="shared" ref="Q194:Q200" si="204">0.2*I194</f>
        <v>1.9719000000000002</v>
      </c>
      <c r="R194" s="253">
        <f t="shared" si="200"/>
        <v>2.1819000000000002</v>
      </c>
      <c r="S194" s="253">
        <f t="shared" si="200"/>
        <v>2.3919000000000001</v>
      </c>
      <c r="T194" s="253">
        <f t="shared" si="200"/>
        <v>2.6019000000000005</v>
      </c>
      <c r="U194" s="253">
        <f t="shared" si="200"/>
        <v>2.8119000000000005</v>
      </c>
      <c r="V194" s="253">
        <f t="shared" si="200"/>
        <v>3.0219000000000005</v>
      </c>
      <c r="W194" s="253">
        <f t="shared" si="200"/>
        <v>3.2319000000000004</v>
      </c>
      <c r="X194" s="101">
        <v>0</v>
      </c>
      <c r="Y194" s="101">
        <v>0</v>
      </c>
      <c r="Z194" s="101">
        <v>0</v>
      </c>
      <c r="AA194" s="101">
        <v>0</v>
      </c>
      <c r="AB194" s="101">
        <v>0</v>
      </c>
      <c r="AC194" s="101">
        <v>0</v>
      </c>
      <c r="AD194" s="101">
        <v>0</v>
      </c>
      <c r="AE194" s="186">
        <v>0.08</v>
      </c>
      <c r="AF194" s="93">
        <v>0</v>
      </c>
      <c r="AG194" s="93">
        <v>30</v>
      </c>
      <c r="AH194" s="93">
        <v>30</v>
      </c>
      <c r="AI194" s="16">
        <v>0.19400000000000001</v>
      </c>
      <c r="AJ194" s="16" t="s">
        <v>660</v>
      </c>
      <c r="AK194" s="16" t="s">
        <v>745</v>
      </c>
      <c r="AL194" s="16"/>
      <c r="AM194" s="60"/>
      <c r="AN194" s="60"/>
      <c r="AO194" s="60"/>
      <c r="AP194" s="60"/>
      <c r="AQ194" s="60"/>
      <c r="AR194" s="60"/>
      <c r="AS194" s="63"/>
      <c r="AT194" s="63"/>
      <c r="AU194" s="63"/>
      <c r="AV194" s="131"/>
      <c r="AW194" s="131"/>
      <c r="AX194" s="131"/>
      <c r="AY194" s="27" t="s">
        <v>662</v>
      </c>
      <c r="AZ194" s="27"/>
      <c r="BA194" s="27"/>
      <c r="BB194" s="30"/>
      <c r="BC194" s="30"/>
      <c r="BD194" s="30"/>
      <c r="BE194" s="30"/>
      <c r="BF194" s="30"/>
      <c r="BG194" s="30"/>
      <c r="BH194" s="107"/>
      <c r="BI194" s="107"/>
      <c r="BJ194" s="107"/>
      <c r="BK194" s="107"/>
      <c r="BL194" s="136"/>
      <c r="BM194" s="122"/>
      <c r="BN194" s="138">
        <v>0</v>
      </c>
      <c r="BO194" s="93"/>
      <c r="BP194" s="93"/>
      <c r="BQ194" s="93"/>
      <c r="BR194" s="93"/>
      <c r="BS194" s="93"/>
      <c r="BT194" s="93"/>
      <c r="BU194" s="27">
        <f t="shared" si="201"/>
        <v>0</v>
      </c>
      <c r="BV194" s="27"/>
      <c r="BW194" s="27"/>
      <c r="BX194" s="27"/>
      <c r="BY194" s="27"/>
      <c r="BZ194" s="27"/>
      <c r="CA194" s="27"/>
      <c r="CB194" s="97"/>
      <c r="CC194" s="185">
        <f t="shared" si="202"/>
        <v>567.02</v>
      </c>
      <c r="CD194" s="97">
        <f t="shared" si="202"/>
        <v>567.02</v>
      </c>
      <c r="CE194" s="97">
        <f t="shared" si="202"/>
        <v>567.02</v>
      </c>
      <c r="CF194" s="97">
        <f t="shared" si="202"/>
        <v>567.02</v>
      </c>
      <c r="CG194" s="97">
        <f t="shared" si="202"/>
        <v>567.02</v>
      </c>
      <c r="CH194" s="97">
        <f t="shared" si="202"/>
        <v>567.02</v>
      </c>
      <c r="CI194" s="173"/>
      <c r="CJ194" s="173"/>
      <c r="CK194" s="173"/>
      <c r="CL194" s="173"/>
      <c r="CM194" s="173"/>
      <c r="CN194" s="173"/>
      <c r="CO194" s="173"/>
      <c r="CP194" s="174"/>
      <c r="CQ194" s="174"/>
      <c r="CR194" s="174"/>
      <c r="CS194" s="174"/>
      <c r="CT194" s="174"/>
      <c r="CU194" s="174"/>
      <c r="CV194" s="174"/>
      <c r="CW194" s="165"/>
      <c r="CX194" s="166"/>
      <c r="CY194" s="166"/>
      <c r="CZ194" s="166"/>
      <c r="DA194" s="166"/>
      <c r="DB194" s="166"/>
      <c r="DC194" s="166"/>
      <c r="DD194" s="171"/>
      <c r="DE194" s="171"/>
      <c r="DF194" s="171"/>
      <c r="DG194" s="171"/>
      <c r="DH194" s="171"/>
      <c r="DI194" s="171"/>
      <c r="DJ194" s="171"/>
      <c r="DK194" s="79" t="s">
        <v>663</v>
      </c>
      <c r="DL194" s="128">
        <f>ROUNDUP(VLOOKUP($F194,Activities!$A$9:$I$180,3,FALSE)/$AI194,2)</f>
        <v>567.02</v>
      </c>
      <c r="DM194" s="128">
        <f>ROUNDUP(VLOOKUP($F194,Activities!$A$9:$I$180,4,FALSE)/$AI194,2)</f>
        <v>567.02</v>
      </c>
      <c r="DN194" s="128">
        <f>ROUNDUP(VLOOKUP($F194,Activities!$A$9:$I$180,5,FALSE)/$AI194,2)</f>
        <v>567.02</v>
      </c>
      <c r="DO194" s="128">
        <f>ROUNDUP(VLOOKUP($F194,Activities!$A$9:$I$180,6,FALSE)/$AI194,2)</f>
        <v>567.02</v>
      </c>
      <c r="DP194" s="128">
        <f>ROUNDUP(VLOOKUP($F194,Activities!$A$9:$I$180,7,FALSE)/$AI194,2)</f>
        <v>567.02</v>
      </c>
      <c r="DQ194" s="128">
        <f>ROUNDUP(VLOOKUP($F194,Activities!$A$9:$I$180,8,FALSE)/$AI194,2)</f>
        <v>567.02</v>
      </c>
      <c r="DR194" s="128">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6" t="s">
        <v>1146</v>
      </c>
      <c r="B195" s="6" t="s">
        <v>1141</v>
      </c>
      <c r="C195" s="6" t="s">
        <v>655</v>
      </c>
      <c r="D195" s="6" t="s">
        <v>1029</v>
      </c>
      <c r="E195" s="6" t="s">
        <v>1142</v>
      </c>
      <c r="F195" s="6" t="s">
        <v>392</v>
      </c>
      <c r="G195" s="48" t="s">
        <v>1147</v>
      </c>
      <c r="H195" s="48" t="s">
        <v>1118</v>
      </c>
      <c r="I195" s="102">
        <v>11.78</v>
      </c>
      <c r="J195" s="102">
        <v>12.78</v>
      </c>
      <c r="K195" s="102">
        <v>13.78</v>
      </c>
      <c r="L195" s="102">
        <v>14.78</v>
      </c>
      <c r="M195" s="102">
        <v>15.78</v>
      </c>
      <c r="N195" s="102">
        <v>16.78</v>
      </c>
      <c r="O195" s="102">
        <v>17.78</v>
      </c>
      <c r="P195" s="269">
        <v>0</v>
      </c>
      <c r="Q195" s="253">
        <f t="shared" si="204"/>
        <v>2.3559999999999999</v>
      </c>
      <c r="R195" s="253">
        <f t="shared" si="200"/>
        <v>2.556</v>
      </c>
      <c r="S195" s="253">
        <f t="shared" si="200"/>
        <v>2.7560000000000002</v>
      </c>
      <c r="T195" s="253">
        <f t="shared" si="200"/>
        <v>2.956</v>
      </c>
      <c r="U195" s="253">
        <f t="shared" si="200"/>
        <v>3.1560000000000001</v>
      </c>
      <c r="V195" s="253">
        <f t="shared" si="200"/>
        <v>3.3560000000000003</v>
      </c>
      <c r="W195" s="253">
        <f t="shared" si="200"/>
        <v>3.5560000000000005</v>
      </c>
      <c r="X195" s="102">
        <v>0</v>
      </c>
      <c r="Y195" s="102">
        <v>0</v>
      </c>
      <c r="Z195" s="102">
        <v>0</v>
      </c>
      <c r="AA195" s="102">
        <v>0</v>
      </c>
      <c r="AB195" s="102">
        <v>0</v>
      </c>
      <c r="AC195" s="102">
        <v>0</v>
      </c>
      <c r="AD195" s="102">
        <v>0</v>
      </c>
      <c r="AE195" s="186">
        <v>0.08</v>
      </c>
      <c r="AF195" s="94">
        <v>0</v>
      </c>
      <c r="AG195" s="94">
        <v>30</v>
      </c>
      <c r="AH195" s="94">
        <v>30</v>
      </c>
      <c r="AI195" s="17">
        <v>0.19400000000000001</v>
      </c>
      <c r="AJ195" s="17" t="s">
        <v>660</v>
      </c>
      <c r="AK195" s="17" t="s">
        <v>745</v>
      </c>
      <c r="AL195" s="17"/>
      <c r="AM195" s="61"/>
      <c r="AN195" s="61"/>
      <c r="AO195" s="61"/>
      <c r="AP195" s="61"/>
      <c r="AQ195" s="61"/>
      <c r="AR195" s="61"/>
      <c r="AS195" s="64"/>
      <c r="AT195" s="64"/>
      <c r="AU195" s="64"/>
      <c r="AV195" s="132"/>
      <c r="AW195" s="132"/>
      <c r="AX195" s="132"/>
      <c r="AY195" s="28" t="s">
        <v>662</v>
      </c>
      <c r="AZ195" s="28"/>
      <c r="BA195" s="28"/>
      <c r="BB195" s="28"/>
      <c r="BC195" s="28"/>
      <c r="BD195" s="28"/>
      <c r="BE195" s="28"/>
      <c r="BF195" s="28"/>
      <c r="BG195" s="28"/>
      <c r="BH195" s="106"/>
      <c r="BI195" s="106"/>
      <c r="BJ195" s="106"/>
      <c r="BK195" s="106"/>
      <c r="BL195" s="137"/>
      <c r="BM195" s="123"/>
      <c r="BN195" s="139">
        <v>0</v>
      </c>
      <c r="BO195" s="94"/>
      <c r="BP195" s="94"/>
      <c r="BQ195" s="94"/>
      <c r="BR195" s="94"/>
      <c r="BS195" s="94"/>
      <c r="BT195" s="94"/>
      <c r="BU195" s="28">
        <f t="shared" si="201"/>
        <v>0</v>
      </c>
      <c r="BV195" s="28"/>
      <c r="BW195" s="28"/>
      <c r="BX195" s="28"/>
      <c r="BY195" s="28"/>
      <c r="BZ195" s="28"/>
      <c r="CA195" s="28"/>
      <c r="CB195" s="99"/>
      <c r="CC195" s="185">
        <f t="shared" si="202"/>
        <v>567.02</v>
      </c>
      <c r="CD195" s="185">
        <f t="shared" ref="CD195" si="205">DN195</f>
        <v>567.02</v>
      </c>
      <c r="CE195" s="185">
        <f t="shared" ref="CE195" si="206">DO195</f>
        <v>567.02</v>
      </c>
      <c r="CF195" s="185">
        <f t="shared" si="202"/>
        <v>567.02</v>
      </c>
      <c r="CG195" s="185">
        <f t="shared" si="202"/>
        <v>567.02</v>
      </c>
      <c r="CH195" s="389">
        <f>(CE195-(DR195-(DR195*0.01))*(0.75))/2</f>
        <v>73.003825000000006</v>
      </c>
      <c r="CI195" s="175"/>
      <c r="CJ195" s="175"/>
      <c r="CK195" s="175"/>
      <c r="CL195" s="175"/>
      <c r="CM195" s="175"/>
      <c r="CN195" s="175"/>
      <c r="CO195" s="175"/>
      <c r="CP195" s="176"/>
      <c r="CQ195" s="176"/>
      <c r="CR195" s="176"/>
      <c r="CS195" s="176"/>
      <c r="CT195" s="176"/>
      <c r="CU195" s="176"/>
      <c r="CV195" s="176"/>
      <c r="CW195" s="167"/>
      <c r="CX195" s="168"/>
      <c r="CY195" s="168"/>
      <c r="CZ195" s="168"/>
      <c r="DA195" s="168"/>
      <c r="DB195" s="168"/>
      <c r="DC195" s="168"/>
      <c r="DD195" s="172"/>
      <c r="DE195" s="172"/>
      <c r="DF195" s="172"/>
      <c r="DG195" s="172"/>
      <c r="DH195" s="172"/>
      <c r="DI195" s="172"/>
      <c r="DJ195" s="172"/>
      <c r="DK195" s="80" t="s">
        <v>663</v>
      </c>
      <c r="DL195" s="129">
        <f>ROUNDUP(VLOOKUP($F195,Activities!$A$9:$I$180,3,FALSE)/$AI195,2)</f>
        <v>567.02</v>
      </c>
      <c r="DM195" s="129">
        <f>ROUNDUP(VLOOKUP($F195,Activities!$A$9:$I$180,4,FALSE)/$AI195,2)</f>
        <v>567.02</v>
      </c>
      <c r="DN195" s="129">
        <f>ROUNDUP(VLOOKUP($F195,Activities!$A$9:$I$180,5,FALSE)/$AI195,2)</f>
        <v>567.02</v>
      </c>
      <c r="DO195" s="129">
        <f>ROUNDUP(VLOOKUP($F195,Activities!$A$9:$I$180,6,FALSE)/$AI195,2)</f>
        <v>567.02</v>
      </c>
      <c r="DP195" s="129">
        <f>ROUNDUP(VLOOKUP($F195,Activities!$A$9:$I$180,7,FALSE)/$AI195,2)</f>
        <v>567.02</v>
      </c>
      <c r="DQ195" s="129">
        <f>ROUNDUP(VLOOKUP($F195,Activities!$A$9:$I$180,8,FALSE)/$AI195,2)</f>
        <v>567.02</v>
      </c>
      <c r="DR195" s="129">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5" t="s">
        <v>1148</v>
      </c>
      <c r="B196" s="5" t="s">
        <v>1141</v>
      </c>
      <c r="C196" s="5" t="s">
        <v>655</v>
      </c>
      <c r="D196" s="5" t="s">
        <v>1029</v>
      </c>
      <c r="E196" s="5" t="s">
        <v>1142</v>
      </c>
      <c r="F196" s="5" t="s">
        <v>392</v>
      </c>
      <c r="G196" s="47" t="s">
        <v>1149</v>
      </c>
      <c r="H196" s="47" t="s">
        <v>1118</v>
      </c>
      <c r="I196" s="101">
        <f>I195*1.05</f>
        <v>12.369</v>
      </c>
      <c r="J196" s="101">
        <f t="shared" ref="J196:O196" si="207">J195*1.05</f>
        <v>13.419</v>
      </c>
      <c r="K196" s="101">
        <f t="shared" si="207"/>
        <v>14.468999999999999</v>
      </c>
      <c r="L196" s="101">
        <f t="shared" si="207"/>
        <v>15.519</v>
      </c>
      <c r="M196" s="101">
        <f t="shared" si="207"/>
        <v>16.568999999999999</v>
      </c>
      <c r="N196" s="101">
        <f t="shared" si="207"/>
        <v>17.619000000000003</v>
      </c>
      <c r="O196" s="101">
        <f t="shared" si="207"/>
        <v>18.669</v>
      </c>
      <c r="P196" s="269">
        <v>0</v>
      </c>
      <c r="Q196" s="253">
        <f t="shared" si="204"/>
        <v>2.4738000000000002</v>
      </c>
      <c r="R196" s="253">
        <f t="shared" si="200"/>
        <v>2.6838000000000002</v>
      </c>
      <c r="S196" s="253">
        <f t="shared" si="200"/>
        <v>2.8938000000000001</v>
      </c>
      <c r="T196" s="253">
        <f t="shared" si="200"/>
        <v>3.1038000000000001</v>
      </c>
      <c r="U196" s="253">
        <f t="shared" si="200"/>
        <v>3.3138000000000001</v>
      </c>
      <c r="V196" s="253">
        <f t="shared" si="200"/>
        <v>3.5238000000000009</v>
      </c>
      <c r="W196" s="253">
        <f t="shared" si="200"/>
        <v>3.7338000000000005</v>
      </c>
      <c r="X196" s="101">
        <v>0</v>
      </c>
      <c r="Y196" s="101">
        <v>0</v>
      </c>
      <c r="Z196" s="101">
        <v>0</v>
      </c>
      <c r="AA196" s="101">
        <v>0</v>
      </c>
      <c r="AB196" s="101">
        <v>0</v>
      </c>
      <c r="AC196" s="101">
        <v>0</v>
      </c>
      <c r="AD196" s="101">
        <v>0</v>
      </c>
      <c r="AE196" s="186">
        <v>0.08</v>
      </c>
      <c r="AF196" s="93">
        <v>0</v>
      </c>
      <c r="AG196" s="93">
        <v>30</v>
      </c>
      <c r="AH196" s="93">
        <v>30</v>
      </c>
      <c r="AI196" s="16">
        <v>0.19400000000000001</v>
      </c>
      <c r="AJ196" s="16" t="s">
        <v>660</v>
      </c>
      <c r="AK196" s="16" t="s">
        <v>745</v>
      </c>
      <c r="AL196" s="16"/>
      <c r="AM196" s="60"/>
      <c r="AN196" s="60"/>
      <c r="AO196" s="60"/>
      <c r="AP196" s="60"/>
      <c r="AQ196" s="60"/>
      <c r="AR196" s="60"/>
      <c r="AS196" s="63"/>
      <c r="AT196" s="63"/>
      <c r="AU196" s="63"/>
      <c r="AV196" s="131"/>
      <c r="AW196" s="131"/>
      <c r="AX196" s="131"/>
      <c r="AY196" s="27" t="s">
        <v>662</v>
      </c>
      <c r="AZ196" s="27"/>
      <c r="BA196" s="27"/>
      <c r="BB196" s="30"/>
      <c r="BC196" s="30"/>
      <c r="BD196" s="30"/>
      <c r="BE196" s="30"/>
      <c r="BF196" s="30"/>
      <c r="BG196" s="30"/>
      <c r="BH196" s="107"/>
      <c r="BI196" s="107"/>
      <c r="BJ196" s="107"/>
      <c r="BK196" s="107"/>
      <c r="BL196" s="136"/>
      <c r="BM196" s="122"/>
      <c r="BN196" s="138">
        <v>0</v>
      </c>
      <c r="BO196" s="93"/>
      <c r="BP196" s="93"/>
      <c r="BQ196" s="93"/>
      <c r="BR196" s="93"/>
      <c r="BS196" s="93"/>
      <c r="BT196" s="93"/>
      <c r="BU196" s="27">
        <f t="shared" si="201"/>
        <v>0</v>
      </c>
      <c r="BV196" s="27"/>
      <c r="BW196" s="27"/>
      <c r="BX196" s="27"/>
      <c r="BY196" s="27"/>
      <c r="BZ196" s="27"/>
      <c r="CA196" s="27"/>
      <c r="CB196" s="97"/>
      <c r="CC196" s="185">
        <f t="shared" si="202"/>
        <v>567.02</v>
      </c>
      <c r="CD196" s="97">
        <f t="shared" si="202"/>
        <v>567.02</v>
      </c>
      <c r="CE196" s="97">
        <f t="shared" si="202"/>
        <v>567.02</v>
      </c>
      <c r="CF196" s="97">
        <f t="shared" si="202"/>
        <v>567.02</v>
      </c>
      <c r="CG196" s="97">
        <f t="shared" si="202"/>
        <v>567.02</v>
      </c>
      <c r="CH196" s="97">
        <f t="shared" si="202"/>
        <v>567.02</v>
      </c>
      <c r="CI196" s="173"/>
      <c r="CJ196" s="173"/>
      <c r="CK196" s="173"/>
      <c r="CL196" s="173"/>
      <c r="CM196" s="173"/>
      <c r="CN196" s="173"/>
      <c r="CO196" s="173"/>
      <c r="CP196" s="174"/>
      <c r="CQ196" s="174"/>
      <c r="CR196" s="174"/>
      <c r="CS196" s="174"/>
      <c r="CT196" s="174"/>
      <c r="CU196" s="174"/>
      <c r="CV196" s="174"/>
      <c r="CW196" s="165"/>
      <c r="CX196" s="166"/>
      <c r="CY196" s="166"/>
      <c r="CZ196" s="166"/>
      <c r="DA196" s="166"/>
      <c r="DB196" s="166"/>
      <c r="DC196" s="166"/>
      <c r="DD196" s="171"/>
      <c r="DE196" s="171"/>
      <c r="DF196" s="171"/>
      <c r="DG196" s="171"/>
      <c r="DH196" s="171"/>
      <c r="DI196" s="171"/>
      <c r="DJ196" s="171"/>
      <c r="DK196" s="79" t="s">
        <v>663</v>
      </c>
      <c r="DL196" s="128">
        <f>ROUNDUP(VLOOKUP($F196,Activities!$A$9:$I$180,3,FALSE)/$AI196,2)</f>
        <v>567.02</v>
      </c>
      <c r="DM196" s="128">
        <f>ROUNDUP(VLOOKUP($F196,Activities!$A$9:$I$180,4,FALSE)/$AI196,2)</f>
        <v>567.02</v>
      </c>
      <c r="DN196" s="128">
        <f>ROUNDUP(VLOOKUP($F196,Activities!$A$9:$I$180,5,FALSE)/$AI196,2)</f>
        <v>567.02</v>
      </c>
      <c r="DO196" s="128">
        <f>ROUNDUP(VLOOKUP($F196,Activities!$A$9:$I$180,6,FALSE)/$AI196,2)</f>
        <v>567.02</v>
      </c>
      <c r="DP196" s="128">
        <f>ROUNDUP(VLOOKUP($F196,Activities!$A$9:$I$180,7,FALSE)/$AI196,2)</f>
        <v>567.02</v>
      </c>
      <c r="DQ196" s="128">
        <f>ROUNDUP(VLOOKUP($F196,Activities!$A$9:$I$180,8,FALSE)/$AI196,2)</f>
        <v>567.02</v>
      </c>
      <c r="DR196" s="128">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6" t="s">
        <v>1150</v>
      </c>
      <c r="B197" s="6" t="s">
        <v>1141</v>
      </c>
      <c r="C197" s="6" t="s">
        <v>655</v>
      </c>
      <c r="D197" s="6" t="s">
        <v>1029</v>
      </c>
      <c r="E197" s="6" t="s">
        <v>1142</v>
      </c>
      <c r="F197" s="6" t="s">
        <v>392</v>
      </c>
      <c r="G197" s="48" t="s">
        <v>1151</v>
      </c>
      <c r="H197" s="48" t="s">
        <v>1118</v>
      </c>
      <c r="I197" s="102">
        <f>I195*1.01</f>
        <v>11.8978</v>
      </c>
      <c r="J197" s="102">
        <f t="shared" ref="J197:O197" si="208">J195*1.01</f>
        <v>12.9078</v>
      </c>
      <c r="K197" s="102">
        <f t="shared" si="208"/>
        <v>13.9178</v>
      </c>
      <c r="L197" s="102">
        <f t="shared" si="208"/>
        <v>14.9278</v>
      </c>
      <c r="M197" s="102">
        <f t="shared" si="208"/>
        <v>15.937799999999999</v>
      </c>
      <c r="N197" s="102">
        <f t="shared" si="208"/>
        <v>16.947800000000001</v>
      </c>
      <c r="O197" s="102">
        <f t="shared" si="208"/>
        <v>17.957800000000002</v>
      </c>
      <c r="P197" s="269">
        <v>0</v>
      </c>
      <c r="Q197" s="253">
        <f t="shared" si="204"/>
        <v>2.3795600000000001</v>
      </c>
      <c r="R197" s="253">
        <f t="shared" si="200"/>
        <v>2.5815600000000001</v>
      </c>
      <c r="S197" s="253">
        <f t="shared" si="200"/>
        <v>2.78356</v>
      </c>
      <c r="T197" s="253">
        <f t="shared" si="200"/>
        <v>2.98556</v>
      </c>
      <c r="U197" s="253">
        <f t="shared" si="200"/>
        <v>3.1875599999999999</v>
      </c>
      <c r="V197" s="253">
        <f t="shared" si="200"/>
        <v>3.3895600000000004</v>
      </c>
      <c r="W197" s="253">
        <f t="shared" si="200"/>
        <v>3.5915600000000008</v>
      </c>
      <c r="X197" s="102">
        <v>0</v>
      </c>
      <c r="Y197" s="102">
        <v>0</v>
      </c>
      <c r="Z197" s="102">
        <v>0</v>
      </c>
      <c r="AA197" s="102">
        <v>0</v>
      </c>
      <c r="AB197" s="102">
        <v>0</v>
      </c>
      <c r="AC197" s="102">
        <v>0</v>
      </c>
      <c r="AD197" s="102">
        <v>0</v>
      </c>
      <c r="AE197" s="186">
        <v>0.08</v>
      </c>
      <c r="AF197" s="94">
        <v>0</v>
      </c>
      <c r="AG197" s="94">
        <v>30</v>
      </c>
      <c r="AH197" s="94">
        <v>30</v>
      </c>
      <c r="AI197" s="17">
        <v>0.19400000000000001</v>
      </c>
      <c r="AJ197" s="17" t="s">
        <v>660</v>
      </c>
      <c r="AK197" s="17" t="s">
        <v>745</v>
      </c>
      <c r="AL197" s="17"/>
      <c r="AM197" s="61"/>
      <c r="AN197" s="61"/>
      <c r="AO197" s="61"/>
      <c r="AP197" s="61"/>
      <c r="AQ197" s="61"/>
      <c r="AR197" s="61"/>
      <c r="AS197" s="64"/>
      <c r="AT197" s="64"/>
      <c r="AU197" s="64"/>
      <c r="AV197" s="132"/>
      <c r="AW197" s="132"/>
      <c r="AX197" s="132"/>
      <c r="AY197" s="28" t="s">
        <v>662</v>
      </c>
      <c r="AZ197" s="28"/>
      <c r="BA197" s="28"/>
      <c r="BB197" s="28"/>
      <c r="BC197" s="28"/>
      <c r="BD197" s="28"/>
      <c r="BE197" s="28"/>
      <c r="BF197" s="28"/>
      <c r="BG197" s="28"/>
      <c r="BH197" s="106"/>
      <c r="BI197" s="106"/>
      <c r="BJ197" s="106"/>
      <c r="BK197" s="106"/>
      <c r="BL197" s="137"/>
      <c r="BM197" s="123"/>
      <c r="BN197" s="139">
        <v>0</v>
      </c>
      <c r="BO197" s="94"/>
      <c r="BP197" s="94"/>
      <c r="BQ197" s="94"/>
      <c r="BR197" s="94"/>
      <c r="BS197" s="94"/>
      <c r="BT197" s="94"/>
      <c r="BU197" s="28">
        <f t="shared" si="201"/>
        <v>0</v>
      </c>
      <c r="BV197" s="28"/>
      <c r="BW197" s="28"/>
      <c r="BX197" s="28"/>
      <c r="BY197" s="28"/>
      <c r="BZ197" s="28"/>
      <c r="CA197" s="28"/>
      <c r="CB197" s="99"/>
      <c r="CC197" s="185">
        <f t="shared" si="202"/>
        <v>567.02</v>
      </c>
      <c r="CD197" s="99">
        <f t="shared" si="202"/>
        <v>567.02</v>
      </c>
      <c r="CE197" s="99">
        <f t="shared" si="202"/>
        <v>567.02</v>
      </c>
      <c r="CF197" s="99">
        <f t="shared" si="202"/>
        <v>567.02</v>
      </c>
      <c r="CG197" s="99">
        <f t="shared" si="202"/>
        <v>567.02</v>
      </c>
      <c r="CH197" s="99">
        <f t="shared" si="202"/>
        <v>567.02</v>
      </c>
      <c r="CI197" s="175"/>
      <c r="CJ197" s="175"/>
      <c r="CK197" s="175"/>
      <c r="CL197" s="175"/>
      <c r="CM197" s="175"/>
      <c r="CN197" s="175"/>
      <c r="CO197" s="175"/>
      <c r="CP197" s="176"/>
      <c r="CQ197" s="176"/>
      <c r="CR197" s="176"/>
      <c r="CS197" s="176"/>
      <c r="CT197" s="176"/>
      <c r="CU197" s="176"/>
      <c r="CV197" s="176"/>
      <c r="CW197" s="167"/>
      <c r="CX197" s="168"/>
      <c r="CY197" s="168"/>
      <c r="CZ197" s="168"/>
      <c r="DA197" s="168"/>
      <c r="DB197" s="168"/>
      <c r="DC197" s="168"/>
      <c r="DD197" s="172"/>
      <c r="DE197" s="172"/>
      <c r="DF197" s="172"/>
      <c r="DG197" s="172"/>
      <c r="DH197" s="172"/>
      <c r="DI197" s="172"/>
      <c r="DJ197" s="172"/>
      <c r="DK197" s="80" t="s">
        <v>663</v>
      </c>
      <c r="DL197" s="129">
        <f>ROUNDUP(VLOOKUP($F197,Activities!$A$9:$I$180,3,FALSE)/$AI197,2)</f>
        <v>567.02</v>
      </c>
      <c r="DM197" s="129">
        <f>ROUNDUP(VLOOKUP($F197,Activities!$A$9:$I$180,4,FALSE)/$AI197,2)</f>
        <v>567.02</v>
      </c>
      <c r="DN197" s="129">
        <f>ROUNDUP(VLOOKUP($F197,Activities!$A$9:$I$180,5,FALSE)/$AI197,2)</f>
        <v>567.02</v>
      </c>
      <c r="DO197" s="129">
        <f>ROUNDUP(VLOOKUP($F197,Activities!$A$9:$I$180,6,FALSE)/$AI197,2)</f>
        <v>567.02</v>
      </c>
      <c r="DP197" s="129">
        <f>ROUNDUP(VLOOKUP($F197,Activities!$A$9:$I$180,7,FALSE)/$AI197,2)</f>
        <v>567.02</v>
      </c>
      <c r="DQ197" s="129">
        <f>ROUNDUP(VLOOKUP($F197,Activities!$A$9:$I$180,8,FALSE)/$AI197,2)</f>
        <v>567.02</v>
      </c>
      <c r="DR197" s="129">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5" t="s">
        <v>1152</v>
      </c>
      <c r="B198" s="5" t="s">
        <v>1141</v>
      </c>
      <c r="C198" s="5" t="s">
        <v>655</v>
      </c>
      <c r="D198" s="5" t="s">
        <v>1029</v>
      </c>
      <c r="E198" s="5" t="s">
        <v>1142</v>
      </c>
      <c r="F198" s="5" t="s">
        <v>392</v>
      </c>
      <c r="G198" s="47" t="s">
        <v>1153</v>
      </c>
      <c r="H198" s="47" t="s">
        <v>1118</v>
      </c>
      <c r="I198" s="101">
        <v>14.29</v>
      </c>
      <c r="J198" s="101">
        <v>14.29</v>
      </c>
      <c r="K198" s="101">
        <v>14.29</v>
      </c>
      <c r="L198" s="101">
        <v>14.29</v>
      </c>
      <c r="M198" s="101">
        <v>14.29</v>
      </c>
      <c r="N198" s="101">
        <v>14.29</v>
      </c>
      <c r="O198" s="101">
        <v>14.29</v>
      </c>
      <c r="P198" s="269">
        <v>0</v>
      </c>
      <c r="Q198" s="253">
        <f t="shared" si="204"/>
        <v>2.8580000000000001</v>
      </c>
      <c r="R198" s="253">
        <f t="shared" si="200"/>
        <v>2.8580000000000001</v>
      </c>
      <c r="S198" s="253">
        <f t="shared" si="200"/>
        <v>2.8580000000000001</v>
      </c>
      <c r="T198" s="253">
        <f t="shared" si="200"/>
        <v>2.8580000000000001</v>
      </c>
      <c r="U198" s="253">
        <f t="shared" si="200"/>
        <v>2.8580000000000001</v>
      </c>
      <c r="V198" s="253">
        <f t="shared" si="200"/>
        <v>2.8580000000000001</v>
      </c>
      <c r="W198" s="253">
        <f t="shared" si="200"/>
        <v>2.8580000000000001</v>
      </c>
      <c r="X198" s="101">
        <v>0</v>
      </c>
      <c r="Y198" s="101">
        <v>0</v>
      </c>
      <c r="Z198" s="101">
        <v>0</v>
      </c>
      <c r="AA198" s="101">
        <v>0</v>
      </c>
      <c r="AB198" s="101">
        <v>0</v>
      </c>
      <c r="AC198" s="101">
        <v>0</v>
      </c>
      <c r="AD198" s="101">
        <v>0</v>
      </c>
      <c r="AE198" s="186">
        <v>0.08</v>
      </c>
      <c r="AF198" s="93">
        <v>0</v>
      </c>
      <c r="AG198" s="93">
        <v>30</v>
      </c>
      <c r="AH198" s="93">
        <v>30</v>
      </c>
      <c r="AI198" s="16">
        <v>0.19400000000000001</v>
      </c>
      <c r="AJ198" s="16" t="s">
        <v>660</v>
      </c>
      <c r="AK198" s="16" t="s">
        <v>745</v>
      </c>
      <c r="AL198" s="16"/>
      <c r="AM198" s="60"/>
      <c r="AN198" s="60"/>
      <c r="AO198" s="60"/>
      <c r="AP198" s="60"/>
      <c r="AQ198" s="60"/>
      <c r="AR198" s="60"/>
      <c r="AS198" s="63"/>
      <c r="AT198" s="63"/>
      <c r="AU198" s="63"/>
      <c r="AV198" s="131"/>
      <c r="AW198" s="131"/>
      <c r="AX198" s="131"/>
      <c r="AY198" s="27" t="s">
        <v>662</v>
      </c>
      <c r="AZ198" s="27"/>
      <c r="BA198" s="27"/>
      <c r="BB198" s="30"/>
      <c r="BC198" s="30"/>
      <c r="BD198" s="30"/>
      <c r="BE198" s="30"/>
      <c r="BF198" s="30"/>
      <c r="BG198" s="30"/>
      <c r="BH198" s="107"/>
      <c r="BI198" s="107"/>
      <c r="BJ198" s="107"/>
      <c r="BK198" s="107"/>
      <c r="BL198" s="136"/>
      <c r="BM198" s="122"/>
      <c r="BN198" s="138">
        <v>30</v>
      </c>
      <c r="BO198" s="93">
        <v>5</v>
      </c>
      <c r="BP198" s="93">
        <v>5</v>
      </c>
      <c r="BQ198" s="93">
        <v>5</v>
      </c>
      <c r="BR198" s="93">
        <v>5</v>
      </c>
      <c r="BS198" s="93">
        <v>5</v>
      </c>
      <c r="BT198" s="93">
        <v>5</v>
      </c>
      <c r="BU198" s="27">
        <f t="shared" si="201"/>
        <v>0</v>
      </c>
      <c r="BV198" s="27"/>
      <c r="BW198" s="27"/>
      <c r="BX198" s="27"/>
      <c r="BY198" s="27"/>
      <c r="BZ198" s="27"/>
      <c r="CA198" s="27"/>
      <c r="CB198" s="97">
        <v>30</v>
      </c>
      <c r="CC198" s="97">
        <v>150</v>
      </c>
      <c r="CD198" s="97">
        <f>0.2*CD193</f>
        <v>113.404</v>
      </c>
      <c r="CE198" s="97">
        <f>0.3*CE193</f>
        <v>170.10599999999999</v>
      </c>
      <c r="CF198" s="97">
        <f t="shared" ref="CF198:CH198" si="209">0.3*CF193</f>
        <v>96.003573750000001</v>
      </c>
      <c r="CG198" s="97">
        <f t="shared" si="209"/>
        <v>85.052999999999997</v>
      </c>
      <c r="CH198" s="97">
        <f t="shared" si="209"/>
        <v>21.9011475</v>
      </c>
      <c r="CI198" s="173">
        <f>CB198*AI198*0.9</f>
        <v>5.2380000000000004</v>
      </c>
      <c r="CJ198" s="173"/>
      <c r="CK198" s="173"/>
      <c r="CL198" s="173"/>
      <c r="CM198" s="173"/>
      <c r="CN198" s="173"/>
      <c r="CO198" s="173"/>
      <c r="CP198" s="174"/>
      <c r="CQ198" s="174"/>
      <c r="CR198" s="174"/>
      <c r="CS198" s="174"/>
      <c r="CT198" s="174"/>
      <c r="CU198" s="174"/>
      <c r="CV198" s="174"/>
      <c r="CW198" s="165"/>
      <c r="CX198" s="166"/>
      <c r="CY198" s="166"/>
      <c r="CZ198" s="166"/>
      <c r="DA198" s="166"/>
      <c r="DB198" s="166"/>
      <c r="DC198" s="166"/>
      <c r="DD198" s="171"/>
      <c r="DE198" s="171"/>
      <c r="DF198" s="171"/>
      <c r="DG198" s="171"/>
      <c r="DH198" s="171"/>
      <c r="DI198" s="171"/>
      <c r="DJ198" s="171"/>
      <c r="DK198" s="79" t="s">
        <v>663</v>
      </c>
      <c r="DL198" s="128">
        <f>ROUNDUP(VLOOKUP($F198,Activities!$A$9:$I$180,3,FALSE)/$AI198,2)</f>
        <v>567.02</v>
      </c>
      <c r="DM198" s="128">
        <f>ROUNDUP(VLOOKUP($F198,Activities!$A$9:$I$180,4,FALSE)/$AI198,2)</f>
        <v>567.02</v>
      </c>
      <c r="DN198" s="128">
        <f>ROUNDUP(VLOOKUP($F198,Activities!$A$9:$I$180,5,FALSE)/$AI198,2)</f>
        <v>567.02</v>
      </c>
      <c r="DO198" s="128">
        <f>ROUNDUP(VLOOKUP($F198,Activities!$A$9:$I$180,6,FALSE)/$AI198,2)</f>
        <v>567.02</v>
      </c>
      <c r="DP198" s="128">
        <f>ROUNDUP(VLOOKUP($F198,Activities!$A$9:$I$180,7,FALSE)/$AI198,2)</f>
        <v>567.02</v>
      </c>
      <c r="DQ198" s="128">
        <f>ROUNDUP(VLOOKUP($F198,Activities!$A$9:$I$180,8,FALSE)/$AI198,2)</f>
        <v>567.02</v>
      </c>
      <c r="DR198" s="128">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6" t="s">
        <v>1154</v>
      </c>
      <c r="B199" s="6" t="s">
        <v>1141</v>
      </c>
      <c r="C199" s="6" t="s">
        <v>655</v>
      </c>
      <c r="D199" s="6" t="s">
        <v>1029</v>
      </c>
      <c r="E199" s="6" t="s">
        <v>1142</v>
      </c>
      <c r="F199" s="6" t="s">
        <v>392</v>
      </c>
      <c r="G199" s="48" t="s">
        <v>1155</v>
      </c>
      <c r="H199" s="48" t="s">
        <v>1118</v>
      </c>
      <c r="I199" s="102">
        <f>I200*1.05</f>
        <v>27.552</v>
      </c>
      <c r="J199" s="102">
        <f t="shared" ref="J199:O199" si="210">J200*1.05</f>
        <v>28.602</v>
      </c>
      <c r="K199" s="102">
        <f t="shared" si="210"/>
        <v>29.652000000000001</v>
      </c>
      <c r="L199" s="102">
        <f t="shared" si="210"/>
        <v>30.701999999999998</v>
      </c>
      <c r="M199" s="102">
        <f t="shared" si="210"/>
        <v>31.751999999999999</v>
      </c>
      <c r="N199" s="102">
        <f t="shared" si="210"/>
        <v>32.802</v>
      </c>
      <c r="O199" s="102">
        <f t="shared" si="210"/>
        <v>33.852000000000004</v>
      </c>
      <c r="P199" s="269">
        <v>0</v>
      </c>
      <c r="Q199" s="253">
        <f t="shared" si="204"/>
        <v>5.5104000000000006</v>
      </c>
      <c r="R199" s="253">
        <f t="shared" si="200"/>
        <v>5.7204000000000006</v>
      </c>
      <c r="S199" s="253">
        <f t="shared" si="200"/>
        <v>5.9304000000000006</v>
      </c>
      <c r="T199" s="253">
        <f t="shared" si="200"/>
        <v>6.1403999999999996</v>
      </c>
      <c r="U199" s="253">
        <f t="shared" si="200"/>
        <v>6.3504000000000005</v>
      </c>
      <c r="V199" s="253">
        <f t="shared" si="200"/>
        <v>6.5604000000000005</v>
      </c>
      <c r="W199" s="253">
        <f t="shared" si="200"/>
        <v>6.7704000000000013</v>
      </c>
      <c r="X199" s="102">
        <v>0</v>
      </c>
      <c r="Y199" s="102">
        <v>0</v>
      </c>
      <c r="Z199" s="102">
        <v>0</v>
      </c>
      <c r="AA199" s="102">
        <v>0</v>
      </c>
      <c r="AB199" s="102">
        <v>0</v>
      </c>
      <c r="AC199" s="102">
        <v>0</v>
      </c>
      <c r="AD199" s="102">
        <v>0</v>
      </c>
      <c r="AE199" s="186">
        <v>0.08</v>
      </c>
      <c r="AF199" s="94">
        <v>0</v>
      </c>
      <c r="AG199" s="94">
        <v>30</v>
      </c>
      <c r="AH199" s="94">
        <v>30</v>
      </c>
      <c r="AI199" s="17">
        <v>0.19400000000000001</v>
      </c>
      <c r="AJ199" s="17" t="s">
        <v>660</v>
      </c>
      <c r="AK199" s="17" t="s">
        <v>745</v>
      </c>
      <c r="AL199" s="17"/>
      <c r="AM199" s="61"/>
      <c r="AN199" s="61"/>
      <c r="AO199" s="61"/>
      <c r="AP199" s="61"/>
      <c r="AQ199" s="61"/>
      <c r="AR199" s="61"/>
      <c r="AS199" s="64"/>
      <c r="AT199" s="64"/>
      <c r="AU199" s="64"/>
      <c r="AV199" s="132"/>
      <c r="AW199" s="132"/>
      <c r="AX199" s="132"/>
      <c r="AY199" s="28" t="s">
        <v>662</v>
      </c>
      <c r="AZ199" s="28"/>
      <c r="BA199" s="28"/>
      <c r="BB199" s="28"/>
      <c r="BC199" s="28"/>
      <c r="BD199" s="28"/>
      <c r="BE199" s="28"/>
      <c r="BF199" s="28"/>
      <c r="BG199" s="28"/>
      <c r="BH199" s="106"/>
      <c r="BI199" s="106"/>
      <c r="BJ199" s="106"/>
      <c r="BK199" s="106"/>
      <c r="BL199" s="137"/>
      <c r="BM199" s="123"/>
      <c r="BN199" s="139">
        <v>0</v>
      </c>
      <c r="BO199" s="94"/>
      <c r="BP199" s="94"/>
      <c r="BQ199" s="94"/>
      <c r="BR199" s="94"/>
      <c r="BS199" s="94"/>
      <c r="BT199" s="94"/>
      <c r="BU199" s="28">
        <f t="shared" si="201"/>
        <v>0</v>
      </c>
      <c r="BV199" s="28"/>
      <c r="BW199" s="28"/>
      <c r="BX199" s="28"/>
      <c r="BY199" s="28"/>
      <c r="BZ199" s="28"/>
      <c r="CA199" s="28"/>
      <c r="CB199" s="99"/>
      <c r="CC199" s="99"/>
      <c r="CD199" s="99">
        <v>100</v>
      </c>
      <c r="CE199" s="99">
        <v>200</v>
      </c>
      <c r="CF199" s="99">
        <v>200</v>
      </c>
      <c r="CG199" s="99">
        <v>200</v>
      </c>
      <c r="CH199" s="99">
        <v>200</v>
      </c>
      <c r="CI199" s="175"/>
      <c r="CJ199" s="175"/>
      <c r="CK199" s="175"/>
      <c r="CL199" s="175"/>
      <c r="CM199" s="175"/>
      <c r="CN199" s="175"/>
      <c r="CO199" s="175"/>
      <c r="CP199" s="176"/>
      <c r="CQ199" s="176"/>
      <c r="CR199" s="176"/>
      <c r="CS199" s="176"/>
      <c r="CT199" s="176"/>
      <c r="CU199" s="176"/>
      <c r="CV199" s="176"/>
      <c r="CW199" s="167"/>
      <c r="CX199" s="168"/>
      <c r="CY199" s="168"/>
      <c r="CZ199" s="168"/>
      <c r="DA199" s="168"/>
      <c r="DB199" s="168"/>
      <c r="DC199" s="168"/>
      <c r="DD199" s="172"/>
      <c r="DE199" s="172"/>
      <c r="DF199" s="172"/>
      <c r="DG199" s="172"/>
      <c r="DH199" s="172"/>
      <c r="DI199" s="172"/>
      <c r="DJ199" s="172"/>
      <c r="DK199" s="80" t="s">
        <v>663</v>
      </c>
      <c r="DL199" s="129">
        <f>ROUNDUP(VLOOKUP($F199,Activities!$A$9:$I$180,3,FALSE)/$AI199,2)</f>
        <v>567.02</v>
      </c>
      <c r="DM199" s="129">
        <f>ROUNDUP(VLOOKUP($F199,Activities!$A$9:$I$180,4,FALSE)/$AI199,2)</f>
        <v>567.02</v>
      </c>
      <c r="DN199" s="129">
        <f>ROUNDUP(VLOOKUP($F199,Activities!$A$9:$I$180,5,FALSE)/$AI199,2)</f>
        <v>567.02</v>
      </c>
      <c r="DO199" s="129">
        <f>ROUNDUP(VLOOKUP($F199,Activities!$A$9:$I$180,6,FALSE)/$AI199,2)</f>
        <v>567.02</v>
      </c>
      <c r="DP199" s="129">
        <f>ROUNDUP(VLOOKUP($F199,Activities!$A$9:$I$180,7,FALSE)/$AI199,2)</f>
        <v>567.02</v>
      </c>
      <c r="DQ199" s="129">
        <f>ROUNDUP(VLOOKUP($F199,Activities!$A$9:$I$180,8,FALSE)/$AI199,2)</f>
        <v>567.02</v>
      </c>
      <c r="DR199" s="129">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5" t="s">
        <v>1156</v>
      </c>
      <c r="B200" s="5" t="s">
        <v>1141</v>
      </c>
      <c r="C200" s="5" t="s">
        <v>655</v>
      </c>
      <c r="D200" s="5" t="s">
        <v>1029</v>
      </c>
      <c r="E200" s="5" t="s">
        <v>1142</v>
      </c>
      <c r="F200" s="5" t="s">
        <v>392</v>
      </c>
      <c r="G200" s="47" t="s">
        <v>1157</v>
      </c>
      <c r="H200" s="47" t="s">
        <v>1118</v>
      </c>
      <c r="I200" s="102">
        <v>26.24</v>
      </c>
      <c r="J200" s="102">
        <v>27.24</v>
      </c>
      <c r="K200" s="102">
        <v>28.24</v>
      </c>
      <c r="L200" s="102">
        <v>29.24</v>
      </c>
      <c r="M200" s="102">
        <v>30.24</v>
      </c>
      <c r="N200" s="102">
        <v>31.24</v>
      </c>
      <c r="O200" s="102">
        <v>32.24</v>
      </c>
      <c r="P200" s="269">
        <v>0</v>
      </c>
      <c r="Q200" s="253">
        <f t="shared" si="204"/>
        <v>5.2480000000000002</v>
      </c>
      <c r="R200" s="253">
        <f t="shared" si="200"/>
        <v>5.4480000000000004</v>
      </c>
      <c r="S200" s="253">
        <f t="shared" si="200"/>
        <v>5.6479999999999997</v>
      </c>
      <c r="T200" s="253">
        <f t="shared" si="200"/>
        <v>5.8479999999999999</v>
      </c>
      <c r="U200" s="253">
        <f t="shared" si="200"/>
        <v>6.048</v>
      </c>
      <c r="V200" s="253">
        <f t="shared" si="200"/>
        <v>6.2480000000000002</v>
      </c>
      <c r="W200" s="253">
        <f t="shared" si="200"/>
        <v>6.4480000000000004</v>
      </c>
      <c r="X200" s="101">
        <v>0</v>
      </c>
      <c r="Y200" s="101">
        <v>0</v>
      </c>
      <c r="Z200" s="101">
        <v>0</v>
      </c>
      <c r="AA200" s="101">
        <v>0</v>
      </c>
      <c r="AB200" s="101">
        <v>0</v>
      </c>
      <c r="AC200" s="101">
        <v>0</v>
      </c>
      <c r="AD200" s="101">
        <v>0</v>
      </c>
      <c r="AE200" s="186">
        <v>0.08</v>
      </c>
      <c r="AF200" s="93">
        <v>0</v>
      </c>
      <c r="AG200" s="93">
        <v>30</v>
      </c>
      <c r="AH200" s="93">
        <v>30</v>
      </c>
      <c r="AI200" s="16">
        <v>0.19400000000000001</v>
      </c>
      <c r="AJ200" s="16" t="s">
        <v>660</v>
      </c>
      <c r="AK200" s="16" t="s">
        <v>745</v>
      </c>
      <c r="AL200" s="16"/>
      <c r="AM200" s="60"/>
      <c r="AN200" s="60"/>
      <c r="AO200" s="60"/>
      <c r="AP200" s="60"/>
      <c r="AQ200" s="60"/>
      <c r="AR200" s="60"/>
      <c r="AS200" s="63"/>
      <c r="AT200" s="63"/>
      <c r="AU200" s="63"/>
      <c r="AV200" s="131"/>
      <c r="AW200" s="131"/>
      <c r="AX200" s="131"/>
      <c r="AY200" s="27" t="s">
        <v>662</v>
      </c>
      <c r="AZ200" s="27"/>
      <c r="BA200" s="27"/>
      <c r="BB200" s="30"/>
      <c r="BC200" s="30"/>
      <c r="BD200" s="30"/>
      <c r="BE200" s="30"/>
      <c r="BF200" s="30"/>
      <c r="BG200" s="30"/>
      <c r="BH200" s="107"/>
      <c r="BI200" s="107"/>
      <c r="BJ200" s="107"/>
      <c r="BK200" s="107"/>
      <c r="BL200" s="136"/>
      <c r="BM200" s="122"/>
      <c r="BN200" s="138">
        <v>0</v>
      </c>
      <c r="BO200" s="93"/>
      <c r="BP200" s="93"/>
      <c r="BQ200" s="93"/>
      <c r="BR200" s="93"/>
      <c r="BS200" s="93"/>
      <c r="BT200" s="93"/>
      <c r="BU200" s="27">
        <f t="shared" ref="BU200" si="211">IF(BL200=1,BN200,0)</f>
        <v>0</v>
      </c>
      <c r="BV200" s="27"/>
      <c r="BW200" s="27"/>
      <c r="BX200" s="27"/>
      <c r="BY200" s="27"/>
      <c r="BZ200" s="27"/>
      <c r="CA200" s="27"/>
      <c r="CB200" s="97"/>
      <c r="CC200" s="97"/>
      <c r="CD200" s="97">
        <v>100</v>
      </c>
      <c r="CE200" s="97">
        <v>200</v>
      </c>
      <c r="CF200" s="97">
        <v>200</v>
      </c>
      <c r="CG200" s="97">
        <v>200</v>
      </c>
      <c r="CH200" s="97">
        <v>200</v>
      </c>
      <c r="CI200" s="173"/>
      <c r="CJ200" s="173"/>
      <c r="CK200" s="173"/>
      <c r="CL200" s="173"/>
      <c r="CM200" s="173"/>
      <c r="CN200" s="173"/>
      <c r="CO200" s="173"/>
      <c r="CP200" s="174"/>
      <c r="CQ200" s="174"/>
      <c r="CR200" s="174"/>
      <c r="CS200" s="174"/>
      <c r="CT200" s="174"/>
      <c r="CU200" s="174"/>
      <c r="CV200" s="174"/>
      <c r="CW200" s="165"/>
      <c r="CX200" s="166"/>
      <c r="CY200" s="166"/>
      <c r="CZ200" s="166"/>
      <c r="DA200" s="166"/>
      <c r="DB200" s="166"/>
      <c r="DC200" s="166"/>
      <c r="DD200" s="171"/>
      <c r="DE200" s="171"/>
      <c r="DF200" s="171"/>
      <c r="DG200" s="171"/>
      <c r="DH200" s="171"/>
      <c r="DI200" s="171"/>
      <c r="DJ200" s="171"/>
      <c r="DK200" s="79" t="s">
        <v>663</v>
      </c>
      <c r="DL200" s="128">
        <f>ROUNDUP(VLOOKUP($F200,Activities!$A$9:$I$180,3,FALSE)/$AI200,2)</f>
        <v>567.02</v>
      </c>
      <c r="DM200" s="128">
        <f>ROUNDUP(VLOOKUP($F200,Activities!$A$9:$I$180,4,FALSE)/$AI200,2)</f>
        <v>567.02</v>
      </c>
      <c r="DN200" s="128">
        <f>ROUNDUP(VLOOKUP($F200,Activities!$A$9:$I$180,5,FALSE)/$AI200,2)</f>
        <v>567.02</v>
      </c>
      <c r="DO200" s="128">
        <f>ROUNDUP(VLOOKUP($F200,Activities!$A$9:$I$180,6,FALSE)/$AI200,2)</f>
        <v>567.02</v>
      </c>
      <c r="DP200" s="128">
        <f>ROUNDUP(VLOOKUP($F200,Activities!$A$9:$I$180,7,FALSE)/$AI200,2)</f>
        <v>567.02</v>
      </c>
      <c r="DQ200" s="128">
        <f>ROUNDUP(VLOOKUP($F200,Activities!$A$9:$I$180,8,FALSE)/$AI200,2)</f>
        <v>567.02</v>
      </c>
      <c r="DR200" s="128">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s="347" customFormat="1" x14ac:dyDescent="0.35">
      <c r="A201" s="327" t="s">
        <v>1158</v>
      </c>
      <c r="B201" s="327" t="s">
        <v>1141</v>
      </c>
      <c r="C201" s="327" t="s">
        <v>655</v>
      </c>
      <c r="D201" s="327" t="s">
        <v>1029</v>
      </c>
      <c r="E201" s="327" t="s">
        <v>1142</v>
      </c>
      <c r="F201" s="327" t="s">
        <v>499</v>
      </c>
      <c r="G201" s="328" t="s">
        <v>1159</v>
      </c>
      <c r="H201" s="328" t="s">
        <v>659</v>
      </c>
      <c r="I201" s="329">
        <v>0</v>
      </c>
      <c r="J201" s="329">
        <v>0</v>
      </c>
      <c r="K201" s="329">
        <v>0</v>
      </c>
      <c r="L201" s="329">
        <v>0</v>
      </c>
      <c r="M201" s="329">
        <v>0</v>
      </c>
      <c r="N201" s="329">
        <v>0</v>
      </c>
      <c r="O201" s="329">
        <v>0</v>
      </c>
      <c r="P201" s="330"/>
      <c r="Q201" s="329">
        <v>0</v>
      </c>
      <c r="R201" s="329">
        <v>0</v>
      </c>
      <c r="S201" s="329">
        <v>0</v>
      </c>
      <c r="T201" s="329">
        <v>0</v>
      </c>
      <c r="U201" s="329">
        <v>0</v>
      </c>
      <c r="V201" s="329">
        <v>0</v>
      </c>
      <c r="W201" s="329">
        <v>0</v>
      </c>
      <c r="X201" s="329">
        <v>0</v>
      </c>
      <c r="Y201" s="329">
        <v>0</v>
      </c>
      <c r="Z201" s="329">
        <v>0</v>
      </c>
      <c r="AA201" s="329">
        <v>0</v>
      </c>
      <c r="AB201" s="329">
        <v>0</v>
      </c>
      <c r="AC201" s="329">
        <v>0</v>
      </c>
      <c r="AD201" s="329">
        <v>0</v>
      </c>
      <c r="AE201" s="186">
        <v>0.08</v>
      </c>
      <c r="AF201" s="330">
        <v>0</v>
      </c>
      <c r="AG201" s="330">
        <v>30</v>
      </c>
      <c r="AH201" s="330">
        <v>30</v>
      </c>
      <c r="AI201" s="331">
        <v>1</v>
      </c>
      <c r="AJ201" s="331" t="s">
        <v>660</v>
      </c>
      <c r="AK201" s="331" t="s">
        <v>745</v>
      </c>
      <c r="AL201" s="331"/>
      <c r="AM201" s="332"/>
      <c r="AN201" s="332"/>
      <c r="AO201" s="332"/>
      <c r="AP201" s="332"/>
      <c r="AQ201" s="332"/>
      <c r="AR201" s="332"/>
      <c r="AS201" s="333"/>
      <c r="AT201" s="333"/>
      <c r="AU201" s="333"/>
      <c r="AV201" s="334"/>
      <c r="AW201" s="334"/>
      <c r="AX201" s="334"/>
      <c r="AY201" s="335" t="s">
        <v>662</v>
      </c>
      <c r="AZ201" s="335"/>
      <c r="BA201" s="336"/>
      <c r="BB201" s="337"/>
      <c r="BC201" s="337"/>
      <c r="BD201" s="337"/>
      <c r="BE201" s="337"/>
      <c r="BF201" s="337"/>
      <c r="BG201" s="337"/>
      <c r="BH201" s="338"/>
      <c r="BI201" s="338"/>
      <c r="BJ201" s="338"/>
      <c r="BK201" s="338"/>
      <c r="BL201" s="339"/>
      <c r="BM201" s="340"/>
      <c r="BN201" s="341">
        <v>0</v>
      </c>
      <c r="BO201" s="330"/>
      <c r="BP201" s="330"/>
      <c r="BQ201" s="330"/>
      <c r="BR201" s="330"/>
      <c r="BS201" s="330"/>
      <c r="BT201" s="330"/>
      <c r="BU201" s="335">
        <v>0</v>
      </c>
      <c r="BV201" s="335"/>
      <c r="BW201" s="335"/>
      <c r="BX201" s="335"/>
      <c r="BY201" s="335"/>
      <c r="BZ201" s="335"/>
      <c r="CA201" s="335"/>
      <c r="CB201" s="342">
        <v>0</v>
      </c>
      <c r="CC201" s="342">
        <v>0</v>
      </c>
      <c r="CD201" s="342"/>
      <c r="CE201" s="342"/>
      <c r="CF201" s="342"/>
      <c r="CG201" s="342"/>
      <c r="CH201" s="342"/>
      <c r="CI201" s="335"/>
      <c r="CJ201" s="335"/>
      <c r="CK201" s="335"/>
      <c r="CL201" s="335"/>
      <c r="CM201" s="335"/>
      <c r="CN201" s="335"/>
      <c r="CO201" s="335"/>
      <c r="CP201" s="343">
        <v>0</v>
      </c>
      <c r="CQ201" s="343">
        <v>0</v>
      </c>
      <c r="CR201" s="343">
        <v>0</v>
      </c>
      <c r="CS201" s="343">
        <v>0</v>
      </c>
      <c r="CT201" s="343">
        <v>0</v>
      </c>
      <c r="CU201" s="343">
        <v>0</v>
      </c>
      <c r="CV201" s="343">
        <v>0</v>
      </c>
      <c r="CW201" s="344"/>
      <c r="CX201" s="345"/>
      <c r="CY201" s="345"/>
      <c r="CZ201" s="345"/>
      <c r="DA201" s="345"/>
      <c r="DB201" s="345"/>
      <c r="DC201" s="345"/>
      <c r="DD201" s="345"/>
      <c r="DE201" s="345"/>
      <c r="DF201" s="345"/>
      <c r="DG201" s="345"/>
      <c r="DH201" s="345"/>
      <c r="DI201" s="345"/>
      <c r="DJ201" s="345"/>
      <c r="DK201" s="289" t="s">
        <v>452</v>
      </c>
      <c r="DL201" s="344">
        <v>0</v>
      </c>
      <c r="DM201" s="344">
        <v>0</v>
      </c>
      <c r="DN201" s="344">
        <v>0</v>
      </c>
      <c r="DO201" s="344">
        <v>0</v>
      </c>
      <c r="DP201" s="344">
        <v>0</v>
      </c>
      <c r="DQ201" s="344">
        <v>0</v>
      </c>
      <c r="DR201" s="344">
        <v>0</v>
      </c>
      <c r="DS201" s="346"/>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row>
    <row r="202" spans="1:244" s="347" customFormat="1" x14ac:dyDescent="0.35">
      <c r="A202" s="327" t="s">
        <v>1160</v>
      </c>
      <c r="B202" s="327" t="s">
        <v>1141</v>
      </c>
      <c r="C202" s="327" t="s">
        <v>655</v>
      </c>
      <c r="D202" s="327" t="s">
        <v>1029</v>
      </c>
      <c r="E202" s="327" t="s">
        <v>1142</v>
      </c>
      <c r="F202" s="327" t="s">
        <v>547</v>
      </c>
      <c r="G202" s="328" t="s">
        <v>1161</v>
      </c>
      <c r="H202" s="328" t="s">
        <v>1162</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x14ac:dyDescent="0.35">
      <c r="A203" s="6" t="s">
        <v>1163</v>
      </c>
      <c r="B203" s="6" t="s">
        <v>1141</v>
      </c>
      <c r="C203" s="6" t="s">
        <v>655</v>
      </c>
      <c r="D203" s="6" t="s">
        <v>1029</v>
      </c>
      <c r="E203" s="6" t="s">
        <v>1142</v>
      </c>
      <c r="F203" s="6" t="s">
        <v>391</v>
      </c>
      <c r="G203" s="48" t="s">
        <v>1164</v>
      </c>
      <c r="H203" s="48" t="s">
        <v>1165</v>
      </c>
      <c r="I203" s="102">
        <v>65.489999999999995</v>
      </c>
      <c r="J203" s="102">
        <v>66.489999999999995</v>
      </c>
      <c r="K203" s="102">
        <v>67.489999999999995</v>
      </c>
      <c r="L203" s="102">
        <v>68.489999999999995</v>
      </c>
      <c r="M203" s="102">
        <v>69.489999999999995</v>
      </c>
      <c r="N203" s="102">
        <v>70.489999999999995</v>
      </c>
      <c r="O203" s="102">
        <v>71.489999999999995</v>
      </c>
      <c r="P203" s="94">
        <v>0</v>
      </c>
      <c r="Q203" s="102">
        <v>1.28</v>
      </c>
      <c r="R203" s="102">
        <v>1.28</v>
      </c>
      <c r="S203" s="102">
        <v>1.28</v>
      </c>
      <c r="T203" s="102">
        <v>1.28</v>
      </c>
      <c r="U203" s="102">
        <v>1.28</v>
      </c>
      <c r="V203" s="102">
        <v>1.28</v>
      </c>
      <c r="W203" s="102">
        <v>1.28</v>
      </c>
      <c r="X203" s="102">
        <v>0</v>
      </c>
      <c r="Y203" s="102">
        <v>0</v>
      </c>
      <c r="Z203" s="102">
        <v>0</v>
      </c>
      <c r="AA203" s="102">
        <v>0</v>
      </c>
      <c r="AB203" s="102">
        <v>0</v>
      </c>
      <c r="AC203" s="102">
        <v>0</v>
      </c>
      <c r="AD203" s="102">
        <v>0</v>
      </c>
      <c r="AE203" s="186">
        <v>0.08</v>
      </c>
      <c r="AF203" s="94">
        <v>0</v>
      </c>
      <c r="AG203" s="94">
        <v>30</v>
      </c>
      <c r="AH203" s="94">
        <v>30</v>
      </c>
      <c r="AI203" s="17">
        <v>0.57599999999999996</v>
      </c>
      <c r="AJ203" s="17" t="s">
        <v>660</v>
      </c>
      <c r="AK203" s="17" t="s">
        <v>745</v>
      </c>
      <c r="AL203" s="17"/>
      <c r="AM203" s="61"/>
      <c r="AN203" s="61"/>
      <c r="AO203" s="61"/>
      <c r="AP203" s="61"/>
      <c r="AQ203" s="61"/>
      <c r="AR203" s="61"/>
      <c r="AS203" s="64"/>
      <c r="AT203" s="64"/>
      <c r="AU203" s="64"/>
      <c r="AV203" s="132"/>
      <c r="AW203" s="132"/>
      <c r="AX203" s="132"/>
      <c r="AY203" s="28" t="s">
        <v>662</v>
      </c>
      <c r="AZ203" s="28"/>
      <c r="BA203" s="28"/>
      <c r="BB203" s="28"/>
      <c r="BC203" s="28"/>
      <c r="BD203" s="28"/>
      <c r="BE203" s="28"/>
      <c r="BF203" s="28"/>
      <c r="BG203" s="28"/>
      <c r="BH203" s="106"/>
      <c r="BI203" s="106"/>
      <c r="BJ203" s="106"/>
      <c r="BK203" s="106"/>
      <c r="BL203" s="137"/>
      <c r="BM203" s="123"/>
      <c r="BN203" s="139">
        <f>DL203-SUM(BN204:BN206)</f>
        <v>1006.95</v>
      </c>
      <c r="BO203" s="94">
        <f>BN203/3</f>
        <v>335.65000000000003</v>
      </c>
      <c r="BP203" s="94">
        <f>BO203/3</f>
        <v>111.88333333333334</v>
      </c>
      <c r="BQ203" s="94">
        <f>BP203/3</f>
        <v>37.294444444444444</v>
      </c>
      <c r="BR203" s="94">
        <f>BQ203/3</f>
        <v>12.431481481481482</v>
      </c>
      <c r="BS203" s="94"/>
      <c r="BT203" s="94"/>
      <c r="BU203" s="28">
        <f t="shared" ref="BU203:BU220" si="212">IF(BL203=1,BN203,0)</f>
        <v>0</v>
      </c>
      <c r="BV203" s="28"/>
      <c r="BW203" s="28"/>
      <c r="BX203" s="28"/>
      <c r="BY203" s="28"/>
      <c r="BZ203" s="28"/>
      <c r="CA203" s="28"/>
      <c r="CB203" s="99">
        <f t="shared" ref="CB203" si="213">DL203</f>
        <v>1006.95</v>
      </c>
      <c r="CC203" s="99">
        <f t="shared" ref="CC203:CE203" si="214">DM203</f>
        <v>1006.95</v>
      </c>
      <c r="CD203" s="99">
        <f t="shared" si="214"/>
        <v>1006.95</v>
      </c>
      <c r="CE203" s="99">
        <f t="shared" si="214"/>
        <v>1006.95</v>
      </c>
      <c r="CF203" s="389">
        <f>(CE203+CH203)/2</f>
        <v>648.22406249999995</v>
      </c>
      <c r="CG203" s="389">
        <f>DQ203*0.375</f>
        <v>377.60625000000005</v>
      </c>
      <c r="CH203" s="389">
        <f>CE203-(CE203-(CE203*0.05))*(0.75)</f>
        <v>289.49812499999996</v>
      </c>
      <c r="CI203" s="175"/>
      <c r="CJ203" s="175"/>
      <c r="CK203" s="175"/>
      <c r="CL203" s="175"/>
      <c r="CM203" s="175"/>
      <c r="CN203" s="175"/>
      <c r="CO203" s="175"/>
      <c r="CP203" s="176"/>
      <c r="CQ203" s="176"/>
      <c r="CR203" s="176"/>
      <c r="CS203" s="176"/>
      <c r="CT203" s="176"/>
      <c r="CU203" s="176"/>
      <c r="CV203" s="176"/>
      <c r="CW203" s="167"/>
      <c r="CX203" s="168"/>
      <c r="CY203" s="168"/>
      <c r="CZ203" s="168"/>
      <c r="DA203" s="168"/>
      <c r="DB203" s="168"/>
      <c r="DC203" s="168"/>
      <c r="DD203" s="172"/>
      <c r="DE203" s="172"/>
      <c r="DF203" s="172"/>
      <c r="DG203" s="172"/>
      <c r="DH203" s="172"/>
      <c r="DI203" s="172"/>
      <c r="DJ203" s="172"/>
      <c r="DK203" s="80" t="s">
        <v>699</v>
      </c>
      <c r="DL203" s="129">
        <f>ROUNDUP(VLOOKUP($F203,Activities!$A$9:$I$180,3,FALSE)/$AI203,2)</f>
        <v>1006.95</v>
      </c>
      <c r="DM203" s="129">
        <f>ROUNDUP(VLOOKUP($F203,Activities!$A$9:$I$180,4,FALSE)/$AI203,2)</f>
        <v>1006.95</v>
      </c>
      <c r="DN203" s="129">
        <f>ROUNDUP(VLOOKUP($F203,Activities!$A$9:$I$180,5,FALSE)/$AI203,2)</f>
        <v>1006.95</v>
      </c>
      <c r="DO203" s="129">
        <f>ROUNDUP(VLOOKUP($F203,Activities!$A$9:$I$180,6,FALSE)/$AI203,2)</f>
        <v>1006.95</v>
      </c>
      <c r="DP203" s="129">
        <f>ROUNDUP(VLOOKUP($F203,Activities!$A$9:$I$180,7,FALSE)/$AI203,2)</f>
        <v>1006.95</v>
      </c>
      <c r="DQ203" s="129">
        <f>ROUNDUP(VLOOKUP($F203,Activities!$A$9:$I$180,8,FALSE)/$AI203,2)</f>
        <v>1006.95</v>
      </c>
      <c r="DR203" s="129">
        <f>ROUNDUP(VLOOKUP($F203,Activities!$A$9:$I$180,9,FALSE)/$AI203,2)</f>
        <v>1006.95</v>
      </c>
      <c r="DS203" s="218"/>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row>
    <row r="204" spans="1:244" x14ac:dyDescent="0.35">
      <c r="A204" s="5" t="s">
        <v>1166</v>
      </c>
      <c r="B204" s="5" t="s">
        <v>1141</v>
      </c>
      <c r="C204" s="5" t="s">
        <v>655</v>
      </c>
      <c r="D204" s="5" t="s">
        <v>1029</v>
      </c>
      <c r="E204" s="5" t="s">
        <v>1142</v>
      </c>
      <c r="F204" s="5" t="s">
        <v>391</v>
      </c>
      <c r="G204" s="47" t="s">
        <v>1167</v>
      </c>
      <c r="H204" s="47" t="s">
        <v>1165</v>
      </c>
      <c r="I204" s="101">
        <f>I203*1.05</f>
        <v>68.764499999999998</v>
      </c>
      <c r="J204" s="101">
        <f t="shared" ref="J204:O204" si="215">J203*1.05</f>
        <v>69.814499999999995</v>
      </c>
      <c r="K204" s="101">
        <f t="shared" si="215"/>
        <v>70.864499999999992</v>
      </c>
      <c r="L204" s="101">
        <f t="shared" si="215"/>
        <v>71.914500000000004</v>
      </c>
      <c r="M204" s="101">
        <f t="shared" si="215"/>
        <v>72.964500000000001</v>
      </c>
      <c r="N204" s="101">
        <f t="shared" si="215"/>
        <v>74.014499999999998</v>
      </c>
      <c r="O204" s="101">
        <f t="shared" si="215"/>
        <v>75.064499999999995</v>
      </c>
      <c r="P204" s="93">
        <v>0</v>
      </c>
      <c r="Q204" s="101">
        <v>1.28</v>
      </c>
      <c r="R204" s="101">
        <v>1.28</v>
      </c>
      <c r="S204" s="101">
        <v>1.28</v>
      </c>
      <c r="T204" s="101">
        <v>1.28</v>
      </c>
      <c r="U204" s="101">
        <v>1.28</v>
      </c>
      <c r="V204" s="101">
        <v>1.28</v>
      </c>
      <c r="W204" s="101">
        <v>1.28</v>
      </c>
      <c r="X204" s="101">
        <v>0</v>
      </c>
      <c r="Y204" s="101">
        <v>0</v>
      </c>
      <c r="Z204" s="101">
        <v>0</v>
      </c>
      <c r="AA204" s="101">
        <v>0</v>
      </c>
      <c r="AB204" s="101">
        <v>0</v>
      </c>
      <c r="AC204" s="101">
        <v>0</v>
      </c>
      <c r="AD204" s="101">
        <v>0</v>
      </c>
      <c r="AE204" s="186">
        <v>0.08</v>
      </c>
      <c r="AF204" s="93">
        <v>0</v>
      </c>
      <c r="AG204" s="93">
        <v>30</v>
      </c>
      <c r="AH204" s="93">
        <v>30</v>
      </c>
      <c r="AI204" s="16">
        <v>0.57599999999999996</v>
      </c>
      <c r="AJ204" s="16" t="s">
        <v>660</v>
      </c>
      <c r="AK204" s="16" t="s">
        <v>745</v>
      </c>
      <c r="AL204" s="16"/>
      <c r="AM204" s="60"/>
      <c r="AN204" s="60"/>
      <c r="AO204" s="60"/>
      <c r="AP204" s="60"/>
      <c r="AQ204" s="60"/>
      <c r="AR204" s="60"/>
      <c r="AS204" s="63"/>
      <c r="AT204" s="63"/>
      <c r="AU204" s="63"/>
      <c r="AV204" s="131"/>
      <c r="AW204" s="131"/>
      <c r="AX204" s="131"/>
      <c r="AY204" s="27" t="s">
        <v>662</v>
      </c>
      <c r="AZ204" s="27"/>
      <c r="BA204" s="27"/>
      <c r="BB204" s="30"/>
      <c r="BC204" s="30"/>
      <c r="BD204" s="30"/>
      <c r="BE204" s="30"/>
      <c r="BF204" s="30"/>
      <c r="BG204" s="30"/>
      <c r="BH204" s="107"/>
      <c r="BI204" s="107"/>
      <c r="BJ204" s="107"/>
      <c r="BK204" s="107"/>
      <c r="BL204" s="136"/>
      <c r="BM204" s="122"/>
      <c r="BN204" s="138">
        <v>0</v>
      </c>
      <c r="BO204" s="93"/>
      <c r="BP204" s="93"/>
      <c r="BQ204" s="93"/>
      <c r="BR204" s="93"/>
      <c r="BS204" s="93"/>
      <c r="BT204" s="93"/>
      <c r="BU204" s="27">
        <f t="shared" si="212"/>
        <v>0</v>
      </c>
      <c r="BV204" s="27"/>
      <c r="BW204" s="27"/>
      <c r="BX204" s="27"/>
      <c r="BY204" s="27"/>
      <c r="BZ204" s="27"/>
      <c r="CA204" s="27"/>
      <c r="CB204" s="97"/>
      <c r="CC204" s="97">
        <v>50</v>
      </c>
      <c r="CD204" s="97">
        <v>200</v>
      </c>
      <c r="CE204" s="97">
        <v>250</v>
      </c>
      <c r="CF204" s="97">
        <f t="shared" ref="CF204:CH205" si="216">DP204</f>
        <v>1006.95</v>
      </c>
      <c r="CG204" s="97">
        <f t="shared" si="216"/>
        <v>1006.95</v>
      </c>
      <c r="CH204" s="97">
        <f t="shared" si="216"/>
        <v>1006.95</v>
      </c>
      <c r="CI204" s="173"/>
      <c r="CJ204" s="173"/>
      <c r="CK204" s="173"/>
      <c r="CL204" s="173"/>
      <c r="CM204" s="173"/>
      <c r="CN204" s="173"/>
      <c r="CO204" s="173"/>
      <c r="CP204" s="174"/>
      <c r="CQ204" s="174"/>
      <c r="CR204" s="174"/>
      <c r="CS204" s="174"/>
      <c r="CT204" s="174"/>
      <c r="CU204" s="174"/>
      <c r="CV204" s="174"/>
      <c r="CW204" s="165"/>
      <c r="CX204" s="166"/>
      <c r="CY204" s="166"/>
      <c r="CZ204" s="166"/>
      <c r="DA204" s="166"/>
      <c r="DB204" s="166"/>
      <c r="DC204" s="166"/>
      <c r="DD204" s="171"/>
      <c r="DE204" s="171"/>
      <c r="DF204" s="171"/>
      <c r="DG204" s="171"/>
      <c r="DH204" s="171"/>
      <c r="DI204" s="171"/>
      <c r="DJ204" s="171"/>
      <c r="DK204" s="79" t="s">
        <v>452</v>
      </c>
      <c r="DL204" s="128">
        <f>ROUNDUP(VLOOKUP($F204,Activities!$A$9:$I$180,3,FALSE)/$AI204,2)</f>
        <v>1006.95</v>
      </c>
      <c r="DM204" s="128">
        <f>ROUNDUP(VLOOKUP($F204,Activities!$A$9:$I$180,4,FALSE)/$AI204,2)</f>
        <v>1006.95</v>
      </c>
      <c r="DN204" s="128">
        <f>ROUNDUP(VLOOKUP($F204,Activities!$A$9:$I$180,5,FALSE)/$AI204,2)</f>
        <v>1006.95</v>
      </c>
      <c r="DO204" s="128">
        <f>ROUNDUP(VLOOKUP($F204,Activities!$A$9:$I$180,6,FALSE)/$AI204,2)</f>
        <v>1006.95</v>
      </c>
      <c r="DP204" s="128">
        <f>ROUNDUP(VLOOKUP($F204,Activities!$A$9:$I$180,7,FALSE)/$AI204,2)</f>
        <v>1006.95</v>
      </c>
      <c r="DQ204" s="128">
        <f>ROUNDUP(VLOOKUP($F204,Activities!$A$9:$I$180,8,FALSE)/$AI204,2)</f>
        <v>1006.95</v>
      </c>
      <c r="DR204" s="128">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6" t="s">
        <v>1168</v>
      </c>
      <c r="B205" s="6" t="s">
        <v>1141</v>
      </c>
      <c r="C205" s="6" t="s">
        <v>655</v>
      </c>
      <c r="D205" s="6" t="s">
        <v>1029</v>
      </c>
      <c r="E205" s="6" t="s">
        <v>1142</v>
      </c>
      <c r="F205" s="6" t="s">
        <v>391</v>
      </c>
      <c r="G205" s="48" t="s">
        <v>1169</v>
      </c>
      <c r="H205" s="48" t="s">
        <v>1165</v>
      </c>
      <c r="I205" s="102">
        <f>I203*1.01</f>
        <v>66.144899999999993</v>
      </c>
      <c r="J205" s="102">
        <f t="shared" ref="J205:O205" si="217">J203*1.01</f>
        <v>67.154899999999998</v>
      </c>
      <c r="K205" s="102">
        <f t="shared" si="217"/>
        <v>68.164899999999989</v>
      </c>
      <c r="L205" s="102">
        <f t="shared" si="217"/>
        <v>69.174899999999994</v>
      </c>
      <c r="M205" s="102">
        <f t="shared" si="217"/>
        <v>70.184899999999999</v>
      </c>
      <c r="N205" s="102">
        <f t="shared" si="217"/>
        <v>71.19489999999999</v>
      </c>
      <c r="O205" s="102">
        <f t="shared" si="217"/>
        <v>72.204899999999995</v>
      </c>
      <c r="P205" s="94">
        <v>0</v>
      </c>
      <c r="Q205" s="102">
        <v>1.28</v>
      </c>
      <c r="R205" s="102">
        <v>1.28</v>
      </c>
      <c r="S205" s="102">
        <v>1.28</v>
      </c>
      <c r="T205" s="102">
        <v>1.28</v>
      </c>
      <c r="U205" s="102">
        <v>1.28</v>
      </c>
      <c r="V205" s="102">
        <v>1.28</v>
      </c>
      <c r="W205" s="102">
        <v>1.28</v>
      </c>
      <c r="X205" s="102">
        <v>0</v>
      </c>
      <c r="Y205" s="102">
        <v>0</v>
      </c>
      <c r="Z205" s="102">
        <v>0</v>
      </c>
      <c r="AA205" s="102">
        <v>0</v>
      </c>
      <c r="AB205" s="102">
        <v>0</v>
      </c>
      <c r="AC205" s="102">
        <v>0</v>
      </c>
      <c r="AD205" s="102">
        <v>0</v>
      </c>
      <c r="AE205" s="186">
        <v>0.08</v>
      </c>
      <c r="AF205" s="94">
        <v>0</v>
      </c>
      <c r="AG205" s="94">
        <v>30</v>
      </c>
      <c r="AH205" s="94">
        <v>30</v>
      </c>
      <c r="AI205" s="17">
        <v>0.57599999999999996</v>
      </c>
      <c r="AJ205" s="17" t="s">
        <v>660</v>
      </c>
      <c r="AK205" s="17" t="s">
        <v>745</v>
      </c>
      <c r="AL205" s="17"/>
      <c r="AM205" s="61"/>
      <c r="AN205" s="61"/>
      <c r="AO205" s="61"/>
      <c r="AP205" s="61"/>
      <c r="AQ205" s="61"/>
      <c r="AR205" s="61"/>
      <c r="AS205" s="64"/>
      <c r="AT205" s="64"/>
      <c r="AU205" s="64"/>
      <c r="AV205" s="132"/>
      <c r="AW205" s="132"/>
      <c r="AX205" s="132"/>
      <c r="AY205" s="28" t="s">
        <v>662</v>
      </c>
      <c r="AZ205" s="28"/>
      <c r="BA205" s="28"/>
      <c r="BB205" s="28"/>
      <c r="BC205" s="28"/>
      <c r="BD205" s="28"/>
      <c r="BE205" s="28"/>
      <c r="BF205" s="28"/>
      <c r="BG205" s="28"/>
      <c r="BH205" s="106"/>
      <c r="BI205" s="106"/>
      <c r="BJ205" s="106"/>
      <c r="BK205" s="106"/>
      <c r="BL205" s="137"/>
      <c r="BM205" s="123"/>
      <c r="BN205" s="139">
        <v>0</v>
      </c>
      <c r="BO205" s="94"/>
      <c r="BP205" s="94"/>
      <c r="BQ205" s="94"/>
      <c r="BR205" s="94"/>
      <c r="BS205" s="94"/>
      <c r="BT205" s="94"/>
      <c r="BU205" s="28">
        <f t="shared" si="212"/>
        <v>0</v>
      </c>
      <c r="BV205" s="28"/>
      <c r="BW205" s="28"/>
      <c r="BX205" s="28"/>
      <c r="BY205" s="28"/>
      <c r="BZ205" s="28"/>
      <c r="CA205" s="28"/>
      <c r="CB205" s="99"/>
      <c r="CC205" s="99">
        <v>50</v>
      </c>
      <c r="CD205" s="99">
        <v>200</v>
      </c>
      <c r="CE205" s="99">
        <v>250</v>
      </c>
      <c r="CF205" s="99">
        <f t="shared" si="216"/>
        <v>1006.95</v>
      </c>
      <c r="CG205" s="99">
        <f t="shared" si="216"/>
        <v>1006.95</v>
      </c>
      <c r="CH205" s="99">
        <f t="shared" si="216"/>
        <v>1006.95</v>
      </c>
      <c r="CI205" s="175"/>
      <c r="CJ205" s="175"/>
      <c r="CK205" s="175"/>
      <c r="CL205" s="175"/>
      <c r="CM205" s="175"/>
      <c r="CN205" s="175"/>
      <c r="CO205" s="175"/>
      <c r="CP205" s="176"/>
      <c r="CQ205" s="176"/>
      <c r="CR205" s="176"/>
      <c r="CS205" s="176"/>
      <c r="CT205" s="176"/>
      <c r="CU205" s="176"/>
      <c r="CV205" s="176"/>
      <c r="CW205" s="167"/>
      <c r="CX205" s="168"/>
      <c r="CY205" s="168"/>
      <c r="CZ205" s="168"/>
      <c r="DA205" s="168"/>
      <c r="DB205" s="168"/>
      <c r="DC205" s="168"/>
      <c r="DD205" s="172"/>
      <c r="DE205" s="172"/>
      <c r="DF205" s="172"/>
      <c r="DG205" s="172"/>
      <c r="DH205" s="172"/>
      <c r="DI205" s="172"/>
      <c r="DJ205" s="172"/>
      <c r="DK205" s="80" t="s">
        <v>452</v>
      </c>
      <c r="DL205" s="129">
        <f>ROUNDUP(VLOOKUP($F205,Activities!$A$9:$I$180,3,FALSE)/$AI205,2)</f>
        <v>1006.95</v>
      </c>
      <c r="DM205" s="129">
        <f>ROUNDUP(VLOOKUP($F205,Activities!$A$9:$I$180,4,FALSE)/$AI205,2)</f>
        <v>1006.95</v>
      </c>
      <c r="DN205" s="129">
        <f>ROUNDUP(VLOOKUP($F205,Activities!$A$9:$I$180,5,FALSE)/$AI205,2)</f>
        <v>1006.95</v>
      </c>
      <c r="DO205" s="129">
        <f>ROUNDUP(VLOOKUP($F205,Activities!$A$9:$I$180,6,FALSE)/$AI205,2)</f>
        <v>1006.95</v>
      </c>
      <c r="DP205" s="129">
        <f>ROUNDUP(VLOOKUP($F205,Activities!$A$9:$I$180,7,FALSE)/$AI205,2)</f>
        <v>1006.95</v>
      </c>
      <c r="DQ205" s="129">
        <f>ROUNDUP(VLOOKUP($F205,Activities!$A$9:$I$180,8,FALSE)/$AI205,2)</f>
        <v>1006.95</v>
      </c>
      <c r="DR205" s="129">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5" t="s">
        <v>1170</v>
      </c>
      <c r="B206" s="5" t="s">
        <v>1141</v>
      </c>
      <c r="C206" s="5" t="s">
        <v>655</v>
      </c>
      <c r="D206" s="5" t="s">
        <v>1029</v>
      </c>
      <c r="E206" s="5" t="s">
        <v>1142</v>
      </c>
      <c r="F206" s="5" t="s">
        <v>391</v>
      </c>
      <c r="G206" s="47" t="s">
        <v>1171</v>
      </c>
      <c r="H206" s="47" t="s">
        <v>1165</v>
      </c>
      <c r="I206" s="101">
        <v>144.56</v>
      </c>
      <c r="J206" s="101">
        <v>140.63399356141801</v>
      </c>
      <c r="K206" s="101">
        <v>136.78652011669928</v>
      </c>
      <c r="L206" s="101">
        <v>117.93387506674611</v>
      </c>
      <c r="M206" s="101">
        <v>100.96646935095687</v>
      </c>
      <c r="N206" s="101">
        <v>85.695829377577937</v>
      </c>
      <c r="O206" s="101">
        <v>79.97</v>
      </c>
      <c r="P206" s="93">
        <v>0</v>
      </c>
      <c r="Q206" s="101">
        <v>2.2400000000000002</v>
      </c>
      <c r="R206" s="101">
        <v>2.2400000000000002</v>
      </c>
      <c r="S206" s="101">
        <v>2.2400000000000002</v>
      </c>
      <c r="T206" s="101">
        <v>2.2400000000000002</v>
      </c>
      <c r="U206" s="101">
        <v>2.2400000000000002</v>
      </c>
      <c r="V206" s="101">
        <v>2.2400000000000002</v>
      </c>
      <c r="W206" s="101">
        <v>2.2400000000000002</v>
      </c>
      <c r="X206" s="101">
        <v>0</v>
      </c>
      <c r="Y206" s="101">
        <v>0</v>
      </c>
      <c r="Z206" s="101">
        <v>0</v>
      </c>
      <c r="AA206" s="101">
        <v>0</v>
      </c>
      <c r="AB206" s="101">
        <v>0</v>
      </c>
      <c r="AC206" s="101">
        <v>0</v>
      </c>
      <c r="AD206" s="101">
        <v>0</v>
      </c>
      <c r="AE206" s="186">
        <v>0.08</v>
      </c>
      <c r="AF206" s="93">
        <v>0</v>
      </c>
      <c r="AG206" s="93">
        <v>30</v>
      </c>
      <c r="AH206" s="93">
        <v>30</v>
      </c>
      <c r="AI206" s="16">
        <v>0.57599999999999996</v>
      </c>
      <c r="AJ206" s="16" t="s">
        <v>660</v>
      </c>
      <c r="AK206" s="16" t="s">
        <v>745</v>
      </c>
      <c r="AL206" s="16"/>
      <c r="AM206" s="60"/>
      <c r="AN206" s="60"/>
      <c r="AO206" s="60"/>
      <c r="AP206" s="60"/>
      <c r="AQ206" s="60"/>
      <c r="AR206" s="60"/>
      <c r="AS206" s="63"/>
      <c r="AT206" s="63"/>
      <c r="AU206" s="63"/>
      <c r="AV206" s="131"/>
      <c r="AW206" s="131"/>
      <c r="AX206" s="131"/>
      <c r="AY206" s="27" t="s">
        <v>662</v>
      </c>
      <c r="AZ206" s="27"/>
      <c r="BA206" s="27"/>
      <c r="BB206" s="30"/>
      <c r="BC206" s="30"/>
      <c r="BD206" s="30"/>
      <c r="BE206" s="30"/>
      <c r="BF206" s="30"/>
      <c r="BG206" s="30"/>
      <c r="BH206" s="107"/>
      <c r="BI206" s="107"/>
      <c r="BJ206" s="107"/>
      <c r="BK206" s="107"/>
      <c r="BL206" s="136"/>
      <c r="BM206" s="122"/>
      <c r="BN206" s="138">
        <v>0</v>
      </c>
      <c r="BO206" s="93"/>
      <c r="BP206" s="93"/>
      <c r="BQ206" s="93"/>
      <c r="BR206" s="93"/>
      <c r="BS206" s="93"/>
      <c r="BT206" s="93"/>
      <c r="BU206" s="27">
        <f t="shared" si="212"/>
        <v>0</v>
      </c>
      <c r="BV206" s="27"/>
      <c r="BW206" s="27"/>
      <c r="BX206" s="27"/>
      <c r="BY206" s="27"/>
      <c r="BZ206" s="27"/>
      <c r="CA206" s="27"/>
      <c r="CB206" s="185">
        <v>0</v>
      </c>
      <c r="CC206" s="185">
        <v>0</v>
      </c>
      <c r="CD206" s="185">
        <v>0</v>
      </c>
      <c r="CE206" s="185">
        <v>0</v>
      </c>
      <c r="CF206" s="185">
        <v>0</v>
      </c>
      <c r="CG206" s="185">
        <v>0</v>
      </c>
      <c r="CH206" s="185">
        <v>0</v>
      </c>
      <c r="CI206" s="173"/>
      <c r="CJ206" s="173"/>
      <c r="CK206" s="173"/>
      <c r="CL206" s="173"/>
      <c r="CM206" s="173"/>
      <c r="CN206" s="173"/>
      <c r="CO206" s="173"/>
      <c r="CP206" s="174"/>
      <c r="CQ206" s="174"/>
      <c r="CR206" s="174"/>
      <c r="CS206" s="174"/>
      <c r="CT206" s="174"/>
      <c r="CU206" s="174"/>
      <c r="CV206" s="174"/>
      <c r="CW206" s="165"/>
      <c r="CX206" s="166"/>
      <c r="CY206" s="166"/>
      <c r="CZ206" s="166"/>
      <c r="DA206" s="166"/>
      <c r="DB206" s="166"/>
      <c r="DC206" s="166"/>
      <c r="DD206" s="171"/>
      <c r="DE206" s="171"/>
      <c r="DF206" s="171"/>
      <c r="DG206" s="171"/>
      <c r="DH206" s="171"/>
      <c r="DI206" s="171"/>
      <c r="DJ206" s="171"/>
      <c r="DK206" s="79" t="s">
        <v>502</v>
      </c>
      <c r="DL206" s="128">
        <f>ROUNDUP(VLOOKUP($F206,Activities!$A$9:$I$180,3,FALSE)/$AI206,2)</f>
        <v>1006.95</v>
      </c>
      <c r="DM206" s="128">
        <f>ROUNDUP(VLOOKUP($F206,Activities!$A$9:$I$180,4,FALSE)/$AI206,2)</f>
        <v>1006.95</v>
      </c>
      <c r="DN206" s="128">
        <f>ROUNDUP(VLOOKUP($F206,Activities!$A$9:$I$180,5,FALSE)/$AI206,2)</f>
        <v>1006.95</v>
      </c>
      <c r="DO206" s="128">
        <f>ROUNDUP(VLOOKUP($F206,Activities!$A$9:$I$180,6,FALSE)/$AI206,2)</f>
        <v>1006.95</v>
      </c>
      <c r="DP206" s="128">
        <f>ROUNDUP(VLOOKUP($F206,Activities!$A$9:$I$180,7,FALSE)/$AI206,2)</f>
        <v>1006.95</v>
      </c>
      <c r="DQ206" s="128">
        <f>ROUNDUP(VLOOKUP($F206,Activities!$A$9:$I$180,8,FALSE)/$AI206,2)</f>
        <v>1006.95</v>
      </c>
      <c r="DR206" s="128">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s="310" customFormat="1" x14ac:dyDescent="0.35">
      <c r="A207" s="290" t="s">
        <v>1172</v>
      </c>
      <c r="B207" s="290" t="s">
        <v>1141</v>
      </c>
      <c r="C207" s="290" t="s">
        <v>655</v>
      </c>
      <c r="D207" s="290" t="s">
        <v>1029</v>
      </c>
      <c r="E207" s="290" t="s">
        <v>1142</v>
      </c>
      <c r="F207" s="290" t="s">
        <v>391</v>
      </c>
      <c r="G207" s="291" t="s">
        <v>1173</v>
      </c>
      <c r="H207" s="291" t="s">
        <v>1165</v>
      </c>
      <c r="I207" s="292">
        <v>65.489999999999995</v>
      </c>
      <c r="J207" s="292">
        <v>65.489999999999995</v>
      </c>
      <c r="K207" s="292">
        <v>65.489999999999995</v>
      </c>
      <c r="L207" s="292">
        <v>65.489999999999995</v>
      </c>
      <c r="M207" s="292">
        <v>65.489999999999995</v>
      </c>
      <c r="N207" s="292">
        <v>65.489999999999995</v>
      </c>
      <c r="O207" s="292">
        <v>65.489999999999995</v>
      </c>
      <c r="P207" s="293">
        <v>0</v>
      </c>
      <c r="Q207" s="292">
        <v>1.28</v>
      </c>
      <c r="R207" s="292">
        <v>1.28</v>
      </c>
      <c r="S207" s="292">
        <v>1.28</v>
      </c>
      <c r="T207" s="292">
        <v>1.28</v>
      </c>
      <c r="U207" s="292">
        <v>1.28</v>
      </c>
      <c r="V207" s="292">
        <v>1.28</v>
      </c>
      <c r="W207" s="292">
        <v>1.28</v>
      </c>
      <c r="X207" s="292">
        <v>0</v>
      </c>
      <c r="Y207" s="292">
        <v>0</v>
      </c>
      <c r="Z207" s="292">
        <v>0</v>
      </c>
      <c r="AA207" s="292">
        <v>0</v>
      </c>
      <c r="AB207" s="292">
        <v>0</v>
      </c>
      <c r="AC207" s="292">
        <v>0</v>
      </c>
      <c r="AD207" s="292">
        <v>0</v>
      </c>
      <c r="AE207" s="186">
        <v>0.08</v>
      </c>
      <c r="AF207" s="293">
        <v>0</v>
      </c>
      <c r="AG207" s="293">
        <v>30</v>
      </c>
      <c r="AH207" s="293">
        <v>30</v>
      </c>
      <c r="AI207" s="294">
        <v>0.57599999999999996</v>
      </c>
      <c r="AJ207" s="294" t="s">
        <v>660</v>
      </c>
      <c r="AK207" s="294" t="s">
        <v>745</v>
      </c>
      <c r="AL207" s="294"/>
      <c r="AM207" s="295"/>
      <c r="AN207" s="295"/>
      <c r="AO207" s="295"/>
      <c r="AP207" s="295"/>
      <c r="AQ207" s="295"/>
      <c r="AR207" s="295"/>
      <c r="AS207" s="296"/>
      <c r="AT207" s="296"/>
      <c r="AU207" s="296"/>
      <c r="AV207" s="297"/>
      <c r="AW207" s="297"/>
      <c r="AX207" s="297"/>
      <c r="AY207" s="298" t="s">
        <v>662</v>
      </c>
      <c r="AZ207" s="298"/>
      <c r="BA207" s="298"/>
      <c r="BB207" s="298"/>
      <c r="BC207" s="298"/>
      <c r="BD207" s="298"/>
      <c r="BE207" s="298"/>
      <c r="BF207" s="298"/>
      <c r="BG207" s="298"/>
      <c r="BH207" s="317"/>
      <c r="BI207" s="317"/>
      <c r="BJ207" s="317"/>
      <c r="BK207" s="317"/>
      <c r="BL207" s="301"/>
      <c r="BM207" s="302"/>
      <c r="BN207" s="303">
        <v>0</v>
      </c>
      <c r="BO207" s="293"/>
      <c r="BP207" s="293"/>
      <c r="BQ207" s="293"/>
      <c r="BR207" s="293"/>
      <c r="BS207" s="293"/>
      <c r="BT207" s="293"/>
      <c r="BU207" s="298">
        <f t="shared" ref="BU207:BU209" si="218">IF(BL207=1,BN207,0)</f>
        <v>0</v>
      </c>
      <c r="BV207" s="298"/>
      <c r="BW207" s="298"/>
      <c r="BX207" s="298"/>
      <c r="BY207" s="298"/>
      <c r="BZ207" s="298"/>
      <c r="CA207" s="298"/>
      <c r="CB207" s="304"/>
      <c r="CC207" s="99"/>
      <c r="CD207" s="99"/>
      <c r="CE207" s="99"/>
      <c r="CF207" s="99"/>
      <c r="CG207" s="99"/>
      <c r="CH207" s="99"/>
      <c r="CI207" s="298"/>
      <c r="CJ207" s="298"/>
      <c r="CK207" s="298"/>
      <c r="CL207" s="298"/>
      <c r="CM207" s="298"/>
      <c r="CN207" s="298"/>
      <c r="CO207" s="298"/>
      <c r="CP207" s="305"/>
      <c r="CQ207" s="305"/>
      <c r="CR207" s="305"/>
      <c r="CS207" s="305"/>
      <c r="CT207" s="305"/>
      <c r="CU207" s="305"/>
      <c r="CV207" s="305"/>
      <c r="CW207" s="306"/>
      <c r="CX207" s="307"/>
      <c r="CY207" s="307"/>
      <c r="CZ207" s="307"/>
      <c r="DA207" s="307"/>
      <c r="DB207" s="307"/>
      <c r="DC207" s="307"/>
      <c r="DD207" s="307"/>
      <c r="DE207" s="307"/>
      <c r="DF207" s="307"/>
      <c r="DG207" s="307"/>
      <c r="DH207" s="307"/>
      <c r="DI207" s="307"/>
      <c r="DJ207" s="307"/>
      <c r="DK207" s="308" t="s">
        <v>452</v>
      </c>
      <c r="DL207" s="306">
        <f>ROUNDUP(VLOOKUP($F207,Activities!$A$9:$I$180,3,FALSE)/$AI207,2)</f>
        <v>1006.95</v>
      </c>
      <c r="DM207" s="306">
        <f>ROUNDUP(VLOOKUP($F207,Activities!$A$9:$I$180,4,FALSE)/$AI207,2)</f>
        <v>1006.95</v>
      </c>
      <c r="DN207" s="306">
        <f>ROUNDUP(VLOOKUP($F207,Activities!$A$9:$I$180,5,FALSE)/$AI207,2)</f>
        <v>1006.95</v>
      </c>
      <c r="DO207" s="306">
        <f>ROUNDUP(VLOOKUP($F207,Activities!$A$9:$I$180,6,FALSE)/$AI207,2)</f>
        <v>1006.95</v>
      </c>
      <c r="DP207" s="306">
        <f>ROUNDUP(VLOOKUP($F207,Activities!$A$9:$I$180,7,FALSE)/$AI207,2)</f>
        <v>1006.95</v>
      </c>
      <c r="DQ207" s="306">
        <f>ROUNDUP(VLOOKUP($F207,Activities!$A$9:$I$180,8,FALSE)/$AI207,2)</f>
        <v>1006.95</v>
      </c>
      <c r="DR207" s="306">
        <f>ROUNDUP(VLOOKUP($F207,Activities!$A$9:$I$180,9,FALSE)/$AI207,2)</f>
        <v>1006.95</v>
      </c>
      <c r="DS207" s="309"/>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row>
    <row r="208" spans="1:244" s="347" customFormat="1" x14ac:dyDescent="0.35">
      <c r="A208" s="327" t="s">
        <v>1174</v>
      </c>
      <c r="B208" s="327" t="s">
        <v>1141</v>
      </c>
      <c r="C208" s="327" t="s">
        <v>655</v>
      </c>
      <c r="D208" s="327" t="s">
        <v>1029</v>
      </c>
      <c r="E208" s="327" t="s">
        <v>1142</v>
      </c>
      <c r="F208" s="327" t="s">
        <v>499</v>
      </c>
      <c r="G208" s="328" t="s">
        <v>1175</v>
      </c>
      <c r="H208" s="328" t="s">
        <v>659</v>
      </c>
      <c r="I208" s="329">
        <v>0</v>
      </c>
      <c r="J208" s="329">
        <v>0</v>
      </c>
      <c r="K208" s="329">
        <v>0</v>
      </c>
      <c r="L208" s="329">
        <v>0</v>
      </c>
      <c r="M208" s="329">
        <v>0</v>
      </c>
      <c r="N208" s="329">
        <v>0</v>
      </c>
      <c r="O208" s="329">
        <v>0</v>
      </c>
      <c r="P208" s="330"/>
      <c r="Q208" s="329">
        <v>0</v>
      </c>
      <c r="R208" s="329">
        <v>0</v>
      </c>
      <c r="S208" s="329">
        <v>0</v>
      </c>
      <c r="T208" s="329">
        <v>0</v>
      </c>
      <c r="U208" s="329">
        <v>0</v>
      </c>
      <c r="V208" s="329">
        <v>0</v>
      </c>
      <c r="W208" s="329">
        <v>0</v>
      </c>
      <c r="X208" s="329">
        <v>0</v>
      </c>
      <c r="Y208" s="329">
        <v>0</v>
      </c>
      <c r="Z208" s="329">
        <v>0</v>
      </c>
      <c r="AA208" s="329">
        <v>0</v>
      </c>
      <c r="AB208" s="329">
        <v>0</v>
      </c>
      <c r="AC208" s="329">
        <v>0</v>
      </c>
      <c r="AD208" s="329">
        <v>0</v>
      </c>
      <c r="AE208" s="186">
        <v>0.08</v>
      </c>
      <c r="AF208" s="330">
        <v>0</v>
      </c>
      <c r="AG208" s="330">
        <v>30</v>
      </c>
      <c r="AH208" s="330">
        <v>30</v>
      </c>
      <c r="AI208" s="331">
        <v>1</v>
      </c>
      <c r="AJ208" s="331" t="s">
        <v>660</v>
      </c>
      <c r="AK208" s="331" t="s">
        <v>745</v>
      </c>
      <c r="AL208" s="331"/>
      <c r="AM208" s="332"/>
      <c r="AN208" s="332"/>
      <c r="AO208" s="332"/>
      <c r="AP208" s="332"/>
      <c r="AQ208" s="332"/>
      <c r="AR208" s="332"/>
      <c r="AS208" s="333"/>
      <c r="AT208" s="333"/>
      <c r="AU208" s="333"/>
      <c r="AV208" s="334"/>
      <c r="AW208" s="334"/>
      <c r="AX208" s="334"/>
      <c r="AY208" s="335" t="s">
        <v>662</v>
      </c>
      <c r="AZ208" s="335"/>
      <c r="BA208" s="348"/>
      <c r="BB208" s="335"/>
      <c r="BC208" s="335"/>
      <c r="BD208" s="335"/>
      <c r="BE208" s="335"/>
      <c r="BF208" s="335"/>
      <c r="BG208" s="335"/>
      <c r="BH208" s="349"/>
      <c r="BI208" s="349"/>
      <c r="BJ208" s="349"/>
      <c r="BK208" s="349"/>
      <c r="BL208" s="339"/>
      <c r="BM208" s="340"/>
      <c r="BN208" s="341">
        <v>0</v>
      </c>
      <c r="BO208" s="330"/>
      <c r="BP208" s="330"/>
      <c r="BQ208" s="330"/>
      <c r="BR208" s="330"/>
      <c r="BS208" s="330"/>
      <c r="BT208" s="330"/>
      <c r="BU208" s="335">
        <f t="shared" si="218"/>
        <v>0</v>
      </c>
      <c r="BV208" s="335"/>
      <c r="BW208" s="335"/>
      <c r="BX208" s="335"/>
      <c r="BY208" s="335"/>
      <c r="BZ208" s="335"/>
      <c r="CA208" s="335"/>
      <c r="CB208" s="342">
        <v>0</v>
      </c>
      <c r="CC208" s="342">
        <v>0</v>
      </c>
      <c r="CD208" s="342"/>
      <c r="CE208" s="342"/>
      <c r="CF208" s="342"/>
      <c r="CG208" s="342"/>
      <c r="CH208" s="342"/>
      <c r="CI208" s="335"/>
      <c r="CJ208" s="335"/>
      <c r="CK208" s="335"/>
      <c r="CL208" s="335"/>
      <c r="CM208" s="335"/>
      <c r="CN208" s="335"/>
      <c r="CO208" s="335"/>
      <c r="CP208" s="343"/>
      <c r="CQ208" s="343"/>
      <c r="CR208" s="343"/>
      <c r="CS208" s="343"/>
      <c r="CT208" s="343"/>
      <c r="CU208" s="343"/>
      <c r="CV208" s="343"/>
      <c r="CW208" s="344"/>
      <c r="CX208" s="345"/>
      <c r="CY208" s="345"/>
      <c r="CZ208" s="345"/>
      <c r="DA208" s="345"/>
      <c r="DB208" s="345"/>
      <c r="DC208" s="345"/>
      <c r="DD208" s="345"/>
      <c r="DE208" s="345"/>
      <c r="DF208" s="345"/>
      <c r="DG208" s="345"/>
      <c r="DH208" s="345"/>
      <c r="DI208" s="345"/>
      <c r="DJ208" s="345"/>
      <c r="DK208" s="289" t="s">
        <v>452</v>
      </c>
      <c r="DL208" s="306">
        <f>ROUNDUP(VLOOKUP($F208,Activities!$A$9:$I$180,3,FALSE)/$AI208,2)</f>
        <v>0</v>
      </c>
      <c r="DM208" s="306">
        <f>ROUNDUP(VLOOKUP($F208,Activities!$A$9:$I$180,4,FALSE)/$AI208,2)</f>
        <v>0</v>
      </c>
      <c r="DN208" s="306">
        <f>ROUNDUP(VLOOKUP($F208,Activities!$A$9:$I$180,5,FALSE)/$AI208,2)</f>
        <v>0</v>
      </c>
      <c r="DO208" s="306">
        <f>ROUNDUP(VLOOKUP($F208,Activities!$A$9:$I$180,6,FALSE)/$AI208,2)</f>
        <v>0</v>
      </c>
      <c r="DP208" s="306">
        <f>ROUNDUP(VLOOKUP($F208,Activities!$A$9:$I$180,7,FALSE)/$AI208,2)</f>
        <v>0</v>
      </c>
      <c r="DQ208" s="306">
        <f>ROUNDUP(VLOOKUP($F208,Activities!$A$9:$I$180,8,FALSE)/$AI208,2)</f>
        <v>0</v>
      </c>
      <c r="DR208" s="306">
        <f>ROUNDUP(VLOOKUP($F208,Activities!$A$9:$I$180,9,FALSE)/$AI208,2)</f>
        <v>0</v>
      </c>
      <c r="DS208" s="346"/>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1141</v>
      </c>
      <c r="C209" s="327" t="s">
        <v>655</v>
      </c>
      <c r="D209" s="327" t="s">
        <v>1029</v>
      </c>
      <c r="E209" s="327" t="s">
        <v>1142</v>
      </c>
      <c r="F209" s="327" t="s">
        <v>547</v>
      </c>
      <c r="G209" s="328" t="s">
        <v>1177</v>
      </c>
      <c r="H209" s="328" t="s">
        <v>1162</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18"/>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x14ac:dyDescent="0.35">
      <c r="A210" s="6" t="s">
        <v>1178</v>
      </c>
      <c r="B210" s="6" t="s">
        <v>654</v>
      </c>
      <c r="C210" s="6" t="s">
        <v>534</v>
      </c>
      <c r="D210" s="6" t="s">
        <v>656</v>
      </c>
      <c r="E210" s="6" t="s">
        <v>656</v>
      </c>
      <c r="F210" s="6" t="s">
        <v>393</v>
      </c>
      <c r="G210" s="48" t="s">
        <v>1179</v>
      </c>
      <c r="H210" s="48" t="s">
        <v>1162</v>
      </c>
      <c r="I210" s="102">
        <v>0</v>
      </c>
      <c r="J210" s="102">
        <v>0</v>
      </c>
      <c r="K210" s="102">
        <v>0</v>
      </c>
      <c r="L210" s="102">
        <v>0</v>
      </c>
      <c r="M210" s="102">
        <v>0</v>
      </c>
      <c r="N210" s="102">
        <v>0</v>
      </c>
      <c r="O210" s="102">
        <v>0</v>
      </c>
      <c r="P210" s="94">
        <v>0</v>
      </c>
      <c r="Q210" s="102">
        <v>0</v>
      </c>
      <c r="R210" s="102">
        <v>0</v>
      </c>
      <c r="S210" s="102">
        <v>0</v>
      </c>
      <c r="T210" s="102">
        <v>0</v>
      </c>
      <c r="U210" s="102">
        <v>0</v>
      </c>
      <c r="V210" s="102">
        <v>0</v>
      </c>
      <c r="W210" s="102">
        <v>0</v>
      </c>
      <c r="X210" s="102">
        <v>0</v>
      </c>
      <c r="Y210" s="102">
        <v>0</v>
      </c>
      <c r="Z210" s="102">
        <v>0</v>
      </c>
      <c r="AA210" s="102">
        <v>0</v>
      </c>
      <c r="AB210" s="102">
        <v>0</v>
      </c>
      <c r="AC210" s="102">
        <v>0</v>
      </c>
      <c r="AD210" s="102">
        <v>0</v>
      </c>
      <c r="AE210" s="186">
        <v>0.08</v>
      </c>
      <c r="AF210" s="94">
        <v>0</v>
      </c>
      <c r="AG210" s="94">
        <v>1</v>
      </c>
      <c r="AH210" s="94">
        <v>1</v>
      </c>
      <c r="AI210" s="17">
        <v>1</v>
      </c>
      <c r="AJ210" s="17" t="s">
        <v>660</v>
      </c>
      <c r="AK210" s="17" t="s">
        <v>745</v>
      </c>
      <c r="AL210" s="17"/>
      <c r="AM210" s="61"/>
      <c r="AN210" s="61"/>
      <c r="AO210" s="61"/>
      <c r="AP210" s="61"/>
      <c r="AQ210" s="61"/>
      <c r="AR210" s="61"/>
      <c r="AS210" s="64"/>
      <c r="AT210" s="64"/>
      <c r="AU210" s="64"/>
      <c r="AV210" s="132"/>
      <c r="AW210" s="132"/>
      <c r="AX210" s="132"/>
      <c r="AY210" s="28" t="s">
        <v>662</v>
      </c>
      <c r="AZ210" s="28"/>
      <c r="BA210" s="28"/>
      <c r="BB210" s="28"/>
      <c r="BC210" s="28"/>
      <c r="BD210" s="28"/>
      <c r="BE210" s="28"/>
      <c r="BF210" s="28"/>
      <c r="BG210" s="28"/>
      <c r="BH210" s="106"/>
      <c r="BI210" s="106"/>
      <c r="BJ210" s="106"/>
      <c r="BK210" s="106"/>
      <c r="BL210" s="137"/>
      <c r="BM210" s="123"/>
      <c r="BN210" s="139"/>
      <c r="BO210" s="94"/>
      <c r="BP210" s="94"/>
      <c r="BQ210" s="94"/>
      <c r="BR210" s="94"/>
      <c r="BS210" s="94"/>
      <c r="BT210" s="94"/>
      <c r="BU210" s="28">
        <f t="shared" si="212"/>
        <v>0</v>
      </c>
      <c r="BV210" s="28"/>
      <c r="BW210" s="28"/>
      <c r="BX210" s="28"/>
      <c r="BY210" s="28"/>
      <c r="BZ210" s="28"/>
      <c r="CA210" s="28"/>
      <c r="CB210" s="99">
        <f t="shared" ref="CB210:CB223" si="219">DL210</f>
        <v>0.4</v>
      </c>
      <c r="CC210" s="99">
        <f t="shared" ref="CC210:CC223" si="220">DM210</f>
        <v>0.35</v>
      </c>
      <c r="CD210" s="99">
        <f t="shared" ref="CD210:CD223" si="221">DN210</f>
        <v>0.3</v>
      </c>
      <c r="CE210" s="99">
        <f t="shared" ref="CE210:CH224" si="222">DO210</f>
        <v>0.3</v>
      </c>
      <c r="CF210" s="99">
        <f t="shared" si="222"/>
        <v>0.3</v>
      </c>
      <c r="CG210" s="99">
        <f t="shared" si="222"/>
        <v>0.3</v>
      </c>
      <c r="CH210" s="99">
        <f t="shared" si="222"/>
        <v>0.31</v>
      </c>
      <c r="CI210" s="175"/>
      <c r="CJ210" s="175"/>
      <c r="CK210" s="175"/>
      <c r="CL210" s="175"/>
      <c r="CM210" s="175"/>
      <c r="CN210" s="175"/>
      <c r="CO210" s="175"/>
      <c r="CP210" s="176"/>
      <c r="CQ210" s="176"/>
      <c r="CR210" s="176"/>
      <c r="CS210" s="176"/>
      <c r="CT210" s="176"/>
      <c r="CU210" s="176"/>
      <c r="CV210" s="176"/>
      <c r="CW210" s="167"/>
      <c r="CX210" s="168"/>
      <c r="CY210" s="168"/>
      <c r="CZ210" s="168"/>
      <c r="DA210" s="168"/>
      <c r="DB210" s="168"/>
      <c r="DC210" s="168"/>
      <c r="DD210" s="172"/>
      <c r="DE210" s="172"/>
      <c r="DF210" s="172"/>
      <c r="DG210" s="172"/>
      <c r="DH210" s="172"/>
      <c r="DI210" s="172"/>
      <c r="DJ210" s="172"/>
      <c r="DK210" s="80" t="s">
        <v>663</v>
      </c>
      <c r="DL210" s="306">
        <f>ROUNDUP(VLOOKUP($F210,Activities!$A$9:$I$180,3,FALSE)/$AI210,2)</f>
        <v>0.4</v>
      </c>
      <c r="DM210" s="306">
        <f>ROUNDUP(VLOOKUP($F210,Activities!$A$9:$I$180,4,FALSE)/$AI210,2)</f>
        <v>0.35</v>
      </c>
      <c r="DN210" s="306">
        <f>ROUNDUP(VLOOKUP($F210,Activities!$A$9:$I$180,5,FALSE)/$AI210,2)</f>
        <v>0.3</v>
      </c>
      <c r="DO210" s="306">
        <f>ROUNDUP(VLOOKUP($F210,Activities!$A$9:$I$180,6,FALSE)/$AI210,2)</f>
        <v>0.3</v>
      </c>
      <c r="DP210" s="306">
        <f>ROUNDUP(VLOOKUP($F210,Activities!$A$9:$I$180,7,FALSE)/$AI210,2)</f>
        <v>0.3</v>
      </c>
      <c r="DQ210" s="306">
        <f>ROUNDUP(VLOOKUP($F210,Activities!$A$9:$I$180,8,FALSE)/$AI210,2)</f>
        <v>0.3</v>
      </c>
      <c r="DR210" s="306">
        <f>ROUNDUP(VLOOKUP($F210,Activities!$A$9:$I$180,9,FALSE)/$AI210,2)</f>
        <v>0.31</v>
      </c>
      <c r="DS210" s="218"/>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row>
    <row r="211" spans="1:244" x14ac:dyDescent="0.35">
      <c r="A211" s="5" t="s">
        <v>1180</v>
      </c>
      <c r="B211" s="5" t="s">
        <v>654</v>
      </c>
      <c r="C211" s="5" t="s">
        <v>534</v>
      </c>
      <c r="D211" s="5" t="s">
        <v>708</v>
      </c>
      <c r="E211" s="5" t="s">
        <v>708</v>
      </c>
      <c r="F211" s="5" t="s">
        <v>395</v>
      </c>
      <c r="G211" s="47" t="s">
        <v>1181</v>
      </c>
      <c r="H211" s="47" t="s">
        <v>1162</v>
      </c>
      <c r="I211" s="101">
        <v>0</v>
      </c>
      <c r="J211" s="101">
        <v>0</v>
      </c>
      <c r="K211" s="101">
        <v>0</v>
      </c>
      <c r="L211" s="101">
        <v>0</v>
      </c>
      <c r="M211" s="101">
        <v>0</v>
      </c>
      <c r="N211" s="101">
        <v>0</v>
      </c>
      <c r="O211" s="101">
        <v>0</v>
      </c>
      <c r="P211" s="93">
        <v>0</v>
      </c>
      <c r="Q211" s="101">
        <v>0</v>
      </c>
      <c r="R211" s="101">
        <v>0</v>
      </c>
      <c r="S211" s="101">
        <v>0</v>
      </c>
      <c r="T211" s="101">
        <v>0</v>
      </c>
      <c r="U211" s="101">
        <v>0</v>
      </c>
      <c r="V211" s="101">
        <v>0</v>
      </c>
      <c r="W211" s="101">
        <v>0</v>
      </c>
      <c r="X211" s="101">
        <v>0</v>
      </c>
      <c r="Y211" s="101">
        <v>0</v>
      </c>
      <c r="Z211" s="101">
        <v>0</v>
      </c>
      <c r="AA211" s="101">
        <v>0</v>
      </c>
      <c r="AB211" s="101">
        <v>0</v>
      </c>
      <c r="AC211" s="101">
        <v>0</v>
      </c>
      <c r="AD211" s="101">
        <v>0</v>
      </c>
      <c r="AE211" s="186">
        <v>0.08</v>
      </c>
      <c r="AF211" s="93">
        <v>0</v>
      </c>
      <c r="AG211" s="93">
        <v>1</v>
      </c>
      <c r="AH211" s="93">
        <v>1</v>
      </c>
      <c r="AI211" s="16">
        <v>1</v>
      </c>
      <c r="AJ211" s="16" t="s">
        <v>660</v>
      </c>
      <c r="AK211" s="16" t="s">
        <v>745</v>
      </c>
      <c r="AL211" s="16"/>
      <c r="AM211" s="60"/>
      <c r="AN211" s="60"/>
      <c r="AO211" s="60"/>
      <c r="AP211" s="60"/>
      <c r="AQ211" s="60"/>
      <c r="AR211" s="60"/>
      <c r="AS211" s="63"/>
      <c r="AT211" s="63"/>
      <c r="AU211" s="63"/>
      <c r="AV211" s="131"/>
      <c r="AW211" s="131"/>
      <c r="AX211" s="131"/>
      <c r="AY211" s="27" t="s">
        <v>662</v>
      </c>
      <c r="AZ211" s="27"/>
      <c r="BA211" s="27"/>
      <c r="BB211" s="30"/>
      <c r="BC211" s="30"/>
      <c r="BD211" s="30"/>
      <c r="BE211" s="30"/>
      <c r="BF211" s="30"/>
      <c r="BG211" s="30"/>
      <c r="BH211" s="107"/>
      <c r="BI211" s="107"/>
      <c r="BJ211" s="107"/>
      <c r="BK211" s="107"/>
      <c r="BL211" s="136"/>
      <c r="BM211" s="122"/>
      <c r="BN211" s="138"/>
      <c r="BO211" s="93"/>
      <c r="BP211" s="93"/>
      <c r="BQ211" s="93"/>
      <c r="BR211" s="93"/>
      <c r="BS211" s="93"/>
      <c r="BT211" s="93"/>
      <c r="BU211" s="27">
        <f t="shared" si="212"/>
        <v>0</v>
      </c>
      <c r="BV211" s="27"/>
      <c r="BW211" s="27"/>
      <c r="BX211" s="27"/>
      <c r="BY211" s="27"/>
      <c r="BZ211" s="27"/>
      <c r="CA211" s="27"/>
      <c r="CB211" s="97">
        <f t="shared" si="219"/>
        <v>0.3</v>
      </c>
      <c r="CC211" s="97">
        <f t="shared" si="220"/>
        <v>0.34</v>
      </c>
      <c r="CD211" s="97">
        <f t="shared" si="221"/>
        <v>0.38800000000000001</v>
      </c>
      <c r="CE211" s="97">
        <f t="shared" si="222"/>
        <v>0.37</v>
      </c>
      <c r="CF211" s="97">
        <f t="shared" si="222"/>
        <v>0.35</v>
      </c>
      <c r="CG211" s="97">
        <f t="shared" si="222"/>
        <v>0.34</v>
      </c>
      <c r="CH211" s="97">
        <f t="shared" si="222"/>
        <v>0.32100000000000001</v>
      </c>
      <c r="CI211" s="173"/>
      <c r="CJ211" s="173"/>
      <c r="CK211" s="173"/>
      <c r="CL211" s="173"/>
      <c r="CM211" s="173"/>
      <c r="CN211" s="173"/>
      <c r="CO211" s="173"/>
      <c r="CP211" s="174"/>
      <c r="CQ211" s="174"/>
      <c r="CR211" s="174"/>
      <c r="CS211" s="174"/>
      <c r="CT211" s="174"/>
      <c r="CU211" s="174"/>
      <c r="CV211" s="174"/>
      <c r="CW211" s="165"/>
      <c r="CX211" s="166"/>
      <c r="CY211" s="166"/>
      <c r="CZ211" s="166"/>
      <c r="DA211" s="166"/>
      <c r="DB211" s="166"/>
      <c r="DC211" s="166"/>
      <c r="DD211" s="171"/>
      <c r="DE211" s="171"/>
      <c r="DF211" s="171"/>
      <c r="DG211" s="171"/>
      <c r="DH211" s="171"/>
      <c r="DI211" s="171"/>
      <c r="DJ211" s="171"/>
      <c r="DK211" s="79" t="s">
        <v>699</v>
      </c>
      <c r="DL211" s="128">
        <f>VLOOKUP($F211,Activities!$A$9:$I$180,3,FALSE)/$AI211</f>
        <v>0.3</v>
      </c>
      <c r="DM211" s="128">
        <f>VLOOKUP($F211,Activities!$A$9:$I$180,4,FALSE)/$AI211</f>
        <v>0.34</v>
      </c>
      <c r="DN211" s="128">
        <f>VLOOKUP($F211,Activities!$A$9:$I$180,5,FALSE)/$AI211</f>
        <v>0.38800000000000001</v>
      </c>
      <c r="DO211" s="128">
        <f>VLOOKUP($F211,Activities!$A$9:$I$180,6,FALSE)/$AI211</f>
        <v>0.37</v>
      </c>
      <c r="DP211" s="128">
        <f>VLOOKUP($F211,Activities!$A$9:$I$180,7,FALSE)/$AI211</f>
        <v>0.35</v>
      </c>
      <c r="DQ211" s="128">
        <f>VLOOKUP($F211,Activities!$A$9:$I$180,8,FALSE)/$AI211</f>
        <v>0.34</v>
      </c>
      <c r="DR211" s="128">
        <f>VLOOKUP($F211,Activities!$A$9:$I$180,9,FALSE)/$AI211</f>
        <v>0.32100000000000001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6" t="s">
        <v>1182</v>
      </c>
      <c r="B212" s="6" t="s">
        <v>726</v>
      </c>
      <c r="C212" s="6" t="s">
        <v>534</v>
      </c>
      <c r="D212" s="6" t="s">
        <v>727</v>
      </c>
      <c r="E212" s="6" t="s">
        <v>727</v>
      </c>
      <c r="F212" s="6" t="s">
        <v>396</v>
      </c>
      <c r="G212" s="48" t="s">
        <v>1183</v>
      </c>
      <c r="H212" s="48" t="s">
        <v>1162</v>
      </c>
      <c r="I212" s="102">
        <v>0</v>
      </c>
      <c r="J212" s="102">
        <v>0</v>
      </c>
      <c r="K212" s="102">
        <v>0</v>
      </c>
      <c r="L212" s="102">
        <v>0</v>
      </c>
      <c r="M212" s="102">
        <v>0</v>
      </c>
      <c r="N212" s="102">
        <v>0</v>
      </c>
      <c r="O212" s="102">
        <v>0</v>
      </c>
      <c r="P212" s="94">
        <v>0</v>
      </c>
      <c r="Q212" s="102">
        <v>0</v>
      </c>
      <c r="R212" s="102">
        <v>0</v>
      </c>
      <c r="S212" s="102">
        <v>0</v>
      </c>
      <c r="T212" s="102">
        <v>0</v>
      </c>
      <c r="U212" s="102">
        <v>0</v>
      </c>
      <c r="V212" s="102">
        <v>0</v>
      </c>
      <c r="W212" s="102">
        <v>0</v>
      </c>
      <c r="X212" s="102">
        <v>0</v>
      </c>
      <c r="Y212" s="102">
        <v>0</v>
      </c>
      <c r="Z212" s="102">
        <v>0</v>
      </c>
      <c r="AA212" s="102">
        <v>0</v>
      </c>
      <c r="AB212" s="102">
        <v>0</v>
      </c>
      <c r="AC212" s="102">
        <v>0</v>
      </c>
      <c r="AD212" s="102">
        <v>0</v>
      </c>
      <c r="AE212" s="186">
        <v>0.08</v>
      </c>
      <c r="AF212" s="94">
        <v>0</v>
      </c>
      <c r="AG212" s="94">
        <v>1</v>
      </c>
      <c r="AH212" s="94">
        <v>1</v>
      </c>
      <c r="AI212" s="17">
        <v>1</v>
      </c>
      <c r="AJ212" s="17" t="s">
        <v>660</v>
      </c>
      <c r="AK212" s="17" t="s">
        <v>745</v>
      </c>
      <c r="AL212" s="17"/>
      <c r="AM212" s="61"/>
      <c r="AN212" s="61"/>
      <c r="AO212" s="61"/>
      <c r="AP212" s="61"/>
      <c r="AQ212" s="61"/>
      <c r="AR212" s="61"/>
      <c r="AS212" s="64"/>
      <c r="AT212" s="64"/>
      <c r="AU212" s="64"/>
      <c r="AV212" s="132"/>
      <c r="AW212" s="132"/>
      <c r="AX212" s="132"/>
      <c r="AY212" s="28" t="s">
        <v>662</v>
      </c>
      <c r="AZ212" s="28"/>
      <c r="BA212" s="28"/>
      <c r="BB212" s="28"/>
      <c r="BC212" s="28"/>
      <c r="BD212" s="28"/>
      <c r="BE212" s="28"/>
      <c r="BF212" s="28"/>
      <c r="BG212" s="28"/>
      <c r="BH212" s="106"/>
      <c r="BI212" s="106"/>
      <c r="BJ212" s="106"/>
      <c r="BK212" s="106"/>
      <c r="BL212" s="137"/>
      <c r="BM212" s="123"/>
      <c r="BN212" s="139"/>
      <c r="BO212" s="94"/>
      <c r="BP212" s="94"/>
      <c r="BQ212" s="94"/>
      <c r="BR212" s="94"/>
      <c r="BS212" s="94"/>
      <c r="BT212" s="94"/>
      <c r="BU212" s="28">
        <f t="shared" si="212"/>
        <v>0</v>
      </c>
      <c r="BV212" s="28"/>
      <c r="BW212" s="28"/>
      <c r="BX212" s="28"/>
      <c r="BY212" s="28"/>
      <c r="BZ212" s="28"/>
      <c r="CA212" s="28"/>
      <c r="CB212" s="99">
        <f t="shared" si="219"/>
        <v>0.3</v>
      </c>
      <c r="CC212" s="99">
        <f t="shared" si="220"/>
        <v>0.26</v>
      </c>
      <c r="CD212" s="99">
        <f t="shared" si="221"/>
        <v>0.21299999999999999</v>
      </c>
      <c r="CE212" s="99">
        <f t="shared" si="222"/>
        <v>0.2</v>
      </c>
      <c r="CF212" s="99">
        <f t="shared" si="222"/>
        <v>0.19</v>
      </c>
      <c r="CG212" s="99">
        <f t="shared" si="222"/>
        <v>0.18</v>
      </c>
      <c r="CH212" s="99">
        <f t="shared" si="222"/>
        <v>0.16600000000000001</v>
      </c>
      <c r="CI212" s="175"/>
      <c r="CJ212" s="175"/>
      <c r="CK212" s="175"/>
      <c r="CL212" s="175"/>
      <c r="CM212" s="175"/>
      <c r="CN212" s="175"/>
      <c r="CO212" s="175"/>
      <c r="CP212" s="176"/>
      <c r="CQ212" s="176"/>
      <c r="CR212" s="176"/>
      <c r="CS212" s="176"/>
      <c r="CT212" s="176"/>
      <c r="CU212" s="176"/>
      <c r="CV212" s="176"/>
      <c r="CW212" s="167"/>
      <c r="CX212" s="168"/>
      <c r="CY212" s="168"/>
      <c r="CZ212" s="168"/>
      <c r="DA212" s="168"/>
      <c r="DB212" s="168"/>
      <c r="DC212" s="168"/>
      <c r="DD212" s="172"/>
      <c r="DE212" s="172"/>
      <c r="DF212" s="172"/>
      <c r="DG212" s="172"/>
      <c r="DH212" s="172"/>
      <c r="DI212" s="172"/>
      <c r="DJ212" s="172"/>
      <c r="DK212" s="80" t="s">
        <v>699</v>
      </c>
      <c r="DL212" s="129">
        <f>VLOOKUP($F212,Activities!$A$9:$I$180,3,FALSE)/$AI212</f>
        <v>0.3</v>
      </c>
      <c r="DM212" s="129">
        <f>VLOOKUP($F212,Activities!$A$9:$I$180,4,FALSE)/$AI212</f>
        <v>0.26</v>
      </c>
      <c r="DN212" s="129">
        <f>VLOOKUP($F212,Activities!$A$9:$I$180,5,FALSE)/$AI212</f>
        <v>0.21299999999999999</v>
      </c>
      <c r="DO212" s="129">
        <f>VLOOKUP($F212,Activities!$A$9:$I$180,6,FALSE)/$AI212</f>
        <v>0.2</v>
      </c>
      <c r="DP212" s="129">
        <f>VLOOKUP($F212,Activities!$A$9:$I$180,7,FALSE)/$AI212</f>
        <v>0.19</v>
      </c>
      <c r="DQ212" s="129">
        <f>VLOOKUP($F212,Activities!$A$9:$I$180,8,FALSE)/$AI212</f>
        <v>0.18</v>
      </c>
      <c r="DR212" s="129">
        <f>VLOOKUP($F212,Activities!$A$9:$I$180,9,FALSE)/$AI212</f>
        <v>0.16600000000000001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5" t="s">
        <v>1184</v>
      </c>
      <c r="B213" s="5" t="s">
        <v>726</v>
      </c>
      <c r="C213" s="5" t="s">
        <v>534</v>
      </c>
      <c r="D213" s="5" t="s">
        <v>727</v>
      </c>
      <c r="E213" s="5" t="s">
        <v>727</v>
      </c>
      <c r="F213" s="5" t="s">
        <v>397</v>
      </c>
      <c r="G213" s="47" t="s">
        <v>1185</v>
      </c>
      <c r="H213" s="47" t="s">
        <v>1162</v>
      </c>
      <c r="I213" s="101">
        <v>0</v>
      </c>
      <c r="J213" s="101">
        <v>0</v>
      </c>
      <c r="K213" s="101">
        <v>0</v>
      </c>
      <c r="L213" s="101">
        <v>0</v>
      </c>
      <c r="M213" s="101">
        <v>0</v>
      </c>
      <c r="N213" s="101">
        <v>0</v>
      </c>
      <c r="O213" s="101">
        <v>0</v>
      </c>
      <c r="P213" s="93">
        <v>0</v>
      </c>
      <c r="Q213" s="101">
        <v>0</v>
      </c>
      <c r="R213" s="101">
        <v>0</v>
      </c>
      <c r="S213" s="101">
        <v>0</v>
      </c>
      <c r="T213" s="101">
        <v>0</v>
      </c>
      <c r="U213" s="101">
        <v>0</v>
      </c>
      <c r="V213" s="101">
        <v>0</v>
      </c>
      <c r="W213" s="101">
        <v>0</v>
      </c>
      <c r="X213" s="101">
        <v>0</v>
      </c>
      <c r="Y213" s="101">
        <v>0</v>
      </c>
      <c r="Z213" s="101">
        <v>0</v>
      </c>
      <c r="AA213" s="101">
        <v>0</v>
      </c>
      <c r="AB213" s="101">
        <v>0</v>
      </c>
      <c r="AC213" s="101">
        <v>0</v>
      </c>
      <c r="AD213" s="101">
        <v>0</v>
      </c>
      <c r="AE213" s="186">
        <v>0.08</v>
      </c>
      <c r="AF213" s="93">
        <v>0</v>
      </c>
      <c r="AG213" s="93">
        <v>1</v>
      </c>
      <c r="AH213" s="93">
        <v>1</v>
      </c>
      <c r="AI213" s="16">
        <v>1</v>
      </c>
      <c r="AJ213" s="16" t="s">
        <v>660</v>
      </c>
      <c r="AK213" s="16" t="s">
        <v>745</v>
      </c>
      <c r="AL213" s="16"/>
      <c r="AM213" s="60"/>
      <c r="AN213" s="60"/>
      <c r="AO213" s="60"/>
      <c r="AP213" s="60"/>
      <c r="AQ213" s="60"/>
      <c r="AR213" s="60"/>
      <c r="AS213" s="63"/>
      <c r="AT213" s="63"/>
      <c r="AU213" s="63"/>
      <c r="AV213" s="131"/>
      <c r="AW213" s="131"/>
      <c r="AX213" s="131"/>
      <c r="AY213" s="27" t="s">
        <v>662</v>
      </c>
      <c r="AZ213" s="27"/>
      <c r="BA213" s="27"/>
      <c r="BB213" s="30"/>
      <c r="BC213" s="30"/>
      <c r="BD213" s="30"/>
      <c r="BE213" s="30"/>
      <c r="BF213" s="30"/>
      <c r="BG213" s="30"/>
      <c r="BH213" s="107"/>
      <c r="BI213" s="107"/>
      <c r="BJ213" s="107"/>
      <c r="BK213" s="107"/>
      <c r="BL213" s="136"/>
      <c r="BM213" s="122"/>
      <c r="BN213" s="138"/>
      <c r="BO213" s="93"/>
      <c r="BP213" s="93"/>
      <c r="BQ213" s="93"/>
      <c r="BR213" s="93"/>
      <c r="BS213" s="93"/>
      <c r="BT213" s="93"/>
      <c r="BU213" s="27">
        <f t="shared" si="212"/>
        <v>0</v>
      </c>
      <c r="BV213" s="27"/>
      <c r="BW213" s="27"/>
      <c r="BX213" s="27"/>
      <c r="BY213" s="27"/>
      <c r="BZ213" s="27"/>
      <c r="CA213" s="27"/>
      <c r="CB213" s="97">
        <f t="shared" si="219"/>
        <v>12.6</v>
      </c>
      <c r="CC213" s="97">
        <f t="shared" si="220"/>
        <v>10.24</v>
      </c>
      <c r="CD213" s="97">
        <f t="shared" si="221"/>
        <v>7.87</v>
      </c>
      <c r="CE213" s="97">
        <f t="shared" si="222"/>
        <v>7.43</v>
      </c>
      <c r="CF213" s="97">
        <f t="shared" si="222"/>
        <v>6.99</v>
      </c>
      <c r="CG213" s="97">
        <f t="shared" si="222"/>
        <v>6.55</v>
      </c>
      <c r="CH213" s="97">
        <f t="shared" si="222"/>
        <v>6.11</v>
      </c>
      <c r="CI213" s="173"/>
      <c r="CJ213" s="173"/>
      <c r="CK213" s="173"/>
      <c r="CL213" s="173"/>
      <c r="CM213" s="173"/>
      <c r="CN213" s="173"/>
      <c r="CO213" s="173"/>
      <c r="CP213" s="174"/>
      <c r="CQ213" s="174"/>
      <c r="CR213" s="174"/>
      <c r="CS213" s="174"/>
      <c r="CT213" s="174"/>
      <c r="CU213" s="174"/>
      <c r="CV213" s="174"/>
      <c r="CW213" s="165"/>
      <c r="CX213" s="166"/>
      <c r="CY213" s="166"/>
      <c r="CZ213" s="166"/>
      <c r="DA213" s="166"/>
      <c r="DB213" s="166"/>
      <c r="DC213" s="166"/>
      <c r="DD213" s="171"/>
      <c r="DE213" s="171"/>
      <c r="DF213" s="171"/>
      <c r="DG213" s="171"/>
      <c r="DH213" s="171"/>
      <c r="DI213" s="171"/>
      <c r="DJ213" s="171"/>
      <c r="DK213" s="79" t="s">
        <v>699</v>
      </c>
      <c r="DL213" s="128">
        <f>VLOOKUP($F213,Activities!$A$9:$I$180,3,FALSE)/$AI213</f>
        <v>12.6</v>
      </c>
      <c r="DM213" s="128">
        <f>VLOOKUP($F213,Activities!$A$9:$I$180,4,FALSE)/$AI213</f>
        <v>10.24</v>
      </c>
      <c r="DN213" s="128">
        <f>VLOOKUP($F213,Activities!$A$9:$I$180,5,FALSE)/$AI213</f>
        <v>7.87</v>
      </c>
      <c r="DO213" s="128">
        <f>VLOOKUP($F213,Activities!$A$9:$I$180,6,FALSE)/$AI213</f>
        <v>7.43</v>
      </c>
      <c r="DP213" s="128">
        <f>VLOOKUP($F213,Activities!$A$9:$I$180,7,FALSE)/$AI213</f>
        <v>6.99</v>
      </c>
      <c r="DQ213" s="128">
        <f>VLOOKUP($F213,Activities!$A$9:$I$180,8,FALSE)/$AI213</f>
        <v>6.55</v>
      </c>
      <c r="DR213" s="128">
        <f>VLOOKUP($F213,Activities!$A$9:$I$180,9,FALSE)/$AI213</f>
        <v>6.11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6" t="s">
        <v>1186</v>
      </c>
      <c r="B214" s="6" t="s">
        <v>726</v>
      </c>
      <c r="C214" s="6" t="s">
        <v>534</v>
      </c>
      <c r="D214" s="6" t="s">
        <v>727</v>
      </c>
      <c r="E214" s="6" t="s">
        <v>727</v>
      </c>
      <c r="F214" s="6" t="s">
        <v>398</v>
      </c>
      <c r="G214" s="48" t="s">
        <v>1187</v>
      </c>
      <c r="H214" s="48" t="s">
        <v>1162</v>
      </c>
      <c r="I214" s="102">
        <v>0</v>
      </c>
      <c r="J214" s="102">
        <v>0</v>
      </c>
      <c r="K214" s="102">
        <v>0</v>
      </c>
      <c r="L214" s="102">
        <v>0</v>
      </c>
      <c r="M214" s="102">
        <v>0</v>
      </c>
      <c r="N214" s="102">
        <v>0</v>
      </c>
      <c r="O214" s="102">
        <v>0</v>
      </c>
      <c r="P214" s="94">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86">
        <v>0.08</v>
      </c>
      <c r="AF214" s="94">
        <v>0</v>
      </c>
      <c r="AG214" s="94">
        <v>1</v>
      </c>
      <c r="AH214" s="94">
        <v>1</v>
      </c>
      <c r="AI214" s="17">
        <v>1</v>
      </c>
      <c r="AJ214" s="17" t="s">
        <v>660</v>
      </c>
      <c r="AK214" s="17" t="s">
        <v>745</v>
      </c>
      <c r="AL214" s="17"/>
      <c r="AM214" s="61"/>
      <c r="AN214" s="61"/>
      <c r="AO214" s="61"/>
      <c r="AP214" s="61"/>
      <c r="AQ214" s="61"/>
      <c r="AR214" s="61"/>
      <c r="AS214" s="64"/>
      <c r="AT214" s="64"/>
      <c r="AU214" s="64"/>
      <c r="AV214" s="132"/>
      <c r="AW214" s="132"/>
      <c r="AX214" s="132"/>
      <c r="AY214" s="28" t="s">
        <v>662</v>
      </c>
      <c r="AZ214" s="28"/>
      <c r="BA214" s="28"/>
      <c r="BB214" s="28"/>
      <c r="BC214" s="28"/>
      <c r="BD214" s="28"/>
      <c r="BE214" s="28"/>
      <c r="BF214" s="28"/>
      <c r="BG214" s="28"/>
      <c r="BH214" s="106"/>
      <c r="BI214" s="106"/>
      <c r="BJ214" s="106"/>
      <c r="BK214" s="106"/>
      <c r="BL214" s="137"/>
      <c r="BM214" s="123"/>
      <c r="BN214" s="139"/>
      <c r="BO214" s="94"/>
      <c r="BP214" s="94"/>
      <c r="BQ214" s="94"/>
      <c r="BR214" s="94"/>
      <c r="BS214" s="94"/>
      <c r="BT214" s="94"/>
      <c r="BU214" s="28">
        <f t="shared" si="212"/>
        <v>0</v>
      </c>
      <c r="BV214" s="28"/>
      <c r="BW214" s="28"/>
      <c r="BX214" s="28"/>
      <c r="BY214" s="28"/>
      <c r="BZ214" s="28"/>
      <c r="CA214" s="28"/>
      <c r="CB214" s="99">
        <f t="shared" si="219"/>
        <v>4.5</v>
      </c>
      <c r="CC214" s="99">
        <f t="shared" si="220"/>
        <v>4.03</v>
      </c>
      <c r="CD214" s="99">
        <f t="shared" si="221"/>
        <v>3.56</v>
      </c>
      <c r="CE214" s="99">
        <f t="shared" si="222"/>
        <v>3.32</v>
      </c>
      <c r="CF214" s="99">
        <f t="shared" si="222"/>
        <v>3.07</v>
      </c>
      <c r="CG214" s="99">
        <f t="shared" si="222"/>
        <v>2.83</v>
      </c>
      <c r="CH214" s="99">
        <f t="shared" si="222"/>
        <v>2.58</v>
      </c>
      <c r="CI214" s="175"/>
      <c r="CJ214" s="175"/>
      <c r="CK214" s="175"/>
      <c r="CL214" s="175"/>
      <c r="CM214" s="175"/>
      <c r="CN214" s="175"/>
      <c r="CO214" s="175"/>
      <c r="CP214" s="176"/>
      <c r="CQ214" s="176"/>
      <c r="CR214" s="176"/>
      <c r="CS214" s="176"/>
      <c r="CT214" s="176"/>
      <c r="CU214" s="176"/>
      <c r="CV214" s="176"/>
      <c r="CW214" s="167"/>
      <c r="CX214" s="168"/>
      <c r="CY214" s="168"/>
      <c r="CZ214" s="168"/>
      <c r="DA214" s="168"/>
      <c r="DB214" s="168"/>
      <c r="DC214" s="168"/>
      <c r="DD214" s="172"/>
      <c r="DE214" s="172"/>
      <c r="DF214" s="172"/>
      <c r="DG214" s="172"/>
      <c r="DH214" s="172"/>
      <c r="DI214" s="172"/>
      <c r="DJ214" s="172"/>
      <c r="DK214" s="80" t="s">
        <v>699</v>
      </c>
      <c r="DL214" s="129">
        <f>VLOOKUP($F214,Activities!$A$9:$I$180,3,FALSE)/$AI214</f>
        <v>4.5</v>
      </c>
      <c r="DM214" s="129">
        <f>VLOOKUP($F214,Activities!$A$9:$I$180,4,FALSE)/$AI214</f>
        <v>4.03</v>
      </c>
      <c r="DN214" s="129">
        <f>VLOOKUP($F214,Activities!$A$9:$I$180,5,FALSE)/$AI214</f>
        <v>3.56</v>
      </c>
      <c r="DO214" s="129">
        <f>VLOOKUP($F214,Activities!$A$9:$I$180,6,FALSE)/$AI214</f>
        <v>3.32</v>
      </c>
      <c r="DP214" s="129">
        <f>VLOOKUP($F214,Activities!$A$9:$I$180,7,FALSE)/$AI214</f>
        <v>3.07</v>
      </c>
      <c r="DQ214" s="129">
        <f>VLOOKUP($F214,Activities!$A$9:$I$180,8,FALSE)/$AI214</f>
        <v>2.83</v>
      </c>
      <c r="DR214" s="129">
        <f>VLOOKUP($F214,Activities!$A$9:$I$180,9,FALSE)/$AI214</f>
        <v>2.58</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5" t="s">
        <v>1188</v>
      </c>
      <c r="B215" s="5" t="s">
        <v>740</v>
      </c>
      <c r="C215" s="5" t="s">
        <v>534</v>
      </c>
      <c r="D215" s="5" t="s">
        <v>741</v>
      </c>
      <c r="E215" s="5" t="s">
        <v>789</v>
      </c>
      <c r="F215" s="5" t="s">
        <v>399</v>
      </c>
      <c r="G215" s="47" t="s">
        <v>1189</v>
      </c>
      <c r="H215" s="47" t="s">
        <v>1162</v>
      </c>
      <c r="I215" s="101">
        <v>0</v>
      </c>
      <c r="J215" s="101">
        <v>0</v>
      </c>
      <c r="K215" s="101">
        <v>0</v>
      </c>
      <c r="L215" s="101">
        <v>0</v>
      </c>
      <c r="M215" s="101">
        <v>0</v>
      </c>
      <c r="N215" s="101">
        <v>0</v>
      </c>
      <c r="O215" s="101">
        <v>0</v>
      </c>
      <c r="P215" s="93">
        <v>0</v>
      </c>
      <c r="Q215" s="101">
        <v>0</v>
      </c>
      <c r="R215" s="101">
        <v>0</v>
      </c>
      <c r="S215" s="101">
        <v>0</v>
      </c>
      <c r="T215" s="101">
        <v>0</v>
      </c>
      <c r="U215" s="101">
        <v>0</v>
      </c>
      <c r="V215" s="101">
        <v>0</v>
      </c>
      <c r="W215" s="101">
        <v>0</v>
      </c>
      <c r="X215" s="101">
        <v>0</v>
      </c>
      <c r="Y215" s="101">
        <v>0</v>
      </c>
      <c r="Z215" s="101">
        <v>0</v>
      </c>
      <c r="AA215" s="101">
        <v>0</v>
      </c>
      <c r="AB215" s="101">
        <v>0</v>
      </c>
      <c r="AC215" s="101">
        <v>0</v>
      </c>
      <c r="AD215" s="101">
        <v>0</v>
      </c>
      <c r="AE215" s="186">
        <v>0.08</v>
      </c>
      <c r="AF215" s="93">
        <v>0</v>
      </c>
      <c r="AG215" s="93">
        <v>1</v>
      </c>
      <c r="AH215" s="93">
        <v>1</v>
      </c>
      <c r="AI215" s="16">
        <v>1</v>
      </c>
      <c r="AJ215" s="16" t="s">
        <v>660</v>
      </c>
      <c r="AK215" s="16" t="s">
        <v>745</v>
      </c>
      <c r="AL215" s="16"/>
      <c r="AM215" s="60"/>
      <c r="AN215" s="60"/>
      <c r="AO215" s="60"/>
      <c r="AP215" s="60"/>
      <c r="AQ215" s="60"/>
      <c r="AR215" s="60"/>
      <c r="AS215" s="63"/>
      <c r="AT215" s="63"/>
      <c r="AU215" s="63"/>
      <c r="AV215" s="131"/>
      <c r="AW215" s="131"/>
      <c r="AX215" s="131"/>
      <c r="AY215" s="27" t="s">
        <v>662</v>
      </c>
      <c r="AZ215" s="27"/>
      <c r="BA215" s="27"/>
      <c r="BB215" s="30"/>
      <c r="BC215" s="30"/>
      <c r="BD215" s="30"/>
      <c r="BE215" s="30"/>
      <c r="BF215" s="30"/>
      <c r="BG215" s="30"/>
      <c r="BH215" s="107"/>
      <c r="BI215" s="107"/>
      <c r="BJ215" s="107"/>
      <c r="BK215" s="107"/>
      <c r="BL215" s="136"/>
      <c r="BM215" s="122"/>
      <c r="BN215" s="138"/>
      <c r="BO215" s="93"/>
      <c r="BP215" s="93"/>
      <c r="BQ215" s="93"/>
      <c r="BR215" s="93"/>
      <c r="BS215" s="93"/>
      <c r="BT215" s="93"/>
      <c r="BU215" s="27">
        <f t="shared" si="212"/>
        <v>0</v>
      </c>
      <c r="BV215" s="27"/>
      <c r="BW215" s="27"/>
      <c r="BX215" s="27"/>
      <c r="BY215" s="27"/>
      <c r="BZ215" s="27"/>
      <c r="CA215" s="27"/>
      <c r="CB215" s="97">
        <f t="shared" si="219"/>
        <v>0.9</v>
      </c>
      <c r="CC215" s="97">
        <f t="shared" si="220"/>
        <v>0.85</v>
      </c>
      <c r="CD215" s="97">
        <f t="shared" si="221"/>
        <v>0.80200000000000005</v>
      </c>
      <c r="CE215" s="97">
        <f t="shared" si="222"/>
        <v>0.75</v>
      </c>
      <c r="CF215" s="97">
        <f t="shared" si="222"/>
        <v>0.7</v>
      </c>
      <c r="CG215" s="97">
        <f t="shared" si="222"/>
        <v>0.65</v>
      </c>
      <c r="CH215" s="97">
        <f t="shared" si="222"/>
        <v>0.60199999999999998</v>
      </c>
      <c r="CI215" s="173"/>
      <c r="CJ215" s="173"/>
      <c r="CK215" s="173"/>
      <c r="CL215" s="173"/>
      <c r="CM215" s="173"/>
      <c r="CN215" s="173"/>
      <c r="CO215" s="173"/>
      <c r="CP215" s="174"/>
      <c r="CQ215" s="174"/>
      <c r="CR215" s="174"/>
      <c r="CS215" s="174"/>
      <c r="CT215" s="174"/>
      <c r="CU215" s="174"/>
      <c r="CV215" s="174"/>
      <c r="CW215" s="165"/>
      <c r="CX215" s="166"/>
      <c r="CY215" s="166"/>
      <c r="CZ215" s="166"/>
      <c r="DA215" s="166"/>
      <c r="DB215" s="166"/>
      <c r="DC215" s="166"/>
      <c r="DD215" s="171"/>
      <c r="DE215" s="171"/>
      <c r="DF215" s="171"/>
      <c r="DG215" s="171"/>
      <c r="DH215" s="171"/>
      <c r="DI215" s="171"/>
      <c r="DJ215" s="171"/>
      <c r="DK215" s="79" t="s">
        <v>699</v>
      </c>
      <c r="DL215" s="128">
        <f>VLOOKUP($F215,Activities!$A$9:$I$180,3,FALSE)/$AI215</f>
        <v>0.9</v>
      </c>
      <c r="DM215" s="128">
        <f>VLOOKUP($F215,Activities!$A$9:$I$180,4,FALSE)/$AI215</f>
        <v>0.85</v>
      </c>
      <c r="DN215" s="128">
        <f>VLOOKUP($F215,Activities!$A$9:$I$180,5,FALSE)/$AI215</f>
        <v>0.80200000000000005</v>
      </c>
      <c r="DO215" s="128">
        <f>VLOOKUP($F215,Activities!$A$9:$I$180,6,FALSE)/$AI215</f>
        <v>0.75</v>
      </c>
      <c r="DP215" s="128">
        <f>VLOOKUP($F215,Activities!$A$9:$I$180,7,FALSE)/$AI215</f>
        <v>0.7</v>
      </c>
      <c r="DQ215" s="128">
        <f>VLOOKUP($F215,Activities!$A$9:$I$180,8,FALSE)/$AI215</f>
        <v>0.65</v>
      </c>
      <c r="DR215" s="128">
        <f>VLOOKUP($F215,Activities!$A$9:$I$180,9,FALSE)/$AI215</f>
        <v>0.60199999999999998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6" t="s">
        <v>1190</v>
      </c>
      <c r="B216" s="6" t="s">
        <v>740</v>
      </c>
      <c r="C216" s="6" t="s">
        <v>534</v>
      </c>
      <c r="D216" s="6" t="s">
        <v>741</v>
      </c>
      <c r="E216" s="6" t="s">
        <v>1133</v>
      </c>
      <c r="F216" s="6" t="s">
        <v>400</v>
      </c>
      <c r="G216" s="48" t="s">
        <v>1191</v>
      </c>
      <c r="H216" s="48" t="s">
        <v>1162</v>
      </c>
      <c r="I216" s="102">
        <v>0</v>
      </c>
      <c r="J216" s="102">
        <v>0</v>
      </c>
      <c r="K216" s="102">
        <v>0</v>
      </c>
      <c r="L216" s="102">
        <v>0</v>
      </c>
      <c r="M216" s="102">
        <v>0</v>
      </c>
      <c r="N216" s="102">
        <v>0</v>
      </c>
      <c r="O216" s="102">
        <v>0</v>
      </c>
      <c r="P216" s="94">
        <v>0</v>
      </c>
      <c r="Q216" s="102">
        <v>0</v>
      </c>
      <c r="R216" s="102">
        <v>0</v>
      </c>
      <c r="S216" s="102">
        <v>0</v>
      </c>
      <c r="T216" s="102">
        <v>0</v>
      </c>
      <c r="U216" s="102">
        <v>0</v>
      </c>
      <c r="V216" s="102">
        <v>0</v>
      </c>
      <c r="W216" s="102">
        <v>0</v>
      </c>
      <c r="X216" s="102">
        <v>0</v>
      </c>
      <c r="Y216" s="102">
        <v>0</v>
      </c>
      <c r="Z216" s="102">
        <v>0</v>
      </c>
      <c r="AA216" s="102">
        <v>0</v>
      </c>
      <c r="AB216" s="102">
        <v>0</v>
      </c>
      <c r="AC216" s="102">
        <v>0</v>
      </c>
      <c r="AD216" s="102">
        <v>0</v>
      </c>
      <c r="AE216" s="186">
        <v>0.08</v>
      </c>
      <c r="AF216" s="94">
        <v>0</v>
      </c>
      <c r="AG216" s="94">
        <v>1</v>
      </c>
      <c r="AH216" s="94">
        <v>1</v>
      </c>
      <c r="AI216" s="17">
        <v>1</v>
      </c>
      <c r="AJ216" s="17" t="s">
        <v>660</v>
      </c>
      <c r="AK216" s="17" t="s">
        <v>745</v>
      </c>
      <c r="AL216" s="17"/>
      <c r="AM216" s="61"/>
      <c r="AN216" s="61"/>
      <c r="AO216" s="61"/>
      <c r="AP216" s="61"/>
      <c r="AQ216" s="61"/>
      <c r="AR216" s="61"/>
      <c r="AS216" s="64"/>
      <c r="AT216" s="64"/>
      <c r="AU216" s="64"/>
      <c r="AV216" s="132"/>
      <c r="AW216" s="132"/>
      <c r="AX216" s="132"/>
      <c r="AY216" s="28" t="s">
        <v>662</v>
      </c>
      <c r="AZ216" s="28"/>
      <c r="BA216" s="28"/>
      <c r="BB216" s="28"/>
      <c r="BC216" s="28"/>
      <c r="BD216" s="28"/>
      <c r="BE216" s="28"/>
      <c r="BF216" s="28"/>
      <c r="BG216" s="28"/>
      <c r="BH216" s="106"/>
      <c r="BI216" s="106"/>
      <c r="BJ216" s="106"/>
      <c r="BK216" s="106"/>
      <c r="BL216" s="137"/>
      <c r="BM216" s="123"/>
      <c r="BN216" s="139"/>
      <c r="BO216" s="94"/>
      <c r="BP216" s="94"/>
      <c r="BQ216" s="94"/>
      <c r="BR216" s="94"/>
      <c r="BS216" s="94"/>
      <c r="BT216" s="94"/>
      <c r="BU216" s="28">
        <f t="shared" si="212"/>
        <v>0</v>
      </c>
      <c r="BV216" s="28"/>
      <c r="BW216" s="28"/>
      <c r="BX216" s="28"/>
      <c r="BY216" s="28"/>
      <c r="BZ216" s="28"/>
      <c r="CA216" s="28"/>
      <c r="CB216" s="99">
        <f t="shared" si="219"/>
        <v>0.9</v>
      </c>
      <c r="CC216" s="99">
        <f t="shared" si="220"/>
        <v>0.78</v>
      </c>
      <c r="CD216" s="99">
        <f t="shared" si="221"/>
        <v>0.66900000000000004</v>
      </c>
      <c r="CE216" s="99">
        <f t="shared" si="222"/>
        <v>0.67</v>
      </c>
      <c r="CF216" s="99">
        <f t="shared" si="222"/>
        <v>0.68</v>
      </c>
      <c r="CG216" s="99">
        <f t="shared" si="222"/>
        <v>0.69</v>
      </c>
      <c r="CH216" s="99">
        <f t="shared" si="222"/>
        <v>0.69599999999999995</v>
      </c>
      <c r="CI216" s="175"/>
      <c r="CJ216" s="175"/>
      <c r="CK216" s="175"/>
      <c r="CL216" s="175"/>
      <c r="CM216" s="175"/>
      <c r="CN216" s="175"/>
      <c r="CO216" s="175"/>
      <c r="CP216" s="176"/>
      <c r="CQ216" s="176"/>
      <c r="CR216" s="176"/>
      <c r="CS216" s="176"/>
      <c r="CT216" s="176"/>
      <c r="CU216" s="176"/>
      <c r="CV216" s="176"/>
      <c r="CW216" s="167"/>
      <c r="CX216" s="168"/>
      <c r="CY216" s="168"/>
      <c r="CZ216" s="168"/>
      <c r="DA216" s="168"/>
      <c r="DB216" s="168"/>
      <c r="DC216" s="168"/>
      <c r="DD216" s="172"/>
      <c r="DE216" s="172"/>
      <c r="DF216" s="172"/>
      <c r="DG216" s="172"/>
      <c r="DH216" s="172"/>
      <c r="DI216" s="172"/>
      <c r="DJ216" s="172"/>
      <c r="DK216" s="80" t="s">
        <v>699</v>
      </c>
      <c r="DL216" s="129">
        <f>VLOOKUP($F216,Activities!$A$9:$I$180,3,FALSE)/$AI216</f>
        <v>0.9</v>
      </c>
      <c r="DM216" s="129">
        <f>VLOOKUP($F216,Activities!$A$9:$I$180,4,FALSE)/$AI216</f>
        <v>0.78</v>
      </c>
      <c r="DN216" s="129">
        <f>VLOOKUP($F216,Activities!$A$9:$I$180,5,FALSE)/$AI216</f>
        <v>0.66900000000000004</v>
      </c>
      <c r="DO216" s="129">
        <f>VLOOKUP($F216,Activities!$A$9:$I$180,6,FALSE)/$AI216</f>
        <v>0.67</v>
      </c>
      <c r="DP216" s="129">
        <f>VLOOKUP($F216,Activities!$A$9:$I$180,7,FALSE)/$AI216</f>
        <v>0.68</v>
      </c>
      <c r="DQ216" s="129">
        <f>VLOOKUP($F216,Activities!$A$9:$I$180,8,FALSE)/$AI216</f>
        <v>0.69</v>
      </c>
      <c r="DR216" s="129">
        <f>VLOOKUP($F216,Activities!$A$9:$I$180,9,FALSE)/$AI216</f>
        <v>0.69599999999999995</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5" t="s">
        <v>1192</v>
      </c>
      <c r="B217" s="5" t="s">
        <v>740</v>
      </c>
      <c r="C217" s="5" t="s">
        <v>534</v>
      </c>
      <c r="D217" s="5" t="s">
        <v>741</v>
      </c>
      <c r="E217" s="5" t="s">
        <v>741</v>
      </c>
      <c r="F217" s="5" t="s">
        <v>401</v>
      </c>
      <c r="G217" s="47" t="s">
        <v>1193</v>
      </c>
      <c r="H217" s="47" t="s">
        <v>1162</v>
      </c>
      <c r="I217" s="101">
        <v>0</v>
      </c>
      <c r="J217" s="101">
        <v>0</v>
      </c>
      <c r="K217" s="101">
        <v>0</v>
      </c>
      <c r="L217" s="101">
        <v>0</v>
      </c>
      <c r="M217" s="101">
        <v>0</v>
      </c>
      <c r="N217" s="101">
        <v>0</v>
      </c>
      <c r="O217" s="101">
        <v>0</v>
      </c>
      <c r="P217" s="93">
        <v>0</v>
      </c>
      <c r="Q217" s="101">
        <v>0</v>
      </c>
      <c r="R217" s="101">
        <v>0</v>
      </c>
      <c r="S217" s="101">
        <v>0</v>
      </c>
      <c r="T217" s="101">
        <v>0</v>
      </c>
      <c r="U217" s="101">
        <v>0</v>
      </c>
      <c r="V217" s="101">
        <v>0</v>
      </c>
      <c r="W217" s="101">
        <v>0</v>
      </c>
      <c r="X217" s="101">
        <v>0</v>
      </c>
      <c r="Y217" s="101">
        <v>0</v>
      </c>
      <c r="Z217" s="101">
        <v>0</v>
      </c>
      <c r="AA217" s="101">
        <v>0</v>
      </c>
      <c r="AB217" s="101">
        <v>0</v>
      </c>
      <c r="AC217" s="101">
        <v>0</v>
      </c>
      <c r="AD217" s="101">
        <v>0</v>
      </c>
      <c r="AE217" s="186">
        <v>0.08</v>
      </c>
      <c r="AF217" s="93">
        <v>0</v>
      </c>
      <c r="AG217" s="93">
        <v>1</v>
      </c>
      <c r="AH217" s="93">
        <v>1</v>
      </c>
      <c r="AI217" s="16">
        <v>1</v>
      </c>
      <c r="AJ217" s="16" t="s">
        <v>660</v>
      </c>
      <c r="AK217" s="16" t="s">
        <v>745</v>
      </c>
      <c r="AL217" s="16"/>
      <c r="AM217" s="60"/>
      <c r="AN217" s="60"/>
      <c r="AO217" s="60"/>
      <c r="AP217" s="60"/>
      <c r="AQ217" s="60"/>
      <c r="AR217" s="60"/>
      <c r="AS217" s="63"/>
      <c r="AT217" s="63"/>
      <c r="AU217" s="63"/>
      <c r="AV217" s="131"/>
      <c r="AW217" s="131"/>
      <c r="AX217" s="131"/>
      <c r="AY217" s="27" t="s">
        <v>662</v>
      </c>
      <c r="AZ217" s="27"/>
      <c r="BA217" s="27"/>
      <c r="BB217" s="30"/>
      <c r="BC217" s="30"/>
      <c r="BD217" s="30"/>
      <c r="BE217" s="30"/>
      <c r="BF217" s="30"/>
      <c r="BG217" s="30"/>
      <c r="BH217" s="107"/>
      <c r="BI217" s="107"/>
      <c r="BJ217" s="107"/>
      <c r="BK217" s="107"/>
      <c r="BL217" s="136"/>
      <c r="BM217" s="122"/>
      <c r="BN217" s="138"/>
      <c r="BO217" s="93"/>
      <c r="BP217" s="93"/>
      <c r="BQ217" s="93"/>
      <c r="BR217" s="93"/>
      <c r="BS217" s="93"/>
      <c r="BT217" s="93"/>
      <c r="BU217" s="27">
        <f t="shared" si="212"/>
        <v>0</v>
      </c>
      <c r="BV217" s="27"/>
      <c r="BW217" s="27"/>
      <c r="BX217" s="27"/>
      <c r="BY217" s="27"/>
      <c r="BZ217" s="27"/>
      <c r="CA217" s="27"/>
      <c r="CB217" s="97">
        <f t="shared" si="219"/>
        <v>2.6</v>
      </c>
      <c r="CC217" s="97">
        <f t="shared" si="220"/>
        <v>2.62</v>
      </c>
      <c r="CD217" s="97">
        <f t="shared" si="221"/>
        <v>2.64</v>
      </c>
      <c r="CE217" s="97">
        <f t="shared" si="222"/>
        <v>2.3199999999999998</v>
      </c>
      <c r="CF217" s="97">
        <f t="shared" si="222"/>
        <v>2</v>
      </c>
      <c r="CG217" s="97">
        <f t="shared" si="222"/>
        <v>1.68</v>
      </c>
      <c r="CH217" s="97">
        <f t="shared" si="222"/>
        <v>1.35</v>
      </c>
      <c r="CI217" s="173"/>
      <c r="CJ217" s="173"/>
      <c r="CK217" s="173"/>
      <c r="CL217" s="173"/>
      <c r="CM217" s="173"/>
      <c r="CN217" s="173"/>
      <c r="CO217" s="173"/>
      <c r="CP217" s="174"/>
      <c r="CQ217" s="174"/>
      <c r="CR217" s="174"/>
      <c r="CS217" s="174"/>
      <c r="CT217" s="174"/>
      <c r="CU217" s="174"/>
      <c r="CV217" s="174"/>
      <c r="CW217" s="165"/>
      <c r="CX217" s="166"/>
      <c r="CY217" s="166"/>
      <c r="CZ217" s="166"/>
      <c r="DA217" s="166"/>
      <c r="DB217" s="166"/>
      <c r="DC217" s="166"/>
      <c r="DD217" s="171"/>
      <c r="DE217" s="171"/>
      <c r="DF217" s="171"/>
      <c r="DG217" s="171"/>
      <c r="DH217" s="171"/>
      <c r="DI217" s="171"/>
      <c r="DJ217" s="171"/>
      <c r="DK217" s="79" t="s">
        <v>699</v>
      </c>
      <c r="DL217" s="128">
        <f>VLOOKUP($F217,Activities!$A$9:$I$180,3,FALSE)/$AI217</f>
        <v>2.6</v>
      </c>
      <c r="DM217" s="128">
        <f>VLOOKUP($F217,Activities!$A$9:$I$180,4,FALSE)/$AI217</f>
        <v>2.62</v>
      </c>
      <c r="DN217" s="128">
        <f>VLOOKUP($F217,Activities!$A$9:$I$180,5,FALSE)/$AI217</f>
        <v>2.64</v>
      </c>
      <c r="DO217" s="128">
        <f>VLOOKUP($F217,Activities!$A$9:$I$180,6,FALSE)/$AI217</f>
        <v>2.3199999999999998</v>
      </c>
      <c r="DP217" s="128">
        <f>VLOOKUP($F217,Activities!$A$9:$I$180,7,FALSE)/$AI217</f>
        <v>2</v>
      </c>
      <c r="DQ217" s="128">
        <f>VLOOKUP($F217,Activities!$A$9:$I$180,8,FALSE)/$AI217</f>
        <v>1.68</v>
      </c>
      <c r="DR217" s="128">
        <f>VLOOKUP($F217,Activities!$A$9:$I$180,9,FALSE)/$AI217</f>
        <v>1.35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6" t="s">
        <v>1194</v>
      </c>
      <c r="B218" s="6" t="s">
        <v>740</v>
      </c>
      <c r="C218" s="6" t="s">
        <v>534</v>
      </c>
      <c r="D218" s="6" t="s">
        <v>741</v>
      </c>
      <c r="E218" s="6" t="s">
        <v>741</v>
      </c>
      <c r="F218" s="6" t="s">
        <v>402</v>
      </c>
      <c r="G218" s="48" t="s">
        <v>1195</v>
      </c>
      <c r="H218" s="48" t="s">
        <v>1162</v>
      </c>
      <c r="I218" s="102">
        <v>0</v>
      </c>
      <c r="J218" s="102">
        <v>0</v>
      </c>
      <c r="K218" s="102">
        <v>0</v>
      </c>
      <c r="L218" s="102">
        <v>0</v>
      </c>
      <c r="M218" s="102">
        <v>0</v>
      </c>
      <c r="N218" s="102">
        <v>0</v>
      </c>
      <c r="O218" s="102">
        <v>0</v>
      </c>
      <c r="P218" s="94">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86">
        <v>0.08</v>
      </c>
      <c r="AF218" s="94">
        <v>0</v>
      </c>
      <c r="AG218" s="94">
        <v>1</v>
      </c>
      <c r="AH218" s="94">
        <v>1</v>
      </c>
      <c r="AI218" s="17">
        <v>1</v>
      </c>
      <c r="AJ218" s="17" t="s">
        <v>660</v>
      </c>
      <c r="AK218" s="17" t="s">
        <v>745</v>
      </c>
      <c r="AL218" s="17"/>
      <c r="AM218" s="61"/>
      <c r="AN218" s="61"/>
      <c r="AO218" s="61"/>
      <c r="AP218" s="61"/>
      <c r="AQ218" s="61"/>
      <c r="AR218" s="61"/>
      <c r="AS218" s="64"/>
      <c r="AT218" s="64"/>
      <c r="AU218" s="64"/>
      <c r="AV218" s="132"/>
      <c r="AW218" s="132"/>
      <c r="AX218" s="132"/>
      <c r="AY218" s="28" t="s">
        <v>662</v>
      </c>
      <c r="AZ218" s="28"/>
      <c r="BA218" s="28"/>
      <c r="BB218" s="28"/>
      <c r="BC218" s="28"/>
      <c r="BD218" s="28"/>
      <c r="BE218" s="28"/>
      <c r="BF218" s="28"/>
      <c r="BG218" s="28"/>
      <c r="BH218" s="106"/>
      <c r="BI218" s="106"/>
      <c r="BJ218" s="106"/>
      <c r="BK218" s="106"/>
      <c r="BL218" s="137"/>
      <c r="BM218" s="123"/>
      <c r="BN218" s="139"/>
      <c r="BO218" s="94"/>
      <c r="BP218" s="94"/>
      <c r="BQ218" s="94"/>
      <c r="BR218" s="94"/>
      <c r="BS218" s="94"/>
      <c r="BT218" s="94"/>
      <c r="BU218" s="28">
        <f t="shared" si="212"/>
        <v>0</v>
      </c>
      <c r="BV218" s="28"/>
      <c r="BW218" s="28"/>
      <c r="BX218" s="28"/>
      <c r="BY218" s="28"/>
      <c r="BZ218" s="28"/>
      <c r="CA218" s="28"/>
      <c r="CB218" s="99">
        <f t="shared" si="219"/>
        <v>1</v>
      </c>
      <c r="CC218" s="99">
        <f t="shared" si="220"/>
        <v>0.69</v>
      </c>
      <c r="CD218" s="99">
        <f t="shared" si="221"/>
        <v>0.38100000000000001</v>
      </c>
      <c r="CE218" s="99">
        <f t="shared" si="222"/>
        <v>0.38</v>
      </c>
      <c r="CF218" s="99">
        <f t="shared" si="222"/>
        <v>0.37</v>
      </c>
      <c r="CG218" s="99">
        <f t="shared" si="222"/>
        <v>0.36</v>
      </c>
      <c r="CH218" s="99">
        <f t="shared" si="222"/>
        <v>0.35899999999999999</v>
      </c>
      <c r="CI218" s="175"/>
      <c r="CJ218" s="175"/>
      <c r="CK218" s="175"/>
      <c r="CL218" s="175"/>
      <c r="CM218" s="175"/>
      <c r="CN218" s="175"/>
      <c r="CO218" s="175"/>
      <c r="CP218" s="176"/>
      <c r="CQ218" s="176"/>
      <c r="CR218" s="176"/>
      <c r="CS218" s="176"/>
      <c r="CT218" s="176"/>
      <c r="CU218" s="176"/>
      <c r="CV218" s="176"/>
      <c r="CW218" s="167"/>
      <c r="CX218" s="168"/>
      <c r="CY218" s="168"/>
      <c r="CZ218" s="168"/>
      <c r="DA218" s="168"/>
      <c r="DB218" s="168"/>
      <c r="DC218" s="168"/>
      <c r="DD218" s="172"/>
      <c r="DE218" s="172"/>
      <c r="DF218" s="172"/>
      <c r="DG218" s="172"/>
      <c r="DH218" s="172"/>
      <c r="DI218" s="172"/>
      <c r="DJ218" s="172"/>
      <c r="DK218" s="80" t="s">
        <v>699</v>
      </c>
      <c r="DL218" s="129">
        <f>VLOOKUP($F218,Activities!$A$9:$I$180,3,FALSE)/$AI218</f>
        <v>1</v>
      </c>
      <c r="DM218" s="129">
        <f>VLOOKUP($F218,Activities!$A$9:$I$180,4,FALSE)/$AI218</f>
        <v>0.69</v>
      </c>
      <c r="DN218" s="129">
        <f>VLOOKUP($F218,Activities!$A$9:$I$180,5,FALSE)/$AI218</f>
        <v>0.38100000000000001</v>
      </c>
      <c r="DO218" s="129">
        <f>VLOOKUP($F218,Activities!$A$9:$I$180,6,FALSE)/$AI218</f>
        <v>0.38</v>
      </c>
      <c r="DP218" s="129">
        <f>VLOOKUP($F218,Activities!$A$9:$I$180,7,FALSE)/$AI218</f>
        <v>0.37</v>
      </c>
      <c r="DQ218" s="129">
        <f>VLOOKUP($F218,Activities!$A$9:$I$180,8,FALSE)/$AI218</f>
        <v>0.36</v>
      </c>
      <c r="DR218" s="129">
        <f>VLOOKUP($F218,Activities!$A$9:$I$180,9,FALSE)/$AI218</f>
        <v>0.35899999999999999</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5" t="s">
        <v>1196</v>
      </c>
      <c r="B219" s="5" t="s">
        <v>740</v>
      </c>
      <c r="C219" s="5" t="s">
        <v>534</v>
      </c>
      <c r="D219" s="5" t="s">
        <v>741</v>
      </c>
      <c r="E219" s="5" t="s">
        <v>741</v>
      </c>
      <c r="F219" s="5" t="s">
        <v>403</v>
      </c>
      <c r="G219" s="47" t="s">
        <v>1197</v>
      </c>
      <c r="H219" s="47" t="s">
        <v>1162</v>
      </c>
      <c r="I219" s="101">
        <v>0</v>
      </c>
      <c r="J219" s="101">
        <v>0</v>
      </c>
      <c r="K219" s="101">
        <v>0</v>
      </c>
      <c r="L219" s="101">
        <v>0</v>
      </c>
      <c r="M219" s="101">
        <v>0</v>
      </c>
      <c r="N219" s="101">
        <v>0</v>
      </c>
      <c r="O219" s="101">
        <v>0</v>
      </c>
      <c r="P219" s="93">
        <v>0</v>
      </c>
      <c r="Q219" s="101">
        <v>0</v>
      </c>
      <c r="R219" s="101">
        <v>0</v>
      </c>
      <c r="S219" s="101">
        <v>0</v>
      </c>
      <c r="T219" s="101">
        <v>0</v>
      </c>
      <c r="U219" s="101">
        <v>0</v>
      </c>
      <c r="V219" s="101">
        <v>0</v>
      </c>
      <c r="W219" s="101">
        <v>0</v>
      </c>
      <c r="X219" s="101">
        <v>0</v>
      </c>
      <c r="Y219" s="101">
        <v>0</v>
      </c>
      <c r="Z219" s="101">
        <v>0</v>
      </c>
      <c r="AA219" s="101">
        <v>0</v>
      </c>
      <c r="AB219" s="101">
        <v>0</v>
      </c>
      <c r="AC219" s="101">
        <v>0</v>
      </c>
      <c r="AD219" s="101">
        <v>0</v>
      </c>
      <c r="AE219" s="186">
        <v>0.08</v>
      </c>
      <c r="AF219" s="93">
        <v>0</v>
      </c>
      <c r="AG219" s="93">
        <v>1</v>
      </c>
      <c r="AH219" s="93">
        <v>1</v>
      </c>
      <c r="AI219" s="16">
        <v>1</v>
      </c>
      <c r="AJ219" s="16" t="s">
        <v>660</v>
      </c>
      <c r="AK219" s="16" t="s">
        <v>745</v>
      </c>
      <c r="AL219" s="16"/>
      <c r="AM219" s="60"/>
      <c r="AN219" s="60"/>
      <c r="AO219" s="60"/>
      <c r="AP219" s="60"/>
      <c r="AQ219" s="60"/>
      <c r="AR219" s="60"/>
      <c r="AS219" s="63"/>
      <c r="AT219" s="63"/>
      <c r="AU219" s="63"/>
      <c r="AV219" s="131"/>
      <c r="AW219" s="131"/>
      <c r="AX219" s="131"/>
      <c r="AY219" s="27" t="s">
        <v>662</v>
      </c>
      <c r="AZ219" s="27"/>
      <c r="BA219" s="27"/>
      <c r="BB219" s="30"/>
      <c r="BC219" s="30"/>
      <c r="BD219" s="30"/>
      <c r="BE219" s="30"/>
      <c r="BF219" s="30"/>
      <c r="BG219" s="30"/>
      <c r="BH219" s="107"/>
      <c r="BI219" s="107"/>
      <c r="BJ219" s="107"/>
      <c r="BK219" s="107"/>
      <c r="BL219" s="136"/>
      <c r="BM219" s="122"/>
      <c r="BN219" s="138"/>
      <c r="BO219" s="93"/>
      <c r="BP219" s="93"/>
      <c r="BQ219" s="93"/>
      <c r="BR219" s="93"/>
      <c r="BS219" s="93"/>
      <c r="BT219" s="93"/>
      <c r="BU219" s="27">
        <f t="shared" si="212"/>
        <v>0</v>
      </c>
      <c r="BV219" s="27"/>
      <c r="BW219" s="27"/>
      <c r="BX219" s="27"/>
      <c r="BY219" s="27"/>
      <c r="BZ219" s="27"/>
      <c r="CA219" s="27"/>
      <c r="CB219" s="97">
        <f t="shared" si="219"/>
        <v>1.5</v>
      </c>
      <c r="CC219" s="97">
        <f t="shared" si="220"/>
        <v>1.1299999999999999</v>
      </c>
      <c r="CD219" s="97">
        <f t="shared" si="221"/>
        <v>0.76700000000000002</v>
      </c>
      <c r="CE219" s="97">
        <f t="shared" si="222"/>
        <v>0.71</v>
      </c>
      <c r="CF219" s="97">
        <f t="shared" si="222"/>
        <v>0.65</v>
      </c>
      <c r="CG219" s="97">
        <f t="shared" si="222"/>
        <v>0.6</v>
      </c>
      <c r="CH219" s="97">
        <f t="shared" si="222"/>
        <v>0.54100000000000004</v>
      </c>
      <c r="CI219" s="173"/>
      <c r="CJ219" s="173"/>
      <c r="CK219" s="173"/>
      <c r="CL219" s="173"/>
      <c r="CM219" s="173"/>
      <c r="CN219" s="173"/>
      <c r="CO219" s="173"/>
      <c r="CP219" s="174"/>
      <c r="CQ219" s="174"/>
      <c r="CR219" s="174"/>
      <c r="CS219" s="174"/>
      <c r="CT219" s="174"/>
      <c r="CU219" s="174"/>
      <c r="CV219" s="174"/>
      <c r="CW219" s="165"/>
      <c r="CX219" s="166"/>
      <c r="CY219" s="166"/>
      <c r="CZ219" s="166"/>
      <c r="DA219" s="166"/>
      <c r="DB219" s="166"/>
      <c r="DC219" s="166"/>
      <c r="DD219" s="171"/>
      <c r="DE219" s="171"/>
      <c r="DF219" s="171"/>
      <c r="DG219" s="171"/>
      <c r="DH219" s="171"/>
      <c r="DI219" s="171"/>
      <c r="DJ219" s="171"/>
      <c r="DK219" s="79" t="s">
        <v>699</v>
      </c>
      <c r="DL219" s="128">
        <f>VLOOKUP($F219,Activities!$A$9:$I$180,3,FALSE)/$AI219</f>
        <v>1.5</v>
      </c>
      <c r="DM219" s="128">
        <f>VLOOKUP($F219,Activities!$A$9:$I$180,4,FALSE)/$AI219</f>
        <v>1.1299999999999999</v>
      </c>
      <c r="DN219" s="128">
        <f>VLOOKUP($F219,Activities!$A$9:$I$180,5,FALSE)/$AI219</f>
        <v>0.76700000000000002</v>
      </c>
      <c r="DO219" s="128">
        <f>VLOOKUP($F219,Activities!$A$9:$I$180,6,FALSE)/$AI219</f>
        <v>0.71</v>
      </c>
      <c r="DP219" s="128">
        <f>VLOOKUP($F219,Activities!$A$9:$I$180,7,FALSE)/$AI219</f>
        <v>0.65</v>
      </c>
      <c r="DQ219" s="128">
        <f>VLOOKUP($F219,Activities!$A$9:$I$180,8,FALSE)/$AI219</f>
        <v>0.6</v>
      </c>
      <c r="DR219" s="128">
        <f>VLOOKUP($F219,Activities!$A$9:$I$180,9,FALSE)/$AI219</f>
        <v>0.54100000000000004</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6" t="s">
        <v>1198</v>
      </c>
      <c r="B220" s="6" t="s">
        <v>734</v>
      </c>
      <c r="C220" s="6" t="s">
        <v>534</v>
      </c>
      <c r="D220" s="6" t="s">
        <v>1029</v>
      </c>
      <c r="E220" s="6" t="s">
        <v>1029</v>
      </c>
      <c r="F220" s="6" t="s">
        <v>404</v>
      </c>
      <c r="G220" s="48" t="s">
        <v>1199</v>
      </c>
      <c r="H220" s="48" t="s">
        <v>1162</v>
      </c>
      <c r="I220" s="102">
        <v>0</v>
      </c>
      <c r="J220" s="102">
        <v>0</v>
      </c>
      <c r="K220" s="102">
        <v>0</v>
      </c>
      <c r="L220" s="102">
        <v>0</v>
      </c>
      <c r="M220" s="102">
        <v>0</v>
      </c>
      <c r="N220" s="102">
        <v>0</v>
      </c>
      <c r="O220" s="102">
        <v>0</v>
      </c>
      <c r="P220" s="94">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86">
        <v>0.08</v>
      </c>
      <c r="AF220" s="94">
        <v>0</v>
      </c>
      <c r="AG220" s="94">
        <v>1</v>
      </c>
      <c r="AH220" s="94">
        <v>1</v>
      </c>
      <c r="AI220" s="17">
        <v>1</v>
      </c>
      <c r="AJ220" s="17" t="s">
        <v>660</v>
      </c>
      <c r="AK220" s="17" t="s">
        <v>745</v>
      </c>
      <c r="AL220" s="17"/>
      <c r="AM220" s="61"/>
      <c r="AN220" s="61"/>
      <c r="AO220" s="61"/>
      <c r="AP220" s="61"/>
      <c r="AQ220" s="61"/>
      <c r="AR220" s="61"/>
      <c r="AS220" s="64"/>
      <c r="AT220" s="64"/>
      <c r="AU220" s="64"/>
      <c r="AV220" s="132"/>
      <c r="AW220" s="132"/>
      <c r="AX220" s="132"/>
      <c r="AY220" s="28" t="s">
        <v>662</v>
      </c>
      <c r="AZ220" s="28"/>
      <c r="BA220" s="28"/>
      <c r="BB220" s="28"/>
      <c r="BC220" s="28"/>
      <c r="BD220" s="28"/>
      <c r="BE220" s="28"/>
      <c r="BF220" s="28"/>
      <c r="BG220" s="28"/>
      <c r="BH220" s="106"/>
      <c r="BI220" s="106"/>
      <c r="BJ220" s="106"/>
      <c r="BK220" s="106"/>
      <c r="BL220" s="137"/>
      <c r="BM220" s="123"/>
      <c r="BN220" s="139"/>
      <c r="BO220" s="94"/>
      <c r="BP220" s="94"/>
      <c r="BQ220" s="94"/>
      <c r="BR220" s="94"/>
      <c r="BS220" s="94"/>
      <c r="BT220" s="94"/>
      <c r="BU220" s="28">
        <f t="shared" si="212"/>
        <v>0</v>
      </c>
      <c r="BV220" s="28"/>
      <c r="BW220" s="28"/>
      <c r="BX220" s="28"/>
      <c r="BY220" s="28"/>
      <c r="BZ220" s="28"/>
      <c r="CA220" s="28"/>
      <c r="CB220" s="99">
        <f t="shared" si="219"/>
        <v>0.08</v>
      </c>
      <c r="CC220" s="99">
        <f t="shared" si="220"/>
        <v>7.0000000000000007E-2</v>
      </c>
      <c r="CD220" s="99">
        <f t="shared" si="221"/>
        <v>0.06</v>
      </c>
      <c r="CE220" s="99">
        <f t="shared" si="222"/>
        <v>0.05</v>
      </c>
      <c r="CF220" s="99">
        <f t="shared" si="222"/>
        <v>0.04</v>
      </c>
      <c r="CG220" s="99">
        <f t="shared" si="222"/>
        <v>0.03</v>
      </c>
      <c r="CH220" s="99">
        <f t="shared" si="222"/>
        <v>1.0999999999999999E-2</v>
      </c>
      <c r="CI220" s="175"/>
      <c r="CJ220" s="175"/>
      <c r="CK220" s="175"/>
      <c r="CL220" s="175"/>
      <c r="CM220" s="175"/>
      <c r="CN220" s="175"/>
      <c r="CO220" s="175"/>
      <c r="CP220" s="176"/>
      <c r="CQ220" s="176"/>
      <c r="CR220" s="176"/>
      <c r="CS220" s="176"/>
      <c r="CT220" s="176"/>
      <c r="CU220" s="176"/>
      <c r="CV220" s="176"/>
      <c r="CW220" s="167"/>
      <c r="CX220" s="168"/>
      <c r="CY220" s="168"/>
      <c r="CZ220" s="168"/>
      <c r="DA220" s="168"/>
      <c r="DB220" s="168"/>
      <c r="DC220" s="168"/>
      <c r="DD220" s="172"/>
      <c r="DE220" s="172"/>
      <c r="DF220" s="172"/>
      <c r="DG220" s="172"/>
      <c r="DH220" s="172"/>
      <c r="DI220" s="172"/>
      <c r="DJ220" s="172"/>
      <c r="DK220" s="80" t="s">
        <v>699</v>
      </c>
      <c r="DL220" s="129">
        <f>VLOOKUP($F220,Activities!$A$9:$I$180,3,FALSE)/$AI220</f>
        <v>0.08</v>
      </c>
      <c r="DM220" s="129">
        <f>VLOOKUP($F220,Activities!$A$9:$I$180,4,FALSE)/$AI220</f>
        <v>7.0000000000000007E-2</v>
      </c>
      <c r="DN220" s="129">
        <f>VLOOKUP($F220,Activities!$A$9:$I$180,5,FALSE)/$AI220</f>
        <v>0.06</v>
      </c>
      <c r="DO220" s="129">
        <f>VLOOKUP($F220,Activities!$A$9:$I$180,6,FALSE)/$AI220</f>
        <v>0.05</v>
      </c>
      <c r="DP220" s="129">
        <f>VLOOKUP($F220,Activities!$A$9:$I$180,7,FALSE)/$AI220</f>
        <v>0.04</v>
      </c>
      <c r="DQ220" s="129">
        <f>VLOOKUP($F220,Activities!$A$9:$I$180,8,FALSE)/$AI220</f>
        <v>0.03</v>
      </c>
      <c r="DR220" s="129">
        <f>VLOOKUP($F220,Activities!$A$9:$I$180,9,FALSE)/$AI220</f>
        <v>1.0999999999999999E-2</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5" t="s">
        <v>1200</v>
      </c>
      <c r="B221" s="5" t="s">
        <v>734</v>
      </c>
      <c r="C221" s="5" t="s">
        <v>534</v>
      </c>
      <c r="D221" s="5" t="s">
        <v>1029</v>
      </c>
      <c r="E221" s="5" t="s">
        <v>1029</v>
      </c>
      <c r="F221" s="5" t="s">
        <v>405</v>
      </c>
      <c r="G221" s="47" t="s">
        <v>1201</v>
      </c>
      <c r="H221" s="47" t="s">
        <v>1162</v>
      </c>
      <c r="I221" s="101">
        <v>0</v>
      </c>
      <c r="J221" s="101">
        <v>0</v>
      </c>
      <c r="K221" s="101">
        <v>0</v>
      </c>
      <c r="L221" s="101">
        <v>0</v>
      </c>
      <c r="M221" s="101">
        <v>0</v>
      </c>
      <c r="N221" s="101">
        <v>0</v>
      </c>
      <c r="O221" s="101">
        <v>0</v>
      </c>
      <c r="P221" s="93">
        <v>0</v>
      </c>
      <c r="Q221" s="101">
        <v>0</v>
      </c>
      <c r="R221" s="101">
        <v>0</v>
      </c>
      <c r="S221" s="101">
        <v>0</v>
      </c>
      <c r="T221" s="101">
        <v>0</v>
      </c>
      <c r="U221" s="101">
        <v>0</v>
      </c>
      <c r="V221" s="101">
        <v>0</v>
      </c>
      <c r="W221" s="101">
        <v>0</v>
      </c>
      <c r="X221" s="101">
        <v>0</v>
      </c>
      <c r="Y221" s="101">
        <v>0</v>
      </c>
      <c r="Z221" s="101">
        <v>0</v>
      </c>
      <c r="AA221" s="101">
        <v>0</v>
      </c>
      <c r="AB221" s="101">
        <v>0</v>
      </c>
      <c r="AC221" s="101">
        <v>0</v>
      </c>
      <c r="AD221" s="101">
        <v>0</v>
      </c>
      <c r="AE221" s="186">
        <v>0.08</v>
      </c>
      <c r="AF221" s="93">
        <v>0</v>
      </c>
      <c r="AG221" s="93">
        <v>1</v>
      </c>
      <c r="AH221" s="93">
        <v>1</v>
      </c>
      <c r="AI221" s="16">
        <v>1</v>
      </c>
      <c r="AJ221" s="16" t="s">
        <v>660</v>
      </c>
      <c r="AK221" s="16" t="s">
        <v>745</v>
      </c>
      <c r="AL221" s="16"/>
      <c r="AM221" s="60"/>
      <c r="AN221" s="60"/>
      <c r="AO221" s="60"/>
      <c r="AP221" s="60"/>
      <c r="AQ221" s="60"/>
      <c r="AR221" s="60"/>
      <c r="AS221" s="63"/>
      <c r="AT221" s="63"/>
      <c r="AU221" s="63"/>
      <c r="AV221" s="131"/>
      <c r="AW221" s="131"/>
      <c r="AX221" s="131"/>
      <c r="AY221" s="27" t="s">
        <v>662</v>
      </c>
      <c r="AZ221" s="27"/>
      <c r="BA221" s="27"/>
      <c r="BB221" s="30"/>
      <c r="BC221" s="30"/>
      <c r="BD221" s="30"/>
      <c r="BE221" s="30"/>
      <c r="BF221" s="30"/>
      <c r="BG221" s="30"/>
      <c r="BH221" s="107"/>
      <c r="BI221" s="107"/>
      <c r="BJ221" s="107"/>
      <c r="BK221" s="107"/>
      <c r="BL221" s="136"/>
      <c r="BM221" s="122"/>
      <c r="BN221" s="138"/>
      <c r="BO221" s="93"/>
      <c r="BP221" s="93"/>
      <c r="BQ221" s="93"/>
      <c r="BR221" s="93"/>
      <c r="BS221" s="93"/>
      <c r="BT221" s="93"/>
      <c r="BU221" s="27">
        <f t="shared" ref="BU221" si="223">IF(BL221=1,BN221,0)</f>
        <v>0</v>
      </c>
      <c r="BV221" s="27"/>
      <c r="BW221" s="27"/>
      <c r="BX221" s="27"/>
      <c r="BY221" s="27"/>
      <c r="BZ221" s="27"/>
      <c r="CA221" s="27"/>
      <c r="CB221" s="97">
        <f t="shared" si="219"/>
        <v>1.1000000000000001</v>
      </c>
      <c r="CC221" s="97">
        <f t="shared" si="220"/>
        <v>0.64</v>
      </c>
      <c r="CD221" s="97">
        <f t="shared" si="221"/>
        <v>0.17499999999999999</v>
      </c>
      <c r="CE221" s="97">
        <f t="shared" si="222"/>
        <v>0.15</v>
      </c>
      <c r="CF221" s="97">
        <f t="shared" si="222"/>
        <v>0.13</v>
      </c>
      <c r="CG221" s="97">
        <f t="shared" si="222"/>
        <v>0.11</v>
      </c>
      <c r="CH221" s="97">
        <f t="shared" si="222"/>
        <v>8.4000000000000005E-2</v>
      </c>
      <c r="CI221" s="173"/>
      <c r="CJ221" s="173"/>
      <c r="CK221" s="173"/>
      <c r="CL221" s="173"/>
      <c r="CM221" s="173"/>
      <c r="CN221" s="173"/>
      <c r="CO221" s="173"/>
      <c r="CP221" s="174"/>
      <c r="CQ221" s="174"/>
      <c r="CR221" s="174"/>
      <c r="CS221" s="174"/>
      <c r="CT221" s="174"/>
      <c r="CU221" s="174"/>
      <c r="CV221" s="174"/>
      <c r="CW221" s="165"/>
      <c r="CX221" s="166"/>
      <c r="CY221" s="166"/>
      <c r="CZ221" s="166"/>
      <c r="DA221" s="166"/>
      <c r="DB221" s="166"/>
      <c r="DC221" s="166"/>
      <c r="DD221" s="171"/>
      <c r="DE221" s="171"/>
      <c r="DF221" s="171"/>
      <c r="DG221" s="171"/>
      <c r="DH221" s="171"/>
      <c r="DI221" s="171"/>
      <c r="DJ221" s="171"/>
      <c r="DK221" s="79" t="s">
        <v>699</v>
      </c>
      <c r="DL221" s="128">
        <f>VLOOKUP($F221,Activities!$A$9:$I$180,3,FALSE)/$AI221</f>
        <v>1.1000000000000001</v>
      </c>
      <c r="DM221" s="128">
        <f>VLOOKUP($F221,Activities!$A$9:$I$180,4,FALSE)/$AI221</f>
        <v>0.64</v>
      </c>
      <c r="DN221" s="128">
        <f>VLOOKUP($F221,Activities!$A$9:$I$180,5,FALSE)/$AI221</f>
        <v>0.17499999999999999</v>
      </c>
      <c r="DO221" s="128">
        <f>VLOOKUP($F221,Activities!$A$9:$I$180,6,FALSE)/$AI221</f>
        <v>0.15</v>
      </c>
      <c r="DP221" s="128">
        <f>VLOOKUP($F221,Activities!$A$9:$I$180,7,FALSE)/$AI221</f>
        <v>0.13</v>
      </c>
      <c r="DQ221" s="128">
        <f>VLOOKUP($F221,Activities!$A$9:$I$180,8,FALSE)/$AI221</f>
        <v>0.11</v>
      </c>
      <c r="DR221" s="128">
        <f>VLOOKUP($F221,Activities!$A$9:$I$180,9,FALSE)/$AI221</f>
        <v>8.4000000000000005E-2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6" t="s">
        <v>1202</v>
      </c>
      <c r="B222" s="6" t="s">
        <v>734</v>
      </c>
      <c r="C222" s="6" t="s">
        <v>534</v>
      </c>
      <c r="D222" s="6" t="s">
        <v>1029</v>
      </c>
      <c r="E222" s="6" t="s">
        <v>1029</v>
      </c>
      <c r="F222" s="6" t="s">
        <v>406</v>
      </c>
      <c r="G222" s="48" t="s">
        <v>1203</v>
      </c>
      <c r="H222" s="48" t="s">
        <v>1162</v>
      </c>
      <c r="I222" s="102">
        <v>0</v>
      </c>
      <c r="J222" s="102">
        <v>0</v>
      </c>
      <c r="K222" s="102">
        <v>0</v>
      </c>
      <c r="L222" s="102">
        <v>0</v>
      </c>
      <c r="M222" s="102">
        <v>0</v>
      </c>
      <c r="N222" s="102">
        <v>0</v>
      </c>
      <c r="O222" s="102">
        <v>0</v>
      </c>
      <c r="P222" s="94">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86">
        <v>0.08</v>
      </c>
      <c r="AF222" s="94">
        <v>0</v>
      </c>
      <c r="AG222" s="94">
        <v>1</v>
      </c>
      <c r="AH222" s="94">
        <v>1</v>
      </c>
      <c r="AI222" s="17">
        <v>1</v>
      </c>
      <c r="AJ222" s="17" t="s">
        <v>660</v>
      </c>
      <c r="AK222" s="17" t="s">
        <v>745</v>
      </c>
      <c r="AL222" s="17"/>
      <c r="AM222" s="61"/>
      <c r="AN222" s="61"/>
      <c r="AO222" s="61"/>
      <c r="AP222" s="61"/>
      <c r="AQ222" s="61"/>
      <c r="AR222" s="61"/>
      <c r="AS222" s="64"/>
      <c r="AT222" s="64"/>
      <c r="AU222" s="64"/>
      <c r="AV222" s="132"/>
      <c r="AW222" s="132"/>
      <c r="AX222" s="132"/>
      <c r="AY222" s="28" t="s">
        <v>662</v>
      </c>
      <c r="AZ222" s="28"/>
      <c r="BA222" s="28"/>
      <c r="BB222" s="28"/>
      <c r="BC222" s="28"/>
      <c r="BD222" s="28"/>
      <c r="BE222" s="28"/>
      <c r="BF222" s="28"/>
      <c r="BG222" s="28"/>
      <c r="BH222" s="106"/>
      <c r="BI222" s="106"/>
      <c r="BJ222" s="106"/>
      <c r="BK222" s="106"/>
      <c r="BL222" s="137"/>
      <c r="BM222" s="123"/>
      <c r="BN222" s="139"/>
      <c r="BO222" s="94"/>
      <c r="BP222" s="94"/>
      <c r="BQ222" s="94"/>
      <c r="BR222" s="94"/>
      <c r="BS222" s="94"/>
      <c r="BT222" s="94"/>
      <c r="BU222" s="28">
        <f t="shared" ref="BU222" si="224">IF(BL222=1,BN222,0)</f>
        <v>0</v>
      </c>
      <c r="BV222" s="28"/>
      <c r="BW222" s="28"/>
      <c r="BX222" s="28"/>
      <c r="BY222" s="28"/>
      <c r="BZ222" s="28"/>
      <c r="CA222" s="28"/>
      <c r="CB222" s="99">
        <f t="shared" si="219"/>
        <v>0.4</v>
      </c>
      <c r="CC222" s="99">
        <f t="shared" si="220"/>
        <v>0.26</v>
      </c>
      <c r="CD222" s="99">
        <f t="shared" si="221"/>
        <v>0.11</v>
      </c>
      <c r="CE222" s="99">
        <f t="shared" si="222"/>
        <v>0.09</v>
      </c>
      <c r="CF222" s="99">
        <f t="shared" si="222"/>
        <v>0.06</v>
      </c>
      <c r="CG222" s="99">
        <f t="shared" si="222"/>
        <v>0.03</v>
      </c>
      <c r="CH222" s="99">
        <f t="shared" si="222"/>
        <v>0</v>
      </c>
      <c r="CI222" s="175"/>
      <c r="CJ222" s="175"/>
      <c r="CK222" s="175"/>
      <c r="CL222" s="175"/>
      <c r="CM222" s="175"/>
      <c r="CN222" s="175"/>
      <c r="CO222" s="175"/>
      <c r="CP222" s="176"/>
      <c r="CQ222" s="176"/>
      <c r="CR222" s="176"/>
      <c r="CS222" s="176"/>
      <c r="CT222" s="176"/>
      <c r="CU222" s="176"/>
      <c r="CV222" s="176"/>
      <c r="CW222" s="167"/>
      <c r="CX222" s="168"/>
      <c r="CY222" s="168"/>
      <c r="CZ222" s="168"/>
      <c r="DA222" s="168"/>
      <c r="DB222" s="168"/>
      <c r="DC222" s="168"/>
      <c r="DD222" s="172"/>
      <c r="DE222" s="172"/>
      <c r="DF222" s="172"/>
      <c r="DG222" s="172"/>
      <c r="DH222" s="172"/>
      <c r="DI222" s="172"/>
      <c r="DJ222" s="172"/>
      <c r="DK222" s="80" t="s">
        <v>699</v>
      </c>
      <c r="DL222" s="129">
        <f>VLOOKUP($F222,Activities!$A$9:$I$180,3,FALSE)/$AI222</f>
        <v>0.4</v>
      </c>
      <c r="DM222" s="129">
        <f>VLOOKUP($F222,Activities!$A$9:$I$180,4,FALSE)/$AI222</f>
        <v>0.26</v>
      </c>
      <c r="DN222" s="129">
        <f>VLOOKUP($F222,Activities!$A$9:$I$180,5,FALSE)/$AI222</f>
        <v>0.11</v>
      </c>
      <c r="DO222" s="129">
        <f>VLOOKUP($F222,Activities!$A$9:$I$180,6,FALSE)/$AI222</f>
        <v>0.09</v>
      </c>
      <c r="DP222" s="129">
        <f>VLOOKUP($F222,Activities!$A$9:$I$180,7,FALSE)/$AI222</f>
        <v>0.06</v>
      </c>
      <c r="DQ222" s="129">
        <f>VLOOKUP($F222,Activities!$A$9:$I$180,8,FALSE)/$AI222</f>
        <v>0.03</v>
      </c>
      <c r="DR222" s="129">
        <f>VLOOKUP($F222,Activities!$A$9:$I$180,9,FALSE)/$AI222</f>
        <v>0</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5" t="s">
        <v>1204</v>
      </c>
      <c r="B223" s="5" t="s">
        <v>1205</v>
      </c>
      <c r="C223" s="5" t="s">
        <v>534</v>
      </c>
      <c r="D223" s="5" t="s">
        <v>1206</v>
      </c>
      <c r="E223" s="5" t="s">
        <v>1133</v>
      </c>
      <c r="F223" s="5" t="s">
        <v>407</v>
      </c>
      <c r="G223" s="47" t="s">
        <v>1206</v>
      </c>
      <c r="H223" s="47" t="s">
        <v>1162</v>
      </c>
      <c r="I223" s="101">
        <v>0</v>
      </c>
      <c r="J223" s="101">
        <v>0</v>
      </c>
      <c r="K223" s="101">
        <v>0</v>
      </c>
      <c r="L223" s="101">
        <v>0</v>
      </c>
      <c r="M223" s="101">
        <v>0</v>
      </c>
      <c r="N223" s="101">
        <v>0</v>
      </c>
      <c r="O223" s="101">
        <v>0</v>
      </c>
      <c r="P223" s="93">
        <v>0</v>
      </c>
      <c r="Q223" s="101">
        <v>0</v>
      </c>
      <c r="R223" s="101">
        <v>0</v>
      </c>
      <c r="S223" s="101">
        <v>0</v>
      </c>
      <c r="T223" s="101">
        <v>0</v>
      </c>
      <c r="U223" s="101">
        <v>0</v>
      </c>
      <c r="V223" s="101">
        <v>0</v>
      </c>
      <c r="W223" s="101">
        <v>0</v>
      </c>
      <c r="X223" s="101">
        <v>0</v>
      </c>
      <c r="Y223" s="101">
        <v>0</v>
      </c>
      <c r="Z223" s="101">
        <v>0</v>
      </c>
      <c r="AA223" s="101">
        <v>0</v>
      </c>
      <c r="AB223" s="101">
        <v>0</v>
      </c>
      <c r="AC223" s="101">
        <v>0</v>
      </c>
      <c r="AD223" s="101">
        <v>0</v>
      </c>
      <c r="AE223" s="186">
        <v>0.08</v>
      </c>
      <c r="AF223" s="93">
        <v>0</v>
      </c>
      <c r="AG223" s="93">
        <v>1</v>
      </c>
      <c r="AH223" s="93">
        <v>1</v>
      </c>
      <c r="AI223" s="16">
        <v>1</v>
      </c>
      <c r="AJ223" s="16" t="s">
        <v>660</v>
      </c>
      <c r="AK223" s="16" t="s">
        <v>745</v>
      </c>
      <c r="AL223" s="16"/>
      <c r="AM223" s="60"/>
      <c r="AN223" s="60"/>
      <c r="AO223" s="60"/>
      <c r="AP223" s="60"/>
      <c r="AQ223" s="60"/>
      <c r="AR223" s="60"/>
      <c r="AS223" s="63"/>
      <c r="AT223" s="63"/>
      <c r="AU223" s="63"/>
      <c r="AV223" s="131"/>
      <c r="AW223" s="131"/>
      <c r="AX223" s="131"/>
      <c r="AY223" s="27" t="s">
        <v>662</v>
      </c>
      <c r="AZ223" s="27"/>
      <c r="BA223" s="27"/>
      <c r="BB223" s="30"/>
      <c r="BC223" s="30"/>
      <c r="BD223" s="30"/>
      <c r="BE223" s="30"/>
      <c r="BF223" s="30"/>
      <c r="BG223" s="30"/>
      <c r="BH223" s="107"/>
      <c r="BI223" s="107"/>
      <c r="BJ223" s="107"/>
      <c r="BK223" s="107"/>
      <c r="BL223" s="136"/>
      <c r="BM223" s="122"/>
      <c r="BN223" s="138"/>
      <c r="BO223" s="93"/>
      <c r="BP223" s="93"/>
      <c r="BQ223" s="93"/>
      <c r="BR223" s="93"/>
      <c r="BS223" s="93"/>
      <c r="BT223" s="93"/>
      <c r="BU223" s="27">
        <f>IF(BL223=1,BN223,0)</f>
        <v>0</v>
      </c>
      <c r="BV223" s="27"/>
      <c r="BW223" s="27"/>
      <c r="BX223" s="27"/>
      <c r="BY223" s="27"/>
      <c r="BZ223" s="27"/>
      <c r="CA223" s="27"/>
      <c r="CB223" s="97">
        <f t="shared" si="219"/>
        <v>2.5</v>
      </c>
      <c r="CC223" s="97">
        <f t="shared" si="220"/>
        <v>3.08</v>
      </c>
      <c r="CD223" s="97">
        <f t="shared" si="221"/>
        <v>3.66</v>
      </c>
      <c r="CE223" s="97">
        <f t="shared" si="222"/>
        <v>3.41</v>
      </c>
      <c r="CF223" s="97">
        <f t="shared" si="222"/>
        <v>3.16</v>
      </c>
      <c r="CG223" s="97">
        <f t="shared" si="222"/>
        <v>2.91</v>
      </c>
      <c r="CH223" s="97">
        <f t="shared" si="222"/>
        <v>2.66</v>
      </c>
      <c r="CI223" s="173"/>
      <c r="CJ223" s="173"/>
      <c r="CK223" s="173"/>
      <c r="CL223" s="173"/>
      <c r="CM223" s="173"/>
      <c r="CN223" s="173"/>
      <c r="CO223" s="173"/>
      <c r="CP223" s="174"/>
      <c r="CQ223" s="174"/>
      <c r="CR223" s="174"/>
      <c r="CS223" s="174"/>
      <c r="CT223" s="174"/>
      <c r="CU223" s="174"/>
      <c r="CV223" s="174"/>
      <c r="CW223" s="165"/>
      <c r="CX223" s="166"/>
      <c r="CY223" s="166"/>
      <c r="CZ223" s="166"/>
      <c r="DA223" s="166"/>
      <c r="DB223" s="166"/>
      <c r="DC223" s="166"/>
      <c r="DD223" s="171"/>
      <c r="DE223" s="171"/>
      <c r="DF223" s="171"/>
      <c r="DG223" s="171"/>
      <c r="DH223" s="171"/>
      <c r="DI223" s="171"/>
      <c r="DJ223" s="171"/>
      <c r="DK223" s="79" t="s">
        <v>663</v>
      </c>
      <c r="DL223" s="128">
        <f>VLOOKUP($F223,Activities!$A$9:$I$180,3,FALSE)/$AI223</f>
        <v>2.5</v>
      </c>
      <c r="DM223" s="128">
        <f>VLOOKUP($F223,Activities!$A$9:$I$180,4,FALSE)/$AI223</f>
        <v>3.08</v>
      </c>
      <c r="DN223" s="128">
        <f>VLOOKUP($F223,Activities!$A$9:$I$180,5,FALSE)/$AI223</f>
        <v>3.66</v>
      </c>
      <c r="DO223" s="128">
        <f>VLOOKUP($F223,Activities!$A$9:$I$180,6,FALSE)/$AI223</f>
        <v>3.41</v>
      </c>
      <c r="DP223" s="128">
        <f>VLOOKUP($F223,Activities!$A$9:$I$180,7,FALSE)/$AI223</f>
        <v>3.16</v>
      </c>
      <c r="DQ223" s="128">
        <f>VLOOKUP($F223,Activities!$A$9:$I$180,8,FALSE)/$AI223</f>
        <v>2.91</v>
      </c>
      <c r="DR223" s="128">
        <f>VLOOKUP($F223,Activities!$A$9:$I$180,9,FALSE)/$AI223</f>
        <v>2.66</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6" t="s">
        <v>1207</v>
      </c>
      <c r="B224" s="6" t="s">
        <v>740</v>
      </c>
      <c r="C224" s="6" t="s">
        <v>1208</v>
      </c>
      <c r="D224" s="6" t="s">
        <v>1209</v>
      </c>
      <c r="E224" s="6" t="s">
        <v>1210</v>
      </c>
      <c r="F224" s="6" t="s">
        <v>408</v>
      </c>
      <c r="G224" s="48" t="s">
        <v>1211</v>
      </c>
      <c r="H224" s="48" t="s">
        <v>659</v>
      </c>
      <c r="I224" s="102">
        <v>0</v>
      </c>
      <c r="J224" s="102">
        <v>0</v>
      </c>
      <c r="K224" s="102">
        <v>0</v>
      </c>
      <c r="L224" s="102">
        <v>0</v>
      </c>
      <c r="M224" s="102">
        <v>0</v>
      </c>
      <c r="N224" s="102">
        <v>0</v>
      </c>
      <c r="O224" s="102">
        <v>0</v>
      </c>
      <c r="P224" s="94">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86">
        <v>0.08</v>
      </c>
      <c r="AF224" s="94">
        <v>0</v>
      </c>
      <c r="AG224" s="94">
        <v>1</v>
      </c>
      <c r="AH224" s="94">
        <v>1</v>
      </c>
      <c r="AI224" s="17">
        <v>1</v>
      </c>
      <c r="AJ224" s="17" t="s">
        <v>660</v>
      </c>
      <c r="AK224" s="17" t="s">
        <v>745</v>
      </c>
      <c r="AL224" s="17"/>
      <c r="AM224" s="61"/>
      <c r="AN224" s="61"/>
      <c r="AO224" s="61"/>
      <c r="AP224" s="61"/>
      <c r="AQ224" s="61"/>
      <c r="AR224" s="61"/>
      <c r="AS224" s="64"/>
      <c r="AT224" s="64"/>
      <c r="AU224" s="64"/>
      <c r="AV224" s="132"/>
      <c r="AW224" s="132"/>
      <c r="AX224" s="132"/>
      <c r="AY224" s="28" t="s">
        <v>662</v>
      </c>
      <c r="AZ224" s="28"/>
      <c r="BA224" s="28"/>
      <c r="BB224" s="28"/>
      <c r="BC224" s="28"/>
      <c r="BD224" s="28"/>
      <c r="BE224" s="28"/>
      <c r="BF224" s="28"/>
      <c r="BG224" s="28"/>
      <c r="BH224" s="106"/>
      <c r="BI224" s="106"/>
      <c r="BJ224" s="106"/>
      <c r="BK224" s="106"/>
      <c r="BL224" s="137"/>
      <c r="BM224" s="123"/>
      <c r="BN224" s="139"/>
      <c r="BO224" s="94"/>
      <c r="BP224" s="94"/>
      <c r="BQ224" s="94"/>
      <c r="BR224" s="94"/>
      <c r="BS224" s="94"/>
      <c r="BT224" s="94"/>
      <c r="BU224" s="28">
        <f t="shared" si="201"/>
        <v>0</v>
      </c>
      <c r="BV224" s="28"/>
      <c r="BW224" s="28"/>
      <c r="BX224" s="28"/>
      <c r="BY224" s="28"/>
      <c r="BZ224" s="28"/>
      <c r="CA224" s="28"/>
      <c r="CB224" s="99">
        <f t="shared" ref="CB224:CH231" si="225">DL224</f>
        <v>1198</v>
      </c>
      <c r="CC224" s="99">
        <f t="shared" ref="CC224:CE225" si="226">DM224</f>
        <v>1198</v>
      </c>
      <c r="CD224" s="99">
        <f t="shared" si="226"/>
        <v>1198</v>
      </c>
      <c r="CE224" s="99">
        <f t="shared" si="226"/>
        <v>898.5</v>
      </c>
      <c r="CF224" s="99">
        <f t="shared" si="222"/>
        <v>599</v>
      </c>
      <c r="CG224" s="99">
        <f t="shared" si="222"/>
        <v>299.5</v>
      </c>
      <c r="CH224" s="99">
        <f t="shared" si="222"/>
        <v>0</v>
      </c>
      <c r="CI224" s="175"/>
      <c r="CJ224" s="175"/>
      <c r="CK224" s="175"/>
      <c r="CL224" s="175"/>
      <c r="CM224" s="175"/>
      <c r="CN224" s="175"/>
      <c r="CO224" s="175"/>
      <c r="CP224" s="176"/>
      <c r="CQ224" s="176"/>
      <c r="CR224" s="176"/>
      <c r="CS224" s="176"/>
      <c r="CT224" s="176"/>
      <c r="CU224" s="176"/>
      <c r="CV224" s="176"/>
      <c r="CW224" s="167"/>
      <c r="CX224" s="168"/>
      <c r="CY224" s="168"/>
      <c r="CZ224" s="168"/>
      <c r="DA224" s="168"/>
      <c r="DB224" s="168"/>
      <c r="DC224" s="168"/>
      <c r="DD224" s="172"/>
      <c r="DE224" s="172"/>
      <c r="DF224" s="172"/>
      <c r="DG224" s="172"/>
      <c r="DH224" s="172"/>
      <c r="DI224" s="172"/>
      <c r="DJ224" s="172"/>
      <c r="DK224" s="80" t="s">
        <v>954</v>
      </c>
      <c r="DL224" s="129">
        <f>VLOOKUP($F224,Activities!$A$9:$I$180,3,FALSE)/$AI224</f>
        <v>1198</v>
      </c>
      <c r="DM224" s="129">
        <f>VLOOKUP($F224,Activities!$A$9:$I$180,4,FALSE)/$AI224</f>
        <v>1198</v>
      </c>
      <c r="DN224" s="129">
        <f>VLOOKUP($F224,Activities!$A$9:$I$180,5,FALSE)/$AI224</f>
        <v>1198</v>
      </c>
      <c r="DO224" s="129">
        <f>VLOOKUP($F224,Activities!$A$9:$I$180,6,FALSE)/$AI224</f>
        <v>898.5</v>
      </c>
      <c r="DP224" s="129">
        <f>VLOOKUP($F224,Activities!$A$9:$I$180,7,FALSE)/$AI224</f>
        <v>599</v>
      </c>
      <c r="DQ224" s="129">
        <f>VLOOKUP($F224,Activities!$A$9:$I$180,8,FALSE)/$AI224</f>
        <v>299.5</v>
      </c>
      <c r="DR224" s="129">
        <f>VLOOKUP($F224,Activities!$A$9:$I$180,9,FALSE)/$AI224</f>
        <v>0</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5" t="s">
        <v>1212</v>
      </c>
      <c r="B225" s="5" t="s">
        <v>740</v>
      </c>
      <c r="C225" s="5" t="s">
        <v>1208</v>
      </c>
      <c r="D225" s="5" t="s">
        <v>1213</v>
      </c>
      <c r="E225" s="5" t="s">
        <v>1214</v>
      </c>
      <c r="F225" s="5" t="s">
        <v>410</v>
      </c>
      <c r="G225" s="47" t="s">
        <v>1215</v>
      </c>
      <c r="H225" s="47" t="s">
        <v>659</v>
      </c>
      <c r="I225" s="101">
        <v>10</v>
      </c>
      <c r="J225" s="101">
        <v>10</v>
      </c>
      <c r="K225" s="101">
        <v>10</v>
      </c>
      <c r="L225" s="101">
        <v>10</v>
      </c>
      <c r="M225" s="101">
        <v>10</v>
      </c>
      <c r="N225" s="101">
        <v>10</v>
      </c>
      <c r="O225" s="101">
        <v>10</v>
      </c>
      <c r="P225" s="93">
        <v>0</v>
      </c>
      <c r="Q225" s="101">
        <v>0</v>
      </c>
      <c r="R225" s="101">
        <v>0</v>
      </c>
      <c r="S225" s="101">
        <v>0</v>
      </c>
      <c r="T225" s="101">
        <v>0</v>
      </c>
      <c r="U225" s="101">
        <v>0</v>
      </c>
      <c r="V225" s="101">
        <v>0</v>
      </c>
      <c r="W225" s="101">
        <v>0</v>
      </c>
      <c r="X225" s="101">
        <v>0</v>
      </c>
      <c r="Y225" s="101">
        <v>0</v>
      </c>
      <c r="Z225" s="101">
        <v>0</v>
      </c>
      <c r="AA225" s="101">
        <v>0</v>
      </c>
      <c r="AB225" s="101">
        <v>0</v>
      </c>
      <c r="AC225" s="101">
        <v>0</v>
      </c>
      <c r="AD225" s="101">
        <v>0</v>
      </c>
      <c r="AE225" s="186">
        <v>0.08</v>
      </c>
      <c r="AF225" s="93">
        <v>0</v>
      </c>
      <c r="AG225" s="93">
        <v>1</v>
      </c>
      <c r="AH225" s="93">
        <v>1</v>
      </c>
      <c r="AI225" s="16">
        <v>1</v>
      </c>
      <c r="AJ225" s="16" t="s">
        <v>660</v>
      </c>
      <c r="AK225" s="16" t="s">
        <v>745</v>
      </c>
      <c r="AL225" s="16"/>
      <c r="AM225" s="60"/>
      <c r="AN225" s="60"/>
      <c r="AO225" s="60"/>
      <c r="AP225" s="60"/>
      <c r="AQ225" s="60"/>
      <c r="AR225" s="60"/>
      <c r="AS225" s="63"/>
      <c r="AT225" s="63"/>
      <c r="AU225" s="63"/>
      <c r="AV225" s="131"/>
      <c r="AW225" s="131"/>
      <c r="AX225" s="131"/>
      <c r="AY225" s="27" t="s">
        <v>662</v>
      </c>
      <c r="AZ225" s="27"/>
      <c r="BA225" s="27"/>
      <c r="BB225" s="30"/>
      <c r="BC225" s="30"/>
      <c r="BD225" s="30"/>
      <c r="BE225" s="30"/>
      <c r="BF225" s="30"/>
      <c r="BG225" s="30"/>
      <c r="BH225" s="107"/>
      <c r="BI225" s="107"/>
      <c r="BJ225" s="107"/>
      <c r="BK225" s="107"/>
      <c r="BL225" s="136"/>
      <c r="BM225" s="122"/>
      <c r="BN225" s="138"/>
      <c r="BO225" s="93"/>
      <c r="BP225" s="93"/>
      <c r="BQ225" s="93"/>
      <c r="BR225" s="93"/>
      <c r="BS225" s="93"/>
      <c r="BT225" s="93"/>
      <c r="BU225" s="27">
        <f t="shared" ref="BU225" si="227">IF(BL225=1,BN225,0)</f>
        <v>0</v>
      </c>
      <c r="BV225" s="27"/>
      <c r="BW225" s="27"/>
      <c r="BX225" s="27"/>
      <c r="BY225" s="27"/>
      <c r="BZ225" s="27"/>
      <c r="CA225" s="27"/>
      <c r="CB225" s="97">
        <f t="shared" si="225"/>
        <v>556</v>
      </c>
      <c r="CC225" s="97">
        <f t="shared" si="225"/>
        <v>556</v>
      </c>
      <c r="CD225" s="97">
        <f t="shared" si="226"/>
        <v>556</v>
      </c>
      <c r="CE225" s="97">
        <f t="shared" si="226"/>
        <v>451.75</v>
      </c>
      <c r="CF225" s="389">
        <f>(CE225+CH225)/2</f>
        <v>290.81406249999998</v>
      </c>
      <c r="CG225" s="389">
        <f>DQ225*0.5</f>
        <v>121.625</v>
      </c>
      <c r="CH225" s="389">
        <f>CE225-(CE225-(CE225*0.05))*(0.75)</f>
        <v>129.87812499999995</v>
      </c>
      <c r="CI225" s="173"/>
      <c r="CJ225" s="173"/>
      <c r="CK225" s="173"/>
      <c r="CL225" s="173"/>
      <c r="CM225" s="173"/>
      <c r="CN225" s="173"/>
      <c r="CO225" s="173"/>
      <c r="CP225" s="174"/>
      <c r="CQ225" s="174"/>
      <c r="CR225" s="174"/>
      <c r="CS225" s="174"/>
      <c r="CT225" s="174"/>
      <c r="CU225" s="174"/>
      <c r="CV225" s="174"/>
      <c r="CW225" s="165"/>
      <c r="CX225" s="166"/>
      <c r="CY225" s="166"/>
      <c r="CZ225" s="166"/>
      <c r="DA225" s="166"/>
      <c r="DB225" s="166"/>
      <c r="DC225" s="166"/>
      <c r="DD225" s="171"/>
      <c r="DE225" s="171"/>
      <c r="DF225" s="171"/>
      <c r="DG225" s="171"/>
      <c r="DH225" s="171"/>
      <c r="DI225" s="171"/>
      <c r="DJ225" s="171"/>
      <c r="DK225" s="79" t="s">
        <v>954</v>
      </c>
      <c r="DL225" s="128">
        <f>VLOOKUP($F225,Activities!$A$9:$I$180,3,FALSE)/$AI225</f>
        <v>556</v>
      </c>
      <c r="DM225" s="128">
        <f>VLOOKUP($F225,Activities!$A$9:$I$180,4,FALSE)/$AI225</f>
        <v>556</v>
      </c>
      <c r="DN225" s="128">
        <f>VLOOKUP($F225,Activities!$A$9:$I$180,5,FALSE)/$AI225</f>
        <v>556</v>
      </c>
      <c r="DO225" s="128">
        <f>VLOOKUP($F225,Activities!$A$9:$I$180,6,FALSE)/$AI225</f>
        <v>451.75</v>
      </c>
      <c r="DP225" s="128">
        <f>VLOOKUP($F225,Activities!$A$9:$I$180,7,FALSE)/$AI225</f>
        <v>347.5</v>
      </c>
      <c r="DQ225" s="128">
        <f>VLOOKUP($F225,Activities!$A$9:$I$180,8,FALSE)/$AI225</f>
        <v>243.25</v>
      </c>
      <c r="DR225" s="128">
        <f>VLOOKUP($F225,Activities!$A$9:$I$180,9,FALSE)/$AI225</f>
        <v>139</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6" t="s">
        <v>1216</v>
      </c>
      <c r="B226" s="6" t="s">
        <v>740</v>
      </c>
      <c r="C226" s="6" t="s">
        <v>1208</v>
      </c>
      <c r="D226" s="6" t="s">
        <v>1213</v>
      </c>
      <c r="E226" s="6" t="s">
        <v>1214</v>
      </c>
      <c r="F226" s="6" t="s">
        <v>410</v>
      </c>
      <c r="G226" s="48" t="s">
        <v>1217</v>
      </c>
      <c r="H226" s="48" t="s">
        <v>659</v>
      </c>
      <c r="I226" s="102">
        <v>20</v>
      </c>
      <c r="J226" s="102">
        <v>20</v>
      </c>
      <c r="K226" s="102">
        <v>20</v>
      </c>
      <c r="L226" s="102">
        <v>20</v>
      </c>
      <c r="M226" s="102">
        <v>20</v>
      </c>
      <c r="N226" s="102">
        <v>20</v>
      </c>
      <c r="O226" s="102">
        <v>20</v>
      </c>
      <c r="P226" s="94">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86">
        <v>0.08</v>
      </c>
      <c r="AF226" s="94">
        <v>0</v>
      </c>
      <c r="AG226" s="94">
        <v>1</v>
      </c>
      <c r="AH226" s="94">
        <v>1</v>
      </c>
      <c r="AI226" s="17">
        <v>1</v>
      </c>
      <c r="AJ226" s="17" t="s">
        <v>660</v>
      </c>
      <c r="AK226" s="17" t="s">
        <v>745</v>
      </c>
      <c r="AL226" s="17"/>
      <c r="AM226" s="61"/>
      <c r="AN226" s="61"/>
      <c r="AO226" s="61"/>
      <c r="AP226" s="61"/>
      <c r="AQ226" s="61"/>
      <c r="AR226" s="61"/>
      <c r="AS226" s="64"/>
      <c r="AT226" s="64"/>
      <c r="AU226" s="64"/>
      <c r="AV226" s="132"/>
      <c r="AW226" s="132"/>
      <c r="AX226" s="132"/>
      <c r="AY226" s="28" t="s">
        <v>662</v>
      </c>
      <c r="AZ226" s="28"/>
      <c r="BA226" s="28"/>
      <c r="BB226" s="28"/>
      <c r="BC226" s="28"/>
      <c r="BD226" s="28"/>
      <c r="BE226" s="28"/>
      <c r="BF226" s="28"/>
      <c r="BG226" s="28"/>
      <c r="BH226" s="106"/>
      <c r="BI226" s="106"/>
      <c r="BJ226" s="106"/>
      <c r="BK226" s="106"/>
      <c r="BL226" s="137"/>
      <c r="BM226" s="123"/>
      <c r="BN226" s="139"/>
      <c r="BO226" s="94"/>
      <c r="BP226" s="94"/>
      <c r="BQ226" s="94"/>
      <c r="BR226" s="94"/>
      <c r="BS226" s="94"/>
      <c r="BT226" s="94"/>
      <c r="BU226" s="28">
        <f t="shared" ref="BU226" si="228">IF(BL226=1,BN226,0)</f>
        <v>0</v>
      </c>
      <c r="BV226" s="28"/>
      <c r="BW226" s="28"/>
      <c r="BX226" s="28"/>
      <c r="BY226" s="28"/>
      <c r="BZ226" s="28"/>
      <c r="CA226" s="28"/>
      <c r="CB226" s="99">
        <f t="shared" si="225"/>
        <v>556</v>
      </c>
      <c r="CC226" s="99">
        <f t="shared" si="225"/>
        <v>556</v>
      </c>
      <c r="CD226" s="99">
        <f t="shared" si="225"/>
        <v>556</v>
      </c>
      <c r="CE226" s="99">
        <f t="shared" si="225"/>
        <v>451.75</v>
      </c>
      <c r="CF226" s="99">
        <f t="shared" si="225"/>
        <v>347.5</v>
      </c>
      <c r="CG226" s="99">
        <f t="shared" si="225"/>
        <v>243.25</v>
      </c>
      <c r="CH226" s="99">
        <f t="shared" si="225"/>
        <v>139</v>
      </c>
      <c r="CI226" s="175"/>
      <c r="CJ226" s="175"/>
      <c r="CK226" s="175"/>
      <c r="CL226" s="175"/>
      <c r="CM226" s="175"/>
      <c r="CN226" s="175"/>
      <c r="CO226" s="175"/>
      <c r="CP226" s="176"/>
      <c r="CQ226" s="176"/>
      <c r="CR226" s="176"/>
      <c r="CS226" s="176"/>
      <c r="CT226" s="176"/>
      <c r="CU226" s="176"/>
      <c r="CV226" s="176"/>
      <c r="CW226" s="167"/>
      <c r="CX226" s="168"/>
      <c r="CY226" s="168"/>
      <c r="CZ226" s="168"/>
      <c r="DA226" s="168"/>
      <c r="DB226" s="168"/>
      <c r="DC226" s="168"/>
      <c r="DD226" s="172"/>
      <c r="DE226" s="172"/>
      <c r="DF226" s="172"/>
      <c r="DG226" s="172"/>
      <c r="DH226" s="172"/>
      <c r="DI226" s="172"/>
      <c r="DJ226" s="172"/>
      <c r="DK226" s="80" t="s">
        <v>954</v>
      </c>
      <c r="DL226" s="129">
        <f>VLOOKUP($F226,Activities!$A$9:$I$180,3,FALSE)/$AI226</f>
        <v>556</v>
      </c>
      <c r="DM226" s="129">
        <f>VLOOKUP($F226,Activities!$A$9:$I$180,4,FALSE)/$AI226</f>
        <v>556</v>
      </c>
      <c r="DN226" s="129">
        <f>VLOOKUP($F226,Activities!$A$9:$I$180,5,FALSE)/$AI226</f>
        <v>556</v>
      </c>
      <c r="DO226" s="129">
        <f>VLOOKUP($F226,Activities!$A$9:$I$180,6,FALSE)/$AI226</f>
        <v>451.75</v>
      </c>
      <c r="DP226" s="129">
        <f>VLOOKUP($F226,Activities!$A$9:$I$180,7,FALSE)/$AI226</f>
        <v>347.5</v>
      </c>
      <c r="DQ226" s="129">
        <f>VLOOKUP($F226,Activities!$A$9:$I$180,8,FALSE)/$AI226</f>
        <v>243.25</v>
      </c>
      <c r="DR226" s="129">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5" t="s">
        <v>1218</v>
      </c>
      <c r="B227" s="5" t="s">
        <v>740</v>
      </c>
      <c r="C227" s="5" t="s">
        <v>1208</v>
      </c>
      <c r="D227" s="5" t="s">
        <v>1213</v>
      </c>
      <c r="E227" s="5" t="s">
        <v>1214</v>
      </c>
      <c r="F227" s="5" t="s">
        <v>410</v>
      </c>
      <c r="G227" s="47" t="s">
        <v>1219</v>
      </c>
      <c r="H227" s="47" t="s">
        <v>659</v>
      </c>
      <c r="I227" s="101">
        <v>30</v>
      </c>
      <c r="J227" s="101">
        <v>30</v>
      </c>
      <c r="K227" s="101">
        <v>30</v>
      </c>
      <c r="L227" s="101">
        <v>30</v>
      </c>
      <c r="M227" s="101">
        <v>30</v>
      </c>
      <c r="N227" s="101">
        <v>30</v>
      </c>
      <c r="O227" s="101">
        <v>30</v>
      </c>
      <c r="P227" s="93">
        <v>0</v>
      </c>
      <c r="Q227" s="101">
        <v>0</v>
      </c>
      <c r="R227" s="101">
        <v>0</v>
      </c>
      <c r="S227" s="101">
        <v>0</v>
      </c>
      <c r="T227" s="101">
        <v>0</v>
      </c>
      <c r="U227" s="101">
        <v>0</v>
      </c>
      <c r="V227" s="101">
        <v>0</v>
      </c>
      <c r="W227" s="101">
        <v>0</v>
      </c>
      <c r="X227" s="101">
        <v>0</v>
      </c>
      <c r="Y227" s="101">
        <v>0</v>
      </c>
      <c r="Z227" s="101">
        <v>0</v>
      </c>
      <c r="AA227" s="101">
        <v>0</v>
      </c>
      <c r="AB227" s="101">
        <v>0</v>
      </c>
      <c r="AC227" s="101">
        <v>0</v>
      </c>
      <c r="AD227" s="101">
        <v>0</v>
      </c>
      <c r="AE227" s="186">
        <v>0.08</v>
      </c>
      <c r="AF227" s="93">
        <v>0</v>
      </c>
      <c r="AG227" s="93">
        <v>1</v>
      </c>
      <c r="AH227" s="93">
        <v>1</v>
      </c>
      <c r="AI227" s="16">
        <v>1</v>
      </c>
      <c r="AJ227" s="16" t="s">
        <v>660</v>
      </c>
      <c r="AK227" s="16" t="s">
        <v>745</v>
      </c>
      <c r="AL227" s="16"/>
      <c r="AM227" s="60"/>
      <c r="AN227" s="60"/>
      <c r="AO227" s="60"/>
      <c r="AP227" s="60"/>
      <c r="AQ227" s="60"/>
      <c r="AR227" s="60"/>
      <c r="AS227" s="63"/>
      <c r="AT227" s="63"/>
      <c r="AU227" s="63"/>
      <c r="AV227" s="131"/>
      <c r="AW227" s="131"/>
      <c r="AX227" s="131"/>
      <c r="AY227" s="27" t="s">
        <v>662</v>
      </c>
      <c r="AZ227" s="27"/>
      <c r="BA227" s="27"/>
      <c r="BB227" s="30"/>
      <c r="BC227" s="30"/>
      <c r="BD227" s="30"/>
      <c r="BE227" s="30"/>
      <c r="BF227" s="30"/>
      <c r="BG227" s="30"/>
      <c r="BH227" s="107"/>
      <c r="BI227" s="107"/>
      <c r="BJ227" s="107"/>
      <c r="BK227" s="107"/>
      <c r="BL227" s="136"/>
      <c r="BM227" s="122"/>
      <c r="BN227" s="138"/>
      <c r="BO227" s="93"/>
      <c r="BP227" s="93"/>
      <c r="BQ227" s="93"/>
      <c r="BR227" s="93"/>
      <c r="BS227" s="93"/>
      <c r="BT227" s="93"/>
      <c r="BU227" s="27">
        <f t="shared" ref="BU227:BU229" si="229">IF(BL227=1,BN227,0)</f>
        <v>0</v>
      </c>
      <c r="BV227" s="27"/>
      <c r="BW227" s="27"/>
      <c r="BX227" s="27"/>
      <c r="BY227" s="27"/>
      <c r="BZ227" s="27"/>
      <c r="CA227" s="27"/>
      <c r="CB227" s="97">
        <f t="shared" ref="CB227:CH234" si="230">DL227</f>
        <v>556</v>
      </c>
      <c r="CC227" s="97">
        <f t="shared" si="230"/>
        <v>556</v>
      </c>
      <c r="CD227" s="97">
        <f t="shared" si="225"/>
        <v>556</v>
      </c>
      <c r="CE227" s="97">
        <f t="shared" si="225"/>
        <v>451.75</v>
      </c>
      <c r="CF227" s="97">
        <f t="shared" si="225"/>
        <v>347.5</v>
      </c>
      <c r="CG227" s="97">
        <f t="shared" si="225"/>
        <v>243.25</v>
      </c>
      <c r="CH227" s="97">
        <f t="shared" si="225"/>
        <v>139</v>
      </c>
      <c r="CI227" s="173"/>
      <c r="CJ227" s="173"/>
      <c r="CK227" s="173"/>
      <c r="CL227" s="173"/>
      <c r="CM227" s="173"/>
      <c r="CN227" s="173"/>
      <c r="CO227" s="173"/>
      <c r="CP227" s="174"/>
      <c r="CQ227" s="174"/>
      <c r="CR227" s="174"/>
      <c r="CS227" s="174"/>
      <c r="CT227" s="174"/>
      <c r="CU227" s="174"/>
      <c r="CV227" s="174"/>
      <c r="CW227" s="165"/>
      <c r="CX227" s="166"/>
      <c r="CY227" s="166"/>
      <c r="CZ227" s="166"/>
      <c r="DA227" s="166"/>
      <c r="DB227" s="166"/>
      <c r="DC227" s="166"/>
      <c r="DD227" s="171"/>
      <c r="DE227" s="171"/>
      <c r="DF227" s="171"/>
      <c r="DG227" s="171"/>
      <c r="DH227" s="171"/>
      <c r="DI227" s="171"/>
      <c r="DJ227" s="171"/>
      <c r="DK227" s="79" t="s">
        <v>954</v>
      </c>
      <c r="DL227" s="128">
        <f>VLOOKUP($F227,Activities!$A$9:$I$180,3,FALSE)/$AI227</f>
        <v>556</v>
      </c>
      <c r="DM227" s="128">
        <f>VLOOKUP($F227,Activities!$A$9:$I$180,4,FALSE)/$AI227</f>
        <v>556</v>
      </c>
      <c r="DN227" s="128">
        <f>VLOOKUP($F227,Activities!$A$9:$I$180,5,FALSE)/$AI227</f>
        <v>556</v>
      </c>
      <c r="DO227" s="128">
        <f>VLOOKUP($F227,Activities!$A$9:$I$180,6,FALSE)/$AI227</f>
        <v>451.75</v>
      </c>
      <c r="DP227" s="128">
        <f>VLOOKUP($F227,Activities!$A$9:$I$180,7,FALSE)/$AI227</f>
        <v>347.5</v>
      </c>
      <c r="DQ227" s="128">
        <f>VLOOKUP($F227,Activities!$A$9:$I$180,8,FALSE)/$AI227</f>
        <v>243.25</v>
      </c>
      <c r="DR227" s="128">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6" t="s">
        <v>1220</v>
      </c>
      <c r="B228" s="6" t="s">
        <v>740</v>
      </c>
      <c r="C228" s="6" t="s">
        <v>1208</v>
      </c>
      <c r="D228" s="6" t="s">
        <v>1213</v>
      </c>
      <c r="E228" s="6" t="s">
        <v>1214</v>
      </c>
      <c r="F228" s="6" t="s">
        <v>412</v>
      </c>
      <c r="G228" s="48" t="s">
        <v>1221</v>
      </c>
      <c r="H228" s="48" t="s">
        <v>659</v>
      </c>
      <c r="I228" s="101">
        <v>10</v>
      </c>
      <c r="J228" s="101">
        <v>10</v>
      </c>
      <c r="K228" s="101">
        <v>10</v>
      </c>
      <c r="L228" s="101">
        <v>10</v>
      </c>
      <c r="M228" s="101">
        <v>10</v>
      </c>
      <c r="N228" s="101">
        <v>10</v>
      </c>
      <c r="O228" s="101">
        <v>10</v>
      </c>
      <c r="P228" s="94">
        <v>0</v>
      </c>
      <c r="Q228" s="102">
        <v>0</v>
      </c>
      <c r="R228" s="102">
        <v>0</v>
      </c>
      <c r="S228" s="102">
        <v>0</v>
      </c>
      <c r="T228" s="102">
        <v>0</v>
      </c>
      <c r="U228" s="102">
        <v>0</v>
      </c>
      <c r="V228" s="102">
        <v>0</v>
      </c>
      <c r="W228" s="102">
        <v>0</v>
      </c>
      <c r="X228" s="102">
        <v>0</v>
      </c>
      <c r="Y228" s="102">
        <v>0</v>
      </c>
      <c r="Z228" s="102">
        <v>0</v>
      </c>
      <c r="AA228" s="102">
        <v>0</v>
      </c>
      <c r="AB228" s="102">
        <v>0</v>
      </c>
      <c r="AC228" s="102">
        <v>0</v>
      </c>
      <c r="AD228" s="102">
        <v>0</v>
      </c>
      <c r="AE228" s="186">
        <v>0.08</v>
      </c>
      <c r="AF228" s="94">
        <v>0</v>
      </c>
      <c r="AG228" s="94">
        <v>1</v>
      </c>
      <c r="AH228" s="94">
        <v>1</v>
      </c>
      <c r="AI228" s="17">
        <v>1</v>
      </c>
      <c r="AJ228" s="17" t="s">
        <v>660</v>
      </c>
      <c r="AK228" s="17" t="s">
        <v>745</v>
      </c>
      <c r="AL228" s="17"/>
      <c r="AM228" s="61"/>
      <c r="AN228" s="61"/>
      <c r="AO228" s="61"/>
      <c r="AP228" s="61"/>
      <c r="AQ228" s="61"/>
      <c r="AR228" s="61"/>
      <c r="AS228" s="64"/>
      <c r="AT228" s="64"/>
      <c r="AU228" s="64"/>
      <c r="AV228" s="132"/>
      <c r="AW228" s="132"/>
      <c r="AX228" s="132"/>
      <c r="AY228" s="28" t="s">
        <v>662</v>
      </c>
      <c r="AZ228" s="28"/>
      <c r="BA228" s="28"/>
      <c r="BB228" s="28"/>
      <c r="BC228" s="28"/>
      <c r="BD228" s="28"/>
      <c r="BE228" s="28"/>
      <c r="BF228" s="28"/>
      <c r="BG228" s="28"/>
      <c r="BH228" s="106"/>
      <c r="BI228" s="106"/>
      <c r="BJ228" s="106"/>
      <c r="BK228" s="106"/>
      <c r="BL228" s="137"/>
      <c r="BM228" s="123"/>
      <c r="BN228" s="139"/>
      <c r="BO228" s="94"/>
      <c r="BP228" s="94"/>
      <c r="BQ228" s="94"/>
      <c r="BR228" s="94"/>
      <c r="BS228" s="94"/>
      <c r="BT228" s="94"/>
      <c r="BU228" s="28">
        <f t="shared" si="229"/>
        <v>0</v>
      </c>
      <c r="BV228" s="28"/>
      <c r="BW228" s="28"/>
      <c r="BX228" s="28"/>
      <c r="BY228" s="28"/>
      <c r="BZ228" s="28"/>
      <c r="CA228" s="28"/>
      <c r="CB228" s="99">
        <f t="shared" si="230"/>
        <v>846</v>
      </c>
      <c r="CC228" s="99">
        <f t="shared" si="230"/>
        <v>846</v>
      </c>
      <c r="CD228" s="99">
        <f t="shared" si="225"/>
        <v>846</v>
      </c>
      <c r="CE228" s="99">
        <f t="shared" si="225"/>
        <v>687.38</v>
      </c>
      <c r="CF228" s="389">
        <f>(CE228+CH228)/2</f>
        <v>442.50087500000001</v>
      </c>
      <c r="CG228" s="389">
        <f>DQ228*0.5</f>
        <v>185.065</v>
      </c>
      <c r="CH228" s="389">
        <f>CE228-(CE228-(CE228*0.05))*(0.75)</f>
        <v>197.62175000000002</v>
      </c>
      <c r="CI228" s="175"/>
      <c r="CJ228" s="175"/>
      <c r="CK228" s="175"/>
      <c r="CL228" s="175"/>
      <c r="CM228" s="175"/>
      <c r="CN228" s="175"/>
      <c r="CO228" s="175"/>
      <c r="CP228" s="176"/>
      <c r="CQ228" s="176"/>
      <c r="CR228" s="176"/>
      <c r="CS228" s="176"/>
      <c r="CT228" s="176"/>
      <c r="CU228" s="176"/>
      <c r="CV228" s="176"/>
      <c r="CW228" s="167"/>
      <c r="CX228" s="168"/>
      <c r="CY228" s="168"/>
      <c r="CZ228" s="168"/>
      <c r="DA228" s="168"/>
      <c r="DB228" s="168"/>
      <c r="DC228" s="168"/>
      <c r="DD228" s="172"/>
      <c r="DE228" s="172"/>
      <c r="DF228" s="172"/>
      <c r="DG228" s="172"/>
      <c r="DH228" s="172"/>
      <c r="DI228" s="172"/>
      <c r="DJ228" s="172"/>
      <c r="DK228" s="80" t="s">
        <v>954</v>
      </c>
      <c r="DL228" s="129">
        <f>VLOOKUP($F228,Activities!$A$9:$I$180,3,FALSE)/$AI228</f>
        <v>846</v>
      </c>
      <c r="DM228" s="129">
        <f>VLOOKUP($F228,Activities!$A$9:$I$180,4,FALSE)/$AI228</f>
        <v>846</v>
      </c>
      <c r="DN228" s="129">
        <f>VLOOKUP($F228,Activities!$A$9:$I$180,5,FALSE)/$AI228</f>
        <v>846</v>
      </c>
      <c r="DO228" s="129">
        <f>VLOOKUP($F228,Activities!$A$9:$I$180,6,FALSE)/$AI228</f>
        <v>687.38</v>
      </c>
      <c r="DP228" s="129">
        <f>VLOOKUP($F228,Activities!$A$9:$I$180,7,FALSE)/$AI228</f>
        <v>528.75</v>
      </c>
      <c r="DQ228" s="129">
        <f>VLOOKUP($F228,Activities!$A$9:$I$180,8,FALSE)/$AI228</f>
        <v>370.13</v>
      </c>
      <c r="DR228" s="129">
        <f>VLOOKUP($F228,Activities!$A$9:$I$180,9,FALSE)/$AI228</f>
        <v>211.5</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5" t="s">
        <v>1222</v>
      </c>
      <c r="B229" s="5" t="s">
        <v>740</v>
      </c>
      <c r="C229" s="5" t="s">
        <v>1208</v>
      </c>
      <c r="D229" s="5" t="s">
        <v>1213</v>
      </c>
      <c r="E229" s="5" t="s">
        <v>1214</v>
      </c>
      <c r="F229" s="5" t="s">
        <v>412</v>
      </c>
      <c r="G229" s="47" t="s">
        <v>1223</v>
      </c>
      <c r="H229" s="47" t="s">
        <v>659</v>
      </c>
      <c r="I229" s="102">
        <v>20</v>
      </c>
      <c r="J229" s="102">
        <v>20</v>
      </c>
      <c r="K229" s="102">
        <v>20</v>
      </c>
      <c r="L229" s="102">
        <v>20</v>
      </c>
      <c r="M229" s="102">
        <v>20</v>
      </c>
      <c r="N229" s="102">
        <v>20</v>
      </c>
      <c r="O229" s="102">
        <v>20</v>
      </c>
      <c r="P229" s="93">
        <v>0</v>
      </c>
      <c r="Q229" s="101">
        <v>0</v>
      </c>
      <c r="R229" s="101">
        <v>0</v>
      </c>
      <c r="S229" s="101">
        <v>0</v>
      </c>
      <c r="T229" s="101">
        <v>0</v>
      </c>
      <c r="U229" s="101">
        <v>0</v>
      </c>
      <c r="V229" s="101">
        <v>0</v>
      </c>
      <c r="W229" s="101">
        <v>0</v>
      </c>
      <c r="X229" s="101">
        <v>0</v>
      </c>
      <c r="Y229" s="101">
        <v>0</v>
      </c>
      <c r="Z229" s="101">
        <v>0</v>
      </c>
      <c r="AA229" s="101">
        <v>0</v>
      </c>
      <c r="AB229" s="101">
        <v>0</v>
      </c>
      <c r="AC229" s="101">
        <v>0</v>
      </c>
      <c r="AD229" s="101">
        <v>0</v>
      </c>
      <c r="AE229" s="186">
        <v>0.08</v>
      </c>
      <c r="AF229" s="93">
        <v>0</v>
      </c>
      <c r="AG229" s="93">
        <v>1</v>
      </c>
      <c r="AH229" s="93">
        <v>1</v>
      </c>
      <c r="AI229" s="16">
        <v>1</v>
      </c>
      <c r="AJ229" s="16" t="s">
        <v>660</v>
      </c>
      <c r="AK229" s="16" t="s">
        <v>745</v>
      </c>
      <c r="AL229" s="16"/>
      <c r="AM229" s="60"/>
      <c r="AN229" s="60"/>
      <c r="AO229" s="60"/>
      <c r="AP229" s="60"/>
      <c r="AQ229" s="60"/>
      <c r="AR229" s="60"/>
      <c r="AS229" s="63"/>
      <c r="AT229" s="63"/>
      <c r="AU229" s="63"/>
      <c r="AV229" s="131"/>
      <c r="AW229" s="131"/>
      <c r="AX229" s="131"/>
      <c r="AY229" s="27" t="s">
        <v>662</v>
      </c>
      <c r="AZ229" s="27"/>
      <c r="BA229" s="27"/>
      <c r="BB229" s="30"/>
      <c r="BC229" s="30"/>
      <c r="BD229" s="30"/>
      <c r="BE229" s="30"/>
      <c r="BF229" s="30"/>
      <c r="BG229" s="30"/>
      <c r="BH229" s="107"/>
      <c r="BI229" s="107"/>
      <c r="BJ229" s="107"/>
      <c r="BK229" s="107"/>
      <c r="BL229" s="136"/>
      <c r="BM229" s="122"/>
      <c r="BN229" s="138"/>
      <c r="BO229" s="93"/>
      <c r="BP229" s="93"/>
      <c r="BQ229" s="93"/>
      <c r="BR229" s="93"/>
      <c r="BS229" s="93"/>
      <c r="BT229" s="93"/>
      <c r="BU229" s="27">
        <f t="shared" si="229"/>
        <v>0</v>
      </c>
      <c r="BV229" s="27"/>
      <c r="BW229" s="27"/>
      <c r="BX229" s="27"/>
      <c r="BY229" s="27"/>
      <c r="BZ229" s="27"/>
      <c r="CA229" s="27"/>
      <c r="CB229" s="97">
        <f t="shared" si="230"/>
        <v>846</v>
      </c>
      <c r="CC229" s="97">
        <f t="shared" si="230"/>
        <v>846</v>
      </c>
      <c r="CD229" s="97">
        <f t="shared" si="225"/>
        <v>846</v>
      </c>
      <c r="CE229" s="97">
        <f t="shared" si="225"/>
        <v>687.38</v>
      </c>
      <c r="CF229" s="97">
        <f t="shared" si="225"/>
        <v>528.75</v>
      </c>
      <c r="CG229" s="97">
        <f t="shared" si="225"/>
        <v>370.13</v>
      </c>
      <c r="CH229" s="97">
        <f t="shared" si="225"/>
        <v>211.5</v>
      </c>
      <c r="CI229" s="173"/>
      <c r="CJ229" s="173"/>
      <c r="CK229" s="173"/>
      <c r="CL229" s="173"/>
      <c r="CM229" s="173"/>
      <c r="CN229" s="173"/>
      <c r="CO229" s="173"/>
      <c r="CP229" s="174"/>
      <c r="CQ229" s="174"/>
      <c r="CR229" s="174"/>
      <c r="CS229" s="174"/>
      <c r="CT229" s="174"/>
      <c r="CU229" s="174"/>
      <c r="CV229" s="174"/>
      <c r="CW229" s="165"/>
      <c r="CX229" s="166"/>
      <c r="CY229" s="166"/>
      <c r="CZ229" s="166"/>
      <c r="DA229" s="166"/>
      <c r="DB229" s="166"/>
      <c r="DC229" s="166"/>
      <c r="DD229" s="171"/>
      <c r="DE229" s="171"/>
      <c r="DF229" s="171"/>
      <c r="DG229" s="171"/>
      <c r="DH229" s="171"/>
      <c r="DI229" s="171"/>
      <c r="DJ229" s="171"/>
      <c r="DK229" s="79" t="s">
        <v>954</v>
      </c>
      <c r="DL229" s="128">
        <f>VLOOKUP($F229,Activities!$A$9:$I$180,3,FALSE)/$AI229</f>
        <v>846</v>
      </c>
      <c r="DM229" s="128">
        <f>VLOOKUP($F229,Activities!$A$9:$I$180,4,FALSE)/$AI229</f>
        <v>846</v>
      </c>
      <c r="DN229" s="128">
        <f>VLOOKUP($F229,Activities!$A$9:$I$180,5,FALSE)/$AI229</f>
        <v>846</v>
      </c>
      <c r="DO229" s="128">
        <f>VLOOKUP($F229,Activities!$A$9:$I$180,6,FALSE)/$AI229</f>
        <v>687.38</v>
      </c>
      <c r="DP229" s="128">
        <f>VLOOKUP($F229,Activities!$A$9:$I$180,7,FALSE)/$AI229</f>
        <v>528.75</v>
      </c>
      <c r="DQ229" s="128">
        <f>VLOOKUP($F229,Activities!$A$9:$I$180,8,FALSE)/$AI229</f>
        <v>370.13</v>
      </c>
      <c r="DR229" s="128">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6" t="s">
        <v>1224</v>
      </c>
      <c r="B230" s="6" t="s">
        <v>740</v>
      </c>
      <c r="C230" s="6" t="s">
        <v>1208</v>
      </c>
      <c r="D230" s="6" t="s">
        <v>1213</v>
      </c>
      <c r="E230" s="6" t="s">
        <v>1214</v>
      </c>
      <c r="F230" s="6" t="s">
        <v>412</v>
      </c>
      <c r="G230" s="48" t="s">
        <v>1225</v>
      </c>
      <c r="H230" s="48" t="s">
        <v>659</v>
      </c>
      <c r="I230" s="101">
        <v>30</v>
      </c>
      <c r="J230" s="101">
        <v>30</v>
      </c>
      <c r="K230" s="101">
        <v>30</v>
      </c>
      <c r="L230" s="101">
        <v>30</v>
      </c>
      <c r="M230" s="101">
        <v>30</v>
      </c>
      <c r="N230" s="101">
        <v>30</v>
      </c>
      <c r="O230" s="101">
        <v>30</v>
      </c>
      <c r="P230" s="94">
        <v>0</v>
      </c>
      <c r="Q230" s="102">
        <v>0</v>
      </c>
      <c r="R230" s="102">
        <v>0</v>
      </c>
      <c r="S230" s="102">
        <v>0</v>
      </c>
      <c r="T230" s="102">
        <v>0</v>
      </c>
      <c r="U230" s="102">
        <v>0</v>
      </c>
      <c r="V230" s="102">
        <v>0</v>
      </c>
      <c r="W230" s="102">
        <v>0</v>
      </c>
      <c r="X230" s="102">
        <v>0</v>
      </c>
      <c r="Y230" s="102">
        <v>0</v>
      </c>
      <c r="Z230" s="102">
        <v>0</v>
      </c>
      <c r="AA230" s="102">
        <v>0</v>
      </c>
      <c r="AB230" s="102">
        <v>0</v>
      </c>
      <c r="AC230" s="102">
        <v>0</v>
      </c>
      <c r="AD230" s="102">
        <v>0</v>
      </c>
      <c r="AE230" s="186">
        <v>0.08</v>
      </c>
      <c r="AF230" s="94">
        <v>0</v>
      </c>
      <c r="AG230" s="94">
        <v>1</v>
      </c>
      <c r="AH230" s="94">
        <v>1</v>
      </c>
      <c r="AI230" s="17">
        <v>1</v>
      </c>
      <c r="AJ230" s="17" t="s">
        <v>660</v>
      </c>
      <c r="AK230" s="17" t="s">
        <v>745</v>
      </c>
      <c r="AL230" s="17"/>
      <c r="AM230" s="61"/>
      <c r="AN230" s="61"/>
      <c r="AO230" s="61"/>
      <c r="AP230" s="61"/>
      <c r="AQ230" s="61"/>
      <c r="AR230" s="61"/>
      <c r="AS230" s="64"/>
      <c r="AT230" s="64"/>
      <c r="AU230" s="64"/>
      <c r="AV230" s="132"/>
      <c r="AW230" s="132"/>
      <c r="AX230" s="132"/>
      <c r="AY230" s="28" t="s">
        <v>662</v>
      </c>
      <c r="AZ230" s="28"/>
      <c r="BA230" s="28"/>
      <c r="BB230" s="28"/>
      <c r="BC230" s="28"/>
      <c r="BD230" s="28"/>
      <c r="BE230" s="28"/>
      <c r="BF230" s="28"/>
      <c r="BG230" s="28"/>
      <c r="BH230" s="106"/>
      <c r="BI230" s="106"/>
      <c r="BJ230" s="106"/>
      <c r="BK230" s="106"/>
      <c r="BL230" s="137"/>
      <c r="BM230" s="123"/>
      <c r="BN230" s="139"/>
      <c r="BO230" s="94"/>
      <c r="BP230" s="94"/>
      <c r="BQ230" s="94"/>
      <c r="BR230" s="94"/>
      <c r="BS230" s="94"/>
      <c r="BT230" s="94"/>
      <c r="BU230" s="28">
        <f t="shared" ref="BU230:BU233" si="231">IF(BL230=1,BN230,0)</f>
        <v>0</v>
      </c>
      <c r="BV230" s="28"/>
      <c r="BW230" s="28"/>
      <c r="BX230" s="28"/>
      <c r="BY230" s="28"/>
      <c r="BZ230" s="28"/>
      <c r="CA230" s="28"/>
      <c r="CB230" s="99">
        <f t="shared" si="230"/>
        <v>846</v>
      </c>
      <c r="CC230" s="99">
        <f t="shared" si="230"/>
        <v>846</v>
      </c>
      <c r="CD230" s="99">
        <f t="shared" si="225"/>
        <v>846</v>
      </c>
      <c r="CE230" s="99">
        <f t="shared" si="225"/>
        <v>687.38</v>
      </c>
      <c r="CF230" s="99">
        <f t="shared" si="225"/>
        <v>528.75</v>
      </c>
      <c r="CG230" s="99">
        <f t="shared" si="225"/>
        <v>370.13</v>
      </c>
      <c r="CH230" s="99">
        <f t="shared" si="225"/>
        <v>211.5</v>
      </c>
      <c r="CI230" s="175"/>
      <c r="CJ230" s="175"/>
      <c r="CK230" s="175"/>
      <c r="CL230" s="175"/>
      <c r="CM230" s="175"/>
      <c r="CN230" s="175"/>
      <c r="CO230" s="175"/>
      <c r="CP230" s="176"/>
      <c r="CQ230" s="176"/>
      <c r="CR230" s="176"/>
      <c r="CS230" s="176"/>
      <c r="CT230" s="176"/>
      <c r="CU230" s="176"/>
      <c r="CV230" s="176"/>
      <c r="CW230" s="167"/>
      <c r="CX230" s="168"/>
      <c r="CY230" s="168"/>
      <c r="CZ230" s="168"/>
      <c r="DA230" s="168"/>
      <c r="DB230" s="168"/>
      <c r="DC230" s="168"/>
      <c r="DD230" s="172"/>
      <c r="DE230" s="172"/>
      <c r="DF230" s="172"/>
      <c r="DG230" s="172"/>
      <c r="DH230" s="172"/>
      <c r="DI230" s="172"/>
      <c r="DJ230" s="172"/>
      <c r="DK230" s="80" t="s">
        <v>954</v>
      </c>
      <c r="DL230" s="129">
        <f>VLOOKUP($F230,Activities!$A$9:$I$180,3,FALSE)/$AI230</f>
        <v>846</v>
      </c>
      <c r="DM230" s="129">
        <f>VLOOKUP($F230,Activities!$A$9:$I$180,4,FALSE)/$AI230</f>
        <v>846</v>
      </c>
      <c r="DN230" s="129">
        <f>VLOOKUP($F230,Activities!$A$9:$I$180,5,FALSE)/$AI230</f>
        <v>846</v>
      </c>
      <c r="DO230" s="129">
        <f>VLOOKUP($F230,Activities!$A$9:$I$180,6,FALSE)/$AI230</f>
        <v>687.38</v>
      </c>
      <c r="DP230" s="129">
        <f>VLOOKUP($F230,Activities!$A$9:$I$180,7,FALSE)/$AI230</f>
        <v>528.75</v>
      </c>
      <c r="DQ230" s="129">
        <f>VLOOKUP($F230,Activities!$A$9:$I$180,8,FALSE)/$AI230</f>
        <v>370.13</v>
      </c>
      <c r="DR230" s="129">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5" t="s">
        <v>1226</v>
      </c>
      <c r="B231" s="5" t="s">
        <v>740</v>
      </c>
      <c r="C231" s="5" t="s">
        <v>1208</v>
      </c>
      <c r="D231" s="5" t="s">
        <v>1213</v>
      </c>
      <c r="E231" s="5" t="s">
        <v>1214</v>
      </c>
      <c r="F231" s="5" t="s">
        <v>413</v>
      </c>
      <c r="G231" s="47" t="s">
        <v>1227</v>
      </c>
      <c r="H231" s="47" t="s">
        <v>659</v>
      </c>
      <c r="I231" s="101">
        <v>10</v>
      </c>
      <c r="J231" s="101">
        <v>10</v>
      </c>
      <c r="K231" s="101">
        <v>10</v>
      </c>
      <c r="L231" s="101">
        <v>10</v>
      </c>
      <c r="M231" s="101">
        <v>10</v>
      </c>
      <c r="N231" s="101">
        <v>10</v>
      </c>
      <c r="O231" s="101">
        <v>10</v>
      </c>
      <c r="P231" s="93">
        <v>0</v>
      </c>
      <c r="Q231" s="101">
        <v>0</v>
      </c>
      <c r="R231" s="101">
        <v>0</v>
      </c>
      <c r="S231" s="101">
        <v>0</v>
      </c>
      <c r="T231" s="101">
        <v>0</v>
      </c>
      <c r="U231" s="101">
        <v>0</v>
      </c>
      <c r="V231" s="101">
        <v>0</v>
      </c>
      <c r="W231" s="101">
        <v>0</v>
      </c>
      <c r="X231" s="101">
        <v>0</v>
      </c>
      <c r="Y231" s="101">
        <v>0</v>
      </c>
      <c r="Z231" s="101">
        <v>0</v>
      </c>
      <c r="AA231" s="101">
        <v>0</v>
      </c>
      <c r="AB231" s="101">
        <v>0</v>
      </c>
      <c r="AC231" s="101">
        <v>0</v>
      </c>
      <c r="AD231" s="101">
        <v>0</v>
      </c>
      <c r="AE231" s="186">
        <v>0.08</v>
      </c>
      <c r="AF231" s="93">
        <v>0</v>
      </c>
      <c r="AG231" s="93">
        <v>1</v>
      </c>
      <c r="AH231" s="93">
        <v>1</v>
      </c>
      <c r="AI231" s="16">
        <v>1</v>
      </c>
      <c r="AJ231" s="16" t="s">
        <v>660</v>
      </c>
      <c r="AK231" s="16" t="s">
        <v>745</v>
      </c>
      <c r="AL231" s="16"/>
      <c r="AM231" s="60"/>
      <c r="AN231" s="60"/>
      <c r="AO231" s="60"/>
      <c r="AP231" s="60"/>
      <c r="AQ231" s="60"/>
      <c r="AR231" s="60"/>
      <c r="AS231" s="63"/>
      <c r="AT231" s="63"/>
      <c r="AU231" s="63"/>
      <c r="AV231" s="131"/>
      <c r="AW231" s="131"/>
      <c r="AX231" s="131"/>
      <c r="AY231" s="27" t="s">
        <v>662</v>
      </c>
      <c r="AZ231" s="27"/>
      <c r="BA231" s="27"/>
      <c r="BB231" s="30"/>
      <c r="BC231" s="30"/>
      <c r="BD231" s="30"/>
      <c r="BE231" s="30"/>
      <c r="BF231" s="30"/>
      <c r="BG231" s="30"/>
      <c r="BH231" s="107"/>
      <c r="BI231" s="107"/>
      <c r="BJ231" s="107"/>
      <c r="BK231" s="107"/>
      <c r="BL231" s="136"/>
      <c r="BM231" s="122"/>
      <c r="BN231" s="138"/>
      <c r="BO231" s="93"/>
      <c r="BP231" s="93"/>
      <c r="BQ231" s="93"/>
      <c r="BR231" s="93"/>
      <c r="BS231" s="93"/>
      <c r="BT231" s="93"/>
      <c r="BU231" s="27">
        <f t="shared" si="231"/>
        <v>0</v>
      </c>
      <c r="BV231" s="27"/>
      <c r="BW231" s="27"/>
      <c r="BX231" s="27"/>
      <c r="BY231" s="27"/>
      <c r="BZ231" s="27"/>
      <c r="CA231" s="27"/>
      <c r="CB231" s="97">
        <f t="shared" si="230"/>
        <v>353</v>
      </c>
      <c r="CC231" s="97">
        <f t="shared" si="230"/>
        <v>353</v>
      </c>
      <c r="CD231" s="97">
        <f t="shared" si="225"/>
        <v>353</v>
      </c>
      <c r="CE231" s="97">
        <f t="shared" si="225"/>
        <v>286.82</v>
      </c>
      <c r="CF231" s="389">
        <f>(CE231+CH231)/2</f>
        <v>184.64037500000001</v>
      </c>
      <c r="CG231" s="389">
        <f>DQ231*0.5</f>
        <v>77.22</v>
      </c>
      <c r="CH231" s="389">
        <f>CE231-(CE231-(CE231*0.05))*(0.75)</f>
        <v>82.460750000000019</v>
      </c>
      <c r="CI231" s="173"/>
      <c r="CJ231" s="173"/>
      <c r="CK231" s="173"/>
      <c r="CL231" s="173"/>
      <c r="CM231" s="173"/>
      <c r="CN231" s="173"/>
      <c r="CO231" s="173"/>
      <c r="CP231" s="174"/>
      <c r="CQ231" s="174"/>
      <c r="CR231" s="174"/>
      <c r="CS231" s="174"/>
      <c r="CT231" s="174"/>
      <c r="CU231" s="174"/>
      <c r="CV231" s="174"/>
      <c r="CW231" s="165"/>
      <c r="CX231" s="166"/>
      <c r="CY231" s="166"/>
      <c r="CZ231" s="166"/>
      <c r="DA231" s="166"/>
      <c r="DB231" s="166"/>
      <c r="DC231" s="166"/>
      <c r="DD231" s="171"/>
      <c r="DE231" s="171"/>
      <c r="DF231" s="171"/>
      <c r="DG231" s="171"/>
      <c r="DH231" s="171"/>
      <c r="DI231" s="171"/>
      <c r="DJ231" s="171"/>
      <c r="DK231" s="79" t="s">
        <v>954</v>
      </c>
      <c r="DL231" s="128">
        <f>VLOOKUP($F231,Activities!$A$9:$I$180,3,FALSE)/$AI231</f>
        <v>353</v>
      </c>
      <c r="DM231" s="128">
        <f>VLOOKUP($F231,Activities!$A$9:$I$180,4,FALSE)/$AI231</f>
        <v>353</v>
      </c>
      <c r="DN231" s="128">
        <f>VLOOKUP($F231,Activities!$A$9:$I$180,5,FALSE)/$AI231</f>
        <v>353</v>
      </c>
      <c r="DO231" s="128">
        <f>VLOOKUP($F231,Activities!$A$9:$I$180,6,FALSE)/$AI231</f>
        <v>286.82</v>
      </c>
      <c r="DP231" s="128">
        <f>VLOOKUP($F231,Activities!$A$9:$I$180,7,FALSE)/$AI231</f>
        <v>220.63</v>
      </c>
      <c r="DQ231" s="128">
        <f>VLOOKUP($F231,Activities!$A$9:$I$180,8,FALSE)/$AI231</f>
        <v>154.44</v>
      </c>
      <c r="DR231" s="128">
        <f>VLOOKUP($F231,Activities!$A$9:$I$180,9,FALSE)/$AI231</f>
        <v>88.25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6" t="s">
        <v>1228</v>
      </c>
      <c r="B232" s="6" t="s">
        <v>740</v>
      </c>
      <c r="C232" s="6" t="s">
        <v>1208</v>
      </c>
      <c r="D232" s="6" t="s">
        <v>1213</v>
      </c>
      <c r="E232" s="6" t="s">
        <v>1214</v>
      </c>
      <c r="F232" s="6" t="s">
        <v>413</v>
      </c>
      <c r="G232" s="48" t="s">
        <v>1229</v>
      </c>
      <c r="H232" s="48" t="s">
        <v>659</v>
      </c>
      <c r="I232" s="102">
        <v>20</v>
      </c>
      <c r="J232" s="102">
        <v>20</v>
      </c>
      <c r="K232" s="102">
        <v>20</v>
      </c>
      <c r="L232" s="102">
        <v>20</v>
      </c>
      <c r="M232" s="102">
        <v>20</v>
      </c>
      <c r="N232" s="102">
        <v>20</v>
      </c>
      <c r="O232" s="102">
        <v>20</v>
      </c>
      <c r="P232" s="94">
        <v>0</v>
      </c>
      <c r="Q232" s="102">
        <v>0</v>
      </c>
      <c r="R232" s="102">
        <v>0</v>
      </c>
      <c r="S232" s="102">
        <v>0</v>
      </c>
      <c r="T232" s="102">
        <v>0</v>
      </c>
      <c r="U232" s="102">
        <v>0</v>
      </c>
      <c r="V232" s="102">
        <v>0</v>
      </c>
      <c r="W232" s="102">
        <v>0</v>
      </c>
      <c r="X232" s="102">
        <v>0</v>
      </c>
      <c r="Y232" s="102">
        <v>0</v>
      </c>
      <c r="Z232" s="102">
        <v>0</v>
      </c>
      <c r="AA232" s="102">
        <v>0</v>
      </c>
      <c r="AB232" s="102">
        <v>0</v>
      </c>
      <c r="AC232" s="102">
        <v>0</v>
      </c>
      <c r="AD232" s="102">
        <v>0</v>
      </c>
      <c r="AE232" s="186">
        <v>0.08</v>
      </c>
      <c r="AF232" s="94">
        <v>0</v>
      </c>
      <c r="AG232" s="94">
        <v>1</v>
      </c>
      <c r="AH232" s="94">
        <v>1</v>
      </c>
      <c r="AI232" s="17">
        <v>1</v>
      </c>
      <c r="AJ232" s="17" t="s">
        <v>660</v>
      </c>
      <c r="AK232" s="17" t="s">
        <v>745</v>
      </c>
      <c r="AL232" s="17"/>
      <c r="AM232" s="61"/>
      <c r="AN232" s="61"/>
      <c r="AO232" s="61"/>
      <c r="AP232" s="61"/>
      <c r="AQ232" s="61"/>
      <c r="AR232" s="61"/>
      <c r="AS232" s="64"/>
      <c r="AT232" s="64"/>
      <c r="AU232" s="64"/>
      <c r="AV232" s="132"/>
      <c r="AW232" s="132"/>
      <c r="AX232" s="132"/>
      <c r="AY232" s="28" t="s">
        <v>662</v>
      </c>
      <c r="AZ232" s="28"/>
      <c r="BA232" s="28"/>
      <c r="BB232" s="28"/>
      <c r="BC232" s="28"/>
      <c r="BD232" s="28"/>
      <c r="BE232" s="28"/>
      <c r="BF232" s="28"/>
      <c r="BG232" s="28"/>
      <c r="BH232" s="106"/>
      <c r="BI232" s="106"/>
      <c r="BJ232" s="106"/>
      <c r="BK232" s="106"/>
      <c r="BL232" s="137"/>
      <c r="BM232" s="123"/>
      <c r="BN232" s="139"/>
      <c r="BO232" s="94"/>
      <c r="BP232" s="94"/>
      <c r="BQ232" s="94"/>
      <c r="BR232" s="94"/>
      <c r="BS232" s="94"/>
      <c r="BT232" s="94"/>
      <c r="BU232" s="28">
        <f t="shared" si="231"/>
        <v>0</v>
      </c>
      <c r="BV232" s="28"/>
      <c r="BW232" s="28"/>
      <c r="BX232" s="28"/>
      <c r="BY232" s="28"/>
      <c r="BZ232" s="28"/>
      <c r="CA232" s="28"/>
      <c r="CB232" s="99">
        <f t="shared" si="230"/>
        <v>353</v>
      </c>
      <c r="CC232" s="99">
        <f t="shared" si="230"/>
        <v>353</v>
      </c>
      <c r="CD232" s="99">
        <f t="shared" si="230"/>
        <v>353</v>
      </c>
      <c r="CE232" s="99">
        <f t="shared" si="230"/>
        <v>286.82</v>
      </c>
      <c r="CF232" s="99">
        <f t="shared" si="230"/>
        <v>220.63</v>
      </c>
      <c r="CG232" s="99">
        <f t="shared" si="230"/>
        <v>154.44</v>
      </c>
      <c r="CH232" s="99">
        <f t="shared" si="230"/>
        <v>88.25</v>
      </c>
      <c r="CI232" s="175"/>
      <c r="CJ232" s="175"/>
      <c r="CK232" s="175"/>
      <c r="CL232" s="175"/>
      <c r="CM232" s="175"/>
      <c r="CN232" s="175"/>
      <c r="CO232" s="175"/>
      <c r="CP232" s="176"/>
      <c r="CQ232" s="176"/>
      <c r="CR232" s="176"/>
      <c r="CS232" s="176"/>
      <c r="CT232" s="176"/>
      <c r="CU232" s="176"/>
      <c r="CV232" s="176"/>
      <c r="CW232" s="167"/>
      <c r="CX232" s="168"/>
      <c r="CY232" s="168"/>
      <c r="CZ232" s="168"/>
      <c r="DA232" s="168"/>
      <c r="DB232" s="168"/>
      <c r="DC232" s="168"/>
      <c r="DD232" s="172"/>
      <c r="DE232" s="172"/>
      <c r="DF232" s="172"/>
      <c r="DG232" s="172"/>
      <c r="DH232" s="172"/>
      <c r="DI232" s="172"/>
      <c r="DJ232" s="172"/>
      <c r="DK232" s="80" t="s">
        <v>954</v>
      </c>
      <c r="DL232" s="129">
        <f>VLOOKUP($F232,Activities!$A$9:$I$180,3,FALSE)/$AI232</f>
        <v>353</v>
      </c>
      <c r="DM232" s="129">
        <f>VLOOKUP($F232,Activities!$A$9:$I$180,4,FALSE)/$AI232</f>
        <v>353</v>
      </c>
      <c r="DN232" s="129">
        <f>VLOOKUP($F232,Activities!$A$9:$I$180,5,FALSE)/$AI232</f>
        <v>353</v>
      </c>
      <c r="DO232" s="129">
        <f>VLOOKUP($F232,Activities!$A$9:$I$180,6,FALSE)/$AI232</f>
        <v>286.82</v>
      </c>
      <c r="DP232" s="129">
        <f>VLOOKUP($F232,Activities!$A$9:$I$180,7,FALSE)/$AI232</f>
        <v>220.63</v>
      </c>
      <c r="DQ232" s="129">
        <f>VLOOKUP($F232,Activities!$A$9:$I$180,8,FALSE)/$AI232</f>
        <v>154.44</v>
      </c>
      <c r="DR232" s="129">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5" t="s">
        <v>1230</v>
      </c>
      <c r="B233" s="5" t="s">
        <v>740</v>
      </c>
      <c r="C233" s="5" t="s">
        <v>1208</v>
      </c>
      <c r="D233" s="5" t="s">
        <v>1213</v>
      </c>
      <c r="E233" s="5" t="s">
        <v>1214</v>
      </c>
      <c r="F233" s="5" t="s">
        <v>413</v>
      </c>
      <c r="G233" s="47" t="s">
        <v>1231</v>
      </c>
      <c r="H233" s="47" t="s">
        <v>659</v>
      </c>
      <c r="I233" s="101">
        <v>30</v>
      </c>
      <c r="J233" s="101">
        <v>30</v>
      </c>
      <c r="K233" s="101">
        <v>30</v>
      </c>
      <c r="L233" s="101">
        <v>30</v>
      </c>
      <c r="M233" s="101">
        <v>30</v>
      </c>
      <c r="N233" s="101">
        <v>30</v>
      </c>
      <c r="O233" s="101">
        <v>30</v>
      </c>
      <c r="P233" s="93">
        <v>0</v>
      </c>
      <c r="Q233" s="101">
        <v>0</v>
      </c>
      <c r="R233" s="101">
        <v>0</v>
      </c>
      <c r="S233" s="101">
        <v>0</v>
      </c>
      <c r="T233" s="101">
        <v>0</v>
      </c>
      <c r="U233" s="101">
        <v>0</v>
      </c>
      <c r="V233" s="101">
        <v>0</v>
      </c>
      <c r="W233" s="101">
        <v>0</v>
      </c>
      <c r="X233" s="101">
        <v>0</v>
      </c>
      <c r="Y233" s="101">
        <v>0</v>
      </c>
      <c r="Z233" s="101">
        <v>0</v>
      </c>
      <c r="AA233" s="101">
        <v>0</v>
      </c>
      <c r="AB233" s="101">
        <v>0</v>
      </c>
      <c r="AC233" s="101">
        <v>0</v>
      </c>
      <c r="AD233" s="101">
        <v>0</v>
      </c>
      <c r="AE233" s="186">
        <v>0.08</v>
      </c>
      <c r="AF233" s="93">
        <v>0</v>
      </c>
      <c r="AG233" s="93">
        <v>1</v>
      </c>
      <c r="AH233" s="93">
        <v>1</v>
      </c>
      <c r="AI233" s="16">
        <v>1</v>
      </c>
      <c r="AJ233" s="16" t="s">
        <v>660</v>
      </c>
      <c r="AK233" s="16" t="s">
        <v>745</v>
      </c>
      <c r="AL233" s="16"/>
      <c r="AM233" s="60"/>
      <c r="AN233" s="60"/>
      <c r="AO233" s="60"/>
      <c r="AP233" s="60"/>
      <c r="AQ233" s="60"/>
      <c r="AR233" s="60"/>
      <c r="AS233" s="63"/>
      <c r="AT233" s="63"/>
      <c r="AU233" s="63"/>
      <c r="AV233" s="131"/>
      <c r="AW233" s="131"/>
      <c r="AX233" s="131"/>
      <c r="AY233" s="27" t="s">
        <v>662</v>
      </c>
      <c r="AZ233" s="27"/>
      <c r="BA233" s="27"/>
      <c r="BB233" s="30"/>
      <c r="BC233" s="30"/>
      <c r="BD233" s="30"/>
      <c r="BE233" s="30"/>
      <c r="BF233" s="30"/>
      <c r="BG233" s="30"/>
      <c r="BH233" s="107"/>
      <c r="BI233" s="107"/>
      <c r="BJ233" s="107"/>
      <c r="BK233" s="107"/>
      <c r="BL233" s="136"/>
      <c r="BM233" s="122"/>
      <c r="BN233" s="138"/>
      <c r="BO233" s="93"/>
      <c r="BP233" s="93"/>
      <c r="BQ233" s="93"/>
      <c r="BR233" s="93"/>
      <c r="BS233" s="93"/>
      <c r="BT233" s="93"/>
      <c r="BU233" s="27">
        <f t="shared" si="231"/>
        <v>0</v>
      </c>
      <c r="BV233" s="27"/>
      <c r="BW233" s="27"/>
      <c r="BX233" s="27"/>
      <c r="BY233" s="27"/>
      <c r="BZ233" s="27"/>
      <c r="CA233" s="27"/>
      <c r="CB233" s="97">
        <f t="shared" si="230"/>
        <v>353</v>
      </c>
      <c r="CC233" s="97">
        <f t="shared" si="230"/>
        <v>353</v>
      </c>
      <c r="CD233" s="97">
        <f t="shared" si="230"/>
        <v>353</v>
      </c>
      <c r="CE233" s="97">
        <f t="shared" si="230"/>
        <v>286.82</v>
      </c>
      <c r="CF233" s="97">
        <f t="shared" si="230"/>
        <v>220.63</v>
      </c>
      <c r="CG233" s="97">
        <f t="shared" si="230"/>
        <v>154.44</v>
      </c>
      <c r="CH233" s="97">
        <f t="shared" si="230"/>
        <v>88.25</v>
      </c>
      <c r="CI233" s="173"/>
      <c r="CJ233" s="173"/>
      <c r="CK233" s="173"/>
      <c r="CL233" s="173"/>
      <c r="CM233" s="173"/>
      <c r="CN233" s="173"/>
      <c r="CO233" s="173"/>
      <c r="CP233" s="174"/>
      <c r="CQ233" s="174"/>
      <c r="CR233" s="174"/>
      <c r="CS233" s="174"/>
      <c r="CT233" s="174"/>
      <c r="CU233" s="174"/>
      <c r="CV233" s="174"/>
      <c r="CW233" s="165"/>
      <c r="CX233" s="166"/>
      <c r="CY233" s="166"/>
      <c r="CZ233" s="166"/>
      <c r="DA233" s="166"/>
      <c r="DB233" s="166"/>
      <c r="DC233" s="166"/>
      <c r="DD233" s="171"/>
      <c r="DE233" s="171"/>
      <c r="DF233" s="171"/>
      <c r="DG233" s="171"/>
      <c r="DH233" s="171"/>
      <c r="DI233" s="171"/>
      <c r="DJ233" s="171"/>
      <c r="DK233" s="79" t="s">
        <v>954</v>
      </c>
      <c r="DL233" s="128">
        <f>VLOOKUP($F233,Activities!$A$9:$I$180,3,FALSE)/$AI233</f>
        <v>353</v>
      </c>
      <c r="DM233" s="128">
        <f>VLOOKUP($F233,Activities!$A$9:$I$180,4,FALSE)/$AI233</f>
        <v>353</v>
      </c>
      <c r="DN233" s="128">
        <f>VLOOKUP($F233,Activities!$A$9:$I$180,5,FALSE)/$AI233</f>
        <v>353</v>
      </c>
      <c r="DO233" s="128">
        <f>VLOOKUP($F233,Activities!$A$9:$I$180,6,FALSE)/$AI233</f>
        <v>286.82</v>
      </c>
      <c r="DP233" s="128">
        <f>VLOOKUP($F233,Activities!$A$9:$I$180,7,FALSE)/$AI233</f>
        <v>220.63</v>
      </c>
      <c r="DQ233" s="128">
        <f>VLOOKUP($F233,Activities!$A$9:$I$180,8,FALSE)/$AI233</f>
        <v>154.44</v>
      </c>
      <c r="DR233" s="128">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6" t="s">
        <v>1232</v>
      </c>
      <c r="B234" s="6"/>
      <c r="C234" s="6" t="s">
        <v>1233</v>
      </c>
      <c r="D234" s="6" t="s">
        <v>1234</v>
      </c>
      <c r="E234" s="6" t="s">
        <v>1235</v>
      </c>
      <c r="F234" s="6" t="s">
        <v>414</v>
      </c>
      <c r="G234" s="48" t="s">
        <v>1236</v>
      </c>
      <c r="H234" s="48" t="s">
        <v>659</v>
      </c>
      <c r="I234" s="102">
        <v>0</v>
      </c>
      <c r="J234" s="102">
        <v>0</v>
      </c>
      <c r="K234" s="102">
        <v>0</v>
      </c>
      <c r="L234" s="102">
        <v>0</v>
      </c>
      <c r="M234" s="102">
        <v>0</v>
      </c>
      <c r="N234" s="102">
        <v>0</v>
      </c>
      <c r="O234" s="102">
        <v>0</v>
      </c>
      <c r="P234" s="94">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86">
        <v>0.08</v>
      </c>
      <c r="AF234" s="94">
        <v>0</v>
      </c>
      <c r="AG234" s="94">
        <v>1</v>
      </c>
      <c r="AH234" s="94">
        <v>1</v>
      </c>
      <c r="AI234" s="17">
        <v>1</v>
      </c>
      <c r="AJ234" s="17" t="s">
        <v>660</v>
      </c>
      <c r="AK234" s="17" t="s">
        <v>1237</v>
      </c>
      <c r="AL234" s="17"/>
      <c r="AM234" s="61"/>
      <c r="AN234" s="61"/>
      <c r="AO234" s="61"/>
      <c r="AP234" s="61"/>
      <c r="AQ234" s="61"/>
      <c r="AR234" s="61"/>
      <c r="AS234" s="64"/>
      <c r="AT234" s="64"/>
      <c r="AU234" s="64"/>
      <c r="AV234" s="132"/>
      <c r="AW234" s="132"/>
      <c r="AX234" s="132"/>
      <c r="AY234" s="28" t="s">
        <v>662</v>
      </c>
      <c r="AZ234" s="28"/>
      <c r="BA234" s="28"/>
      <c r="BB234" s="28"/>
      <c r="BC234" s="28"/>
      <c r="BD234" s="28"/>
      <c r="BE234" s="28"/>
      <c r="BF234" s="28"/>
      <c r="BG234" s="28"/>
      <c r="BH234" s="106"/>
      <c r="BI234" s="106"/>
      <c r="BJ234" s="106"/>
      <c r="BK234" s="106"/>
      <c r="BL234" s="137"/>
      <c r="BM234" s="123"/>
      <c r="BN234" s="139">
        <f>DL234</f>
        <v>4260</v>
      </c>
      <c r="BO234" s="94"/>
      <c r="BP234" s="94"/>
      <c r="BQ234" s="94"/>
      <c r="BR234" s="94"/>
      <c r="BS234" s="94"/>
      <c r="BT234" s="94"/>
      <c r="BU234" s="28">
        <f t="shared" ref="BU234:CA234" si="232">CB234</f>
        <v>4260</v>
      </c>
      <c r="BV234" s="28">
        <f t="shared" si="232"/>
        <v>4560</v>
      </c>
      <c r="BW234" s="28">
        <f t="shared" si="232"/>
        <v>4860</v>
      </c>
      <c r="BX234" s="28">
        <f t="shared" si="232"/>
        <v>5163.75</v>
      </c>
      <c r="BY234" s="28">
        <f t="shared" si="232"/>
        <v>5467.5</v>
      </c>
      <c r="BZ234" s="28">
        <f t="shared" si="232"/>
        <v>5771.25</v>
      </c>
      <c r="CA234" s="28">
        <f t="shared" si="232"/>
        <v>6075</v>
      </c>
      <c r="CB234" s="99">
        <f>DL234</f>
        <v>4260</v>
      </c>
      <c r="CC234" s="99">
        <f t="shared" si="230"/>
        <v>4560</v>
      </c>
      <c r="CD234" s="99">
        <f t="shared" si="230"/>
        <v>4860</v>
      </c>
      <c r="CE234" s="99">
        <f t="shared" si="230"/>
        <v>5163.75</v>
      </c>
      <c r="CF234" s="99">
        <f t="shared" si="230"/>
        <v>5467.5</v>
      </c>
      <c r="CG234" s="99">
        <f t="shared" si="230"/>
        <v>5771.25</v>
      </c>
      <c r="CH234" s="99">
        <f t="shared" si="230"/>
        <v>6075</v>
      </c>
      <c r="CI234" s="175"/>
      <c r="CJ234" s="175"/>
      <c r="CK234" s="175"/>
      <c r="CL234" s="175"/>
      <c r="CM234" s="175"/>
      <c r="CN234" s="175"/>
      <c r="CO234" s="175"/>
      <c r="CP234" s="176"/>
      <c r="CQ234" s="176"/>
      <c r="CR234" s="176"/>
      <c r="CS234" s="176"/>
      <c r="CT234" s="176"/>
      <c r="CU234" s="176"/>
      <c r="CV234" s="176"/>
      <c r="CW234" s="167"/>
      <c r="CX234" s="168"/>
      <c r="CY234" s="168"/>
      <c r="CZ234" s="168"/>
      <c r="DA234" s="168"/>
      <c r="DB234" s="168"/>
      <c r="DC234" s="168"/>
      <c r="DD234" s="172"/>
      <c r="DE234" s="172"/>
      <c r="DF234" s="172"/>
      <c r="DG234" s="172"/>
      <c r="DH234" s="172"/>
      <c r="DI234" s="172"/>
      <c r="DJ234" s="172"/>
      <c r="DK234" s="80" t="s">
        <v>1040</v>
      </c>
      <c r="DL234" s="129">
        <f>VLOOKUP($F234,Activities!$A$9:$I$180,3,FALSE)/$AI234</f>
        <v>4260</v>
      </c>
      <c r="DM234" s="129">
        <f>VLOOKUP($F234,Activities!$A$9:$I$180,4,FALSE)/$AI234</f>
        <v>4560</v>
      </c>
      <c r="DN234" s="129">
        <f>VLOOKUP($F234,Activities!$A$9:$I$180,5,FALSE)/$AI234</f>
        <v>4860</v>
      </c>
      <c r="DO234" s="129">
        <f>VLOOKUP($F234,Activities!$A$9:$I$180,6,FALSE)/$AI234</f>
        <v>5163.75</v>
      </c>
      <c r="DP234" s="129">
        <f>VLOOKUP($F234,Activities!$A$9:$I$180,7,FALSE)/$AI234</f>
        <v>5467.5</v>
      </c>
      <c r="DQ234" s="129">
        <f>VLOOKUP($F234,Activities!$A$9:$I$180,8,FALSE)/$AI234</f>
        <v>5771.25</v>
      </c>
      <c r="DR234" s="129">
        <f>VLOOKUP($F234,Activities!$A$9:$I$180,9,FALSE)/$AI234</f>
        <v>6075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5" t="s">
        <v>1238</v>
      </c>
      <c r="B235" s="5"/>
      <c r="C235" s="5" t="s">
        <v>1233</v>
      </c>
      <c r="D235" s="5" t="s">
        <v>1234</v>
      </c>
      <c r="E235" s="5" t="s">
        <v>1239</v>
      </c>
      <c r="F235" s="5" t="s">
        <v>448</v>
      </c>
      <c r="G235" s="47" t="s">
        <v>1240</v>
      </c>
      <c r="H235" s="47" t="s">
        <v>981</v>
      </c>
      <c r="I235" s="101">
        <v>0</v>
      </c>
      <c r="J235" s="101">
        <v>0</v>
      </c>
      <c r="K235" s="101">
        <v>0</v>
      </c>
      <c r="L235" s="101">
        <v>0</v>
      </c>
      <c r="M235" s="101">
        <v>0</v>
      </c>
      <c r="N235" s="101">
        <v>0</v>
      </c>
      <c r="O235" s="101">
        <v>0</v>
      </c>
      <c r="P235" s="93">
        <v>0</v>
      </c>
      <c r="Q235" s="101">
        <v>0</v>
      </c>
      <c r="R235" s="101">
        <v>0</v>
      </c>
      <c r="S235" s="101">
        <v>0</v>
      </c>
      <c r="T235" s="101">
        <v>0</v>
      </c>
      <c r="U235" s="101">
        <v>0</v>
      </c>
      <c r="V235" s="101">
        <v>0</v>
      </c>
      <c r="W235" s="101">
        <v>0</v>
      </c>
      <c r="X235" s="101">
        <v>0</v>
      </c>
      <c r="Y235" s="101">
        <v>0</v>
      </c>
      <c r="Z235" s="101">
        <v>0</v>
      </c>
      <c r="AA235" s="101">
        <v>0</v>
      </c>
      <c r="AB235" s="101">
        <v>0</v>
      </c>
      <c r="AC235" s="101">
        <v>0</v>
      </c>
      <c r="AD235" s="101">
        <v>0</v>
      </c>
      <c r="AE235" s="186">
        <v>0.08</v>
      </c>
      <c r="AF235" s="93">
        <v>0</v>
      </c>
      <c r="AG235" s="93">
        <v>1</v>
      </c>
      <c r="AH235" s="93">
        <v>1</v>
      </c>
      <c r="AI235" s="16">
        <v>31.536000000000001</v>
      </c>
      <c r="AJ235" s="16" t="s">
        <v>1241</v>
      </c>
      <c r="AK235" s="16" t="s">
        <v>745</v>
      </c>
      <c r="AL235" s="16"/>
      <c r="AM235" s="60"/>
      <c r="AN235" s="60"/>
      <c r="AO235" s="60"/>
      <c r="AP235" s="60"/>
      <c r="AQ235" s="60"/>
      <c r="AR235" s="60"/>
      <c r="AS235" s="63"/>
      <c r="AT235" s="63"/>
      <c r="AU235" s="63"/>
      <c r="AV235" s="131"/>
      <c r="AW235" s="131"/>
      <c r="AX235" s="131"/>
      <c r="AY235" s="27" t="s">
        <v>662</v>
      </c>
      <c r="AZ235" s="27"/>
      <c r="BA235" s="27"/>
      <c r="BB235" s="30"/>
      <c r="BC235" s="30"/>
      <c r="BD235" s="30"/>
      <c r="BE235" s="30"/>
      <c r="BF235" s="30"/>
      <c r="BG235" s="30"/>
      <c r="BH235" s="107"/>
      <c r="BI235" s="107"/>
      <c r="BJ235" s="107"/>
      <c r="BK235" s="107"/>
      <c r="BL235" s="136"/>
      <c r="BM235" s="122"/>
      <c r="BN235" s="138">
        <f t="shared" ref="BN235" si="233">BU235</f>
        <v>0</v>
      </c>
      <c r="BO235" s="93"/>
      <c r="BP235" s="93"/>
      <c r="BQ235" s="93"/>
      <c r="BR235" s="93"/>
      <c r="BS235" s="93"/>
      <c r="BT235" s="93"/>
      <c r="BU235" s="27"/>
      <c r="BV235" s="27"/>
      <c r="BW235" s="27"/>
      <c r="BX235" s="27"/>
      <c r="BY235" s="27"/>
      <c r="BZ235" s="27"/>
      <c r="CA235" s="27"/>
      <c r="CB235" s="185">
        <v>500</v>
      </c>
      <c r="CC235" s="185">
        <v>500</v>
      </c>
      <c r="CD235" s="185">
        <v>500</v>
      </c>
      <c r="CE235" s="185">
        <v>500</v>
      </c>
      <c r="CF235" s="185">
        <v>500</v>
      </c>
      <c r="CG235" s="185">
        <v>500</v>
      </c>
      <c r="CH235" s="185">
        <v>500</v>
      </c>
      <c r="CI235" s="173"/>
      <c r="CJ235" s="173"/>
      <c r="CK235" s="173"/>
      <c r="CL235" s="173"/>
      <c r="CM235" s="173"/>
      <c r="CN235" s="173"/>
      <c r="CO235" s="173"/>
      <c r="CP235" s="174"/>
      <c r="CQ235" s="174"/>
      <c r="CR235" s="174"/>
      <c r="CS235" s="174"/>
      <c r="CT235" s="174"/>
      <c r="CU235" s="174"/>
      <c r="CV235" s="174"/>
      <c r="CW235" s="165"/>
      <c r="CX235" s="166"/>
      <c r="CY235" s="166"/>
      <c r="CZ235" s="166"/>
      <c r="DA235" s="166"/>
      <c r="DB235" s="166"/>
      <c r="DC235" s="166"/>
      <c r="DD235" s="171"/>
      <c r="DE235" s="171"/>
      <c r="DF235" s="171"/>
      <c r="DG235" s="171"/>
      <c r="DH235" s="171"/>
      <c r="DI235" s="171"/>
      <c r="DJ235" s="171"/>
      <c r="DK235" s="79" t="s">
        <v>699</v>
      </c>
      <c r="DL235" s="128">
        <v>30</v>
      </c>
      <c r="DM235" s="128">
        <v>30</v>
      </c>
      <c r="DN235" s="128">
        <v>30</v>
      </c>
      <c r="DO235" s="128">
        <v>30</v>
      </c>
      <c r="DP235" s="128">
        <v>30</v>
      </c>
      <c r="DQ235" s="128">
        <v>30</v>
      </c>
      <c r="DR235" s="128">
        <v>30</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ht="15" thickBot="1" x14ac:dyDescent="0.4">
      <c r="A236" s="256" t="s">
        <v>1242</v>
      </c>
      <c r="B236" s="6" t="s">
        <v>1243</v>
      </c>
      <c r="C236" s="6" t="s">
        <v>1233</v>
      </c>
      <c r="D236" s="6" t="s">
        <v>1234</v>
      </c>
      <c r="E236" s="6" t="s">
        <v>1244</v>
      </c>
      <c r="F236" s="6" t="s">
        <v>448</v>
      </c>
      <c r="G236" s="48" t="s">
        <v>1245</v>
      </c>
      <c r="H236" s="48" t="s">
        <v>981</v>
      </c>
      <c r="I236" s="102">
        <v>0</v>
      </c>
      <c r="J236" s="102">
        <v>0</v>
      </c>
      <c r="K236" s="102">
        <v>0</v>
      </c>
      <c r="L236" s="102">
        <v>0</v>
      </c>
      <c r="M236" s="102">
        <v>0</v>
      </c>
      <c r="N236" s="102">
        <v>0</v>
      </c>
      <c r="O236" s="102">
        <v>0</v>
      </c>
      <c r="P236" s="94">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86">
        <v>0.08</v>
      </c>
      <c r="AF236" s="94">
        <v>0</v>
      </c>
      <c r="AG236" s="94">
        <v>1</v>
      </c>
      <c r="AH236" s="94">
        <v>1</v>
      </c>
      <c r="AI236" s="17">
        <v>31.536000000000001</v>
      </c>
      <c r="AJ236" s="17" t="s">
        <v>1241</v>
      </c>
      <c r="AK236" s="17" t="s">
        <v>745</v>
      </c>
      <c r="AL236" s="17"/>
      <c r="AM236" s="61"/>
      <c r="AN236" s="61"/>
      <c r="AO236" s="61"/>
      <c r="AP236" s="61"/>
      <c r="AQ236" s="61"/>
      <c r="AR236" s="61"/>
      <c r="AS236" s="64"/>
      <c r="AT236" s="64"/>
      <c r="AU236" s="64"/>
      <c r="AV236" s="132"/>
      <c r="AW236" s="132"/>
      <c r="AX236" s="132"/>
      <c r="AY236" s="28" t="s">
        <v>662</v>
      </c>
      <c r="AZ236" s="28"/>
      <c r="BA236" s="28"/>
      <c r="BB236" s="28"/>
      <c r="BC236" s="28"/>
      <c r="BD236" s="28"/>
      <c r="BE236" s="28"/>
      <c r="BF236" s="28"/>
      <c r="BG236" s="28"/>
      <c r="BH236" s="106"/>
      <c r="BI236" s="106"/>
      <c r="BJ236" s="106"/>
      <c r="BK236" s="106"/>
      <c r="BL236" s="137">
        <v>2</v>
      </c>
      <c r="BM236" s="123"/>
      <c r="BN236" s="259">
        <v>8.0500000000000007</v>
      </c>
      <c r="BO236" s="260"/>
      <c r="BP236" s="260"/>
      <c r="BQ236" s="260"/>
      <c r="BR236" s="260"/>
      <c r="BS236" s="260"/>
      <c r="BT236" s="260"/>
      <c r="BU236" s="28">
        <f>0</f>
        <v>0</v>
      </c>
      <c r="BV236" s="28">
        <f>0</f>
        <v>0</v>
      </c>
      <c r="BW236" s="28">
        <f>0</f>
        <v>0</v>
      </c>
      <c r="BX236" s="28">
        <f>0</f>
        <v>0</v>
      </c>
      <c r="BY236" s="28">
        <f>0</f>
        <v>0</v>
      </c>
      <c r="BZ236" s="28">
        <f>0</f>
        <v>0</v>
      </c>
      <c r="CA236" s="28">
        <f>0</f>
        <v>0</v>
      </c>
      <c r="CB236" s="99">
        <v>8.0500000000000007</v>
      </c>
      <c r="CC236" s="99">
        <v>10.799999999999999</v>
      </c>
      <c r="CD236" s="99">
        <v>20</v>
      </c>
      <c r="CE236" s="99">
        <v>20</v>
      </c>
      <c r="CF236" s="99">
        <v>20</v>
      </c>
      <c r="CG236" s="99">
        <v>20</v>
      </c>
      <c r="CH236" s="99">
        <v>20</v>
      </c>
      <c r="CI236" s="257">
        <f>82.1</f>
        <v>82.1</v>
      </c>
      <c r="CJ236" s="257">
        <f>$CI$236*0.8</f>
        <v>65.679999999999993</v>
      </c>
      <c r="CK236" s="257">
        <f t="shared" ref="CK236:CO236" si="234">$CI$236*0.8</f>
        <v>65.679999999999993</v>
      </c>
      <c r="CL236" s="257">
        <f t="shared" si="234"/>
        <v>65.679999999999993</v>
      </c>
      <c r="CM236" s="257">
        <f t="shared" si="234"/>
        <v>65.679999999999993</v>
      </c>
      <c r="CN236" s="257">
        <f t="shared" si="234"/>
        <v>65.679999999999993</v>
      </c>
      <c r="CO236" s="257">
        <f t="shared" si="234"/>
        <v>65.679999999999993</v>
      </c>
      <c r="CP236" s="388">
        <f>$CI$236*1.2</f>
        <v>98.52</v>
      </c>
      <c r="CQ236" s="388">
        <f t="shared" ref="CQ236:CV236" si="235">$CI$236*1.2</f>
        <v>98.52</v>
      </c>
      <c r="CR236" s="388">
        <f t="shared" si="235"/>
        <v>98.52</v>
      </c>
      <c r="CS236" s="388">
        <f t="shared" si="235"/>
        <v>98.52</v>
      </c>
      <c r="CT236" s="388">
        <f t="shared" si="235"/>
        <v>98.52</v>
      </c>
      <c r="CU236" s="388">
        <f t="shared" si="235"/>
        <v>98.52</v>
      </c>
      <c r="CV236" s="388">
        <f t="shared" si="235"/>
        <v>98.52</v>
      </c>
      <c r="CW236" s="167"/>
      <c r="CX236" s="168"/>
      <c r="CY236" s="168"/>
      <c r="CZ236" s="168"/>
      <c r="DA236" s="168"/>
      <c r="DB236" s="168"/>
      <c r="DC236" s="168"/>
      <c r="DD236" s="172"/>
      <c r="DE236" s="172"/>
      <c r="DF236" s="172"/>
      <c r="DG236" s="172"/>
      <c r="DH236" s="172"/>
      <c r="DI236" s="172"/>
      <c r="DJ236" s="172"/>
      <c r="DK236" s="80" t="s">
        <v>699</v>
      </c>
      <c r="DL236" s="129">
        <v>1.4</v>
      </c>
      <c r="DM236" s="129">
        <v>3.4</v>
      </c>
      <c r="DN236" s="129">
        <v>3.4</v>
      </c>
      <c r="DO236" s="129">
        <v>3.4</v>
      </c>
      <c r="DP236" s="129">
        <v>3.4</v>
      </c>
      <c r="DQ236" s="129">
        <v>7</v>
      </c>
      <c r="DR236" s="129">
        <v>7</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x14ac:dyDescent="0.35">
      <c r="A237" s="230" t="s">
        <v>1246</v>
      </c>
      <c r="B237" s="231" t="s">
        <v>1243</v>
      </c>
      <c r="C237" s="231" t="s">
        <v>788</v>
      </c>
      <c r="D237" s="231" t="s">
        <v>1247</v>
      </c>
      <c r="E237" s="231" t="s">
        <v>1248</v>
      </c>
      <c r="F237" s="231" t="s">
        <v>453</v>
      </c>
      <c r="G237" s="232" t="s">
        <v>1249</v>
      </c>
      <c r="H237" s="233" t="s">
        <v>981</v>
      </c>
      <c r="I237" s="101">
        <v>3200</v>
      </c>
      <c r="J237" s="101">
        <f>(K237+I237)/2</f>
        <v>2800</v>
      </c>
      <c r="K237" s="101">
        <v>2400</v>
      </c>
      <c r="L237" s="101">
        <f t="shared" ref="L237:L246" si="236">(M237+K237)/2</f>
        <v>2350</v>
      </c>
      <c r="M237" s="101">
        <f t="shared" ref="M237:M246" si="237">(K237+O237)/2</f>
        <v>2300</v>
      </c>
      <c r="N237" s="101">
        <f t="shared" ref="N237:N246" si="238">(O237+M237)/2</f>
        <v>2250</v>
      </c>
      <c r="O237" s="101">
        <v>2200</v>
      </c>
      <c r="P237" s="93">
        <v>0</v>
      </c>
      <c r="Q237" s="101">
        <v>54.750234643862761</v>
      </c>
      <c r="R237" s="101">
        <v>54.750234643862761</v>
      </c>
      <c r="S237" s="101">
        <v>47.345917196787987</v>
      </c>
      <c r="T237" s="101">
        <v>47.345917196787987</v>
      </c>
      <c r="U237" s="101">
        <v>47.345917196787987</v>
      </c>
      <c r="V237" s="101">
        <v>47.345917196787987</v>
      </c>
      <c r="W237" s="101">
        <v>47.345917196787987</v>
      </c>
      <c r="X237" s="101">
        <v>0.1</v>
      </c>
      <c r="Y237" s="101">
        <v>0.1</v>
      </c>
      <c r="Z237" s="101">
        <v>0.1</v>
      </c>
      <c r="AA237" s="101">
        <v>0.1</v>
      </c>
      <c r="AB237" s="101">
        <v>0.1</v>
      </c>
      <c r="AC237" s="101">
        <v>0.1</v>
      </c>
      <c r="AD237" s="101">
        <v>0.1</v>
      </c>
      <c r="AE237" s="186">
        <v>0.08</v>
      </c>
      <c r="AF237" s="93">
        <v>0</v>
      </c>
      <c r="AG237" s="93">
        <v>30</v>
      </c>
      <c r="AH237" s="93">
        <v>30</v>
      </c>
      <c r="AI237" s="16">
        <v>19</v>
      </c>
      <c r="AJ237" s="16" t="s">
        <v>1241</v>
      </c>
      <c r="AK237" s="16" t="s">
        <v>1250</v>
      </c>
      <c r="AL237" s="16"/>
      <c r="AM237" s="60"/>
      <c r="AN237" s="60"/>
      <c r="AO237" s="60"/>
      <c r="AP237" s="60"/>
      <c r="AQ237" s="60"/>
      <c r="AR237" s="60"/>
      <c r="AS237" s="63"/>
      <c r="AT237" s="63"/>
      <c r="AU237" s="63"/>
      <c r="AV237" s="131"/>
      <c r="AW237" s="131"/>
      <c r="AX237" s="131"/>
      <c r="AY237" s="27" t="s">
        <v>662</v>
      </c>
      <c r="AZ237" s="27"/>
      <c r="BA237" s="27"/>
      <c r="BB237" s="30"/>
      <c r="BC237" s="30"/>
      <c r="BD237" s="30"/>
      <c r="BE237" s="30"/>
      <c r="BF237" s="30"/>
      <c r="BG237" s="30"/>
      <c r="BH237" s="107"/>
      <c r="BI237" s="107"/>
      <c r="BJ237" s="107"/>
      <c r="BK237" s="107"/>
      <c r="BL237" s="136"/>
      <c r="BM237" s="122"/>
      <c r="BN237" s="138">
        <v>0</v>
      </c>
      <c r="BO237" s="93"/>
      <c r="BP237" s="93"/>
      <c r="BQ237" s="93"/>
      <c r="BR237" s="93"/>
      <c r="BS237" s="93"/>
      <c r="BT237" s="93"/>
      <c r="BU237" s="27">
        <f>IF(BL237=1,BN237,0)</f>
        <v>0</v>
      </c>
      <c r="BV237" s="27"/>
      <c r="BW237" s="27"/>
      <c r="BX237" s="27"/>
      <c r="BY237" s="27"/>
      <c r="BZ237" s="27"/>
      <c r="CA237" s="27"/>
      <c r="CB237" s="244"/>
      <c r="CC237" s="244">
        <f t="shared" ref="CC237:CC244" si="239">ROUND((CB237+CD237)/2,2)</f>
        <v>5</v>
      </c>
      <c r="CD237" s="244">
        <v>10</v>
      </c>
      <c r="CE237" s="244">
        <f t="shared" ref="CE237" si="240">ROUND((CD237+CF237)/2,2)</f>
        <v>18.25</v>
      </c>
      <c r="CF237" s="244">
        <v>26.5</v>
      </c>
      <c r="CG237" s="244">
        <f t="shared" ref="CG237" si="241">ROUND((CF237+CH237)/2,2)</f>
        <v>41.75</v>
      </c>
      <c r="CH237" s="389">
        <f>70-13</f>
        <v>57</v>
      </c>
      <c r="CI237" s="173"/>
      <c r="CJ237" s="173"/>
      <c r="CK237" s="173"/>
      <c r="CL237" s="173"/>
      <c r="CM237" s="173"/>
      <c r="CN237" s="173"/>
      <c r="CO237" s="173"/>
      <c r="CP237" s="174"/>
      <c r="CQ237" s="174"/>
      <c r="CR237" s="174"/>
      <c r="CS237" s="174"/>
      <c r="CT237" s="174"/>
      <c r="CU237" s="174"/>
      <c r="CV237" s="174"/>
      <c r="CW237" s="165"/>
      <c r="CX237" s="166"/>
      <c r="CY237" s="166"/>
      <c r="CZ237" s="166"/>
      <c r="DA237" s="166"/>
      <c r="DB237" s="166"/>
      <c r="DC237" s="166"/>
      <c r="DD237" s="171"/>
      <c r="DE237" s="171"/>
      <c r="DF237" s="171"/>
      <c r="DG237" s="171"/>
      <c r="DH237" s="171"/>
      <c r="DI237" s="171"/>
      <c r="DJ237" s="171"/>
      <c r="DK237" s="79" t="s">
        <v>1251</v>
      </c>
      <c r="DL237" s="128"/>
      <c r="DM237" s="128"/>
      <c r="DN237" s="128"/>
      <c r="DO237" s="128"/>
      <c r="DP237" s="128"/>
      <c r="DQ237" s="128"/>
      <c r="DR237" s="128"/>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4" t="s">
        <v>1252</v>
      </c>
      <c r="B238" s="6" t="s">
        <v>1243</v>
      </c>
      <c r="C238" s="6" t="s">
        <v>788</v>
      </c>
      <c r="D238" s="6" t="s">
        <v>1247</v>
      </c>
      <c r="E238" s="6" t="s">
        <v>1248</v>
      </c>
      <c r="F238" s="6" t="s">
        <v>455</v>
      </c>
      <c r="G238" s="48" t="s">
        <v>1253</v>
      </c>
      <c r="H238" s="235" t="s">
        <v>981</v>
      </c>
      <c r="I238" s="102">
        <v>1823.76</v>
      </c>
      <c r="J238" s="102">
        <v>1821.35</v>
      </c>
      <c r="K238" s="102">
        <v>1818.94</v>
      </c>
      <c r="L238" s="101">
        <f t="shared" si="236"/>
        <v>1816.5450000000001</v>
      </c>
      <c r="M238" s="101">
        <f t="shared" si="237"/>
        <v>1814.15</v>
      </c>
      <c r="N238" s="101">
        <f t="shared" si="238"/>
        <v>1811.7550000000001</v>
      </c>
      <c r="O238" s="102">
        <v>1809.36</v>
      </c>
      <c r="P238" s="94">
        <v>0</v>
      </c>
      <c r="Q238" s="102">
        <v>18.260000000000002</v>
      </c>
      <c r="R238" s="102">
        <v>18.260000000000002</v>
      </c>
      <c r="S238" s="102">
        <v>18.260000000000002</v>
      </c>
      <c r="T238" s="102">
        <v>18.260000000000002</v>
      </c>
      <c r="U238" s="102">
        <v>18.260000000000002</v>
      </c>
      <c r="V238" s="102">
        <v>18.260000000000002</v>
      </c>
      <c r="W238" s="102">
        <v>18.260000000000002</v>
      </c>
      <c r="X238" s="102">
        <v>0.73</v>
      </c>
      <c r="Y238" s="102">
        <v>0.73</v>
      </c>
      <c r="Z238" s="102">
        <v>0.73</v>
      </c>
      <c r="AA238" s="102">
        <v>0.73</v>
      </c>
      <c r="AB238" s="102">
        <v>0.73</v>
      </c>
      <c r="AC238" s="102">
        <v>0.73</v>
      </c>
      <c r="AD238" s="102">
        <v>0.73</v>
      </c>
      <c r="AE238" s="186">
        <v>0.08</v>
      </c>
      <c r="AF238" s="94">
        <v>0</v>
      </c>
      <c r="AG238" s="94">
        <v>30</v>
      </c>
      <c r="AH238" s="94">
        <v>30</v>
      </c>
      <c r="AI238" s="17">
        <v>29</v>
      </c>
      <c r="AJ238" s="17" t="s">
        <v>1241</v>
      </c>
      <c r="AK238" s="17" t="s">
        <v>745</v>
      </c>
      <c r="AL238" s="17">
        <v>0.5</v>
      </c>
      <c r="AM238" s="61"/>
      <c r="AN238" s="61"/>
      <c r="AO238" s="61"/>
      <c r="AP238" s="61"/>
      <c r="AQ238" s="61"/>
      <c r="AR238" s="61"/>
      <c r="AS238" s="64"/>
      <c r="AT238" s="64"/>
      <c r="AU238" s="64"/>
      <c r="AV238" s="132"/>
      <c r="AW238" s="132"/>
      <c r="AX238" s="132"/>
      <c r="AY238" s="28" t="s">
        <v>662</v>
      </c>
      <c r="AZ238" s="28"/>
      <c r="BA238" s="28"/>
      <c r="BB238" s="28"/>
      <c r="BC238" s="28"/>
      <c r="BD238" s="28"/>
      <c r="BE238" s="28"/>
      <c r="BF238" s="28"/>
      <c r="BG238" s="28"/>
      <c r="BH238" s="106"/>
      <c r="BI238" s="106"/>
      <c r="BJ238" s="106"/>
      <c r="BK238" s="106"/>
      <c r="BL238" s="137"/>
      <c r="BM238" s="123"/>
      <c r="BN238" s="196">
        <v>0</v>
      </c>
      <c r="BO238" s="186">
        <v>0</v>
      </c>
      <c r="BP238" s="94"/>
      <c r="BQ238" s="94"/>
      <c r="BR238" s="94"/>
      <c r="BS238" s="94"/>
      <c r="BT238" s="94"/>
      <c r="BU238" s="28">
        <f t="shared" ref="BU238:BU291" si="242">IF(BL238=1,BN238,0)</f>
        <v>0</v>
      </c>
      <c r="BV238" s="28"/>
      <c r="BW238" s="28"/>
      <c r="BX238" s="28"/>
      <c r="BY238" s="28"/>
      <c r="BZ238" s="28"/>
      <c r="CA238" s="28"/>
      <c r="CB238" s="99">
        <v>1.895</v>
      </c>
      <c r="CC238" s="99">
        <f t="shared" si="239"/>
        <v>0.95</v>
      </c>
      <c r="CD238" s="99"/>
      <c r="CE238" s="99">
        <v>0</v>
      </c>
      <c r="CF238" s="99">
        <v>0</v>
      </c>
      <c r="CG238" s="99">
        <v>0</v>
      </c>
      <c r="CH238" s="99">
        <v>0</v>
      </c>
      <c r="CI238" s="175"/>
      <c r="CJ238" s="175"/>
      <c r="CK238" s="175"/>
      <c r="CL238" s="175"/>
      <c r="CM238" s="175"/>
      <c r="CN238" s="175"/>
      <c r="CO238" s="175"/>
      <c r="CP238" s="176"/>
      <c r="CQ238" s="176"/>
      <c r="CR238" s="176"/>
      <c r="CS238" s="176"/>
      <c r="CT238" s="176"/>
      <c r="CU238" s="176"/>
      <c r="CV238" s="176"/>
      <c r="CW238" s="167"/>
      <c r="CX238" s="168"/>
      <c r="CY238" s="168">
        <v>1</v>
      </c>
      <c r="CZ238" s="168">
        <v>1</v>
      </c>
      <c r="DA238" s="168">
        <v>1</v>
      </c>
      <c r="DB238" s="168">
        <v>1</v>
      </c>
      <c r="DC238" s="168">
        <v>1</v>
      </c>
      <c r="DD238" s="172"/>
      <c r="DE238" s="172"/>
      <c r="DF238" s="172"/>
      <c r="DG238" s="172"/>
      <c r="DH238" s="172"/>
      <c r="DI238" s="172"/>
      <c r="DJ238" s="172"/>
      <c r="DK238" s="80" t="s">
        <v>415</v>
      </c>
      <c r="DL238" s="129"/>
      <c r="DM238" s="129"/>
      <c r="DN238" s="129"/>
      <c r="DO238" s="129"/>
      <c r="DP238" s="129"/>
      <c r="DQ238" s="129"/>
      <c r="DR238" s="129"/>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6" t="s">
        <v>1254</v>
      </c>
      <c r="B239" s="5" t="s">
        <v>1243</v>
      </c>
      <c r="C239" s="5" t="s">
        <v>788</v>
      </c>
      <c r="D239" s="5" t="s">
        <v>1247</v>
      </c>
      <c r="E239" s="5" t="s">
        <v>1248</v>
      </c>
      <c r="F239" s="5" t="s">
        <v>455</v>
      </c>
      <c r="G239" s="47" t="s">
        <v>1255</v>
      </c>
      <c r="H239" s="237" t="s">
        <v>981</v>
      </c>
      <c r="I239" s="101">
        <v>1823.76</v>
      </c>
      <c r="J239" s="101">
        <v>1821.35</v>
      </c>
      <c r="K239" s="101">
        <v>1818.94</v>
      </c>
      <c r="L239" s="101">
        <f t="shared" si="236"/>
        <v>1816.5450000000001</v>
      </c>
      <c r="M239" s="101">
        <f t="shared" si="237"/>
        <v>1814.15</v>
      </c>
      <c r="N239" s="101">
        <f t="shared" si="238"/>
        <v>1811.7550000000001</v>
      </c>
      <c r="O239" s="101">
        <v>1809.36</v>
      </c>
      <c r="P239" s="93">
        <v>0</v>
      </c>
      <c r="Q239" s="101">
        <v>18.260000000000002</v>
      </c>
      <c r="R239" s="101">
        <v>18.260000000000002</v>
      </c>
      <c r="S239" s="101">
        <v>18.260000000000002</v>
      </c>
      <c r="T239" s="101">
        <v>18.260000000000002</v>
      </c>
      <c r="U239" s="101">
        <v>18.260000000000002</v>
      </c>
      <c r="V239" s="101">
        <v>18.260000000000002</v>
      </c>
      <c r="W239" s="101">
        <v>18.260000000000002</v>
      </c>
      <c r="X239" s="101">
        <v>0.63</v>
      </c>
      <c r="Y239" s="101">
        <v>0.63</v>
      </c>
      <c r="Z239" s="101">
        <v>0.63</v>
      </c>
      <c r="AA239" s="101">
        <v>0.63</v>
      </c>
      <c r="AB239" s="101">
        <v>0.63</v>
      </c>
      <c r="AC239" s="101">
        <v>0.63</v>
      </c>
      <c r="AD239" s="101">
        <v>0.63</v>
      </c>
      <c r="AE239" s="186">
        <v>0.08</v>
      </c>
      <c r="AF239" s="93">
        <v>0</v>
      </c>
      <c r="AG239" s="93">
        <v>30</v>
      </c>
      <c r="AH239" s="93">
        <v>30</v>
      </c>
      <c r="AI239" s="16">
        <v>29</v>
      </c>
      <c r="AJ239" s="16" t="s">
        <v>1241</v>
      </c>
      <c r="AK239" s="16" t="s">
        <v>745</v>
      </c>
      <c r="AL239" s="16">
        <v>0.5</v>
      </c>
      <c r="AM239" s="60"/>
      <c r="AN239" s="60"/>
      <c r="AO239" s="60"/>
      <c r="AP239" s="60"/>
      <c r="AQ239" s="60"/>
      <c r="AR239" s="60"/>
      <c r="AS239" s="63"/>
      <c r="AT239" s="63"/>
      <c r="AU239" s="63"/>
      <c r="AV239" s="131"/>
      <c r="AW239" s="131"/>
      <c r="AX239" s="131"/>
      <c r="AY239" s="27" t="s">
        <v>662</v>
      </c>
      <c r="AZ239" s="27"/>
      <c r="BA239" s="27"/>
      <c r="BB239" s="30"/>
      <c r="BC239" s="30"/>
      <c r="BD239" s="30"/>
      <c r="BE239" s="30"/>
      <c r="BF239" s="30"/>
      <c r="BG239" s="30"/>
      <c r="BH239" s="107"/>
      <c r="BI239" s="107"/>
      <c r="BJ239" s="107"/>
      <c r="BK239" s="107"/>
      <c r="BL239" s="136">
        <v>1</v>
      </c>
      <c r="BM239" s="122"/>
      <c r="BN239" s="196">
        <v>3.9</v>
      </c>
      <c r="BO239" s="186">
        <v>3.9</v>
      </c>
      <c r="BP239" s="93"/>
      <c r="BQ239" s="93"/>
      <c r="BR239" s="93"/>
      <c r="BS239" s="93"/>
      <c r="BT239" s="93"/>
      <c r="BU239" s="27">
        <f t="shared" si="242"/>
        <v>3.9</v>
      </c>
      <c r="BV239" s="27"/>
      <c r="BW239" s="27"/>
      <c r="BX239" s="27"/>
      <c r="BY239" s="27"/>
      <c r="BZ239" s="27"/>
      <c r="CA239" s="27"/>
      <c r="CB239" s="97">
        <f>BN239</f>
        <v>3.9</v>
      </c>
      <c r="CC239" s="97">
        <f t="shared" si="239"/>
        <v>1.95</v>
      </c>
      <c r="CD239" s="97"/>
      <c r="CE239" s="97">
        <v>0</v>
      </c>
      <c r="CF239" s="97">
        <v>0</v>
      </c>
      <c r="CG239" s="97">
        <v>0</v>
      </c>
      <c r="CH239" s="97">
        <v>0</v>
      </c>
      <c r="CI239" s="173"/>
      <c r="CJ239" s="173"/>
      <c r="CK239" s="173"/>
      <c r="CL239" s="173"/>
      <c r="CM239" s="173"/>
      <c r="CN239" s="173"/>
      <c r="CO239" s="173"/>
      <c r="CP239" s="174"/>
      <c r="CQ239" s="174"/>
      <c r="CR239" s="174"/>
      <c r="CS239" s="174"/>
      <c r="CT239" s="174"/>
      <c r="CU239" s="174"/>
      <c r="CV239" s="174"/>
      <c r="CW239" s="165"/>
      <c r="CX239" s="166"/>
      <c r="CY239" s="166">
        <v>1</v>
      </c>
      <c r="CZ239" s="166">
        <v>1</v>
      </c>
      <c r="DA239" s="166">
        <v>1</v>
      </c>
      <c r="DB239" s="166">
        <v>1</v>
      </c>
      <c r="DC239" s="166">
        <v>1</v>
      </c>
      <c r="DD239" s="171"/>
      <c r="DE239" s="171"/>
      <c r="DF239" s="171"/>
      <c r="DG239" s="171"/>
      <c r="DH239" s="171"/>
      <c r="DI239" s="171"/>
      <c r="DJ239" s="171"/>
      <c r="DK239" s="79" t="s">
        <v>415</v>
      </c>
      <c r="DL239" s="128"/>
      <c r="DM239" s="128"/>
      <c r="DN239" s="128"/>
      <c r="DO239" s="128"/>
      <c r="DP239" s="128"/>
      <c r="DQ239" s="128"/>
      <c r="DR239" s="128"/>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4" t="s">
        <v>1256</v>
      </c>
      <c r="B240" s="6" t="s">
        <v>1243</v>
      </c>
      <c r="C240" s="6" t="s">
        <v>788</v>
      </c>
      <c r="D240" s="6" t="s">
        <v>1247</v>
      </c>
      <c r="E240" s="6" t="s">
        <v>1248</v>
      </c>
      <c r="F240" s="6" t="s">
        <v>455</v>
      </c>
      <c r="G240" s="48" t="s">
        <v>1257</v>
      </c>
      <c r="H240" s="235" t="s">
        <v>981</v>
      </c>
      <c r="I240" s="102">
        <v>2345.9899999999998</v>
      </c>
      <c r="J240" s="102">
        <v>2296.7399999999998</v>
      </c>
      <c r="K240" s="102">
        <v>2247.48</v>
      </c>
      <c r="L240" s="101">
        <f t="shared" si="236"/>
        <v>2210.0050000000001</v>
      </c>
      <c r="M240" s="101">
        <f t="shared" si="237"/>
        <v>2172.5299999999997</v>
      </c>
      <c r="N240" s="101">
        <f t="shared" si="238"/>
        <v>2135.0549999999998</v>
      </c>
      <c r="O240" s="102">
        <v>2097.58</v>
      </c>
      <c r="P240" s="94">
        <v>0</v>
      </c>
      <c r="Q240" s="102">
        <v>55.68</v>
      </c>
      <c r="R240" s="102">
        <v>55.68</v>
      </c>
      <c r="S240" s="102">
        <v>55.68</v>
      </c>
      <c r="T240" s="102">
        <v>55.68</v>
      </c>
      <c r="U240" s="102">
        <v>55.68</v>
      </c>
      <c r="V240" s="102">
        <v>55.68</v>
      </c>
      <c r="W240" s="102">
        <v>55.68</v>
      </c>
      <c r="X240" s="102">
        <v>1.77</v>
      </c>
      <c r="Y240" s="102">
        <v>1.77</v>
      </c>
      <c r="Z240" s="102">
        <v>1.77</v>
      </c>
      <c r="AA240" s="102">
        <v>1.77</v>
      </c>
      <c r="AB240" s="102">
        <v>1.77</v>
      </c>
      <c r="AC240" s="102">
        <v>1.77</v>
      </c>
      <c r="AD240" s="102">
        <v>1.77</v>
      </c>
      <c r="AE240" s="186">
        <v>0.08</v>
      </c>
      <c r="AF240" s="94">
        <v>0</v>
      </c>
      <c r="AG240" s="94">
        <v>30</v>
      </c>
      <c r="AH240" s="94">
        <v>30</v>
      </c>
      <c r="AI240" s="17">
        <v>28</v>
      </c>
      <c r="AJ240" s="17" t="s">
        <v>1241</v>
      </c>
      <c r="AK240" s="17" t="s">
        <v>745</v>
      </c>
      <c r="AL240" s="17">
        <v>0.45</v>
      </c>
      <c r="AM240" s="61"/>
      <c r="AN240" s="61"/>
      <c r="AO240" s="61"/>
      <c r="AP240" s="61"/>
      <c r="AQ240" s="61"/>
      <c r="AR240" s="61"/>
      <c r="AS240" s="64"/>
      <c r="AT240" s="64"/>
      <c r="AU240" s="64"/>
      <c r="AV240" s="132"/>
      <c r="AW240" s="132"/>
      <c r="AX240" s="132"/>
      <c r="AY240" s="28" t="s">
        <v>662</v>
      </c>
      <c r="AZ240" s="28"/>
      <c r="BA240" s="28"/>
      <c r="BB240" s="28"/>
      <c r="BC240" s="28"/>
      <c r="BD240" s="28"/>
      <c r="BE240" s="28"/>
      <c r="BF240" s="28"/>
      <c r="BG240" s="28"/>
      <c r="BH240" s="106"/>
      <c r="BI240" s="106"/>
      <c r="BJ240" s="106"/>
      <c r="BK240" s="106"/>
      <c r="BL240" s="137"/>
      <c r="BM240" s="123"/>
      <c r="BN240" s="139">
        <v>0</v>
      </c>
      <c r="BO240" s="94"/>
      <c r="BP240" s="94"/>
      <c r="BQ240" s="94"/>
      <c r="BR240" s="94"/>
      <c r="BS240" s="94"/>
      <c r="BT240" s="94"/>
      <c r="BU240" s="28">
        <f t="shared" si="242"/>
        <v>0</v>
      </c>
      <c r="BV240" s="28"/>
      <c r="BW240" s="28"/>
      <c r="BX240" s="28"/>
      <c r="BY240" s="28"/>
      <c r="BZ240" s="28"/>
      <c r="CA240" s="28"/>
      <c r="CB240" s="99">
        <v>0</v>
      </c>
      <c r="CC240" s="99">
        <f t="shared" si="239"/>
        <v>0</v>
      </c>
      <c r="CD240" s="99"/>
      <c r="CE240" s="99">
        <v>0</v>
      </c>
      <c r="CF240" s="99">
        <v>0</v>
      </c>
      <c r="CG240" s="99">
        <v>0</v>
      </c>
      <c r="CH240" s="99">
        <v>0</v>
      </c>
      <c r="CI240" s="175"/>
      <c r="CJ240" s="175"/>
      <c r="CK240" s="175"/>
      <c r="CL240" s="175"/>
      <c r="CM240" s="175"/>
      <c r="CN240" s="175"/>
      <c r="CO240" s="175"/>
      <c r="CP240" s="176"/>
      <c r="CQ240" s="176"/>
      <c r="CR240" s="176"/>
      <c r="CS240" s="176"/>
      <c r="CT240" s="176"/>
      <c r="CU240" s="176"/>
      <c r="CV240" s="176"/>
      <c r="CW240" s="167"/>
      <c r="CX240" s="168"/>
      <c r="CY240" s="168">
        <v>1</v>
      </c>
      <c r="CZ240" s="168">
        <v>1</v>
      </c>
      <c r="DA240" s="168">
        <v>1</v>
      </c>
      <c r="DB240" s="168">
        <v>1</v>
      </c>
      <c r="DC240" s="168">
        <v>1</v>
      </c>
      <c r="DD240" s="172"/>
      <c r="DE240" s="172"/>
      <c r="DF240" s="172"/>
      <c r="DG240" s="172"/>
      <c r="DH240" s="172"/>
      <c r="DI240" s="172"/>
      <c r="DJ240" s="172"/>
      <c r="DK240" s="80" t="s">
        <v>415</v>
      </c>
      <c r="DL240" s="129"/>
      <c r="DM240" s="129"/>
      <c r="DN240" s="129"/>
      <c r="DO240" s="129"/>
      <c r="DP240" s="129"/>
      <c r="DQ240" s="129"/>
      <c r="DR240" s="129"/>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6" t="s">
        <v>1258</v>
      </c>
      <c r="B241" s="5" t="s">
        <v>1243</v>
      </c>
      <c r="C241" s="5" t="s">
        <v>788</v>
      </c>
      <c r="D241" s="5" t="s">
        <v>1247</v>
      </c>
      <c r="E241" s="5" t="s">
        <v>1248</v>
      </c>
      <c r="F241" s="5" t="s">
        <v>455</v>
      </c>
      <c r="G241" s="47" t="s">
        <v>1259</v>
      </c>
      <c r="H241" s="237" t="s">
        <v>981</v>
      </c>
      <c r="I241" s="101">
        <v>899.15</v>
      </c>
      <c r="J241" s="101">
        <v>897.97</v>
      </c>
      <c r="K241" s="101">
        <v>896.78</v>
      </c>
      <c r="L241" s="101">
        <f t="shared" si="236"/>
        <v>895.59749999999997</v>
      </c>
      <c r="M241" s="101">
        <f t="shared" si="237"/>
        <v>894.41499999999996</v>
      </c>
      <c r="N241" s="101">
        <f t="shared" si="238"/>
        <v>893.23249999999996</v>
      </c>
      <c r="O241" s="101">
        <v>892.05</v>
      </c>
      <c r="P241" s="93">
        <v>0</v>
      </c>
      <c r="Q241" s="101">
        <v>11.27</v>
      </c>
      <c r="R241" s="101">
        <v>11.27</v>
      </c>
      <c r="S241" s="101">
        <v>11.27</v>
      </c>
      <c r="T241" s="101">
        <v>11.27</v>
      </c>
      <c r="U241" s="101">
        <v>11.27</v>
      </c>
      <c r="V241" s="101">
        <v>11.27</v>
      </c>
      <c r="W241" s="101">
        <v>11.27</v>
      </c>
      <c r="X241" s="101">
        <v>0.45</v>
      </c>
      <c r="Y241" s="101">
        <v>0.45</v>
      </c>
      <c r="Z241" s="101">
        <v>0.45</v>
      </c>
      <c r="AA241" s="101">
        <v>0.45</v>
      </c>
      <c r="AB241" s="101">
        <v>0.45</v>
      </c>
      <c r="AC241" s="101">
        <v>0.45</v>
      </c>
      <c r="AD241" s="101">
        <v>0.45</v>
      </c>
      <c r="AE241" s="186">
        <v>0.08</v>
      </c>
      <c r="AF241" s="93">
        <v>0</v>
      </c>
      <c r="AG241" s="93">
        <v>25</v>
      </c>
      <c r="AH241" s="93">
        <v>25</v>
      </c>
      <c r="AI241" s="16">
        <v>29</v>
      </c>
      <c r="AJ241" s="16" t="s">
        <v>1241</v>
      </c>
      <c r="AK241" s="16" t="s">
        <v>745</v>
      </c>
      <c r="AL241" s="16">
        <v>0.8</v>
      </c>
      <c r="AM241" s="60"/>
      <c r="AN241" s="60"/>
      <c r="AO241" s="60"/>
      <c r="AP241" s="60"/>
      <c r="AQ241" s="60"/>
      <c r="AR241" s="60"/>
      <c r="AS241" s="63"/>
      <c r="AT241" s="63"/>
      <c r="AU241" s="63"/>
      <c r="AV241" s="131"/>
      <c r="AW241" s="131"/>
      <c r="AX241" s="131"/>
      <c r="AY241" s="27" t="s">
        <v>662</v>
      </c>
      <c r="AZ241" s="27"/>
      <c r="BA241" s="27"/>
      <c r="BB241" s="30"/>
      <c r="BC241" s="30"/>
      <c r="BD241" s="30"/>
      <c r="BE241" s="30"/>
      <c r="BF241" s="30"/>
      <c r="BG241" s="30"/>
      <c r="BH241" s="107"/>
      <c r="BI241" s="107"/>
      <c r="BJ241" s="107"/>
      <c r="BK241" s="107"/>
      <c r="BL241" s="136"/>
      <c r="BM241" s="122"/>
      <c r="BN241" s="138">
        <v>7.6</v>
      </c>
      <c r="BO241" s="93">
        <v>1.3</v>
      </c>
      <c r="BP241" s="93">
        <v>2.1</v>
      </c>
      <c r="BQ241" s="93">
        <v>2.1</v>
      </c>
      <c r="BR241" s="93">
        <v>2.1</v>
      </c>
      <c r="BS241" s="93"/>
      <c r="BT241" s="93"/>
      <c r="BU241" s="27">
        <f t="shared" si="242"/>
        <v>0</v>
      </c>
      <c r="BV241" s="27"/>
      <c r="BW241" s="27"/>
      <c r="BX241" s="27"/>
      <c r="BY241" s="27"/>
      <c r="BZ241" s="27"/>
      <c r="CA241" s="27"/>
      <c r="CB241" s="97">
        <v>8.23</v>
      </c>
      <c r="CC241" s="97">
        <f t="shared" si="239"/>
        <v>19.12</v>
      </c>
      <c r="CD241" s="97">
        <v>30</v>
      </c>
      <c r="CE241" s="97">
        <f t="shared" ref="CE241:CE260" si="243">ROUND((CD241+CF241)/2,2)</f>
        <v>30</v>
      </c>
      <c r="CF241" s="97">
        <f t="shared" ref="CF241:CF260" si="244">ROUND((CD241+CH241)/2,2)</f>
        <v>30</v>
      </c>
      <c r="CG241" s="97">
        <f t="shared" ref="CG241:CG260" si="245">ROUND((CF241+CH241)/2,2)</f>
        <v>30</v>
      </c>
      <c r="CH241" s="97">
        <v>30</v>
      </c>
      <c r="CI241" s="173"/>
      <c r="CJ241" s="173"/>
      <c r="CK241" s="173"/>
      <c r="CL241" s="173"/>
      <c r="CM241" s="173"/>
      <c r="CN241" s="173"/>
      <c r="CO241" s="173"/>
      <c r="CP241" s="174"/>
      <c r="CQ241" s="174"/>
      <c r="CR241" s="174"/>
      <c r="CS241" s="174"/>
      <c r="CT241" s="174"/>
      <c r="CU241" s="174"/>
      <c r="CV241" s="174"/>
      <c r="CW241" s="165"/>
      <c r="CX241" s="166"/>
      <c r="CY241" s="166"/>
      <c r="CZ241" s="166"/>
      <c r="DA241" s="166"/>
      <c r="DB241" s="166"/>
      <c r="DC241" s="166"/>
      <c r="DD241" s="171"/>
      <c r="DE241" s="171"/>
      <c r="DF241" s="171"/>
      <c r="DG241" s="171"/>
      <c r="DH241" s="171"/>
      <c r="DI241" s="171"/>
      <c r="DJ241" s="171"/>
      <c r="DK241" s="79" t="s">
        <v>415</v>
      </c>
      <c r="DL241" s="128"/>
      <c r="DM241" s="128"/>
      <c r="DN241" s="128"/>
      <c r="DO241" s="128"/>
      <c r="DP241" s="128"/>
      <c r="DQ241" s="128"/>
      <c r="DR241" s="128"/>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4" t="s">
        <v>1260</v>
      </c>
      <c r="B242" s="6" t="s">
        <v>1243</v>
      </c>
      <c r="C242" s="6" t="s">
        <v>788</v>
      </c>
      <c r="D242" s="6" t="s">
        <v>1247</v>
      </c>
      <c r="E242" s="6" t="s">
        <v>1248</v>
      </c>
      <c r="F242" s="6" t="s">
        <v>455</v>
      </c>
      <c r="G242" s="48" t="s">
        <v>1261</v>
      </c>
      <c r="H242" s="235" t="s">
        <v>981</v>
      </c>
      <c r="I242" s="102">
        <v>1400</v>
      </c>
      <c r="J242" s="102">
        <f>(K242+I242)/2</f>
        <v>1395</v>
      </c>
      <c r="K242" s="102">
        <v>1390</v>
      </c>
      <c r="L242" s="102">
        <f t="shared" si="236"/>
        <v>1362.5</v>
      </c>
      <c r="M242" s="102">
        <f t="shared" si="237"/>
        <v>1335</v>
      </c>
      <c r="N242" s="102">
        <f t="shared" si="238"/>
        <v>1307.5</v>
      </c>
      <c r="O242" s="102">
        <v>1280</v>
      </c>
      <c r="P242" s="94">
        <v>0</v>
      </c>
      <c r="Q242" s="102">
        <v>30.43</v>
      </c>
      <c r="R242" s="102">
        <v>30.43</v>
      </c>
      <c r="S242" s="102">
        <v>30.43</v>
      </c>
      <c r="T242" s="102">
        <v>30.43</v>
      </c>
      <c r="U242" s="102">
        <v>30.43</v>
      </c>
      <c r="V242" s="102">
        <v>30.43</v>
      </c>
      <c r="W242" s="102">
        <v>30.43</v>
      </c>
      <c r="X242" s="102">
        <v>1.2</v>
      </c>
      <c r="Y242" s="102">
        <v>1.2</v>
      </c>
      <c r="Z242" s="102">
        <v>1.2</v>
      </c>
      <c r="AA242" s="102">
        <v>1.2</v>
      </c>
      <c r="AB242" s="102">
        <v>1.2</v>
      </c>
      <c r="AC242" s="102">
        <v>1.2</v>
      </c>
      <c r="AD242" s="102">
        <v>1.2</v>
      </c>
      <c r="AE242" s="186">
        <v>0.08</v>
      </c>
      <c r="AF242" s="94">
        <v>0</v>
      </c>
      <c r="AG242" s="94">
        <v>25</v>
      </c>
      <c r="AH242" s="94">
        <v>25</v>
      </c>
      <c r="AI242" s="17">
        <v>28</v>
      </c>
      <c r="AJ242" s="17" t="s">
        <v>1241</v>
      </c>
      <c r="AK242" s="17" t="s">
        <v>745</v>
      </c>
      <c r="AL242" s="17">
        <v>0.7</v>
      </c>
      <c r="AM242" s="61"/>
      <c r="AN242" s="61"/>
      <c r="AO242" s="61"/>
      <c r="AP242" s="61"/>
      <c r="AQ242" s="61"/>
      <c r="AR242" s="61"/>
      <c r="AS242" s="64"/>
      <c r="AT242" s="64"/>
      <c r="AU242" s="64"/>
      <c r="AV242" s="132"/>
      <c r="AW242" s="132"/>
      <c r="AX242" s="132"/>
      <c r="AY242" s="28" t="s">
        <v>662</v>
      </c>
      <c r="AZ242" s="28"/>
      <c r="BA242" s="28"/>
      <c r="BB242" s="28"/>
      <c r="BC242" s="28"/>
      <c r="BD242" s="28"/>
      <c r="BE242" s="28"/>
      <c r="BF242" s="28"/>
      <c r="BG242" s="28"/>
      <c r="BH242" s="106"/>
      <c r="BI242" s="106"/>
      <c r="BJ242" s="106"/>
      <c r="BK242" s="106"/>
      <c r="BL242" s="137"/>
      <c r="BM242" s="123"/>
      <c r="BN242" s="139">
        <v>0</v>
      </c>
      <c r="BO242" s="94"/>
      <c r="BP242" s="94"/>
      <c r="BQ242" s="94"/>
      <c r="BR242" s="94"/>
      <c r="BS242" s="94"/>
      <c r="BT242" s="94"/>
      <c r="BU242" s="28">
        <f t="shared" si="242"/>
        <v>0</v>
      </c>
      <c r="BV242" s="28"/>
      <c r="BW242" s="28"/>
      <c r="BX242" s="28"/>
      <c r="BY242" s="28"/>
      <c r="BZ242" s="28"/>
      <c r="CA242" s="28"/>
      <c r="CB242" s="99">
        <v>0</v>
      </c>
      <c r="CC242" s="99">
        <f t="shared" si="239"/>
        <v>15</v>
      </c>
      <c r="CD242" s="99">
        <v>30</v>
      </c>
      <c r="CE242" s="99">
        <f t="shared" si="243"/>
        <v>30</v>
      </c>
      <c r="CF242" s="99">
        <f t="shared" si="244"/>
        <v>30</v>
      </c>
      <c r="CG242" s="99">
        <f t="shared" si="245"/>
        <v>30</v>
      </c>
      <c r="CH242" s="99">
        <v>30</v>
      </c>
      <c r="CI242" s="175"/>
      <c r="CJ242" s="175"/>
      <c r="CK242" s="175"/>
      <c r="CL242" s="175"/>
      <c r="CM242" s="175"/>
      <c r="CN242" s="175"/>
      <c r="CO242" s="175"/>
      <c r="CP242" s="176"/>
      <c r="CQ242" s="176"/>
      <c r="CR242" s="176"/>
      <c r="CS242" s="176"/>
      <c r="CT242" s="176"/>
      <c r="CU242" s="176"/>
      <c r="CV242" s="176"/>
      <c r="CW242" s="167"/>
      <c r="CX242" s="168"/>
      <c r="CY242" s="168"/>
      <c r="CZ242" s="168"/>
      <c r="DA242" s="168"/>
      <c r="DB242" s="168"/>
      <c r="DC242" s="168"/>
      <c r="DD242" s="172"/>
      <c r="DE242" s="172"/>
      <c r="DF242" s="172"/>
      <c r="DG242" s="172"/>
      <c r="DH242" s="172"/>
      <c r="DI242" s="172"/>
      <c r="DJ242" s="172"/>
      <c r="DK242" s="80" t="s">
        <v>415</v>
      </c>
      <c r="DL242" s="129"/>
      <c r="DM242" s="129"/>
      <c r="DN242" s="129"/>
      <c r="DO242" s="129"/>
      <c r="DP242" s="129"/>
      <c r="DQ242" s="129"/>
      <c r="DR242" s="129"/>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6" t="s">
        <v>1262</v>
      </c>
      <c r="B243" s="5" t="s">
        <v>1243</v>
      </c>
      <c r="C243" s="5" t="s">
        <v>788</v>
      </c>
      <c r="D243" s="5" t="s">
        <v>1247</v>
      </c>
      <c r="E243" s="5" t="s">
        <v>1248</v>
      </c>
      <c r="F243" s="5" t="s">
        <v>455</v>
      </c>
      <c r="G243" s="47" t="s">
        <v>1263</v>
      </c>
      <c r="H243" s="237" t="s">
        <v>981</v>
      </c>
      <c r="I243" s="101">
        <v>899.15</v>
      </c>
      <c r="J243" s="101">
        <v>897.97</v>
      </c>
      <c r="K243" s="101">
        <v>896.78</v>
      </c>
      <c r="L243" s="101">
        <f t="shared" si="236"/>
        <v>895.59749999999997</v>
      </c>
      <c r="M243" s="101">
        <f t="shared" si="237"/>
        <v>894.41499999999996</v>
      </c>
      <c r="N243" s="101">
        <f t="shared" si="238"/>
        <v>893.23249999999996</v>
      </c>
      <c r="O243" s="101">
        <v>892.05</v>
      </c>
      <c r="P243" s="93">
        <v>0</v>
      </c>
      <c r="Q243" s="101">
        <v>11.27</v>
      </c>
      <c r="R243" s="101">
        <v>11.27</v>
      </c>
      <c r="S243" s="101">
        <v>11.27</v>
      </c>
      <c r="T243" s="101">
        <v>11.27</v>
      </c>
      <c r="U243" s="101">
        <v>11.27</v>
      </c>
      <c r="V243" s="101">
        <v>11.27</v>
      </c>
      <c r="W243" s="101">
        <v>11.27</v>
      </c>
      <c r="X243" s="101">
        <v>0.45</v>
      </c>
      <c r="Y243" s="101">
        <v>0.45</v>
      </c>
      <c r="Z243" s="101">
        <v>0.45</v>
      </c>
      <c r="AA243" s="101">
        <v>0.45</v>
      </c>
      <c r="AB243" s="101">
        <v>0.45</v>
      </c>
      <c r="AC243" s="101">
        <v>0.45</v>
      </c>
      <c r="AD243" s="101">
        <v>0.45</v>
      </c>
      <c r="AE243" s="186">
        <v>0.08</v>
      </c>
      <c r="AF243" s="93">
        <v>0</v>
      </c>
      <c r="AG243" s="93">
        <v>25</v>
      </c>
      <c r="AH243" s="93">
        <v>25</v>
      </c>
      <c r="AI243" s="16">
        <v>29</v>
      </c>
      <c r="AJ243" s="16" t="s">
        <v>1241</v>
      </c>
      <c r="AK243" s="16" t="s">
        <v>745</v>
      </c>
      <c r="AL243" s="16">
        <v>0.8</v>
      </c>
      <c r="AM243" s="60"/>
      <c r="AN243" s="60"/>
      <c r="AO243" s="60"/>
      <c r="AP243" s="60"/>
      <c r="AQ243" s="60"/>
      <c r="AR243" s="60"/>
      <c r="AS243" s="63"/>
      <c r="AT243" s="63"/>
      <c r="AU243" s="63"/>
      <c r="AV243" s="131"/>
      <c r="AW243" s="131"/>
      <c r="AX243" s="131"/>
      <c r="AY243" s="27" t="s">
        <v>662</v>
      </c>
      <c r="AZ243" s="27"/>
      <c r="BA243" s="27"/>
      <c r="BB243" s="30"/>
      <c r="BC243" s="30"/>
      <c r="BD243" s="30"/>
      <c r="BE243" s="30"/>
      <c r="BF243" s="30"/>
      <c r="BG243" s="30"/>
      <c r="BH243" s="107"/>
      <c r="BI243" s="107"/>
      <c r="BJ243" s="107"/>
      <c r="BK243" s="107"/>
      <c r="BL243" s="136"/>
      <c r="BM243" s="122"/>
      <c r="BN243" s="138">
        <v>0.84</v>
      </c>
      <c r="BO243" s="93"/>
      <c r="BP243" s="93">
        <v>0.42</v>
      </c>
      <c r="BQ243" s="93"/>
      <c r="BR243" s="93">
        <v>0.42</v>
      </c>
      <c r="BS243" s="93"/>
      <c r="BT243" s="93"/>
      <c r="BU243" s="27">
        <f t="shared" si="242"/>
        <v>0</v>
      </c>
      <c r="BV243" s="27"/>
      <c r="BW243" s="27"/>
      <c r="BX243" s="27"/>
      <c r="BY243" s="27"/>
      <c r="BZ243" s="27"/>
      <c r="CA243" s="27"/>
      <c r="CB243" s="97">
        <v>0.84</v>
      </c>
      <c r="CC243" s="97">
        <f t="shared" si="239"/>
        <v>2.92</v>
      </c>
      <c r="CD243" s="97">
        <v>5</v>
      </c>
      <c r="CE243" s="97">
        <f t="shared" si="243"/>
        <v>5</v>
      </c>
      <c r="CF243" s="97">
        <f t="shared" si="244"/>
        <v>5</v>
      </c>
      <c r="CG243" s="97">
        <f t="shared" si="245"/>
        <v>5</v>
      </c>
      <c r="CH243" s="97">
        <v>5</v>
      </c>
      <c r="CI243" s="173"/>
      <c r="CJ243" s="173"/>
      <c r="CK243" s="173"/>
      <c r="CL243" s="173"/>
      <c r="CM243" s="173"/>
      <c r="CN243" s="173"/>
      <c r="CO243" s="173"/>
      <c r="CP243" s="174"/>
      <c r="CQ243" s="174"/>
      <c r="CR243" s="174"/>
      <c r="CS243" s="174"/>
      <c r="CT243" s="174"/>
      <c r="CU243" s="174"/>
      <c r="CV243" s="174"/>
      <c r="CW243" s="165"/>
      <c r="CX243" s="166"/>
      <c r="CY243" s="166"/>
      <c r="CZ243" s="166"/>
      <c r="DA243" s="166"/>
      <c r="DB243" s="166"/>
      <c r="DC243" s="166"/>
      <c r="DD243" s="171"/>
      <c r="DE243" s="171"/>
      <c r="DF243" s="171"/>
      <c r="DG243" s="171"/>
      <c r="DH243" s="171"/>
      <c r="DI243" s="171"/>
      <c r="DJ243" s="171"/>
      <c r="DK243" s="79" t="s">
        <v>415</v>
      </c>
      <c r="DL243" s="128"/>
      <c r="DM243" s="128"/>
      <c r="DN243" s="128"/>
      <c r="DO243" s="128"/>
      <c r="DP243" s="128"/>
      <c r="DQ243" s="128"/>
      <c r="DR243" s="128"/>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4" t="s">
        <v>1264</v>
      </c>
      <c r="B244" s="6" t="s">
        <v>1243</v>
      </c>
      <c r="C244" s="6" t="s">
        <v>788</v>
      </c>
      <c r="D244" s="6" t="s">
        <v>1247</v>
      </c>
      <c r="E244" s="6" t="s">
        <v>1248</v>
      </c>
      <c r="F244" s="6" t="s">
        <v>455</v>
      </c>
      <c r="G244" s="48" t="s">
        <v>1265</v>
      </c>
      <c r="H244" s="235" t="s">
        <v>981</v>
      </c>
      <c r="I244" s="102">
        <v>561.97</v>
      </c>
      <c r="J244" s="102">
        <v>561.23</v>
      </c>
      <c r="K244" s="102">
        <v>560.49</v>
      </c>
      <c r="L244" s="101">
        <f t="shared" si="236"/>
        <v>559.75</v>
      </c>
      <c r="M244" s="101">
        <f t="shared" si="237"/>
        <v>559.01</v>
      </c>
      <c r="N244" s="101">
        <f t="shared" si="238"/>
        <v>558.27</v>
      </c>
      <c r="O244" s="102">
        <v>557.53</v>
      </c>
      <c r="P244" s="94">
        <v>0</v>
      </c>
      <c r="Q244" s="102">
        <v>7.05</v>
      </c>
      <c r="R244" s="102">
        <v>7.05</v>
      </c>
      <c r="S244" s="102">
        <v>7.05</v>
      </c>
      <c r="T244" s="102">
        <v>7.05</v>
      </c>
      <c r="U244" s="102">
        <v>7.05</v>
      </c>
      <c r="V244" s="102">
        <v>7.05</v>
      </c>
      <c r="W244" s="102">
        <v>7.05</v>
      </c>
      <c r="X244" s="102">
        <v>0.28000000000000003</v>
      </c>
      <c r="Y244" s="102">
        <v>0.28000000000000003</v>
      </c>
      <c r="Z244" s="102">
        <v>0.28000000000000003</v>
      </c>
      <c r="AA244" s="102">
        <v>0.28000000000000003</v>
      </c>
      <c r="AB244" s="102">
        <v>0.28000000000000003</v>
      </c>
      <c r="AC244" s="102">
        <v>0.28000000000000003</v>
      </c>
      <c r="AD244" s="102">
        <v>0.28000000000000003</v>
      </c>
      <c r="AE244" s="186">
        <v>0.08</v>
      </c>
      <c r="AF244" s="94">
        <v>0</v>
      </c>
      <c r="AG244" s="94">
        <v>20</v>
      </c>
      <c r="AH244" s="94">
        <v>20</v>
      </c>
      <c r="AI244" s="17">
        <v>29</v>
      </c>
      <c r="AJ244" s="17" t="s">
        <v>1241</v>
      </c>
      <c r="AK244" s="17" t="s">
        <v>745</v>
      </c>
      <c r="AL244" s="17"/>
      <c r="AM244" s="61"/>
      <c r="AN244" s="61"/>
      <c r="AO244" s="61"/>
      <c r="AP244" s="61"/>
      <c r="AQ244" s="61"/>
      <c r="AR244" s="61"/>
      <c r="AS244" s="64"/>
      <c r="AT244" s="64"/>
      <c r="AU244" s="64"/>
      <c r="AV244" s="132"/>
      <c r="AW244" s="132"/>
      <c r="AX244" s="132"/>
      <c r="AY244" s="28" t="s">
        <v>662</v>
      </c>
      <c r="AZ244" s="28"/>
      <c r="BA244" s="28"/>
      <c r="BB244" s="28"/>
      <c r="BC244" s="28"/>
      <c r="BD244" s="28"/>
      <c r="BE244" s="28"/>
      <c r="BF244" s="28"/>
      <c r="BG244" s="28"/>
      <c r="BH244" s="106"/>
      <c r="BI244" s="106"/>
      <c r="BJ244" s="106"/>
      <c r="BK244" s="106"/>
      <c r="BL244" s="137"/>
      <c r="BM244" s="123"/>
      <c r="BN244" s="139"/>
      <c r="BO244" s="94"/>
      <c r="BP244" s="94"/>
      <c r="BQ244" s="94"/>
      <c r="BR244" s="94"/>
      <c r="BS244" s="94"/>
      <c r="BT244" s="94"/>
      <c r="BU244" s="28">
        <f t="shared" si="242"/>
        <v>0</v>
      </c>
      <c r="BV244" s="28"/>
      <c r="BW244" s="28"/>
      <c r="BX244" s="28"/>
      <c r="BY244" s="28"/>
      <c r="BZ244" s="28"/>
      <c r="CA244" s="28"/>
      <c r="CB244" s="99"/>
      <c r="CC244" s="99">
        <f t="shared" si="239"/>
        <v>1</v>
      </c>
      <c r="CD244" s="99">
        <v>2</v>
      </c>
      <c r="CE244" s="99">
        <f t="shared" si="243"/>
        <v>2</v>
      </c>
      <c r="CF244" s="99">
        <f t="shared" si="244"/>
        <v>2</v>
      </c>
      <c r="CG244" s="99">
        <f t="shared" si="245"/>
        <v>2</v>
      </c>
      <c r="CH244" s="99">
        <v>2</v>
      </c>
      <c r="CI244" s="175"/>
      <c r="CJ244" s="175"/>
      <c r="CK244" s="175"/>
      <c r="CL244" s="175"/>
      <c r="CM244" s="175"/>
      <c r="CN244" s="175"/>
      <c r="CO244" s="175"/>
      <c r="CP244" s="176"/>
      <c r="CQ244" s="176"/>
      <c r="CR244" s="176"/>
      <c r="CS244" s="176"/>
      <c r="CT244" s="176"/>
      <c r="CU244" s="176"/>
      <c r="CV244" s="176"/>
      <c r="CW244" s="167"/>
      <c r="CX244" s="168"/>
      <c r="CY244" s="168"/>
      <c r="CZ244" s="168"/>
      <c r="DA244" s="168"/>
      <c r="DB244" s="168"/>
      <c r="DC244" s="168"/>
      <c r="DD244" s="172"/>
      <c r="DE244" s="172"/>
      <c r="DF244" s="172"/>
      <c r="DG244" s="172"/>
      <c r="DH244" s="172"/>
      <c r="DI244" s="172"/>
      <c r="DJ244" s="172"/>
      <c r="DK244" s="80" t="s">
        <v>415</v>
      </c>
      <c r="DL244" s="129"/>
      <c r="DM244" s="129"/>
      <c r="DN244" s="129"/>
      <c r="DO244" s="129"/>
      <c r="DP244" s="129"/>
      <c r="DQ244" s="129"/>
      <c r="DR244" s="129"/>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6" t="s">
        <v>1266</v>
      </c>
      <c r="B245" s="5" t="s">
        <v>1243</v>
      </c>
      <c r="C245" s="5" t="s">
        <v>788</v>
      </c>
      <c r="D245" s="5" t="s">
        <v>1247</v>
      </c>
      <c r="E245" s="5" t="s">
        <v>1248</v>
      </c>
      <c r="F245" s="5" t="s">
        <v>455</v>
      </c>
      <c r="G245" s="47" t="s">
        <v>1267</v>
      </c>
      <c r="H245" s="237" t="s">
        <v>981</v>
      </c>
      <c r="I245" s="101">
        <v>2200</v>
      </c>
      <c r="J245" s="101">
        <v>2200</v>
      </c>
      <c r="K245" s="101">
        <v>2000</v>
      </c>
      <c r="L245" s="101">
        <f t="shared" si="236"/>
        <v>1800</v>
      </c>
      <c r="M245" s="101">
        <f t="shared" si="237"/>
        <v>1600</v>
      </c>
      <c r="N245" s="101">
        <f t="shared" si="238"/>
        <v>1400</v>
      </c>
      <c r="O245" s="101">
        <v>1200</v>
      </c>
      <c r="P245" s="93">
        <v>0</v>
      </c>
      <c r="Q245" s="101">
        <v>25</v>
      </c>
      <c r="R245" s="101">
        <v>25</v>
      </c>
      <c r="S245" s="101">
        <v>25</v>
      </c>
      <c r="T245" s="101">
        <v>25</v>
      </c>
      <c r="U245" s="101">
        <v>25</v>
      </c>
      <c r="V245" s="101">
        <v>25</v>
      </c>
      <c r="W245" s="101">
        <v>25</v>
      </c>
      <c r="X245" s="101">
        <v>0.12</v>
      </c>
      <c r="Y245" s="101">
        <v>0.12</v>
      </c>
      <c r="Z245" s="101">
        <v>0.12</v>
      </c>
      <c r="AA245" s="101">
        <v>0.12</v>
      </c>
      <c r="AB245" s="101">
        <v>0.12</v>
      </c>
      <c r="AC245" s="101">
        <v>0.12</v>
      </c>
      <c r="AD245" s="101">
        <v>0.12</v>
      </c>
      <c r="AE245" s="186">
        <v>0.08</v>
      </c>
      <c r="AF245" s="93">
        <v>0</v>
      </c>
      <c r="AG245" s="93">
        <v>20</v>
      </c>
      <c r="AH245" s="93">
        <v>20</v>
      </c>
      <c r="AI245" s="16">
        <v>29</v>
      </c>
      <c r="AJ245" s="16" t="s">
        <v>1241</v>
      </c>
      <c r="AK245" s="16" t="s">
        <v>745</v>
      </c>
      <c r="AL245" s="16"/>
      <c r="AM245" s="60"/>
      <c r="AN245" s="60"/>
      <c r="AO245" s="60"/>
      <c r="AP245" s="60"/>
      <c r="AQ245" s="60"/>
      <c r="AR245" s="60"/>
      <c r="AS245" s="63"/>
      <c r="AT245" s="63"/>
      <c r="AU245" s="63"/>
      <c r="AV245" s="131"/>
      <c r="AW245" s="131"/>
      <c r="AX245" s="131"/>
      <c r="AY245" s="27" t="s">
        <v>662</v>
      </c>
      <c r="AZ245" s="27"/>
      <c r="BA245" s="27"/>
      <c r="BB245" s="30"/>
      <c r="BC245" s="30"/>
      <c r="BD245" s="30"/>
      <c r="BE245" s="30"/>
      <c r="BF245" s="30"/>
      <c r="BG245" s="30"/>
      <c r="BH245" s="107"/>
      <c r="BI245" s="107"/>
      <c r="BJ245" s="107"/>
      <c r="BK245" s="107"/>
      <c r="BL245" s="136"/>
      <c r="BM245" s="122"/>
      <c r="BN245" s="138">
        <v>0</v>
      </c>
      <c r="BO245" s="93"/>
      <c r="BP245" s="93"/>
      <c r="BQ245" s="93"/>
      <c r="BR245" s="93"/>
      <c r="BS245" s="93"/>
      <c r="BT245" s="93"/>
      <c r="BU245" s="27">
        <f t="shared" si="242"/>
        <v>0</v>
      </c>
      <c r="BV245" s="27"/>
      <c r="BW245" s="27"/>
      <c r="BX245" s="27"/>
      <c r="BY245" s="27"/>
      <c r="BZ245" s="27"/>
      <c r="CA245" s="27"/>
      <c r="CB245" s="97"/>
      <c r="CC245" s="97"/>
      <c r="CD245" s="97">
        <v>1</v>
      </c>
      <c r="CE245" s="97">
        <f t="shared" si="243"/>
        <v>3.25</v>
      </c>
      <c r="CF245" s="97">
        <f t="shared" si="244"/>
        <v>5.5</v>
      </c>
      <c r="CG245" s="97">
        <f t="shared" si="245"/>
        <v>7.75</v>
      </c>
      <c r="CH245" s="97">
        <v>10</v>
      </c>
      <c r="CI245" s="173"/>
      <c r="CJ245" s="173"/>
      <c r="CK245" s="173"/>
      <c r="CL245" s="173"/>
      <c r="CM245" s="173"/>
      <c r="CN245" s="173"/>
      <c r="CO245" s="173"/>
      <c r="CP245" s="174"/>
      <c r="CQ245" s="174"/>
      <c r="CR245" s="174"/>
      <c r="CS245" s="174"/>
      <c r="CT245" s="174"/>
      <c r="CU245" s="174"/>
      <c r="CV245" s="174"/>
      <c r="CW245" s="165"/>
      <c r="CX245" s="166"/>
      <c r="CY245" s="166"/>
      <c r="CZ245" s="166"/>
      <c r="DA245" s="166"/>
      <c r="DB245" s="166"/>
      <c r="DC245" s="166"/>
      <c r="DD245" s="171"/>
      <c r="DE245" s="171"/>
      <c r="DF245" s="171"/>
      <c r="DG245" s="171"/>
      <c r="DH245" s="171"/>
      <c r="DI245" s="171"/>
      <c r="DJ245" s="171"/>
      <c r="DK245" s="79" t="s">
        <v>1268</v>
      </c>
      <c r="DL245" s="128"/>
      <c r="DM245" s="128"/>
      <c r="DN245" s="128"/>
      <c r="DO245" s="128"/>
      <c r="DP245" s="128"/>
      <c r="DQ245" s="128"/>
      <c r="DR245" s="128"/>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4" t="s">
        <v>1269</v>
      </c>
      <c r="B246" s="5" t="s">
        <v>1243</v>
      </c>
      <c r="C246" s="5" t="s">
        <v>788</v>
      </c>
      <c r="D246" s="5" t="s">
        <v>1247</v>
      </c>
      <c r="E246" s="5" t="s">
        <v>1248</v>
      </c>
      <c r="F246" s="5" t="s">
        <v>455</v>
      </c>
      <c r="G246" s="47" t="s">
        <v>1270</v>
      </c>
      <c r="H246" s="237" t="s">
        <v>981</v>
      </c>
      <c r="I246" s="101">
        <v>2200</v>
      </c>
      <c r="J246" s="101">
        <v>2200</v>
      </c>
      <c r="K246" s="101">
        <v>700</v>
      </c>
      <c r="L246" s="101">
        <f t="shared" si="236"/>
        <v>645</v>
      </c>
      <c r="M246" s="101">
        <f t="shared" si="237"/>
        <v>590</v>
      </c>
      <c r="N246" s="101">
        <f t="shared" si="238"/>
        <v>535</v>
      </c>
      <c r="O246" s="101">
        <v>480</v>
      </c>
      <c r="P246" s="93">
        <v>0</v>
      </c>
      <c r="Q246" s="101">
        <v>11</v>
      </c>
      <c r="R246" s="101">
        <v>11</v>
      </c>
      <c r="S246" s="101">
        <v>11</v>
      </c>
      <c r="T246" s="101">
        <v>11</v>
      </c>
      <c r="U246" s="101">
        <v>11</v>
      </c>
      <c r="V246" s="101">
        <v>11</v>
      </c>
      <c r="W246" s="101">
        <v>11</v>
      </c>
      <c r="X246" s="101">
        <v>0.56000000000000005</v>
      </c>
      <c r="Y246" s="101">
        <v>0.56000000000000005</v>
      </c>
      <c r="Z246" s="101">
        <v>0.56000000000000005</v>
      </c>
      <c r="AA246" s="101">
        <v>0.56000000000000005</v>
      </c>
      <c r="AB246" s="101">
        <v>0.56000000000000005</v>
      </c>
      <c r="AC246" s="101">
        <v>0.56000000000000005</v>
      </c>
      <c r="AD246" s="101">
        <v>0.56000000000000005</v>
      </c>
      <c r="AE246" s="186">
        <v>0.08</v>
      </c>
      <c r="AF246" s="93">
        <v>0</v>
      </c>
      <c r="AG246" s="93">
        <v>20</v>
      </c>
      <c r="AH246" s="93">
        <v>20</v>
      </c>
      <c r="AI246" s="16">
        <v>29</v>
      </c>
      <c r="AJ246" s="16" t="s">
        <v>1241</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ref="BU246" si="246">IF(BL246=1,BN246,0)</f>
        <v>0</v>
      </c>
      <c r="BV246" s="27"/>
      <c r="BW246" s="27"/>
      <c r="BX246" s="27"/>
      <c r="BY246" s="27"/>
      <c r="BZ246" s="27"/>
      <c r="CA246" s="27"/>
      <c r="CB246" s="97"/>
      <c r="CC246" s="97"/>
      <c r="CD246" s="97">
        <v>1</v>
      </c>
      <c r="CE246" s="97">
        <f t="shared" ref="CE246" si="247">ROUND((CD246+CF246)/2,2)</f>
        <v>8.25</v>
      </c>
      <c r="CF246" s="97">
        <f t="shared" ref="CF246" si="248">ROUND((CD246+CH246)/2,2)</f>
        <v>15.5</v>
      </c>
      <c r="CG246" s="97">
        <f t="shared" ref="CG246" si="249">ROUND((CF246+CH246)/2,2)</f>
        <v>22.75</v>
      </c>
      <c r="CH246" s="97">
        <v>30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1268</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6" t="s">
        <v>1271</v>
      </c>
      <c r="B247" s="6" t="s">
        <v>1243</v>
      </c>
      <c r="C247" s="6" t="s">
        <v>788</v>
      </c>
      <c r="D247" s="6" t="s">
        <v>1247</v>
      </c>
      <c r="E247" s="6" t="s">
        <v>1248</v>
      </c>
      <c r="F247" s="6" t="s">
        <v>455</v>
      </c>
      <c r="G247" s="48" t="s">
        <v>1272</v>
      </c>
      <c r="H247" s="235" t="s">
        <v>981</v>
      </c>
      <c r="I247" s="102">
        <v>7200</v>
      </c>
      <c r="J247" s="102">
        <v>7100</v>
      </c>
      <c r="K247" s="102">
        <v>7097</v>
      </c>
      <c r="L247" s="102">
        <v>6600</v>
      </c>
      <c r="M247" s="102">
        <v>6400</v>
      </c>
      <c r="N247" s="102">
        <v>6200</v>
      </c>
      <c r="O247" s="102">
        <v>6104</v>
      </c>
      <c r="P247" s="94">
        <v>0</v>
      </c>
      <c r="Q247" s="102">
        <v>100.4</v>
      </c>
      <c r="R247" s="102">
        <v>100.4</v>
      </c>
      <c r="S247" s="102">
        <v>100.4</v>
      </c>
      <c r="T247" s="102">
        <v>100.4</v>
      </c>
      <c r="U247" s="102">
        <v>100.4</v>
      </c>
      <c r="V247" s="102">
        <v>100.4</v>
      </c>
      <c r="W247" s="102">
        <v>100.4</v>
      </c>
      <c r="X247" s="102">
        <v>4.9400000000000004</v>
      </c>
      <c r="Y247" s="102">
        <v>4.9400000000000004</v>
      </c>
      <c r="Z247" s="102">
        <v>4.9400000000000004</v>
      </c>
      <c r="AA247" s="102">
        <v>4.9400000000000004</v>
      </c>
      <c r="AB247" s="102">
        <v>4.9400000000000004</v>
      </c>
      <c r="AC247" s="102">
        <v>4.9400000000000004</v>
      </c>
      <c r="AD247" s="102">
        <v>4.9400000000000004</v>
      </c>
      <c r="AE247" s="186">
        <v>0.08</v>
      </c>
      <c r="AF247" s="94">
        <v>0</v>
      </c>
      <c r="AG247" s="94">
        <v>60</v>
      </c>
      <c r="AH247" s="94">
        <v>60</v>
      </c>
      <c r="AI247" s="17">
        <v>28.4</v>
      </c>
      <c r="AJ247" s="17" t="s">
        <v>1241</v>
      </c>
      <c r="AK247" s="17" t="s">
        <v>745</v>
      </c>
      <c r="AL247" s="17">
        <v>1E-4</v>
      </c>
      <c r="AM247" s="61"/>
      <c r="AN247" s="61"/>
      <c r="AO247" s="61"/>
      <c r="AP247" s="61"/>
      <c r="AQ247" s="61"/>
      <c r="AR247" s="61"/>
      <c r="AS247" s="64"/>
      <c r="AT247" s="64"/>
      <c r="AU247" s="64"/>
      <c r="AV247" s="132"/>
      <c r="AW247" s="132"/>
      <c r="AX247" s="132"/>
      <c r="AY247" s="28" t="s">
        <v>662</v>
      </c>
      <c r="AZ247" s="28"/>
      <c r="BA247" s="28"/>
      <c r="BB247" s="28"/>
      <c r="BC247" s="28"/>
      <c r="BD247" s="28"/>
      <c r="BE247" s="28"/>
      <c r="BF247" s="28"/>
      <c r="BG247" s="28"/>
      <c r="BH247" s="106"/>
      <c r="BI247" s="106"/>
      <c r="BJ247" s="106"/>
      <c r="BK247" s="106"/>
      <c r="BL247" s="137"/>
      <c r="BM247" s="123"/>
      <c r="BN247" s="99">
        <v>0.497</v>
      </c>
      <c r="BO247" s="94"/>
      <c r="BP247" s="94"/>
      <c r="BQ247" s="94"/>
      <c r="BR247" s="94"/>
      <c r="BS247" s="94"/>
      <c r="BT247" s="94"/>
      <c r="BU247" s="28">
        <f t="shared" si="242"/>
        <v>0</v>
      </c>
      <c r="BV247" s="99">
        <v>0.497</v>
      </c>
      <c r="BW247" s="99">
        <v>0.497</v>
      </c>
      <c r="BX247" s="28"/>
      <c r="BY247" s="28"/>
      <c r="BZ247" s="28"/>
      <c r="CA247" s="28"/>
      <c r="CB247" s="99">
        <v>0.497</v>
      </c>
      <c r="CC247" s="99">
        <v>0.497</v>
      </c>
      <c r="CD247" s="99">
        <v>0.497</v>
      </c>
      <c r="CE247" s="99">
        <v>0.497</v>
      </c>
      <c r="CF247" s="99">
        <v>0.497</v>
      </c>
      <c r="CG247" s="244">
        <v>0</v>
      </c>
      <c r="CH247" s="244">
        <v>0</v>
      </c>
      <c r="CI247" s="175"/>
      <c r="CJ247" s="175"/>
      <c r="CK247" s="175"/>
      <c r="CL247" s="175"/>
      <c r="CM247" s="175"/>
      <c r="CN247" s="175"/>
      <c r="CO247" s="175"/>
      <c r="CP247" s="176"/>
      <c r="CQ247" s="176"/>
      <c r="CR247" s="176"/>
      <c r="CS247" s="176"/>
      <c r="CT247" s="176"/>
      <c r="CU247" s="176"/>
      <c r="CV247" s="176"/>
      <c r="CW247" s="167"/>
      <c r="CX247" s="168"/>
      <c r="CY247" s="168"/>
      <c r="CZ247" s="168"/>
      <c r="DA247" s="168"/>
      <c r="DB247" s="168"/>
      <c r="DC247" s="168"/>
      <c r="DD247" s="172"/>
      <c r="DE247" s="172"/>
      <c r="DF247" s="172"/>
      <c r="DG247" s="172"/>
      <c r="DH247" s="172"/>
      <c r="DI247" s="172"/>
      <c r="DJ247" s="172"/>
      <c r="DK247" s="80" t="s">
        <v>1273</v>
      </c>
      <c r="DL247" s="129"/>
      <c r="DM247" s="129"/>
      <c r="DN247" s="129"/>
      <c r="DO247" s="129"/>
      <c r="DP247" s="129"/>
      <c r="DQ247" s="129"/>
      <c r="DR247" s="129"/>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4" t="s">
        <v>1274</v>
      </c>
      <c r="B248" s="5" t="s">
        <v>1243</v>
      </c>
      <c r="C248" s="5" t="s">
        <v>788</v>
      </c>
      <c r="D248" s="5" t="s">
        <v>1247</v>
      </c>
      <c r="E248" s="5" t="s">
        <v>1248</v>
      </c>
      <c r="F248" s="5" t="s">
        <v>455</v>
      </c>
      <c r="G248" s="47" t="s">
        <v>1275</v>
      </c>
      <c r="H248" s="237" t="s">
        <v>981</v>
      </c>
      <c r="I248" s="101">
        <v>7200</v>
      </c>
      <c r="J248" s="101">
        <v>7100</v>
      </c>
      <c r="K248" s="101">
        <v>7097</v>
      </c>
      <c r="L248" s="102">
        <v>6600</v>
      </c>
      <c r="M248" s="102">
        <v>6400</v>
      </c>
      <c r="N248" s="102">
        <v>6200</v>
      </c>
      <c r="O248" s="101">
        <v>6104</v>
      </c>
      <c r="P248" s="93">
        <v>0</v>
      </c>
      <c r="Q248" s="101">
        <v>100.4</v>
      </c>
      <c r="R248" s="101">
        <v>100.4</v>
      </c>
      <c r="S248" s="101">
        <v>100.4</v>
      </c>
      <c r="T248" s="101">
        <v>100.4</v>
      </c>
      <c r="U248" s="101">
        <v>100.4</v>
      </c>
      <c r="V248" s="101">
        <v>100.4</v>
      </c>
      <c r="W248" s="101">
        <v>100.4</v>
      </c>
      <c r="X248" s="101">
        <v>4.9400000000000004</v>
      </c>
      <c r="Y248" s="101">
        <v>4.9400000000000004</v>
      </c>
      <c r="Z248" s="101">
        <v>4.9400000000000004</v>
      </c>
      <c r="AA248" s="101">
        <v>4.9400000000000004</v>
      </c>
      <c r="AB248" s="101">
        <v>4.9400000000000004</v>
      </c>
      <c r="AC248" s="101">
        <v>4.9400000000000004</v>
      </c>
      <c r="AD248" s="101">
        <v>4.9400000000000004</v>
      </c>
      <c r="AE248" s="186">
        <v>0.08</v>
      </c>
      <c r="AF248" s="93">
        <v>0</v>
      </c>
      <c r="AG248" s="93">
        <v>60</v>
      </c>
      <c r="AH248" s="93">
        <v>60</v>
      </c>
      <c r="AI248" s="16">
        <v>28.4</v>
      </c>
      <c r="AJ248" s="16" t="s">
        <v>1241</v>
      </c>
      <c r="AK248" s="16" t="s">
        <v>745</v>
      </c>
      <c r="AL248" s="16">
        <v>1E-4</v>
      </c>
      <c r="AM248" s="60"/>
      <c r="AN248" s="60"/>
      <c r="AO248" s="60"/>
      <c r="AP248" s="60"/>
      <c r="AQ248" s="60"/>
      <c r="AR248" s="60"/>
      <c r="AS248" s="63"/>
      <c r="AT248" s="63"/>
      <c r="AU248" s="63"/>
      <c r="AV248" s="131"/>
      <c r="AW248" s="131"/>
      <c r="AX248" s="131"/>
      <c r="AY248" s="27" t="s">
        <v>662</v>
      </c>
      <c r="AZ248" s="27"/>
      <c r="BA248" s="27"/>
      <c r="BB248" s="30"/>
      <c r="BC248" s="30"/>
      <c r="BD248" s="30"/>
      <c r="BE248" s="30"/>
      <c r="BF248" s="30"/>
      <c r="BG248" s="30"/>
      <c r="BH248" s="107"/>
      <c r="BI248" s="107"/>
      <c r="BJ248" s="107"/>
      <c r="BK248" s="107"/>
      <c r="BL248" s="136"/>
      <c r="BM248" s="122"/>
      <c r="BN248" s="138">
        <v>0</v>
      </c>
      <c r="BO248" s="93"/>
      <c r="BP248" s="93"/>
      <c r="BQ248" s="93"/>
      <c r="BR248" s="93"/>
      <c r="BS248" s="93"/>
      <c r="BT248" s="93"/>
      <c r="BU248" s="27"/>
      <c r="BV248" s="27"/>
      <c r="BW248" s="27"/>
      <c r="BX248" s="27"/>
      <c r="BY248" s="27"/>
      <c r="BZ248" s="27"/>
      <c r="CA248" s="27"/>
      <c r="CB248" s="97"/>
      <c r="CC248" s="97"/>
      <c r="CD248" s="97"/>
      <c r="CE248" s="97">
        <v>1.5</v>
      </c>
      <c r="CF248" s="97">
        <v>3</v>
      </c>
      <c r="CG248" s="97">
        <v>3</v>
      </c>
      <c r="CH248" s="97">
        <v>3</v>
      </c>
      <c r="CI248" s="173"/>
      <c r="CJ248" s="173"/>
      <c r="CK248" s="173"/>
      <c r="CL248" s="173"/>
      <c r="CM248" s="173"/>
      <c r="CN248" s="173"/>
      <c r="CO248" s="173"/>
      <c r="CP248" s="174"/>
      <c r="CQ248" s="174"/>
      <c r="CR248" s="174"/>
      <c r="CS248" s="174"/>
      <c r="CT248" s="174"/>
      <c r="CU248" s="174"/>
      <c r="CV248" s="174"/>
      <c r="CW248" s="165"/>
      <c r="CX248" s="166"/>
      <c r="CY248" s="166"/>
      <c r="CZ248" s="166"/>
      <c r="DA248" s="166"/>
      <c r="DB248" s="166"/>
      <c r="DC248" s="166"/>
      <c r="DD248" s="171"/>
      <c r="DE248" s="171"/>
      <c r="DF248" s="171"/>
      <c r="DG248" s="171"/>
      <c r="DH248" s="171"/>
      <c r="DI248" s="171"/>
      <c r="DJ248" s="171"/>
      <c r="DK248" s="79" t="s">
        <v>1273</v>
      </c>
      <c r="DL248" s="128"/>
      <c r="DM248" s="128"/>
      <c r="DN248" s="128"/>
      <c r="DO248" s="128"/>
      <c r="DP248" s="128"/>
      <c r="DQ248" s="128"/>
      <c r="DR248" s="128"/>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8" t="s">
        <v>1276</v>
      </c>
      <c r="B249" s="5" t="s">
        <v>1243</v>
      </c>
      <c r="C249" s="5" t="s">
        <v>788</v>
      </c>
      <c r="D249" s="5" t="s">
        <v>1247</v>
      </c>
      <c r="E249" s="5" t="s">
        <v>1248</v>
      </c>
      <c r="F249" s="5" t="s">
        <v>455</v>
      </c>
      <c r="G249" s="47" t="s">
        <v>1277</v>
      </c>
      <c r="H249" s="237" t="s">
        <v>981</v>
      </c>
      <c r="I249" s="101">
        <v>9867</v>
      </c>
      <c r="J249" s="101">
        <v>8745.75</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1241</v>
      </c>
      <c r="AK249" s="16" t="s">
        <v>745</v>
      </c>
      <c r="AL249" s="16"/>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f t="shared" si="242"/>
        <v>0</v>
      </c>
      <c r="BV249" s="27"/>
      <c r="BW249" s="27"/>
      <c r="BX249" s="27"/>
      <c r="BY249" s="27"/>
      <c r="BZ249" s="27"/>
      <c r="CA249" s="27"/>
      <c r="CB249" s="244"/>
      <c r="CC249" s="244"/>
      <c r="CD249" s="244"/>
      <c r="CE249" s="244"/>
      <c r="CF249" s="244">
        <v>0.45</v>
      </c>
      <c r="CG249" s="244">
        <v>0.9</v>
      </c>
      <c r="CH249" s="244">
        <v>2</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1278</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4" t="s">
        <v>1279</v>
      </c>
      <c r="B250" s="6" t="s">
        <v>1243</v>
      </c>
      <c r="C250" s="6" t="s">
        <v>788</v>
      </c>
      <c r="D250" s="6" t="s">
        <v>1247</v>
      </c>
      <c r="E250" s="6" t="s">
        <v>1248</v>
      </c>
      <c r="F250" s="6" t="s">
        <v>455</v>
      </c>
      <c r="G250" s="48" t="s">
        <v>1280</v>
      </c>
      <c r="H250" s="235" t="s">
        <v>981</v>
      </c>
      <c r="I250" s="102">
        <v>2657.36</v>
      </c>
      <c r="J250" s="102">
        <f>(K250+I250)/2</f>
        <v>2278.6800000000003</v>
      </c>
      <c r="K250" s="102">
        <v>1900</v>
      </c>
      <c r="L250" s="102">
        <f t="shared" ref="L250:L254" si="250">(M250+K250)/2</f>
        <v>1787.5</v>
      </c>
      <c r="M250" s="102">
        <f t="shared" ref="M250:M254" si="251">(K250+O250)/2</f>
        <v>1675</v>
      </c>
      <c r="N250" s="102">
        <f t="shared" ref="N250:N254" si="252">(O250+M250)/2</f>
        <v>1562.5</v>
      </c>
      <c r="O250" s="102">
        <v>1450</v>
      </c>
      <c r="P250" s="94">
        <v>0</v>
      </c>
      <c r="Q250" s="102">
        <v>42.27</v>
      </c>
      <c r="R250" s="102">
        <v>42.27</v>
      </c>
      <c r="S250" s="102">
        <v>42.27</v>
      </c>
      <c r="T250" s="102">
        <v>42.27</v>
      </c>
      <c r="U250" s="102">
        <v>42.27</v>
      </c>
      <c r="V250" s="102">
        <v>42.27</v>
      </c>
      <c r="W250" s="102">
        <v>42.27</v>
      </c>
      <c r="X250" s="102">
        <v>0.73</v>
      </c>
      <c r="Y250" s="102">
        <v>0.73</v>
      </c>
      <c r="Z250" s="102">
        <v>0.73</v>
      </c>
      <c r="AA250" s="102">
        <v>0.73</v>
      </c>
      <c r="AB250" s="102">
        <v>0.73</v>
      </c>
      <c r="AC250" s="102">
        <v>0.73</v>
      </c>
      <c r="AD250" s="102">
        <v>0.73</v>
      </c>
      <c r="AE250" s="186">
        <v>0.08</v>
      </c>
      <c r="AF250" s="94">
        <v>0</v>
      </c>
      <c r="AG250" s="94">
        <v>30</v>
      </c>
      <c r="AH250" s="94">
        <v>30</v>
      </c>
      <c r="AI250" s="17">
        <v>30</v>
      </c>
      <c r="AJ250" s="17" t="s">
        <v>1241</v>
      </c>
      <c r="AK250" s="17" t="s">
        <v>745</v>
      </c>
      <c r="AL250" s="17">
        <v>0.5</v>
      </c>
      <c r="AM250" s="61"/>
      <c r="AN250" s="61"/>
      <c r="AO250" s="61"/>
      <c r="AP250" s="61"/>
      <c r="AQ250" s="61"/>
      <c r="AR250" s="61"/>
      <c r="AS250" s="64"/>
      <c r="AT250" s="64"/>
      <c r="AU250" s="64"/>
      <c r="AV250" s="132"/>
      <c r="AW250" s="132"/>
      <c r="AX250" s="132"/>
      <c r="AY250" s="28" t="s">
        <v>662</v>
      </c>
      <c r="AZ250" s="28"/>
      <c r="BA250" s="28"/>
      <c r="BB250" s="28"/>
      <c r="BC250" s="28"/>
      <c r="BD250" s="28"/>
      <c r="BE250" s="28"/>
      <c r="BF250" s="28"/>
      <c r="BG250" s="28"/>
      <c r="BH250" s="106"/>
      <c r="BI250" s="106"/>
      <c r="BJ250" s="106"/>
      <c r="BK250" s="106"/>
      <c r="BL250" s="137"/>
      <c r="BM250" s="123"/>
      <c r="BN250" s="139">
        <v>0.05</v>
      </c>
      <c r="BO250" s="94"/>
      <c r="BP250" s="94"/>
      <c r="BQ250" s="94"/>
      <c r="BR250" s="94"/>
      <c r="BS250" s="94"/>
      <c r="BT250" s="94">
        <v>0.05</v>
      </c>
      <c r="BU250" s="28">
        <f t="shared" si="242"/>
        <v>0</v>
      </c>
      <c r="BV250" s="28"/>
      <c r="BW250" s="28"/>
      <c r="BX250" s="28"/>
      <c r="BY250" s="28"/>
      <c r="BZ250" s="28"/>
      <c r="CA250" s="28"/>
      <c r="CB250" s="99">
        <v>0.05</v>
      </c>
      <c r="CC250" s="99">
        <f t="shared" ref="CC250" si="253">ROUND((CB250+CD250)/2,2)</f>
        <v>2.5299999999999998</v>
      </c>
      <c r="CD250" s="99">
        <v>5</v>
      </c>
      <c r="CE250" s="99">
        <f t="shared" si="243"/>
        <v>5</v>
      </c>
      <c r="CF250" s="99">
        <f t="shared" si="244"/>
        <v>5</v>
      </c>
      <c r="CG250" s="99">
        <f t="shared" si="245"/>
        <v>5</v>
      </c>
      <c r="CH250" s="99">
        <v>5</v>
      </c>
      <c r="CI250" s="175"/>
      <c r="CJ250" s="175"/>
      <c r="CK250" s="175"/>
      <c r="CL250" s="175"/>
      <c r="CM250" s="175"/>
      <c r="CN250" s="175"/>
      <c r="CO250" s="175"/>
      <c r="CP250" s="176"/>
      <c r="CQ250" s="176"/>
      <c r="CR250" s="176"/>
      <c r="CS250" s="176"/>
      <c r="CT250" s="176"/>
      <c r="CU250" s="176"/>
      <c r="CV250" s="176"/>
      <c r="CW250" s="167"/>
      <c r="CX250" s="168"/>
      <c r="CY250" s="168"/>
      <c r="CZ250" s="168"/>
      <c r="DA250" s="168"/>
      <c r="DB250" s="168"/>
      <c r="DC250" s="168"/>
      <c r="DD250" s="172"/>
      <c r="DE250" s="172"/>
      <c r="DF250" s="172"/>
      <c r="DG250" s="172"/>
      <c r="DH250" s="172"/>
      <c r="DI250" s="172"/>
      <c r="DJ250" s="172"/>
      <c r="DK250" s="80" t="s">
        <v>415</v>
      </c>
      <c r="DL250" s="129"/>
      <c r="DM250" s="129"/>
      <c r="DN250" s="129"/>
      <c r="DO250" s="129"/>
      <c r="DP250" s="129"/>
      <c r="DQ250" s="129"/>
      <c r="DR250" s="129"/>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6" t="s">
        <v>1281</v>
      </c>
      <c r="B251" s="5" t="s">
        <v>1243</v>
      </c>
      <c r="C251" s="5" t="s">
        <v>788</v>
      </c>
      <c r="D251" s="5" t="s">
        <v>1247</v>
      </c>
      <c r="E251" s="5" t="s">
        <v>1248</v>
      </c>
      <c r="F251" s="5" t="s">
        <v>455</v>
      </c>
      <c r="G251" s="47" t="s">
        <v>1282</v>
      </c>
      <c r="H251" s="237" t="s">
        <v>981</v>
      </c>
      <c r="I251" s="101">
        <v>3179.59</v>
      </c>
      <c r="J251" s="101">
        <v>3056.2099999999996</v>
      </c>
      <c r="K251" s="101">
        <v>5380</v>
      </c>
      <c r="L251" s="101">
        <f t="shared" si="250"/>
        <v>4995</v>
      </c>
      <c r="M251" s="101">
        <f t="shared" si="251"/>
        <v>4610</v>
      </c>
      <c r="N251" s="101">
        <f t="shared" si="252"/>
        <v>4225</v>
      </c>
      <c r="O251" s="101">
        <v>3840</v>
      </c>
      <c r="P251" s="93">
        <v>0</v>
      </c>
      <c r="Q251" s="101">
        <v>79.69</v>
      </c>
      <c r="R251" s="101">
        <v>79.69</v>
      </c>
      <c r="S251" s="101">
        <v>79.69</v>
      </c>
      <c r="T251" s="101">
        <v>79.69</v>
      </c>
      <c r="U251" s="101">
        <v>79.69</v>
      </c>
      <c r="V251" s="101">
        <v>79.69</v>
      </c>
      <c r="W251" s="101">
        <v>79.69</v>
      </c>
      <c r="X251" s="101">
        <v>0.56000000000000005</v>
      </c>
      <c r="Y251" s="101">
        <v>0.56000000000000005</v>
      </c>
      <c r="Z251" s="101">
        <v>0.56000000000000005</v>
      </c>
      <c r="AA251" s="101">
        <v>0.56000000000000005</v>
      </c>
      <c r="AB251" s="101">
        <v>0.56000000000000005</v>
      </c>
      <c r="AC251" s="101">
        <v>0.56000000000000005</v>
      </c>
      <c r="AD251" s="101">
        <v>0.56000000000000005</v>
      </c>
      <c r="AE251" s="186">
        <v>0.08</v>
      </c>
      <c r="AF251" s="93">
        <v>0</v>
      </c>
      <c r="AG251" s="93">
        <v>40</v>
      </c>
      <c r="AH251" s="93">
        <v>40</v>
      </c>
      <c r="AI251" s="16">
        <v>30</v>
      </c>
      <c r="AJ251" s="16" t="s">
        <v>1241</v>
      </c>
      <c r="AK251" s="16" t="s">
        <v>745</v>
      </c>
      <c r="AL251" s="16">
        <v>0.5</v>
      </c>
      <c r="AM251" s="60"/>
      <c r="AN251" s="60"/>
      <c r="AO251" s="60"/>
      <c r="AP251" s="60"/>
      <c r="AQ251" s="60"/>
      <c r="AR251" s="60"/>
      <c r="AS251" s="63"/>
      <c r="AT251" s="63"/>
      <c r="AU251" s="63"/>
      <c r="AV251" s="131"/>
      <c r="AW251" s="131"/>
      <c r="AX251" s="131"/>
      <c r="AY251" s="27" t="s">
        <v>662</v>
      </c>
      <c r="AZ251" s="27"/>
      <c r="BA251" s="27"/>
      <c r="BB251" s="30"/>
      <c r="BC251" s="30"/>
      <c r="BD251" s="30"/>
      <c r="BE251" s="30"/>
      <c r="BF251" s="30"/>
      <c r="BG251" s="30"/>
      <c r="BH251" s="107"/>
      <c r="BI251" s="107"/>
      <c r="BJ251" s="107"/>
      <c r="BK251" s="107"/>
      <c r="BL251" s="136"/>
      <c r="BM251" s="122"/>
      <c r="BN251" s="138">
        <v>0</v>
      </c>
      <c r="BO251" s="93"/>
      <c r="BP251" s="93"/>
      <c r="BQ251" s="93"/>
      <c r="BR251" s="93"/>
      <c r="BS251" s="93"/>
      <c r="BT251" s="93"/>
      <c r="BU251" s="27">
        <f t="shared" si="242"/>
        <v>0</v>
      </c>
      <c r="BV251" s="27"/>
      <c r="BW251" s="27"/>
      <c r="BX251" s="27"/>
      <c r="BY251" s="27"/>
      <c r="BZ251" s="27"/>
      <c r="CA251" s="27"/>
      <c r="CB251" s="97"/>
      <c r="CC251" s="97"/>
      <c r="CD251" s="97">
        <v>5</v>
      </c>
      <c r="CE251" s="97">
        <f t="shared" si="243"/>
        <v>5</v>
      </c>
      <c r="CF251" s="97">
        <f t="shared" si="244"/>
        <v>5</v>
      </c>
      <c r="CG251" s="97">
        <f t="shared" si="245"/>
        <v>5</v>
      </c>
      <c r="CH251" s="97">
        <v>5</v>
      </c>
      <c r="CI251" s="173"/>
      <c r="CJ251" s="173"/>
      <c r="CK251" s="173"/>
      <c r="CL251" s="173"/>
      <c r="CM251" s="173"/>
      <c r="CN251" s="173"/>
      <c r="CO251" s="173"/>
      <c r="CP251" s="174"/>
      <c r="CQ251" s="174"/>
      <c r="CR251" s="174"/>
      <c r="CS251" s="174"/>
      <c r="CT251" s="174"/>
      <c r="CU251" s="174"/>
      <c r="CV251" s="174"/>
      <c r="CW251" s="165"/>
      <c r="CX251" s="166"/>
      <c r="CY251" s="166"/>
      <c r="CZ251" s="166"/>
      <c r="DA251" s="166"/>
      <c r="DB251" s="166"/>
      <c r="DC251" s="166"/>
      <c r="DD251" s="171"/>
      <c r="DE251" s="171"/>
      <c r="DF251" s="171"/>
      <c r="DG251" s="171"/>
      <c r="DH251" s="171"/>
      <c r="DI251" s="171"/>
      <c r="DJ251" s="171"/>
      <c r="DK251" s="79" t="s">
        <v>415</v>
      </c>
      <c r="DL251" s="128"/>
      <c r="DM251" s="128"/>
      <c r="DN251" s="128"/>
      <c r="DO251" s="128"/>
      <c r="DP251" s="128"/>
      <c r="DQ251" s="128"/>
      <c r="DR251" s="128"/>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8" t="s">
        <v>1283</v>
      </c>
      <c r="B252" s="6" t="s">
        <v>1243</v>
      </c>
      <c r="C252" s="6" t="s">
        <v>788</v>
      </c>
      <c r="D252" s="6" t="s">
        <v>1247</v>
      </c>
      <c r="E252" s="6" t="s">
        <v>1248</v>
      </c>
      <c r="F252" s="6" t="s">
        <v>455</v>
      </c>
      <c r="G252" s="48" t="s">
        <v>1284</v>
      </c>
      <c r="H252" s="235" t="s">
        <v>981</v>
      </c>
      <c r="I252" s="102">
        <v>1260</v>
      </c>
      <c r="J252" s="102">
        <f>(K252+I252)/2</f>
        <v>1175</v>
      </c>
      <c r="K252" s="102">
        <v>1090</v>
      </c>
      <c r="L252" s="102">
        <f t="shared" si="250"/>
        <v>1062.5</v>
      </c>
      <c r="M252" s="102">
        <f t="shared" si="251"/>
        <v>1035</v>
      </c>
      <c r="N252" s="102">
        <f t="shared" si="252"/>
        <v>1007.5</v>
      </c>
      <c r="O252" s="102">
        <v>980</v>
      </c>
      <c r="P252" s="94">
        <v>0</v>
      </c>
      <c r="Q252" s="102">
        <v>17.25</v>
      </c>
      <c r="R252" s="102">
        <v>17.25</v>
      </c>
      <c r="S252" s="102">
        <v>17.25</v>
      </c>
      <c r="T252" s="102">
        <v>17.25</v>
      </c>
      <c r="U252" s="102">
        <v>17.25</v>
      </c>
      <c r="V252" s="102">
        <v>17.25</v>
      </c>
      <c r="W252" s="102">
        <v>17.25</v>
      </c>
      <c r="X252" s="102">
        <v>0.44</v>
      </c>
      <c r="Y252" s="102">
        <v>0.44</v>
      </c>
      <c r="Z252" s="102">
        <v>0.44</v>
      </c>
      <c r="AA252" s="102">
        <v>0.44</v>
      </c>
      <c r="AB252" s="102">
        <v>0.44</v>
      </c>
      <c r="AC252" s="102">
        <v>0.44</v>
      </c>
      <c r="AD252" s="102">
        <v>0.44</v>
      </c>
      <c r="AE252" s="186">
        <v>0.08</v>
      </c>
      <c r="AF252" s="94">
        <v>0</v>
      </c>
      <c r="AG252" s="94">
        <v>25</v>
      </c>
      <c r="AH252" s="94">
        <v>25</v>
      </c>
      <c r="AI252" s="17">
        <v>17</v>
      </c>
      <c r="AJ252" s="17" t="s">
        <v>1241</v>
      </c>
      <c r="AK252" s="17" t="s">
        <v>1285</v>
      </c>
      <c r="AL252" s="17"/>
      <c r="AM252" s="61"/>
      <c r="AN252" s="61"/>
      <c r="AO252" s="61"/>
      <c r="AP252" s="61"/>
      <c r="AQ252" s="61"/>
      <c r="AR252" s="61"/>
      <c r="AS252" s="64"/>
      <c r="AT252" s="64"/>
      <c r="AU252" s="64"/>
      <c r="AV252" s="132"/>
      <c r="AW252" s="132"/>
      <c r="AX252" s="132"/>
      <c r="AY252" s="28" t="s">
        <v>662</v>
      </c>
      <c r="AZ252" s="28"/>
      <c r="BA252" s="28"/>
      <c r="BB252" s="28"/>
      <c r="BC252" s="28"/>
      <c r="BD252" s="28"/>
      <c r="BE252" s="28"/>
      <c r="BF252" s="28"/>
      <c r="BG252" s="28"/>
      <c r="BH252" s="106"/>
      <c r="BI252" s="106"/>
      <c r="BJ252" s="106"/>
      <c r="BK252" s="106"/>
      <c r="BL252" s="137"/>
      <c r="BM252" s="123"/>
      <c r="BN252" s="139">
        <v>3.1</v>
      </c>
      <c r="BO252" s="94"/>
      <c r="BP252" s="94"/>
      <c r="BQ252" s="94"/>
      <c r="BR252" s="94"/>
      <c r="BS252" s="94"/>
      <c r="BT252" s="94"/>
      <c r="BU252" s="28">
        <f t="shared" si="242"/>
        <v>0</v>
      </c>
      <c r="BV252" s="28"/>
      <c r="BW252" s="28"/>
      <c r="BX252" s="28"/>
      <c r="BY252" s="28"/>
      <c r="BZ252" s="28"/>
      <c r="CA252" s="28"/>
      <c r="CB252" s="244">
        <v>3.1</v>
      </c>
      <c r="CC252" s="244">
        <f t="shared" ref="CC252:CC260" si="254">ROUND((CB252+CD252)/2,2)</f>
        <v>5.46</v>
      </c>
      <c r="CD252" s="244">
        <v>7.82</v>
      </c>
      <c r="CE252" s="244">
        <v>7.82</v>
      </c>
      <c r="CF252" s="244">
        <v>7.82</v>
      </c>
      <c r="CG252" s="244">
        <v>7.82</v>
      </c>
      <c r="CH252" s="244">
        <v>7.82</v>
      </c>
      <c r="CI252" s="175"/>
      <c r="CJ252" s="175"/>
      <c r="CK252" s="175"/>
      <c r="CL252" s="175"/>
      <c r="CM252" s="175"/>
      <c r="CN252" s="175"/>
      <c r="CO252" s="175"/>
      <c r="CP252" s="176"/>
      <c r="CQ252" s="176"/>
      <c r="CR252" s="176"/>
      <c r="CS252" s="176"/>
      <c r="CT252" s="176"/>
      <c r="CU252" s="176"/>
      <c r="CV252" s="176"/>
      <c r="CW252" s="167"/>
      <c r="CX252" s="168"/>
      <c r="CY252" s="168"/>
      <c r="CZ252" s="168"/>
      <c r="DA252" s="168"/>
      <c r="DB252" s="168"/>
      <c r="DC252" s="168"/>
      <c r="DD252" s="172"/>
      <c r="DE252" s="172"/>
      <c r="DF252" s="172"/>
      <c r="DG252" s="172"/>
      <c r="DH252" s="172"/>
      <c r="DI252" s="172"/>
      <c r="DJ252" s="172"/>
      <c r="DK252" s="80" t="s">
        <v>1251</v>
      </c>
      <c r="DL252" s="129"/>
      <c r="DM252" s="129"/>
      <c r="DN252" s="129"/>
      <c r="DO252" s="129"/>
      <c r="DP252" s="129"/>
      <c r="DQ252" s="129"/>
      <c r="DR252" s="129"/>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ht="15" thickBot="1" x14ac:dyDescent="0.4">
      <c r="A253" s="238" t="s">
        <v>1286</v>
      </c>
      <c r="B253" s="5" t="s">
        <v>1243</v>
      </c>
      <c r="C253" s="5" t="s">
        <v>788</v>
      </c>
      <c r="D253" s="5" t="s">
        <v>1247</v>
      </c>
      <c r="E253" s="5" t="s">
        <v>1248</v>
      </c>
      <c r="F253" s="5" t="s">
        <v>455</v>
      </c>
      <c r="G253" s="47" t="s">
        <v>1287</v>
      </c>
      <c r="H253" s="237" t="s">
        <v>981</v>
      </c>
      <c r="I253" s="101">
        <v>3000</v>
      </c>
      <c r="J253" s="101">
        <f>(K253+I253)/2</f>
        <v>2600</v>
      </c>
      <c r="K253" s="101">
        <v>2200</v>
      </c>
      <c r="L253" s="101">
        <f t="shared" si="250"/>
        <v>2150</v>
      </c>
      <c r="M253" s="101">
        <f t="shared" si="251"/>
        <v>2100</v>
      </c>
      <c r="N253" s="101">
        <f t="shared" si="252"/>
        <v>2050</v>
      </c>
      <c r="O253" s="101">
        <v>2000</v>
      </c>
      <c r="P253" s="93">
        <v>0</v>
      </c>
      <c r="Q253" s="101">
        <v>54.750234643862761</v>
      </c>
      <c r="R253" s="101">
        <v>54.750234643862761</v>
      </c>
      <c r="S253" s="101">
        <v>47.345917196787987</v>
      </c>
      <c r="T253" s="101">
        <v>47.345917196787987</v>
      </c>
      <c r="U253" s="101">
        <v>47.345917196787987</v>
      </c>
      <c r="V253" s="101">
        <v>47.345917196787987</v>
      </c>
      <c r="W253" s="101">
        <v>47.345917196787987</v>
      </c>
      <c r="X253" s="101">
        <v>0.1</v>
      </c>
      <c r="Y253" s="101">
        <v>0.1</v>
      </c>
      <c r="Z253" s="101">
        <v>0.1</v>
      </c>
      <c r="AA253" s="101">
        <v>0.1</v>
      </c>
      <c r="AB253" s="101">
        <v>0.1</v>
      </c>
      <c r="AC253" s="101">
        <v>0.1</v>
      </c>
      <c r="AD253" s="101">
        <v>0.1</v>
      </c>
      <c r="AE253" s="186">
        <v>0.08</v>
      </c>
      <c r="AF253" s="93">
        <v>0</v>
      </c>
      <c r="AG253" s="93">
        <v>20</v>
      </c>
      <c r="AH253" s="93">
        <v>20</v>
      </c>
      <c r="AI253" s="16">
        <v>18</v>
      </c>
      <c r="AJ253" s="16" t="s">
        <v>1241</v>
      </c>
      <c r="AK253" s="16" t="s">
        <v>1250</v>
      </c>
      <c r="AL253" s="16"/>
      <c r="AM253" s="60"/>
      <c r="AN253" s="60"/>
      <c r="AO253" s="60"/>
      <c r="AP253" s="60"/>
      <c r="AQ253" s="60"/>
      <c r="AR253" s="60"/>
      <c r="AS253" s="63"/>
      <c r="AT253" s="63"/>
      <c r="AU253" s="63"/>
      <c r="AV253" s="131"/>
      <c r="AW253" s="131"/>
      <c r="AX253" s="131"/>
      <c r="AY253" s="27" t="s">
        <v>662</v>
      </c>
      <c r="AZ253" s="27"/>
      <c r="BA253" s="27"/>
      <c r="BB253" s="30"/>
      <c r="BC253" s="30"/>
      <c r="BD253" s="30"/>
      <c r="BE253" s="30"/>
      <c r="BF253" s="30"/>
      <c r="BG253" s="30"/>
      <c r="BH253" s="107"/>
      <c r="BI253" s="107"/>
      <c r="BJ253" s="107"/>
      <c r="BK253" s="107"/>
      <c r="BL253" s="136"/>
      <c r="BM253" s="122"/>
      <c r="BN253" s="138">
        <v>1</v>
      </c>
      <c r="BO253" s="93"/>
      <c r="BP253" s="93"/>
      <c r="BQ253" s="93"/>
      <c r="BR253" s="93"/>
      <c r="BS253" s="93"/>
      <c r="BT253" s="93"/>
      <c r="BU253" s="27">
        <f t="shared" si="242"/>
        <v>0</v>
      </c>
      <c r="BV253" s="27"/>
      <c r="BW253" s="27"/>
      <c r="BX253" s="27"/>
      <c r="BY253" s="27"/>
      <c r="BZ253" s="27"/>
      <c r="CA253" s="27"/>
      <c r="CB253" s="244">
        <v>1</v>
      </c>
      <c r="CC253" s="244">
        <f t="shared" si="254"/>
        <v>3.5</v>
      </c>
      <c r="CD253" s="244">
        <v>6</v>
      </c>
      <c r="CE253" s="244">
        <f t="shared" si="243"/>
        <v>7.75</v>
      </c>
      <c r="CF253" s="244">
        <f t="shared" si="244"/>
        <v>9.5</v>
      </c>
      <c r="CG253" s="244">
        <f t="shared" si="245"/>
        <v>11.25</v>
      </c>
      <c r="CH253" s="244">
        <v>13</v>
      </c>
      <c r="CI253" s="173"/>
      <c r="CJ253" s="173"/>
      <c r="CK253" s="173"/>
      <c r="CL253" s="173"/>
      <c r="CM253" s="173"/>
      <c r="CN253" s="173"/>
      <c r="CO253" s="173"/>
      <c r="CP253" s="174"/>
      <c r="CQ253" s="174"/>
      <c r="CR253" s="174"/>
      <c r="CS253" s="174"/>
      <c r="CT253" s="174"/>
      <c r="CU253" s="174"/>
      <c r="CV253" s="174"/>
      <c r="CW253" s="165"/>
      <c r="CX253" s="166"/>
      <c r="CY253" s="166"/>
      <c r="CZ253" s="166"/>
      <c r="DA253" s="166"/>
      <c r="DB253" s="166"/>
      <c r="DC253" s="166"/>
      <c r="DD253" s="171"/>
      <c r="DE253" s="171"/>
      <c r="DF253" s="171"/>
      <c r="DG253" s="171"/>
      <c r="DH253" s="171"/>
      <c r="DI253" s="171"/>
      <c r="DJ253" s="171"/>
      <c r="DK253" s="79" t="s">
        <v>1251</v>
      </c>
      <c r="DL253" s="128"/>
      <c r="DM253" s="128"/>
      <c r="DN253" s="128"/>
      <c r="DO253" s="128"/>
      <c r="DP253" s="128"/>
      <c r="DQ253" s="128"/>
      <c r="DR253" s="128"/>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x14ac:dyDescent="0.35">
      <c r="A254" s="238" t="s">
        <v>1288</v>
      </c>
      <c r="B254" s="6" t="s">
        <v>654</v>
      </c>
      <c r="C254" s="6" t="s">
        <v>788</v>
      </c>
      <c r="D254" s="6" t="s">
        <v>1247</v>
      </c>
      <c r="E254" s="6" t="s">
        <v>1248</v>
      </c>
      <c r="F254" s="6" t="s">
        <v>456</v>
      </c>
      <c r="G254" s="48" t="s">
        <v>1289</v>
      </c>
      <c r="H254" s="235" t="s">
        <v>981</v>
      </c>
      <c r="I254" s="102">
        <v>770</v>
      </c>
      <c r="J254" s="102">
        <f>(K254+I254)/2</f>
        <v>617</v>
      </c>
      <c r="K254" s="102">
        <v>464</v>
      </c>
      <c r="L254" s="102">
        <f t="shared" si="250"/>
        <v>425.75</v>
      </c>
      <c r="M254" s="102">
        <f t="shared" si="251"/>
        <v>387.5</v>
      </c>
      <c r="N254" s="102">
        <f t="shared" si="252"/>
        <v>349.25</v>
      </c>
      <c r="O254" s="102">
        <v>311</v>
      </c>
      <c r="P254" s="94">
        <v>0</v>
      </c>
      <c r="Q254" s="102">
        <v>2.0299999999999998</v>
      </c>
      <c r="R254" s="102">
        <v>2.0299999999999998</v>
      </c>
      <c r="S254" s="102">
        <v>2.0299999999999998</v>
      </c>
      <c r="T254" s="102">
        <v>2.0299999999999998</v>
      </c>
      <c r="U254" s="102">
        <v>2.0299999999999998</v>
      </c>
      <c r="V254" s="102">
        <v>2.0299999999999998</v>
      </c>
      <c r="W254" s="102">
        <v>2.0299999999999998</v>
      </c>
      <c r="X254" s="102">
        <v>0.1</v>
      </c>
      <c r="Y254" s="102">
        <v>0.1</v>
      </c>
      <c r="Z254" s="102">
        <v>0.1</v>
      </c>
      <c r="AA254" s="102">
        <v>0.1</v>
      </c>
      <c r="AB254" s="102">
        <v>0.1</v>
      </c>
      <c r="AC254" s="102">
        <v>0.1</v>
      </c>
      <c r="AD254" s="102">
        <v>0.1</v>
      </c>
      <c r="AE254" s="186">
        <v>0.08</v>
      </c>
      <c r="AF254" s="94">
        <v>0</v>
      </c>
      <c r="AG254" s="94">
        <v>25</v>
      </c>
      <c r="AH254" s="94">
        <v>15</v>
      </c>
      <c r="AI254" s="17">
        <v>3.5</v>
      </c>
      <c r="AJ254" s="17" t="s">
        <v>1241</v>
      </c>
      <c r="AK254" s="17" t="s">
        <v>1290</v>
      </c>
      <c r="AL254" s="17"/>
      <c r="AM254" s="61"/>
      <c r="AN254" s="61"/>
      <c r="AO254" s="61"/>
      <c r="AP254" s="61"/>
      <c r="AQ254" s="61"/>
      <c r="AR254" s="61"/>
      <c r="AS254" s="64"/>
      <c r="AT254" s="64"/>
      <c r="AU254" s="64"/>
      <c r="AV254" s="132"/>
      <c r="AW254" s="132"/>
      <c r="AX254" s="132"/>
      <c r="AY254" s="28" t="s">
        <v>662</v>
      </c>
      <c r="AZ254" s="28"/>
      <c r="BA254" s="28"/>
      <c r="BB254" s="28"/>
      <c r="BC254" s="28"/>
      <c r="BD254" s="28"/>
      <c r="BE254" s="28"/>
      <c r="BF254" s="28"/>
      <c r="BG254" s="28"/>
      <c r="BH254" s="106"/>
      <c r="BI254" s="106"/>
      <c r="BJ254" s="106"/>
      <c r="BK254" s="106"/>
      <c r="BL254" s="137">
        <v>1</v>
      </c>
      <c r="BM254" s="123"/>
      <c r="BN254" s="196">
        <v>8</v>
      </c>
      <c r="BO254" s="94"/>
      <c r="BP254" s="94"/>
      <c r="BQ254" s="94"/>
      <c r="BR254" s="94"/>
      <c r="BS254" s="94"/>
      <c r="BT254" s="94"/>
      <c r="BU254" s="28">
        <f t="shared" si="242"/>
        <v>8</v>
      </c>
      <c r="BV254" s="28"/>
      <c r="BW254" s="28"/>
      <c r="BX254" s="28"/>
      <c r="BY254" s="28"/>
      <c r="BZ254" s="28"/>
      <c r="CA254" s="28"/>
      <c r="CB254" s="245">
        <f>BU254</f>
        <v>8</v>
      </c>
      <c r="CC254" s="246">
        <f t="shared" si="254"/>
        <v>9.25</v>
      </c>
      <c r="CD254" s="246">
        <v>10.49</v>
      </c>
      <c r="CE254" s="246">
        <f t="shared" si="243"/>
        <v>10.83</v>
      </c>
      <c r="CF254" s="246">
        <v>11.17</v>
      </c>
      <c r="CG254" s="246">
        <f t="shared" si="245"/>
        <v>12.15</v>
      </c>
      <c r="CH254" s="247">
        <v>13.12</v>
      </c>
      <c r="CI254" s="191">
        <f>25*0.5</f>
        <v>12.5</v>
      </c>
      <c r="CJ254" s="175"/>
      <c r="CK254" s="175"/>
      <c r="CL254" s="175"/>
      <c r="CM254" s="175"/>
      <c r="CN254" s="175"/>
      <c r="CO254" s="175"/>
      <c r="CP254" s="176"/>
      <c r="CQ254" s="176"/>
      <c r="CR254" s="176"/>
      <c r="CS254" s="176"/>
      <c r="CT254" s="176"/>
      <c r="CU254" s="176"/>
      <c r="CV254" s="176"/>
      <c r="CW254" s="167"/>
      <c r="CX254" s="168"/>
      <c r="CY254" s="168"/>
      <c r="CZ254" s="168"/>
      <c r="DA254" s="168"/>
      <c r="DB254" s="168"/>
      <c r="DC254" s="168"/>
      <c r="DD254" s="172"/>
      <c r="DE254" s="172"/>
      <c r="DF254" s="172"/>
      <c r="DG254" s="172"/>
      <c r="DH254" s="172"/>
      <c r="DI254" s="172"/>
      <c r="DJ254" s="172"/>
      <c r="DK254" s="80" t="s">
        <v>415</v>
      </c>
      <c r="DL254" s="129"/>
      <c r="DM254" s="129"/>
      <c r="DN254" s="129"/>
      <c r="DO254" s="129"/>
      <c r="DP254" s="129"/>
      <c r="DQ254" s="129"/>
      <c r="DR254" s="129"/>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1291</v>
      </c>
      <c r="B255" s="5" t="s">
        <v>654</v>
      </c>
      <c r="C255" s="5" t="s">
        <v>788</v>
      </c>
      <c r="D255" s="5" t="s">
        <v>1247</v>
      </c>
      <c r="E255" s="5" t="s">
        <v>1248</v>
      </c>
      <c r="F255" s="5" t="s">
        <v>456</v>
      </c>
      <c r="G255" s="47" t="s">
        <v>1292</v>
      </c>
      <c r="H255" s="237" t="s">
        <v>981</v>
      </c>
      <c r="I255" s="101">
        <v>770</v>
      </c>
      <c r="J255" s="101">
        <f t="shared" ref="J255:J259" si="255">(K255+I255)/2</f>
        <v>617</v>
      </c>
      <c r="K255" s="101">
        <v>464</v>
      </c>
      <c r="L255" s="101">
        <f t="shared" ref="L255:L259" si="256">(M255+K255)/2</f>
        <v>425.75</v>
      </c>
      <c r="M255" s="101">
        <f t="shared" ref="M255:M259" si="257">(K255+O255)/2</f>
        <v>387.5</v>
      </c>
      <c r="N255" s="101">
        <f t="shared" ref="N255:N259" si="258">(O255+M255)/2</f>
        <v>349.25</v>
      </c>
      <c r="O255" s="101">
        <v>311</v>
      </c>
      <c r="P255" s="93">
        <v>0</v>
      </c>
      <c r="Q255" s="292">
        <v>2.04</v>
      </c>
      <c r="R255" s="292">
        <v>2.04</v>
      </c>
      <c r="S255" s="292">
        <v>2.04</v>
      </c>
      <c r="T255" s="292">
        <v>2.04</v>
      </c>
      <c r="U255" s="292">
        <v>2.04</v>
      </c>
      <c r="V255" s="292">
        <v>2.04</v>
      </c>
      <c r="W255" s="292">
        <v>2.04</v>
      </c>
      <c r="X255" s="101">
        <v>0.1</v>
      </c>
      <c r="Y255" s="101">
        <v>0.1</v>
      </c>
      <c r="Z255" s="101">
        <v>0.1</v>
      </c>
      <c r="AA255" s="101">
        <v>0.1</v>
      </c>
      <c r="AB255" s="101">
        <v>0.1</v>
      </c>
      <c r="AC255" s="101">
        <v>0.1</v>
      </c>
      <c r="AD255" s="101">
        <v>0.1</v>
      </c>
      <c r="AE255" s="186">
        <v>0.08</v>
      </c>
      <c r="AF255" s="93">
        <v>0</v>
      </c>
      <c r="AG255" s="93">
        <v>25</v>
      </c>
      <c r="AH255" s="93">
        <v>15</v>
      </c>
      <c r="AI255" s="16">
        <v>3.5</v>
      </c>
      <c r="AJ255" s="16" t="s">
        <v>1241</v>
      </c>
      <c r="AK255" s="16" t="s">
        <v>1290</v>
      </c>
      <c r="AL255" s="16"/>
      <c r="AM255" s="60"/>
      <c r="AN255" s="60"/>
      <c r="AO255" s="60"/>
      <c r="AP255" s="60"/>
      <c r="AQ255" s="60"/>
      <c r="AR255" s="60"/>
      <c r="AS255" s="63"/>
      <c r="AT255" s="63"/>
      <c r="AU255" s="63"/>
      <c r="AV255" s="131"/>
      <c r="AW255" s="131"/>
      <c r="AX255" s="131"/>
      <c r="AY255" s="27" t="s">
        <v>662</v>
      </c>
      <c r="AZ255" s="27"/>
      <c r="BA255" s="27"/>
      <c r="BB255" s="30"/>
      <c r="BC255" s="30"/>
      <c r="BD255" s="30"/>
      <c r="BE255" s="30"/>
      <c r="BF255" s="30"/>
      <c r="BG255" s="30"/>
      <c r="BH255" s="107"/>
      <c r="BI255" s="107"/>
      <c r="BJ255" s="107"/>
      <c r="BK255" s="107"/>
      <c r="BL255" s="136"/>
      <c r="BM255" s="122"/>
      <c r="BN255" s="138">
        <v>2.7</v>
      </c>
      <c r="BO255" s="93"/>
      <c r="BP255" s="93"/>
      <c r="BQ255" s="93"/>
      <c r="BR255" s="93"/>
      <c r="BS255" s="93"/>
      <c r="BT255" s="93"/>
      <c r="BU255" s="27">
        <f t="shared" ref="BU255" si="259">IF(BL255=1,BN255,0)</f>
        <v>0</v>
      </c>
      <c r="BV255" s="27"/>
      <c r="BW255" s="27"/>
      <c r="BX255" s="27"/>
      <c r="BY255" s="27"/>
      <c r="BZ255" s="27"/>
      <c r="CA255" s="27"/>
      <c r="CB255" s="248">
        <v>2.8</v>
      </c>
      <c r="CC255" s="244">
        <f t="shared" si="254"/>
        <v>5.47</v>
      </c>
      <c r="CD255" s="244">
        <v>8.1300000000000008</v>
      </c>
      <c r="CE255" s="244">
        <f t="shared" si="243"/>
        <v>15.23</v>
      </c>
      <c r="CF255" s="244">
        <v>22.32</v>
      </c>
      <c r="CG255" s="244">
        <f t="shared" si="245"/>
        <v>30.83</v>
      </c>
      <c r="CH255" s="249">
        <v>39.33</v>
      </c>
      <c r="CI255" s="173"/>
      <c r="CJ255" s="173"/>
      <c r="CK255" s="173"/>
      <c r="CL255" s="173"/>
      <c r="CM255" s="173"/>
      <c r="CN255" s="173"/>
      <c r="CO255" s="173"/>
      <c r="CP255" s="174"/>
      <c r="CQ255" s="174"/>
      <c r="CR255" s="174"/>
      <c r="CS255" s="174"/>
      <c r="CT255" s="174"/>
      <c r="CU255" s="174"/>
      <c r="CV255" s="174"/>
      <c r="CW255" s="165"/>
      <c r="CX255" s="166"/>
      <c r="CY255" s="166"/>
      <c r="CZ255" s="166"/>
      <c r="DA255" s="166"/>
      <c r="DB255" s="166"/>
      <c r="DC255" s="166"/>
      <c r="DD255" s="171"/>
      <c r="DE255" s="171"/>
      <c r="DF255" s="171"/>
      <c r="DG255" s="171"/>
      <c r="DH255" s="171"/>
      <c r="DI255" s="171"/>
      <c r="DJ255" s="171"/>
      <c r="DK255" s="79" t="s">
        <v>415</v>
      </c>
      <c r="DL255" s="128"/>
      <c r="DM255" s="128"/>
      <c r="DN255" s="128"/>
      <c r="DO255" s="128"/>
      <c r="DP255" s="128"/>
      <c r="DQ255" s="128"/>
      <c r="DR255" s="128"/>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6" t="s">
        <v>726</v>
      </c>
      <c r="C256" s="6" t="s">
        <v>788</v>
      </c>
      <c r="D256" s="6" t="s">
        <v>1247</v>
      </c>
      <c r="E256" s="6" t="s">
        <v>1248</v>
      </c>
      <c r="F256" s="6" t="s">
        <v>456</v>
      </c>
      <c r="G256" s="48" t="s">
        <v>1294</v>
      </c>
      <c r="H256" s="235" t="s">
        <v>981</v>
      </c>
      <c r="I256" s="102">
        <v>770</v>
      </c>
      <c r="J256" s="102">
        <f t="shared" si="255"/>
        <v>617</v>
      </c>
      <c r="K256" s="102">
        <v>464</v>
      </c>
      <c r="L256" s="102">
        <f t="shared" si="256"/>
        <v>425.75</v>
      </c>
      <c r="M256" s="102">
        <f t="shared" si="257"/>
        <v>387.5</v>
      </c>
      <c r="N256" s="102">
        <f t="shared" si="258"/>
        <v>349.25</v>
      </c>
      <c r="O256" s="102">
        <v>311</v>
      </c>
      <c r="P256" s="94">
        <v>0</v>
      </c>
      <c r="Q256" s="292">
        <v>1.89</v>
      </c>
      <c r="R256" s="292">
        <v>1.89</v>
      </c>
      <c r="S256" s="292">
        <v>1.89</v>
      </c>
      <c r="T256" s="292">
        <v>1.89</v>
      </c>
      <c r="U256" s="292">
        <v>1.89</v>
      </c>
      <c r="V256" s="292">
        <v>1.89</v>
      </c>
      <c r="W256" s="292">
        <v>1.89</v>
      </c>
      <c r="X256" s="102">
        <v>0.52</v>
      </c>
      <c r="Y256" s="102">
        <v>0.52</v>
      </c>
      <c r="Z256" s="102">
        <v>0.52</v>
      </c>
      <c r="AA256" s="102">
        <v>0.52</v>
      </c>
      <c r="AB256" s="102">
        <v>0.52</v>
      </c>
      <c r="AC256" s="102">
        <v>0.52</v>
      </c>
      <c r="AD256" s="102">
        <v>0.52</v>
      </c>
      <c r="AE256" s="186">
        <v>0.08</v>
      </c>
      <c r="AF256" s="94">
        <v>0</v>
      </c>
      <c r="AG256" s="94">
        <v>15</v>
      </c>
      <c r="AH256" s="94">
        <v>15</v>
      </c>
      <c r="AI256" s="17">
        <v>3.5</v>
      </c>
      <c r="AJ256" s="17" t="s">
        <v>1241</v>
      </c>
      <c r="AK256" s="17" t="s">
        <v>1290</v>
      </c>
      <c r="AL256" s="17"/>
      <c r="AM256" s="61"/>
      <c r="AN256" s="61"/>
      <c r="AO256" s="61"/>
      <c r="AP256" s="61"/>
      <c r="AQ256" s="61"/>
      <c r="AR256" s="61"/>
      <c r="AS256" s="64"/>
      <c r="AT256" s="64"/>
      <c r="AU256" s="64"/>
      <c r="AV256" s="132"/>
      <c r="AW256" s="132"/>
      <c r="AX256" s="132"/>
      <c r="AY256" s="28" t="s">
        <v>662</v>
      </c>
      <c r="AZ256" s="28"/>
      <c r="BA256" s="28"/>
      <c r="BB256" s="28"/>
      <c r="BC256" s="28"/>
      <c r="BD256" s="28"/>
      <c r="BE256" s="28"/>
      <c r="BF256" s="28"/>
      <c r="BG256" s="28"/>
      <c r="BH256" s="106"/>
      <c r="BI256" s="106"/>
      <c r="BJ256" s="106"/>
      <c r="BK256" s="106"/>
      <c r="BL256" s="137">
        <v>1</v>
      </c>
      <c r="BM256" s="123"/>
      <c r="BN256" s="196">
        <v>2</v>
      </c>
      <c r="BO256" s="94"/>
      <c r="BP256" s="94"/>
      <c r="BQ256" s="94"/>
      <c r="BR256" s="94"/>
      <c r="BS256" s="94"/>
      <c r="BT256" s="94"/>
      <c r="BU256" s="28">
        <f>IF(BL256=1,BN256,0)</f>
        <v>2</v>
      </c>
      <c r="BV256" s="28"/>
      <c r="BW256" s="28"/>
      <c r="BX256" s="28"/>
      <c r="BY256" s="28"/>
      <c r="BZ256" s="28"/>
      <c r="CA256" s="28"/>
      <c r="CB256" s="248">
        <v>3.5</v>
      </c>
      <c r="CC256" s="244">
        <f t="shared" si="254"/>
        <v>6.47</v>
      </c>
      <c r="CD256" s="244">
        <v>9.44</v>
      </c>
      <c r="CE256" s="244">
        <f t="shared" si="243"/>
        <v>15.47</v>
      </c>
      <c r="CF256" s="244">
        <v>21.5</v>
      </c>
      <c r="CG256" s="244">
        <f t="shared" si="245"/>
        <v>28.87</v>
      </c>
      <c r="CH256" s="249">
        <v>36.229999999999997</v>
      </c>
      <c r="CI256" s="191">
        <f>6*0.5</f>
        <v>3</v>
      </c>
      <c r="CJ256" s="175"/>
      <c r="CK256" s="175"/>
      <c r="CL256" s="175"/>
      <c r="CM256" s="175"/>
      <c r="CN256" s="175"/>
      <c r="CO256" s="175"/>
      <c r="CP256" s="176"/>
      <c r="CQ256" s="176"/>
      <c r="CR256" s="176"/>
      <c r="CS256" s="176"/>
      <c r="CT256" s="176"/>
      <c r="CU256" s="176"/>
      <c r="CV256" s="176"/>
      <c r="CW256" s="167"/>
      <c r="CX256" s="168"/>
      <c r="CY256" s="168"/>
      <c r="CZ256" s="168"/>
      <c r="DA256" s="168"/>
      <c r="DB256" s="168"/>
      <c r="DC256" s="168"/>
      <c r="DD256" s="172"/>
      <c r="DE256" s="172"/>
      <c r="DF256" s="172"/>
      <c r="DG256" s="172"/>
      <c r="DH256" s="172"/>
      <c r="DI256" s="172"/>
      <c r="DJ256" s="172"/>
      <c r="DK256" s="80" t="s">
        <v>1251</v>
      </c>
      <c r="DL256" s="129"/>
      <c r="DM256" s="129"/>
      <c r="DN256" s="129"/>
      <c r="DO256" s="129"/>
      <c r="DP256" s="129"/>
      <c r="DQ256" s="129"/>
      <c r="DR256" s="129"/>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5" t="s">
        <v>740</v>
      </c>
      <c r="C257" s="5" t="s">
        <v>788</v>
      </c>
      <c r="D257" s="5" t="s">
        <v>1247</v>
      </c>
      <c r="E257" s="5" t="s">
        <v>1248</v>
      </c>
      <c r="F257" s="5" t="s">
        <v>455</v>
      </c>
      <c r="G257" s="47" t="s">
        <v>1296</v>
      </c>
      <c r="H257" s="237" t="s">
        <v>981</v>
      </c>
      <c r="I257" s="101">
        <v>770</v>
      </c>
      <c r="J257" s="101">
        <f t="shared" si="255"/>
        <v>617</v>
      </c>
      <c r="K257" s="101">
        <v>464</v>
      </c>
      <c r="L257" s="101">
        <f t="shared" si="256"/>
        <v>425.75</v>
      </c>
      <c r="M257" s="101">
        <f t="shared" si="257"/>
        <v>387.5</v>
      </c>
      <c r="N257" s="101">
        <f t="shared" si="258"/>
        <v>349.25</v>
      </c>
      <c r="O257" s="101">
        <v>311</v>
      </c>
      <c r="P257" s="93">
        <v>0</v>
      </c>
      <c r="Q257" s="292">
        <v>2.06</v>
      </c>
      <c r="R257" s="292">
        <v>2.06</v>
      </c>
      <c r="S257" s="292">
        <v>2.06</v>
      </c>
      <c r="T257" s="292">
        <v>2.06</v>
      </c>
      <c r="U257" s="292">
        <v>2.06</v>
      </c>
      <c r="V257" s="292">
        <v>2.06</v>
      </c>
      <c r="W257" s="292">
        <v>2.06</v>
      </c>
      <c r="X257" s="101">
        <v>0.1</v>
      </c>
      <c r="Y257" s="101">
        <v>0.1</v>
      </c>
      <c r="Z257" s="101">
        <v>0.1</v>
      </c>
      <c r="AA257" s="101">
        <v>0.1</v>
      </c>
      <c r="AB257" s="101">
        <v>0.1</v>
      </c>
      <c r="AC257" s="101">
        <v>0.1</v>
      </c>
      <c r="AD257" s="101">
        <v>0.1</v>
      </c>
      <c r="AE257" s="186">
        <v>0.08</v>
      </c>
      <c r="AF257" s="93">
        <v>0</v>
      </c>
      <c r="AG257" s="93">
        <v>25</v>
      </c>
      <c r="AH257" s="93">
        <v>25</v>
      </c>
      <c r="AI257" s="16">
        <v>3.5</v>
      </c>
      <c r="AJ257" s="16" t="s">
        <v>1241</v>
      </c>
      <c r="AK257" s="16" t="s">
        <v>1290</v>
      </c>
      <c r="AL257" s="16"/>
      <c r="AM257" s="60"/>
      <c r="AN257" s="60"/>
      <c r="AO257" s="60"/>
      <c r="AP257" s="60"/>
      <c r="AQ257" s="60"/>
      <c r="AR257" s="60"/>
      <c r="AS257" s="63"/>
      <c r="AT257" s="63"/>
      <c r="AU257" s="63"/>
      <c r="AV257" s="131"/>
      <c r="AW257" s="131"/>
      <c r="AX257" s="131"/>
      <c r="AY257" s="27" t="s">
        <v>662</v>
      </c>
      <c r="AZ257" s="27"/>
      <c r="BA257" s="27"/>
      <c r="BB257" s="30"/>
      <c r="BC257" s="30"/>
      <c r="BD257" s="30"/>
      <c r="BE257" s="30"/>
      <c r="BF257" s="30"/>
      <c r="BG257" s="30"/>
      <c r="BH257" s="107"/>
      <c r="BI257" s="107"/>
      <c r="BJ257" s="107"/>
      <c r="BK257" s="107"/>
      <c r="BL257" s="136">
        <v>1</v>
      </c>
      <c r="BM257" s="122"/>
      <c r="BN257" s="138">
        <v>0.1</v>
      </c>
      <c r="BO257" s="93"/>
      <c r="BP257" s="93"/>
      <c r="BQ257" s="93"/>
      <c r="BR257" s="93"/>
      <c r="BS257" s="93"/>
      <c r="BT257" s="93"/>
      <c r="BU257" s="27">
        <f t="shared" ref="BU257:BU258" si="260">IF(BL257=1,BN257,0)</f>
        <v>0.1</v>
      </c>
      <c r="BV257" s="27"/>
      <c r="BW257" s="27"/>
      <c r="BX257" s="27"/>
      <c r="BY257" s="27"/>
      <c r="BZ257" s="27"/>
      <c r="CA257" s="27"/>
      <c r="CB257" s="248">
        <v>1.1000000000000001</v>
      </c>
      <c r="CC257" s="244">
        <f t="shared" si="254"/>
        <v>1.44</v>
      </c>
      <c r="CD257" s="244">
        <v>1.77</v>
      </c>
      <c r="CE257" s="244">
        <f t="shared" si="243"/>
        <v>1.91</v>
      </c>
      <c r="CF257" s="244">
        <v>2.0499999999999998</v>
      </c>
      <c r="CG257" s="244">
        <f t="shared" si="245"/>
        <v>2.2999999999999998</v>
      </c>
      <c r="CH257" s="249">
        <v>2.5499999999999998</v>
      </c>
      <c r="CI257" s="173"/>
      <c r="CJ257" s="173"/>
      <c r="CK257" s="173"/>
      <c r="CL257" s="173"/>
      <c r="CM257" s="173"/>
      <c r="CN257" s="173"/>
      <c r="CO257" s="173"/>
      <c r="CP257" s="174"/>
      <c r="CQ257" s="174"/>
      <c r="CR257" s="174"/>
      <c r="CS257" s="174"/>
      <c r="CT257" s="174"/>
      <c r="CU257" s="174"/>
      <c r="CV257" s="174"/>
      <c r="CW257" s="165"/>
      <c r="CX257" s="166"/>
      <c r="CY257" s="166"/>
      <c r="CZ257" s="166"/>
      <c r="DA257" s="166"/>
      <c r="DB257" s="166"/>
      <c r="DC257" s="166"/>
      <c r="DD257" s="171"/>
      <c r="DE257" s="171"/>
      <c r="DF257" s="171"/>
      <c r="DG257" s="171"/>
      <c r="DH257" s="171"/>
      <c r="DI257" s="171"/>
      <c r="DJ257" s="171"/>
      <c r="DK257" s="79" t="s">
        <v>415</v>
      </c>
      <c r="DL257" s="128"/>
      <c r="DM257" s="128"/>
      <c r="DN257" s="128"/>
      <c r="DO257" s="128"/>
      <c r="DP257" s="128"/>
      <c r="DQ257" s="128"/>
      <c r="DR257" s="128"/>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6" t="s">
        <v>1243</v>
      </c>
      <c r="C258" s="6" t="s">
        <v>788</v>
      </c>
      <c r="D258" s="6" t="s">
        <v>1247</v>
      </c>
      <c r="E258" s="6" t="s">
        <v>1248</v>
      </c>
      <c r="F258" s="6" t="s">
        <v>455</v>
      </c>
      <c r="G258" s="48" t="s">
        <v>1298</v>
      </c>
      <c r="H258" s="235" t="s">
        <v>981</v>
      </c>
      <c r="I258" s="102">
        <v>770</v>
      </c>
      <c r="J258" s="102">
        <f t="shared" si="255"/>
        <v>617</v>
      </c>
      <c r="K258" s="102">
        <v>464</v>
      </c>
      <c r="L258" s="102">
        <f t="shared" si="256"/>
        <v>425.75</v>
      </c>
      <c r="M258" s="102">
        <f t="shared" si="257"/>
        <v>387.5</v>
      </c>
      <c r="N258" s="102">
        <f t="shared" si="258"/>
        <v>349.25</v>
      </c>
      <c r="O258" s="102">
        <v>311</v>
      </c>
      <c r="P258" s="94">
        <v>0</v>
      </c>
      <c r="Q258" s="292">
        <v>2.0499999999999998</v>
      </c>
      <c r="R258" s="292">
        <v>2.0499999999999998</v>
      </c>
      <c r="S258" s="292">
        <v>2.0499999999999998</v>
      </c>
      <c r="T258" s="292">
        <v>2.0499999999999998</v>
      </c>
      <c r="U258" s="292">
        <v>2.0499999999999998</v>
      </c>
      <c r="V258" s="292">
        <v>2.0499999999999998</v>
      </c>
      <c r="W258" s="292">
        <v>2.0499999999999998</v>
      </c>
      <c r="X258" s="102">
        <v>0.1</v>
      </c>
      <c r="Y258" s="102">
        <v>0.1</v>
      </c>
      <c r="Z258" s="102">
        <v>0.1</v>
      </c>
      <c r="AA258" s="102">
        <v>0.1</v>
      </c>
      <c r="AB258" s="102">
        <v>0.1</v>
      </c>
      <c r="AC258" s="102">
        <v>0.1</v>
      </c>
      <c r="AD258" s="102">
        <v>0.1</v>
      </c>
      <c r="AE258" s="186">
        <v>0.08</v>
      </c>
      <c r="AF258" s="94">
        <v>0</v>
      </c>
      <c r="AG258" s="94">
        <v>25</v>
      </c>
      <c r="AH258" s="94">
        <v>25</v>
      </c>
      <c r="AI258" s="17">
        <v>3.7</v>
      </c>
      <c r="AJ258" s="17" t="s">
        <v>1241</v>
      </c>
      <c r="AK258" s="17" t="s">
        <v>1290</v>
      </c>
      <c r="AL258" s="17"/>
      <c r="AM258" s="61"/>
      <c r="AN258" s="61"/>
      <c r="AO258" s="61"/>
      <c r="AP258" s="61"/>
      <c r="AQ258" s="61"/>
      <c r="AR258" s="61"/>
      <c r="AS258" s="64"/>
      <c r="AT258" s="64"/>
      <c r="AU258" s="64"/>
      <c r="AV258" s="132"/>
      <c r="AW258" s="132"/>
      <c r="AX258" s="132"/>
      <c r="AY258" s="28" t="s">
        <v>662</v>
      </c>
      <c r="AZ258" s="28"/>
      <c r="BA258" s="28"/>
      <c r="BB258" s="28"/>
      <c r="BC258" s="28"/>
      <c r="BD258" s="28"/>
      <c r="BE258" s="28"/>
      <c r="BF258" s="28"/>
      <c r="BG258" s="28"/>
      <c r="BH258" s="106"/>
      <c r="BI258" s="106"/>
      <c r="BJ258" s="106"/>
      <c r="BK258" s="106"/>
      <c r="BL258" s="137"/>
      <c r="BM258" s="123"/>
      <c r="BN258" s="139">
        <v>0</v>
      </c>
      <c r="BO258" s="94"/>
      <c r="BP258" s="94"/>
      <c r="BQ258" s="94"/>
      <c r="BR258" s="94"/>
      <c r="BS258" s="94"/>
      <c r="BT258" s="94"/>
      <c r="BU258" s="28">
        <f t="shared" si="260"/>
        <v>0</v>
      </c>
      <c r="BV258" s="28"/>
      <c r="BW258" s="28"/>
      <c r="BX258" s="28"/>
      <c r="BY258" s="28"/>
      <c r="BZ258" s="28"/>
      <c r="CA258" s="28"/>
      <c r="CB258" s="248">
        <v>1.1000000000000001</v>
      </c>
      <c r="CC258" s="244">
        <f t="shared" si="254"/>
        <v>1.06</v>
      </c>
      <c r="CD258" s="244">
        <v>1.01</v>
      </c>
      <c r="CE258" s="244">
        <f t="shared" si="243"/>
        <v>1.05</v>
      </c>
      <c r="CF258" s="244">
        <v>1.08</v>
      </c>
      <c r="CG258" s="244">
        <f t="shared" si="245"/>
        <v>1.18</v>
      </c>
      <c r="CH258" s="249">
        <v>1.28</v>
      </c>
      <c r="CI258" s="175"/>
      <c r="CJ258" s="175"/>
      <c r="CK258" s="175"/>
      <c r="CL258" s="175"/>
      <c r="CM258" s="175"/>
      <c r="CN258" s="175"/>
      <c r="CO258" s="175"/>
      <c r="CP258" s="176"/>
      <c r="CQ258" s="176"/>
      <c r="CR258" s="176"/>
      <c r="CS258" s="176"/>
      <c r="CT258" s="176"/>
      <c r="CU258" s="176"/>
      <c r="CV258" s="176"/>
      <c r="CW258" s="167"/>
      <c r="CX258" s="168"/>
      <c r="CY258" s="168"/>
      <c r="CZ258" s="168"/>
      <c r="DA258" s="168"/>
      <c r="DB258" s="168"/>
      <c r="DC258" s="168"/>
      <c r="DD258" s="172"/>
      <c r="DE258" s="172"/>
      <c r="DF258" s="172"/>
      <c r="DG258" s="172"/>
      <c r="DH258" s="172"/>
      <c r="DI258" s="172"/>
      <c r="DJ258" s="172"/>
      <c r="DK258" s="80" t="s">
        <v>415</v>
      </c>
      <c r="DL258" s="129"/>
      <c r="DM258" s="129"/>
      <c r="DN258" s="129"/>
      <c r="DO258" s="129"/>
      <c r="DP258" s="129"/>
      <c r="DQ258" s="129"/>
      <c r="DR258" s="129"/>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ht="15" thickBot="1" x14ac:dyDescent="0.4">
      <c r="A259" s="238" t="s">
        <v>1299</v>
      </c>
      <c r="B259" s="5" t="s">
        <v>1243</v>
      </c>
      <c r="C259" s="5" t="s">
        <v>788</v>
      </c>
      <c r="D259" s="5" t="s">
        <v>1247</v>
      </c>
      <c r="E259" s="5" t="s">
        <v>1248</v>
      </c>
      <c r="F259" s="5" t="s">
        <v>455</v>
      </c>
      <c r="G259" s="47" t="s">
        <v>1300</v>
      </c>
      <c r="H259" s="237" t="s">
        <v>981</v>
      </c>
      <c r="I259" s="101">
        <v>770</v>
      </c>
      <c r="J259" s="101">
        <f t="shared" si="255"/>
        <v>617</v>
      </c>
      <c r="K259" s="101">
        <v>464</v>
      </c>
      <c r="L259" s="101">
        <f t="shared" si="256"/>
        <v>425.75</v>
      </c>
      <c r="M259" s="101">
        <f t="shared" si="257"/>
        <v>387.5</v>
      </c>
      <c r="N259" s="101">
        <f t="shared" si="258"/>
        <v>349.25</v>
      </c>
      <c r="O259" s="101">
        <v>311</v>
      </c>
      <c r="P259" s="93">
        <v>0</v>
      </c>
      <c r="Q259" s="101">
        <v>1.88</v>
      </c>
      <c r="R259" s="101">
        <v>1.88</v>
      </c>
      <c r="S259" s="101">
        <v>1.88</v>
      </c>
      <c r="T259" s="101">
        <v>1.88</v>
      </c>
      <c r="U259" s="101">
        <v>1.88</v>
      </c>
      <c r="V259" s="101">
        <v>1.88</v>
      </c>
      <c r="W259" s="101">
        <v>1.88</v>
      </c>
      <c r="X259" s="101">
        <v>0.52</v>
      </c>
      <c r="Y259" s="101">
        <v>0.52</v>
      </c>
      <c r="Z259" s="101">
        <v>0.52</v>
      </c>
      <c r="AA259" s="101">
        <v>0.52</v>
      </c>
      <c r="AB259" s="101">
        <v>0.52</v>
      </c>
      <c r="AC259" s="101">
        <v>0.52</v>
      </c>
      <c r="AD259" s="101">
        <v>0.52</v>
      </c>
      <c r="AE259" s="186">
        <v>0.08</v>
      </c>
      <c r="AF259" s="93">
        <v>0</v>
      </c>
      <c r="AG259" s="93">
        <v>15</v>
      </c>
      <c r="AH259" s="93">
        <v>25</v>
      </c>
      <c r="AI259" s="16">
        <v>3.7</v>
      </c>
      <c r="AJ259" s="16" t="s">
        <v>1241</v>
      </c>
      <c r="AK259" s="16" t="s">
        <v>1290</v>
      </c>
      <c r="AL259" s="16"/>
      <c r="AM259" s="60"/>
      <c r="AN259" s="60"/>
      <c r="AO259" s="60"/>
      <c r="AP259" s="60"/>
      <c r="AQ259" s="60"/>
      <c r="AR259" s="60"/>
      <c r="AS259" s="63"/>
      <c r="AT259" s="63"/>
      <c r="AU259" s="63"/>
      <c r="AV259" s="131"/>
      <c r="AW259" s="131"/>
      <c r="AX259" s="131"/>
      <c r="AY259" s="27" t="s">
        <v>662</v>
      </c>
      <c r="AZ259" s="27"/>
      <c r="BA259" s="27"/>
      <c r="BB259" s="30"/>
      <c r="BC259" s="30"/>
      <c r="BD259" s="30"/>
      <c r="BE259" s="30"/>
      <c r="BF259" s="30"/>
      <c r="BG259" s="30"/>
      <c r="BH259" s="107"/>
      <c r="BI259" s="107"/>
      <c r="BJ259" s="107"/>
      <c r="BK259" s="107"/>
      <c r="BL259" s="136">
        <v>1</v>
      </c>
      <c r="BM259" s="122"/>
      <c r="BN259" s="196">
        <v>3.5</v>
      </c>
      <c r="BO259" s="93"/>
      <c r="BP259" s="93"/>
      <c r="BQ259" s="93"/>
      <c r="BR259" s="93"/>
      <c r="BS259" s="93"/>
      <c r="BT259" s="93"/>
      <c r="BU259" s="27">
        <f>IF(BL259=1,BN259,0)</f>
        <v>3.5</v>
      </c>
      <c r="BV259" s="27"/>
      <c r="BW259" s="27"/>
      <c r="BX259" s="27"/>
      <c r="BY259" s="27"/>
      <c r="BZ259" s="27"/>
      <c r="CA259" s="27"/>
      <c r="CB259" s="250">
        <v>3.5</v>
      </c>
      <c r="CC259" s="251">
        <f t="shared" si="254"/>
        <v>4.63</v>
      </c>
      <c r="CD259" s="251">
        <v>5.76</v>
      </c>
      <c r="CE259" s="251">
        <f t="shared" si="243"/>
        <v>8.1199999999999992</v>
      </c>
      <c r="CF259" s="251">
        <v>10.48</v>
      </c>
      <c r="CG259" s="251">
        <f t="shared" si="245"/>
        <v>13.48</v>
      </c>
      <c r="CH259" s="252">
        <v>16.48</v>
      </c>
      <c r="CI259" s="191">
        <f>12*0.5</f>
        <v>6</v>
      </c>
      <c r="CJ259" s="173"/>
      <c r="CK259" s="173"/>
      <c r="CL259" s="173"/>
      <c r="CM259" s="173"/>
      <c r="CN259" s="173"/>
      <c r="CO259" s="173"/>
      <c r="CP259" s="174"/>
      <c r="CQ259" s="174"/>
      <c r="CR259" s="174"/>
      <c r="CS259" s="174"/>
      <c r="CT259" s="174"/>
      <c r="CU259" s="174"/>
      <c r="CV259" s="174"/>
      <c r="CW259" s="165"/>
      <c r="CX259" s="166"/>
      <c r="CY259" s="166"/>
      <c r="CZ259" s="166"/>
      <c r="DA259" s="166"/>
      <c r="DB259" s="166"/>
      <c r="DC259" s="166"/>
      <c r="DD259" s="171"/>
      <c r="DE259" s="171"/>
      <c r="DF259" s="171"/>
      <c r="DG259" s="171"/>
      <c r="DH259" s="171"/>
      <c r="DI259" s="171"/>
      <c r="DJ259" s="171"/>
      <c r="DK259" s="79" t="s">
        <v>1251</v>
      </c>
      <c r="DL259" s="128"/>
      <c r="DM259" s="128"/>
      <c r="DN259" s="128"/>
      <c r="DO259" s="128"/>
      <c r="DP259" s="128"/>
      <c r="DQ259" s="128"/>
      <c r="DR259" s="128"/>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x14ac:dyDescent="0.35">
      <c r="A260" s="234" t="s">
        <v>1301</v>
      </c>
      <c r="B260" s="6" t="s">
        <v>1243</v>
      </c>
      <c r="C260" s="6" t="s">
        <v>788</v>
      </c>
      <c r="D260" s="6" t="s">
        <v>1247</v>
      </c>
      <c r="E260" s="6" t="s">
        <v>1248</v>
      </c>
      <c r="F260" s="6" t="s">
        <v>455</v>
      </c>
      <c r="G260" s="48" t="s">
        <v>1302</v>
      </c>
      <c r="H260" s="235" t="s">
        <v>981</v>
      </c>
      <c r="I260" s="102">
        <v>4283.99</v>
      </c>
      <c r="J260" s="102">
        <v>4270.37</v>
      </c>
      <c r="K260" s="102">
        <v>4256.76</v>
      </c>
      <c r="L260" s="101">
        <f>(M260+K260)/2</f>
        <v>4243.8325000000004</v>
      </c>
      <c r="M260" s="101">
        <f>(K260+O260)/2</f>
        <v>4230.9050000000007</v>
      </c>
      <c r="N260" s="101">
        <f>(O260+M260)/2</f>
        <v>4217.9775000000009</v>
      </c>
      <c r="O260" s="102">
        <v>4205.05</v>
      </c>
      <c r="P260" s="94">
        <v>0</v>
      </c>
      <c r="Q260" s="102">
        <v>10.76</v>
      </c>
      <c r="R260" s="102">
        <v>10.76</v>
      </c>
      <c r="S260" s="102">
        <v>10.76</v>
      </c>
      <c r="T260" s="102">
        <v>10.76</v>
      </c>
      <c r="U260" s="102">
        <v>10.76</v>
      </c>
      <c r="V260" s="102">
        <v>10.76</v>
      </c>
      <c r="W260" s="102">
        <v>10.76</v>
      </c>
      <c r="X260" s="102">
        <v>0.15</v>
      </c>
      <c r="Y260" s="102">
        <v>0.15</v>
      </c>
      <c r="Z260" s="102">
        <v>0.15</v>
      </c>
      <c r="AA260" s="102">
        <v>0.15</v>
      </c>
      <c r="AB260" s="102">
        <v>0.15</v>
      </c>
      <c r="AC260" s="102">
        <v>0.15</v>
      </c>
      <c r="AD260" s="102">
        <v>0.15</v>
      </c>
      <c r="AE260" s="186">
        <v>0.08</v>
      </c>
      <c r="AF260" s="94">
        <v>0</v>
      </c>
      <c r="AG260" s="94">
        <v>30</v>
      </c>
      <c r="AH260" s="94">
        <v>30</v>
      </c>
      <c r="AI260" s="17">
        <v>9.1</v>
      </c>
      <c r="AJ260" s="17" t="s">
        <v>1241</v>
      </c>
      <c r="AK260" s="17" t="s">
        <v>1303</v>
      </c>
      <c r="AL260" s="17"/>
      <c r="AM260" s="61"/>
      <c r="AN260" s="61"/>
      <c r="AO260" s="61"/>
      <c r="AP260" s="61"/>
      <c r="AQ260" s="61"/>
      <c r="AR260" s="61"/>
      <c r="AS260" s="64"/>
      <c r="AT260" s="64"/>
      <c r="AU260" s="64"/>
      <c r="AV260" s="132"/>
      <c r="AW260" s="132"/>
      <c r="AX260" s="132"/>
      <c r="AY260" s="28" t="s">
        <v>662</v>
      </c>
      <c r="AZ260" s="28"/>
      <c r="BA260" s="28"/>
      <c r="BB260" s="28"/>
      <c r="BC260" s="28"/>
      <c r="BD260" s="28"/>
      <c r="BE260" s="28"/>
      <c r="BF260" s="28"/>
      <c r="BG260" s="28"/>
      <c r="BH260" s="106"/>
      <c r="BI260" s="106"/>
      <c r="BJ260" s="106"/>
      <c r="BK260" s="106"/>
      <c r="BL260" s="137"/>
      <c r="BM260" s="123"/>
      <c r="BN260" s="139">
        <v>0.04</v>
      </c>
      <c r="BO260" s="94"/>
      <c r="BP260" s="94"/>
      <c r="BQ260" s="94"/>
      <c r="BR260" s="94"/>
      <c r="BS260" s="94"/>
      <c r="BT260" s="94">
        <v>0.04</v>
      </c>
      <c r="BU260" s="28">
        <f>IF(BL260=1,BN260,0)</f>
        <v>0</v>
      </c>
      <c r="BV260" s="28">
        <v>0.04</v>
      </c>
      <c r="BW260" s="28">
        <v>0.04</v>
      </c>
      <c r="BX260" s="28"/>
      <c r="BY260" s="28"/>
      <c r="BZ260" s="28"/>
      <c r="CA260" s="28"/>
      <c r="CB260" s="244">
        <v>0.04</v>
      </c>
      <c r="CC260" s="244">
        <f t="shared" si="254"/>
        <v>0.04</v>
      </c>
      <c r="CD260" s="244">
        <v>0.04</v>
      </c>
      <c r="CE260" s="244">
        <f t="shared" si="243"/>
        <v>0.04</v>
      </c>
      <c r="CF260" s="244">
        <f t="shared" si="244"/>
        <v>0.04</v>
      </c>
      <c r="CG260" s="244">
        <f t="shared" si="245"/>
        <v>0.04</v>
      </c>
      <c r="CH260" s="244">
        <v>0.04</v>
      </c>
      <c r="CI260" s="175"/>
      <c r="CJ260" s="175"/>
      <c r="CK260" s="175"/>
      <c r="CL260" s="175"/>
      <c r="CM260" s="175"/>
      <c r="CN260" s="175"/>
      <c r="CO260" s="175"/>
      <c r="CP260" s="176"/>
      <c r="CQ260" s="176"/>
      <c r="CR260" s="176"/>
      <c r="CS260" s="176"/>
      <c r="CT260" s="176"/>
      <c r="CU260" s="176"/>
      <c r="CV260" s="176"/>
      <c r="CW260" s="167"/>
      <c r="CX260" s="168"/>
      <c r="CY260" s="168"/>
      <c r="CZ260" s="168"/>
      <c r="DA260" s="168"/>
      <c r="DB260" s="168"/>
      <c r="DC260" s="168"/>
      <c r="DD260" s="172"/>
      <c r="DE260" s="172"/>
      <c r="DF260" s="172"/>
      <c r="DG260" s="172"/>
      <c r="DH260" s="172"/>
      <c r="DI260" s="172"/>
      <c r="DJ260" s="172"/>
      <c r="DK260" s="80" t="s">
        <v>1304</v>
      </c>
      <c r="DL260" s="129"/>
      <c r="DM260" s="129"/>
      <c r="DN260" s="129"/>
      <c r="DO260" s="129"/>
      <c r="DP260" s="129"/>
      <c r="DQ260" s="129"/>
      <c r="DR260" s="129"/>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6" t="s">
        <v>1305</v>
      </c>
      <c r="B261" s="5" t="s">
        <v>1243</v>
      </c>
      <c r="C261" s="5" t="s">
        <v>788</v>
      </c>
      <c r="D261" s="5" t="s">
        <v>1247</v>
      </c>
      <c r="E261" s="5" t="s">
        <v>1306</v>
      </c>
      <c r="F261" s="5" t="s">
        <v>455</v>
      </c>
      <c r="G261" s="47" t="s">
        <v>1307</v>
      </c>
      <c r="H261" s="237" t="s">
        <v>981</v>
      </c>
      <c r="I261" s="101">
        <v>0</v>
      </c>
      <c r="J261" s="101">
        <v>0</v>
      </c>
      <c r="K261" s="101">
        <v>0</v>
      </c>
      <c r="L261" s="101">
        <v>0</v>
      </c>
      <c r="M261" s="101">
        <v>0</v>
      </c>
      <c r="N261" s="101">
        <v>0</v>
      </c>
      <c r="O261" s="101">
        <v>0</v>
      </c>
      <c r="P261" s="93">
        <v>0</v>
      </c>
      <c r="Q261" s="101">
        <v>0</v>
      </c>
      <c r="R261" s="101">
        <v>0</v>
      </c>
      <c r="S261" s="101">
        <v>0</v>
      </c>
      <c r="T261" s="101">
        <v>0</v>
      </c>
      <c r="U261" s="101">
        <v>0</v>
      </c>
      <c r="V261" s="101">
        <v>0</v>
      </c>
      <c r="W261" s="101">
        <v>0</v>
      </c>
      <c r="X261" s="101">
        <v>869.03</v>
      </c>
      <c r="Y261" s="101">
        <v>869.03</v>
      </c>
      <c r="Z261" s="101">
        <v>869.03</v>
      </c>
      <c r="AA261" s="101">
        <v>869.03</v>
      </c>
      <c r="AB261" s="101">
        <v>869.03</v>
      </c>
      <c r="AC261" s="101">
        <v>869.03</v>
      </c>
      <c r="AD261" s="101">
        <v>869.03</v>
      </c>
      <c r="AE261" s="186">
        <v>0.08</v>
      </c>
      <c r="AF261" s="93">
        <v>0</v>
      </c>
      <c r="AG261" s="93">
        <v>1</v>
      </c>
      <c r="AH261" s="93">
        <v>1</v>
      </c>
      <c r="AI261" s="16">
        <v>31.536000000000001</v>
      </c>
      <c r="AJ261" s="16" t="s">
        <v>1241</v>
      </c>
      <c r="AK261" s="16" t="s">
        <v>745</v>
      </c>
      <c r="AL261" s="16"/>
      <c r="AM261" s="60"/>
      <c r="AN261" s="60"/>
      <c r="AO261" s="60"/>
      <c r="AP261" s="60"/>
      <c r="AQ261" s="60"/>
      <c r="AR261" s="60"/>
      <c r="AS261" s="63"/>
      <c r="AT261" s="63"/>
      <c r="AU261" s="63"/>
      <c r="AV261" s="131"/>
      <c r="AW261" s="131"/>
      <c r="AX261" s="131"/>
      <c r="AY261" s="27" t="s">
        <v>662</v>
      </c>
      <c r="AZ261" s="27"/>
      <c r="BA261" s="27"/>
      <c r="BB261" s="30"/>
      <c r="BC261" s="30"/>
      <c r="BD261" s="30"/>
      <c r="BE261" s="30"/>
      <c r="BF261" s="30"/>
      <c r="BG261" s="30"/>
      <c r="BH261" s="107"/>
      <c r="BI261" s="107"/>
      <c r="BJ261" s="107"/>
      <c r="BK261" s="107"/>
      <c r="BL261" s="136"/>
      <c r="BM261" s="122"/>
      <c r="BN261" s="138"/>
      <c r="BO261" s="93"/>
      <c r="BP261" s="93"/>
      <c r="BQ261" s="93"/>
      <c r="BR261" s="93"/>
      <c r="BS261" s="93"/>
      <c r="BT261" s="93"/>
      <c r="BU261" s="27">
        <f>IF(BL261=1,BN261,0)</f>
        <v>0</v>
      </c>
      <c r="BV261" s="408">
        <v>10</v>
      </c>
      <c r="BW261" s="408">
        <v>10</v>
      </c>
      <c r="BX261" s="408">
        <v>10</v>
      </c>
      <c r="BY261" s="408">
        <v>10</v>
      </c>
      <c r="BZ261" s="408">
        <v>10</v>
      </c>
      <c r="CA261" s="408">
        <v>10</v>
      </c>
      <c r="CB261" s="408">
        <v>10</v>
      </c>
      <c r="CC261" s="408">
        <v>10</v>
      </c>
      <c r="CD261" s="408">
        <v>10</v>
      </c>
      <c r="CE261" s="408">
        <v>10</v>
      </c>
      <c r="CF261" s="408">
        <v>10</v>
      </c>
      <c r="CG261" s="408">
        <v>10</v>
      </c>
      <c r="CH261" s="408">
        <v>10</v>
      </c>
      <c r="CI261" s="173"/>
      <c r="CJ261" s="173"/>
      <c r="CK261" s="173"/>
      <c r="CL261" s="173"/>
      <c r="CM261" s="173"/>
      <c r="CN261" s="173"/>
      <c r="CO261" s="173"/>
      <c r="CP261" s="174"/>
      <c r="CQ261" s="174"/>
      <c r="CR261" s="174"/>
      <c r="CS261" s="174"/>
      <c r="CT261" s="174"/>
      <c r="CU261" s="174"/>
      <c r="CV261" s="174"/>
      <c r="CW261" s="165"/>
      <c r="CX261" s="166"/>
      <c r="CY261" s="166"/>
      <c r="CZ261" s="166"/>
      <c r="DA261" s="166"/>
      <c r="DB261" s="166"/>
      <c r="DC261" s="166"/>
      <c r="DD261" s="171"/>
      <c r="DE261" s="171"/>
      <c r="DF261" s="171"/>
      <c r="DG261" s="171"/>
      <c r="DH261" s="171"/>
      <c r="DI261" s="171"/>
      <c r="DJ261" s="171"/>
      <c r="DK261" s="79" t="s">
        <v>415</v>
      </c>
      <c r="DL261" s="128"/>
      <c r="DM261" s="128"/>
      <c r="DN261" s="128"/>
      <c r="DO261" s="128"/>
      <c r="DP261" s="128"/>
      <c r="DQ261" s="128"/>
      <c r="DR261" s="128"/>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4" t="s">
        <v>1308</v>
      </c>
      <c r="B262" s="6" t="s">
        <v>1243</v>
      </c>
      <c r="C262" s="6" t="s">
        <v>788</v>
      </c>
      <c r="D262" s="6" t="s">
        <v>1247</v>
      </c>
      <c r="E262" s="6" t="s">
        <v>1309</v>
      </c>
      <c r="F262" s="6" t="s">
        <v>455</v>
      </c>
      <c r="G262" s="48" t="s">
        <v>1310</v>
      </c>
      <c r="H262" s="235" t="s">
        <v>981</v>
      </c>
      <c r="I262" s="102">
        <v>1345.88</v>
      </c>
      <c r="J262" s="102">
        <v>1345.88</v>
      </c>
      <c r="K262" s="102">
        <v>1000</v>
      </c>
      <c r="L262" s="101">
        <f>(M262+K262)/2</f>
        <v>975</v>
      </c>
      <c r="M262" s="101">
        <f>(K262+O262)/2</f>
        <v>950</v>
      </c>
      <c r="N262" s="101">
        <f>(O262+M262)/2</f>
        <v>925</v>
      </c>
      <c r="O262" s="102">
        <v>900</v>
      </c>
      <c r="P262" s="94">
        <v>0</v>
      </c>
      <c r="Q262" s="102">
        <v>12</v>
      </c>
      <c r="R262" s="102">
        <v>12</v>
      </c>
      <c r="S262" s="102">
        <v>12</v>
      </c>
      <c r="T262" s="102">
        <v>12</v>
      </c>
      <c r="U262" s="102">
        <v>12</v>
      </c>
      <c r="V262" s="102">
        <v>12</v>
      </c>
      <c r="W262" s="102">
        <v>12</v>
      </c>
      <c r="X262" s="102">
        <v>0.56000000000000005</v>
      </c>
      <c r="Y262" s="102">
        <v>0.56000000000000005</v>
      </c>
      <c r="Z262" s="102">
        <v>0.56000000000000005</v>
      </c>
      <c r="AA262" s="102">
        <v>0.56000000000000005</v>
      </c>
      <c r="AB262" s="102">
        <v>0.56000000000000005</v>
      </c>
      <c r="AC262" s="102">
        <v>0.56000000000000005</v>
      </c>
      <c r="AD262" s="102">
        <v>0.56000000000000005</v>
      </c>
      <c r="AE262" s="186">
        <v>0.08</v>
      </c>
      <c r="AF262" s="94">
        <v>0</v>
      </c>
      <c r="AG262" s="94">
        <v>40</v>
      </c>
      <c r="AH262" s="94">
        <v>40</v>
      </c>
      <c r="AI262" s="16">
        <v>31.536000000000001</v>
      </c>
      <c r="AJ262" s="17" t="s">
        <v>660</v>
      </c>
      <c r="AK262" s="17" t="s">
        <v>745</v>
      </c>
      <c r="AL262" s="17"/>
      <c r="AM262" s="61"/>
      <c r="AN262" s="61"/>
      <c r="AO262" s="61"/>
      <c r="AP262" s="61"/>
      <c r="AQ262" s="61"/>
      <c r="AR262" s="61"/>
      <c r="AS262" s="64"/>
      <c r="AT262" s="64"/>
      <c r="AU262" s="64"/>
      <c r="AV262" s="132"/>
      <c r="AW262" s="132"/>
      <c r="AX262" s="132"/>
      <c r="AY262" s="28" t="s">
        <v>1309</v>
      </c>
      <c r="AZ262" s="28" t="s">
        <v>455</v>
      </c>
      <c r="BA262" s="28">
        <v>1</v>
      </c>
      <c r="BB262" s="28">
        <v>5</v>
      </c>
      <c r="BC262" s="28" t="s">
        <v>667</v>
      </c>
      <c r="BD262" s="28">
        <v>0.2</v>
      </c>
      <c r="BE262" s="28"/>
      <c r="BF262" s="28"/>
      <c r="BG262" s="28"/>
      <c r="BH262" s="106"/>
      <c r="BI262" s="106"/>
      <c r="BJ262" s="106"/>
      <c r="BK262" s="106"/>
      <c r="BL262" s="137"/>
      <c r="BM262" s="123"/>
      <c r="BN262" s="139">
        <v>0</v>
      </c>
      <c r="BO262" s="94"/>
      <c r="BP262" s="94"/>
      <c r="BQ262" s="94"/>
      <c r="BR262" s="94"/>
      <c r="BS262" s="94"/>
      <c r="BT262" s="94"/>
      <c r="BU262" s="28">
        <f t="shared" si="242"/>
        <v>0</v>
      </c>
      <c r="BV262" s="28"/>
      <c r="BW262" s="28"/>
      <c r="BX262" s="28"/>
      <c r="BY262" s="28"/>
      <c r="BZ262" s="28"/>
      <c r="CA262" s="28"/>
      <c r="CB262" s="99"/>
      <c r="CC262" s="185"/>
      <c r="CD262" s="185"/>
      <c r="CE262" s="185"/>
      <c r="CF262" s="185"/>
      <c r="CG262" s="185"/>
      <c r="CH262" s="185"/>
      <c r="CI262" s="175"/>
      <c r="CJ262" s="175"/>
      <c r="CK262" s="175"/>
      <c r="CL262" s="175"/>
      <c r="CM262" s="175"/>
      <c r="CN262" s="175"/>
      <c r="CO262" s="175"/>
      <c r="CP262" s="176"/>
      <c r="CQ262" s="176"/>
      <c r="CR262" s="176"/>
      <c r="CS262" s="176"/>
      <c r="CT262" s="176"/>
      <c r="CU262" s="176"/>
      <c r="CV262" s="176"/>
      <c r="CW262" s="167"/>
      <c r="CX262" s="168"/>
      <c r="CY262" s="168"/>
      <c r="CZ262" s="168"/>
      <c r="DA262" s="168"/>
      <c r="DB262" s="168"/>
      <c r="DC262" s="168"/>
      <c r="DD262" s="172"/>
      <c r="DE262" s="172"/>
      <c r="DF262" s="172"/>
      <c r="DG262" s="172"/>
      <c r="DH262" s="172"/>
      <c r="DI262" s="172"/>
      <c r="DJ262" s="172"/>
      <c r="DK262" s="80" t="s">
        <v>415</v>
      </c>
      <c r="DL262" s="129"/>
      <c r="DM262" s="129"/>
      <c r="DN262" s="129"/>
      <c r="DO262" s="129"/>
      <c r="DP262" s="129"/>
      <c r="DQ262" s="129"/>
      <c r="DR262" s="129"/>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6" t="s">
        <v>1311</v>
      </c>
      <c r="B263" s="5" t="s">
        <v>1243</v>
      </c>
      <c r="C263" s="5" t="s">
        <v>788</v>
      </c>
      <c r="D263" s="5" t="s">
        <v>1247</v>
      </c>
      <c r="E263" s="5" t="s">
        <v>1309</v>
      </c>
      <c r="F263" s="5" t="s">
        <v>455</v>
      </c>
      <c r="G263" s="47" t="s">
        <v>1312</v>
      </c>
      <c r="H263" s="237" t="s">
        <v>981</v>
      </c>
      <c r="I263" s="101">
        <v>1724.87</v>
      </c>
      <c r="J263" s="101">
        <v>1724.87</v>
      </c>
      <c r="K263" s="101">
        <v>1300</v>
      </c>
      <c r="L263" s="101">
        <f>(M263+K263)/2</f>
        <v>1275</v>
      </c>
      <c r="M263" s="101">
        <f>(K263+O263)/2</f>
        <v>1250</v>
      </c>
      <c r="N263" s="101">
        <f>(O263+M263)/2</f>
        <v>1225</v>
      </c>
      <c r="O263" s="101">
        <v>1200</v>
      </c>
      <c r="P263" s="93">
        <v>0</v>
      </c>
      <c r="Q263" s="101">
        <v>16</v>
      </c>
      <c r="R263" s="101">
        <v>16</v>
      </c>
      <c r="S263" s="101">
        <v>16</v>
      </c>
      <c r="T263" s="101">
        <v>16</v>
      </c>
      <c r="U263" s="101">
        <v>16</v>
      </c>
      <c r="V263" s="101">
        <v>16</v>
      </c>
      <c r="W263" s="101">
        <v>16</v>
      </c>
      <c r="X263" s="101">
        <v>0.56000000000000005</v>
      </c>
      <c r="Y263" s="101">
        <v>0.56000000000000005</v>
      </c>
      <c r="Z263" s="101">
        <v>0.56000000000000005</v>
      </c>
      <c r="AA263" s="101">
        <v>0.56000000000000005</v>
      </c>
      <c r="AB263" s="101">
        <v>0.56000000000000005</v>
      </c>
      <c r="AC263" s="101">
        <v>0.56000000000000005</v>
      </c>
      <c r="AD263" s="101">
        <v>0.56000000000000005</v>
      </c>
      <c r="AE263" s="186">
        <v>0.08</v>
      </c>
      <c r="AF263" s="93">
        <v>0</v>
      </c>
      <c r="AG263" s="93">
        <v>40</v>
      </c>
      <c r="AH263" s="93">
        <v>40</v>
      </c>
      <c r="AI263" s="16">
        <v>31.536000000000001</v>
      </c>
      <c r="AJ263" s="16" t="s">
        <v>660</v>
      </c>
      <c r="AK263" s="16" t="s">
        <v>745</v>
      </c>
      <c r="AL263" s="16"/>
      <c r="AM263" s="60"/>
      <c r="AN263" s="60"/>
      <c r="AO263" s="60"/>
      <c r="AP263" s="60"/>
      <c r="AQ263" s="60"/>
      <c r="AR263" s="60"/>
      <c r="AS263" s="63"/>
      <c r="AT263" s="63"/>
      <c r="AU263" s="63"/>
      <c r="AV263" s="131"/>
      <c r="AW263" s="131"/>
      <c r="AX263" s="131"/>
      <c r="AY263" s="27" t="s">
        <v>1309</v>
      </c>
      <c r="AZ263" s="27" t="s">
        <v>455</v>
      </c>
      <c r="BA263" s="27">
        <v>1</v>
      </c>
      <c r="BB263" s="30">
        <v>12</v>
      </c>
      <c r="BC263" s="30" t="s">
        <v>1313</v>
      </c>
      <c r="BD263" s="30">
        <v>0.24</v>
      </c>
      <c r="BE263" s="30"/>
      <c r="BF263" s="30"/>
      <c r="BG263" s="30"/>
      <c r="BH263" s="107"/>
      <c r="BI263" s="107"/>
      <c r="BJ263" s="107"/>
      <c r="BK263" s="107"/>
      <c r="BL263" s="136"/>
      <c r="BM263" s="122"/>
      <c r="BN263" s="138">
        <v>0</v>
      </c>
      <c r="BO263" s="93"/>
      <c r="BP263" s="93"/>
      <c r="BQ263" s="93"/>
      <c r="BR263" s="93"/>
      <c r="BS263" s="93"/>
      <c r="BT263" s="93"/>
      <c r="BU263" s="27">
        <f t="shared" si="242"/>
        <v>0</v>
      </c>
      <c r="BV263" s="27"/>
      <c r="BW263" s="27"/>
      <c r="BX263" s="27"/>
      <c r="BY263" s="27"/>
      <c r="BZ263" s="27"/>
      <c r="CA263" s="27"/>
      <c r="CB263" s="97"/>
      <c r="CC263" s="185"/>
      <c r="CD263" s="185"/>
      <c r="CE263" s="185"/>
      <c r="CF263" s="185"/>
      <c r="CG263" s="185"/>
      <c r="CH263" s="185"/>
      <c r="CI263" s="173"/>
      <c r="CJ263" s="173"/>
      <c r="CK263" s="173"/>
      <c r="CL263" s="173"/>
      <c r="CM263" s="173"/>
      <c r="CN263" s="173"/>
      <c r="CO263" s="173"/>
      <c r="CP263" s="174"/>
      <c r="CQ263" s="174"/>
      <c r="CR263" s="174"/>
      <c r="CS263" s="174"/>
      <c r="CT263" s="174"/>
      <c r="CU263" s="174"/>
      <c r="CV263" s="174"/>
      <c r="CW263" s="165"/>
      <c r="CX263" s="166"/>
      <c r="CY263" s="166"/>
      <c r="CZ263" s="166"/>
      <c r="DA263" s="166"/>
      <c r="DB263" s="166"/>
      <c r="DC263" s="166"/>
      <c r="DD263" s="171"/>
      <c r="DE263" s="171"/>
      <c r="DF263" s="171"/>
      <c r="DG263" s="171"/>
      <c r="DH263" s="171"/>
      <c r="DI263" s="171"/>
      <c r="DJ263" s="171"/>
      <c r="DK263" s="79" t="s">
        <v>415</v>
      </c>
      <c r="DL263" s="128"/>
      <c r="DM263" s="128"/>
      <c r="DN263" s="128"/>
      <c r="DO263" s="128"/>
      <c r="DP263" s="128"/>
      <c r="DQ263" s="128"/>
      <c r="DR263" s="128"/>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4" t="s">
        <v>1314</v>
      </c>
      <c r="B264" s="6" t="s">
        <v>1243</v>
      </c>
      <c r="C264" s="6" t="s">
        <v>788</v>
      </c>
      <c r="D264" s="6" t="s">
        <v>1247</v>
      </c>
      <c r="E264" s="6" t="s">
        <v>1309</v>
      </c>
      <c r="F264" s="6" t="s">
        <v>455</v>
      </c>
      <c r="G264" s="48" t="s">
        <v>1315</v>
      </c>
      <c r="H264" s="235" t="s">
        <v>981</v>
      </c>
      <c r="I264" s="102">
        <v>900</v>
      </c>
      <c r="J264" s="102">
        <v>800</v>
      </c>
      <c r="K264" s="102">
        <v>704</v>
      </c>
      <c r="L264" s="101">
        <f>(M264+K264)/2</f>
        <v>660</v>
      </c>
      <c r="M264" s="101">
        <f>(K264+O264)/2</f>
        <v>616</v>
      </c>
      <c r="N264" s="101">
        <f>(O264+M264)/2</f>
        <v>572</v>
      </c>
      <c r="O264" s="102">
        <v>528</v>
      </c>
      <c r="P264" s="94">
        <v>0</v>
      </c>
      <c r="Q264" s="102">
        <v>10</v>
      </c>
      <c r="R264" s="102">
        <v>10</v>
      </c>
      <c r="S264" s="102">
        <v>10</v>
      </c>
      <c r="T264" s="102">
        <v>10</v>
      </c>
      <c r="U264" s="102">
        <v>10</v>
      </c>
      <c r="V264" s="102">
        <v>10</v>
      </c>
      <c r="W264" s="102">
        <v>9</v>
      </c>
      <c r="X264" s="102">
        <v>0.44</v>
      </c>
      <c r="Y264" s="102">
        <v>0.44</v>
      </c>
      <c r="Z264" s="102">
        <v>0.44</v>
      </c>
      <c r="AA264" s="102">
        <v>0.44</v>
      </c>
      <c r="AB264" s="102">
        <v>0.44</v>
      </c>
      <c r="AC264" s="102">
        <v>0.44</v>
      </c>
      <c r="AD264" s="102">
        <v>0.44</v>
      </c>
      <c r="AE264" s="186">
        <v>0.08</v>
      </c>
      <c r="AF264" s="94">
        <v>0</v>
      </c>
      <c r="AG264" s="94">
        <v>25</v>
      </c>
      <c r="AH264" s="94">
        <v>25</v>
      </c>
      <c r="AI264" s="16">
        <v>31.536000000000001</v>
      </c>
      <c r="AJ264" s="17" t="s">
        <v>660</v>
      </c>
      <c r="AK264" s="17" t="s">
        <v>745</v>
      </c>
      <c r="AL264" s="17"/>
      <c r="AM264" s="61"/>
      <c r="AN264" s="61"/>
      <c r="AO264" s="61"/>
      <c r="AP264" s="61"/>
      <c r="AQ264" s="61"/>
      <c r="AR264" s="61"/>
      <c r="AS264" s="64"/>
      <c r="AT264" s="64"/>
      <c r="AU264" s="64"/>
      <c r="AV264" s="132"/>
      <c r="AW264" s="132"/>
      <c r="AX264" s="132"/>
      <c r="AY264" s="28" t="s">
        <v>1309</v>
      </c>
      <c r="AZ264" s="28" t="s">
        <v>455</v>
      </c>
      <c r="BA264" s="28">
        <v>1</v>
      </c>
      <c r="BB264" s="28">
        <v>4</v>
      </c>
      <c r="BC264" s="28" t="s">
        <v>667</v>
      </c>
      <c r="BD264" s="28">
        <v>7.0000000000000007E-2</v>
      </c>
      <c r="BE264" s="28"/>
      <c r="BF264" s="28"/>
      <c r="BG264" s="28"/>
      <c r="BH264" s="106"/>
      <c r="BI264" s="106"/>
      <c r="BJ264" s="106"/>
      <c r="BK264" s="106"/>
      <c r="BL264" s="137"/>
      <c r="BM264" s="123"/>
      <c r="BN264" s="139">
        <v>0</v>
      </c>
      <c r="BO264" s="94"/>
      <c r="BP264" s="94"/>
      <c r="BQ264" s="94"/>
      <c r="BR264" s="94"/>
      <c r="BS264" s="94"/>
      <c r="BT264" s="94"/>
      <c r="BU264" s="28">
        <f t="shared" ref="BU264" si="261">IF(BL264=1,BN264,0)</f>
        <v>0</v>
      </c>
      <c r="BV264" s="28"/>
      <c r="BW264" s="28"/>
      <c r="BX264" s="28"/>
      <c r="BY264" s="28"/>
      <c r="BZ264" s="28"/>
      <c r="CA264" s="28"/>
      <c r="CB264" s="99"/>
      <c r="CC264" s="99">
        <v>0.25</v>
      </c>
      <c r="CD264" s="99">
        <v>0.3</v>
      </c>
      <c r="CE264" s="99">
        <v>0.5</v>
      </c>
      <c r="CF264" s="99">
        <f t="shared" ref="CF264" si="262">ROUND((CD264+CH264)/2,2)</f>
        <v>15.15</v>
      </c>
      <c r="CG264" s="99">
        <f t="shared" ref="CG264" si="263">ROUND((CF264+CH264)/2,2)</f>
        <v>22.58</v>
      </c>
      <c r="CH264" s="99">
        <v>30</v>
      </c>
      <c r="CI264" s="175"/>
      <c r="CJ264" s="175"/>
      <c r="CK264" s="175"/>
      <c r="CL264" s="175"/>
      <c r="CM264" s="175"/>
      <c r="CN264" s="175"/>
      <c r="CO264" s="175"/>
      <c r="CP264" s="176"/>
      <c r="CQ264" s="176"/>
      <c r="CR264" s="176"/>
      <c r="CS264" s="176"/>
      <c r="CT264" s="176"/>
      <c r="CU264" s="176"/>
      <c r="CV264" s="176"/>
      <c r="CW264" s="167"/>
      <c r="CX264" s="168"/>
      <c r="CY264" s="168"/>
      <c r="CZ264" s="168"/>
      <c r="DA264" s="168"/>
      <c r="DB264" s="168"/>
      <c r="DC264" s="168"/>
      <c r="DD264" s="172"/>
      <c r="DE264" s="172"/>
      <c r="DF264" s="172"/>
      <c r="DG264" s="172"/>
      <c r="DH264" s="172"/>
      <c r="DI264" s="172"/>
      <c r="DJ264" s="172"/>
      <c r="DK264" s="80" t="s">
        <v>415</v>
      </c>
      <c r="DL264" s="129"/>
      <c r="DM264" s="129"/>
      <c r="DN264" s="129"/>
      <c r="DO264" s="129"/>
      <c r="DP264" s="129"/>
      <c r="DQ264" s="129"/>
      <c r="DR264" s="129"/>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55" t="s">
        <v>1316</v>
      </c>
      <c r="B265" s="6" t="s">
        <v>1243</v>
      </c>
      <c r="C265" s="6" t="s">
        <v>817</v>
      </c>
      <c r="D265" s="6" t="s">
        <v>1247</v>
      </c>
      <c r="E265" s="6" t="s">
        <v>1244</v>
      </c>
      <c r="F265" s="6" t="s">
        <v>455</v>
      </c>
      <c r="G265" s="48" t="s">
        <v>1317</v>
      </c>
      <c r="H265" s="235" t="s">
        <v>981</v>
      </c>
      <c r="I265" s="102">
        <v>220</v>
      </c>
      <c r="J265" s="102">
        <v>220</v>
      </c>
      <c r="K265" s="102">
        <v>220</v>
      </c>
      <c r="L265" s="102">
        <v>220</v>
      </c>
      <c r="M265" s="102">
        <v>220</v>
      </c>
      <c r="N265" s="102">
        <v>220</v>
      </c>
      <c r="O265" s="102">
        <v>220</v>
      </c>
      <c r="P265" s="94">
        <v>0</v>
      </c>
      <c r="Q265" s="102">
        <v>5.5</v>
      </c>
      <c r="R265" s="102">
        <v>5.5</v>
      </c>
      <c r="S265" s="102">
        <v>5.5</v>
      </c>
      <c r="T265" s="102">
        <v>5.5</v>
      </c>
      <c r="U265" s="102">
        <v>5.5</v>
      </c>
      <c r="V265" s="102">
        <v>5.5</v>
      </c>
      <c r="W265" s="102">
        <v>5.5</v>
      </c>
      <c r="X265" s="102">
        <v>0</v>
      </c>
      <c r="Y265" s="102">
        <v>0</v>
      </c>
      <c r="Z265" s="102">
        <v>0</v>
      </c>
      <c r="AA265" s="102">
        <v>0</v>
      </c>
      <c r="AB265" s="102">
        <v>0</v>
      </c>
      <c r="AC265" s="102">
        <v>0</v>
      </c>
      <c r="AD265" s="102">
        <v>0</v>
      </c>
      <c r="AE265" s="186">
        <v>0.08</v>
      </c>
      <c r="AF265" s="94">
        <v>0</v>
      </c>
      <c r="AG265" s="94">
        <v>30</v>
      </c>
      <c r="AH265" s="94">
        <v>30</v>
      </c>
      <c r="AI265" s="17">
        <v>31.536000000000001</v>
      </c>
      <c r="AJ265" s="17" t="s">
        <v>1241</v>
      </c>
      <c r="AK265" s="17" t="s">
        <v>745</v>
      </c>
      <c r="AL265" s="17"/>
      <c r="AM265" s="61"/>
      <c r="AN265" s="61"/>
      <c r="AO265" s="61"/>
      <c r="AP265" s="61"/>
      <c r="AQ265" s="61"/>
      <c r="AR265" s="61"/>
      <c r="AS265" s="64"/>
      <c r="AT265" s="64"/>
      <c r="AU265" s="64"/>
      <c r="AV265" s="132"/>
      <c r="AW265" s="132"/>
      <c r="AX265" s="132"/>
      <c r="AY265" s="28" t="s">
        <v>662</v>
      </c>
      <c r="AZ265" s="28"/>
      <c r="BA265" s="28"/>
      <c r="BB265" s="28"/>
      <c r="BC265" s="28"/>
      <c r="BD265" s="28"/>
      <c r="BE265" s="28"/>
      <c r="BF265" s="28"/>
      <c r="BG265" s="28"/>
      <c r="BH265" s="106"/>
      <c r="BI265" s="106"/>
      <c r="BJ265" s="106"/>
      <c r="BK265" s="106"/>
      <c r="BL265" s="137">
        <v>1</v>
      </c>
      <c r="BM265" s="123"/>
      <c r="BN265" s="139">
        <v>1.4</v>
      </c>
      <c r="BO265" s="94">
        <v>0.2</v>
      </c>
      <c r="BP265" s="94">
        <v>0.2</v>
      </c>
      <c r="BQ265" s="94">
        <v>0.2</v>
      </c>
      <c r="BR265" s="94">
        <v>0.2</v>
      </c>
      <c r="BS265" s="94">
        <v>0.3</v>
      </c>
      <c r="BT265" s="94">
        <v>0.3</v>
      </c>
      <c r="BU265" s="380">
        <v>0</v>
      </c>
      <c r="BV265" s="380">
        <v>0</v>
      </c>
      <c r="BW265" s="380">
        <v>0</v>
      </c>
      <c r="BX265" s="380">
        <v>0</v>
      </c>
      <c r="BY265" s="380">
        <v>0</v>
      </c>
      <c r="BZ265" s="380">
        <v>0</v>
      </c>
      <c r="CA265" s="380">
        <v>0</v>
      </c>
      <c r="CB265" s="381">
        <v>8.0500000000000007</v>
      </c>
      <c r="CC265" s="99">
        <v>10.799999999999999</v>
      </c>
      <c r="CD265" s="99">
        <f>CD236</f>
        <v>20</v>
      </c>
      <c r="CE265" s="99">
        <f t="shared" ref="CE265:CH265" si="264">CE236</f>
        <v>20</v>
      </c>
      <c r="CF265" s="99">
        <f t="shared" si="264"/>
        <v>20</v>
      </c>
      <c r="CG265" s="99">
        <f t="shared" si="264"/>
        <v>20</v>
      </c>
      <c r="CH265" s="99">
        <f t="shared" si="264"/>
        <v>20</v>
      </c>
      <c r="CI265" s="257">
        <v>66.8</v>
      </c>
      <c r="CJ265" s="257">
        <f>$CI$265*0.8</f>
        <v>53.44</v>
      </c>
      <c r="CK265" s="257">
        <f t="shared" ref="CK265:CO265" si="265">$CI$265*0.8</f>
        <v>53.44</v>
      </c>
      <c r="CL265" s="257">
        <f t="shared" si="265"/>
        <v>53.44</v>
      </c>
      <c r="CM265" s="257">
        <f t="shared" si="265"/>
        <v>53.44</v>
      </c>
      <c r="CN265" s="257">
        <f t="shared" si="265"/>
        <v>53.44</v>
      </c>
      <c r="CO265" s="257">
        <f t="shared" si="265"/>
        <v>53.44</v>
      </c>
      <c r="CP265" s="176">
        <f>CI265*1.2</f>
        <v>80.16</v>
      </c>
      <c r="CQ265" s="176">
        <f>$CP$265</f>
        <v>80.16</v>
      </c>
      <c r="CR265" s="176">
        <f t="shared" ref="CR265:CV265" si="266">$CP$265</f>
        <v>80.16</v>
      </c>
      <c r="CS265" s="176">
        <f t="shared" si="266"/>
        <v>80.16</v>
      </c>
      <c r="CT265" s="176">
        <f t="shared" si="266"/>
        <v>80.16</v>
      </c>
      <c r="CU265" s="176">
        <f t="shared" si="266"/>
        <v>80.16</v>
      </c>
      <c r="CV265" s="176">
        <f t="shared" si="266"/>
        <v>80.16</v>
      </c>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36" t="s">
        <v>1318</v>
      </c>
      <c r="B266" s="5" t="s">
        <v>1243</v>
      </c>
      <c r="C266" s="5" t="s">
        <v>788</v>
      </c>
      <c r="D266" s="5" t="s">
        <v>1247</v>
      </c>
      <c r="E266" s="5" t="s">
        <v>1244</v>
      </c>
      <c r="F266" s="5" t="s">
        <v>455</v>
      </c>
      <c r="G266" s="47" t="s">
        <v>1319</v>
      </c>
      <c r="H266" s="237" t="s">
        <v>981</v>
      </c>
      <c r="I266" s="101">
        <v>380</v>
      </c>
      <c r="J266" s="101">
        <v>380</v>
      </c>
      <c r="K266" s="101">
        <v>380</v>
      </c>
      <c r="L266" s="101">
        <v>380</v>
      </c>
      <c r="M266" s="101">
        <v>380</v>
      </c>
      <c r="N266" s="101">
        <v>380</v>
      </c>
      <c r="O266" s="101">
        <v>380</v>
      </c>
      <c r="P266" s="93">
        <v>0</v>
      </c>
      <c r="Q266" s="101">
        <v>9.5</v>
      </c>
      <c r="R266" s="101">
        <v>9.5</v>
      </c>
      <c r="S266" s="101">
        <v>9.5</v>
      </c>
      <c r="T266" s="101">
        <v>9.5</v>
      </c>
      <c r="U266" s="101">
        <v>9.5</v>
      </c>
      <c r="V266" s="101">
        <v>9.5</v>
      </c>
      <c r="W266" s="101">
        <v>9.5</v>
      </c>
      <c r="X266" s="101">
        <v>0</v>
      </c>
      <c r="Y266" s="101">
        <v>0</v>
      </c>
      <c r="Z266" s="101">
        <v>0</v>
      </c>
      <c r="AA266" s="101">
        <v>0</v>
      </c>
      <c r="AB266" s="101">
        <v>0</v>
      </c>
      <c r="AC266" s="101">
        <v>0</v>
      </c>
      <c r="AD266" s="101">
        <v>0</v>
      </c>
      <c r="AE266" s="186">
        <v>0.08</v>
      </c>
      <c r="AF266" s="93">
        <v>0</v>
      </c>
      <c r="AG266" s="93">
        <v>30</v>
      </c>
      <c r="AH266" s="93">
        <v>30</v>
      </c>
      <c r="AI266" s="16">
        <v>31.536000000000001</v>
      </c>
      <c r="AJ266" s="16" t="s">
        <v>1241</v>
      </c>
      <c r="AK266" s="16" t="s">
        <v>745</v>
      </c>
      <c r="AL266" s="16"/>
      <c r="AM266" s="60"/>
      <c r="AN266" s="60"/>
      <c r="AO266" s="60"/>
      <c r="AP266" s="60"/>
      <c r="AQ266" s="60"/>
      <c r="AR266" s="60"/>
      <c r="AS266" s="63"/>
      <c r="AT266" s="63"/>
      <c r="AU266" s="63"/>
      <c r="AV266" s="131"/>
      <c r="AW266" s="131"/>
      <c r="AX266" s="131"/>
      <c r="AY266" s="27" t="s">
        <v>662</v>
      </c>
      <c r="AZ266" s="27"/>
      <c r="BA266" s="27"/>
      <c r="BB266" s="30"/>
      <c r="BC266" s="30"/>
      <c r="BD266" s="30"/>
      <c r="BE266" s="30"/>
      <c r="BF266" s="30"/>
      <c r="BG266" s="30"/>
      <c r="BH266" s="107"/>
      <c r="BI266" s="107"/>
      <c r="BJ266" s="107"/>
      <c r="BK266" s="107"/>
      <c r="BL266" s="136"/>
      <c r="BM266" s="122"/>
      <c r="BN266" s="138">
        <v>0</v>
      </c>
      <c r="BO266" s="93"/>
      <c r="BP266" s="93"/>
      <c r="BQ266" s="93"/>
      <c r="BR266" s="93"/>
      <c r="BS266" s="93"/>
      <c r="BT266" s="93"/>
      <c r="BU266" s="27">
        <f t="shared" si="242"/>
        <v>0</v>
      </c>
      <c r="BV266" s="27"/>
      <c r="BW266" s="27"/>
      <c r="BX266" s="27"/>
      <c r="BY266" s="27"/>
      <c r="BZ266" s="27"/>
      <c r="CA266" s="27"/>
      <c r="CB266" s="97"/>
      <c r="CC266" s="97">
        <v>50</v>
      </c>
      <c r="CD266" s="97">
        <v>50</v>
      </c>
      <c r="CE266" s="97">
        <v>50</v>
      </c>
      <c r="CF266" s="97">
        <v>75</v>
      </c>
      <c r="CG266" s="97">
        <v>100</v>
      </c>
      <c r="CH266" s="97">
        <v>100</v>
      </c>
      <c r="CI266" s="173"/>
      <c r="CJ266" s="173"/>
      <c r="CK266" s="173"/>
      <c r="CL266" s="173"/>
      <c r="CM266" s="173"/>
      <c r="CN266" s="173"/>
      <c r="CO266" s="173"/>
      <c r="CP266" s="174"/>
      <c r="CQ266" s="174"/>
      <c r="CR266" s="174"/>
      <c r="CS266" s="174"/>
      <c r="CT266" s="174"/>
      <c r="CU266" s="174"/>
      <c r="CV266" s="174"/>
      <c r="CW266" s="165"/>
      <c r="CX266" s="166"/>
      <c r="CY266" s="166"/>
      <c r="CZ266" s="166"/>
      <c r="DA266" s="166"/>
      <c r="DB266" s="166"/>
      <c r="DC266" s="166"/>
      <c r="DD266" s="171"/>
      <c r="DE266" s="171"/>
      <c r="DF266" s="171"/>
      <c r="DG266" s="171"/>
      <c r="DH266" s="171"/>
      <c r="DI266" s="171"/>
      <c r="DJ266" s="171"/>
      <c r="DK266" s="79" t="s">
        <v>415</v>
      </c>
      <c r="DL266" s="128"/>
      <c r="DM266" s="128"/>
      <c r="DN266" s="128"/>
      <c r="DO266" s="128"/>
      <c r="DP266" s="128"/>
      <c r="DQ266" s="128"/>
      <c r="DR266" s="128"/>
      <c r="DS266" s="218"/>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4" t="s">
        <v>1320</v>
      </c>
      <c r="B267" s="6" t="s">
        <v>1243</v>
      </c>
      <c r="C267" s="6" t="s">
        <v>788</v>
      </c>
      <c r="D267" s="6" t="s">
        <v>1247</v>
      </c>
      <c r="E267" s="6" t="s">
        <v>1244</v>
      </c>
      <c r="F267" s="6" t="s">
        <v>455</v>
      </c>
      <c r="G267" s="48" t="s">
        <v>1321</v>
      </c>
      <c r="H267" s="235" t="s">
        <v>981</v>
      </c>
      <c r="I267" s="102">
        <v>135.57</v>
      </c>
      <c r="J267" s="102">
        <v>135.57</v>
      </c>
      <c r="K267" s="102">
        <v>135.57</v>
      </c>
      <c r="L267" s="102">
        <v>135.57</v>
      </c>
      <c r="M267" s="102">
        <v>135.57</v>
      </c>
      <c r="N267" s="102">
        <v>135.57</v>
      </c>
      <c r="O267" s="102">
        <v>135.57</v>
      </c>
      <c r="P267" s="94">
        <v>0</v>
      </c>
      <c r="Q267" s="102">
        <v>5.42</v>
      </c>
      <c r="R267" s="102">
        <v>5.42</v>
      </c>
      <c r="S267" s="102">
        <v>5.42</v>
      </c>
      <c r="T267" s="102">
        <v>5.42</v>
      </c>
      <c r="U267" s="102">
        <v>5.42</v>
      </c>
      <c r="V267" s="102">
        <v>5.42</v>
      </c>
      <c r="W267" s="102">
        <v>5.42</v>
      </c>
      <c r="X267" s="102">
        <v>0.01</v>
      </c>
      <c r="Y267" s="102">
        <v>0.01</v>
      </c>
      <c r="Z267" s="102">
        <v>0.01</v>
      </c>
      <c r="AA267" s="102">
        <v>0.01</v>
      </c>
      <c r="AB267" s="102">
        <v>0.01</v>
      </c>
      <c r="AC267" s="102">
        <v>0.01</v>
      </c>
      <c r="AD267" s="102">
        <v>0.01</v>
      </c>
      <c r="AE267" s="186">
        <v>0.08</v>
      </c>
      <c r="AF267" s="94">
        <v>0</v>
      </c>
      <c r="AG267" s="94">
        <v>20</v>
      </c>
      <c r="AH267" s="94">
        <v>20</v>
      </c>
      <c r="AI267" s="17">
        <v>31.536000000000001</v>
      </c>
      <c r="AJ267" s="17" t="s">
        <v>1241</v>
      </c>
      <c r="AK267" s="17" t="s">
        <v>745</v>
      </c>
      <c r="AL267" s="17"/>
      <c r="AM267" s="61"/>
      <c r="AN267" s="61"/>
      <c r="AO267" s="61"/>
      <c r="AP267" s="61"/>
      <c r="AQ267" s="61"/>
      <c r="AR267" s="61"/>
      <c r="AS267" s="64"/>
      <c r="AT267" s="64"/>
      <c r="AU267" s="64"/>
      <c r="AV267" s="132"/>
      <c r="AW267" s="132"/>
      <c r="AX267" s="132"/>
      <c r="AY267" s="28" t="s">
        <v>662</v>
      </c>
      <c r="AZ267" s="28"/>
      <c r="BA267" s="28"/>
      <c r="BB267" s="28"/>
      <c r="BC267" s="28"/>
      <c r="BD267" s="28"/>
      <c r="BE267" s="28"/>
      <c r="BF267" s="28"/>
      <c r="BG267" s="28"/>
      <c r="BH267" s="106"/>
      <c r="BI267" s="106"/>
      <c r="BJ267" s="106"/>
      <c r="BK267" s="106"/>
      <c r="BL267" s="137"/>
      <c r="BM267" s="123"/>
      <c r="BN267" s="139">
        <v>0</v>
      </c>
      <c r="BO267" s="94"/>
      <c r="BP267" s="94"/>
      <c r="BQ267" s="94"/>
      <c r="BR267" s="94"/>
      <c r="BS267" s="94"/>
      <c r="BT267" s="94"/>
      <c r="BU267" s="28">
        <f t="shared" si="242"/>
        <v>0</v>
      </c>
      <c r="BV267" s="28"/>
      <c r="BW267" s="28"/>
      <c r="BX267" s="28"/>
      <c r="BY267" s="28"/>
      <c r="BZ267" s="28"/>
      <c r="CA267" s="28"/>
      <c r="CB267" s="99">
        <v>100</v>
      </c>
      <c r="CC267" s="99">
        <v>100</v>
      </c>
      <c r="CD267" s="99">
        <v>100</v>
      </c>
      <c r="CE267" s="99">
        <v>100</v>
      </c>
      <c r="CF267" s="99">
        <v>100</v>
      </c>
      <c r="CG267" s="99">
        <v>100</v>
      </c>
      <c r="CH267" s="99">
        <v>100</v>
      </c>
      <c r="CI267" s="175"/>
      <c r="CJ267" s="175"/>
      <c r="CK267" s="175"/>
      <c r="CL267" s="175"/>
      <c r="CM267" s="175"/>
      <c r="CN267" s="175"/>
      <c r="CO267" s="175"/>
      <c r="CP267" s="176"/>
      <c r="CQ267" s="176"/>
      <c r="CR267" s="176"/>
      <c r="CS267" s="176"/>
      <c r="CT267" s="176"/>
      <c r="CU267" s="176"/>
      <c r="CV267" s="176"/>
      <c r="CW267" s="167"/>
      <c r="CX267" s="168"/>
      <c r="CY267" s="168"/>
      <c r="CZ267" s="168"/>
      <c r="DA267" s="168"/>
      <c r="DB267" s="168"/>
      <c r="DC267" s="168"/>
      <c r="DD267" s="172"/>
      <c r="DE267" s="172"/>
      <c r="DF267" s="172"/>
      <c r="DG267" s="172"/>
      <c r="DH267" s="172"/>
      <c r="DI267" s="172"/>
      <c r="DJ267" s="172"/>
      <c r="DK267" s="80" t="s">
        <v>415</v>
      </c>
      <c r="DL267" s="129"/>
      <c r="DM267" s="129"/>
      <c r="DN267" s="129"/>
      <c r="DO267" s="129"/>
      <c r="DP267" s="129"/>
      <c r="DQ267" s="129"/>
      <c r="DR267" s="129"/>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ht="15" thickBot="1" x14ac:dyDescent="0.4">
      <c r="A268" s="239" t="s">
        <v>1322</v>
      </c>
      <c r="B268" s="240" t="s">
        <v>1243</v>
      </c>
      <c r="C268" s="240" t="s">
        <v>788</v>
      </c>
      <c r="D268" s="240" t="s">
        <v>1247</v>
      </c>
      <c r="E268" s="240" t="s">
        <v>1244</v>
      </c>
      <c r="F268" s="240" t="s">
        <v>456</v>
      </c>
      <c r="G268" s="241" t="s">
        <v>1323</v>
      </c>
      <c r="H268" s="242" t="s">
        <v>981</v>
      </c>
      <c r="I268" s="101">
        <v>135.57</v>
      </c>
      <c r="J268" s="101">
        <v>135.57</v>
      </c>
      <c r="K268" s="101">
        <v>135.57</v>
      </c>
      <c r="L268" s="101">
        <v>135.57</v>
      </c>
      <c r="M268" s="101">
        <v>135.57</v>
      </c>
      <c r="N268" s="101">
        <v>135.57</v>
      </c>
      <c r="O268" s="101">
        <v>135.57</v>
      </c>
      <c r="P268" s="93">
        <v>0</v>
      </c>
      <c r="Q268" s="101">
        <v>5.42</v>
      </c>
      <c r="R268" s="101">
        <v>5.42</v>
      </c>
      <c r="S268" s="101">
        <v>5.42</v>
      </c>
      <c r="T268" s="101">
        <v>5.42</v>
      </c>
      <c r="U268" s="101">
        <v>5.42</v>
      </c>
      <c r="V268" s="101">
        <v>5.42</v>
      </c>
      <c r="W268" s="101">
        <v>5.42</v>
      </c>
      <c r="X268" s="101">
        <v>0.01</v>
      </c>
      <c r="Y268" s="101">
        <v>0.01</v>
      </c>
      <c r="Z268" s="101">
        <v>0.01</v>
      </c>
      <c r="AA268" s="101">
        <v>0.01</v>
      </c>
      <c r="AB268" s="101">
        <v>0.01</v>
      </c>
      <c r="AC268" s="101">
        <v>0.01</v>
      </c>
      <c r="AD268" s="101">
        <v>0.01</v>
      </c>
      <c r="AE268" s="186">
        <v>0.08</v>
      </c>
      <c r="AF268" s="93">
        <v>0</v>
      </c>
      <c r="AG268" s="93">
        <v>20</v>
      </c>
      <c r="AH268" s="93">
        <v>20</v>
      </c>
      <c r="AI268" s="16">
        <v>31.536000000000001</v>
      </c>
      <c r="AJ268" s="16" t="s">
        <v>1241</v>
      </c>
      <c r="AK268" s="16" t="s">
        <v>745</v>
      </c>
      <c r="AL268" s="16"/>
      <c r="AM268" s="60"/>
      <c r="AN268" s="60"/>
      <c r="AO268" s="60"/>
      <c r="AP268" s="60"/>
      <c r="AQ268" s="60"/>
      <c r="AR268" s="60"/>
      <c r="AS268" s="63"/>
      <c r="AT268" s="63"/>
      <c r="AU268" s="63"/>
      <c r="AV268" s="131"/>
      <c r="AW268" s="131"/>
      <c r="AX268" s="131"/>
      <c r="AY268" s="27" t="s">
        <v>662</v>
      </c>
      <c r="AZ268" s="27"/>
      <c r="BA268" s="27"/>
      <c r="BB268" s="30"/>
      <c r="BC268" s="30"/>
      <c r="BD268" s="30"/>
      <c r="BE268" s="30"/>
      <c r="BF268" s="30"/>
      <c r="BG268" s="30"/>
      <c r="BH268" s="107"/>
      <c r="BI268" s="107"/>
      <c r="BJ268" s="107"/>
      <c r="BK268" s="107"/>
      <c r="BL268" s="136"/>
      <c r="BM268" s="122"/>
      <c r="BN268" s="138">
        <v>9</v>
      </c>
      <c r="BO268" s="93">
        <v>2.25</v>
      </c>
      <c r="BP268" s="93">
        <v>2.25</v>
      </c>
      <c r="BQ268" s="93">
        <v>2.25</v>
      </c>
      <c r="BR268" s="93">
        <v>2.25</v>
      </c>
      <c r="BS268" s="93"/>
      <c r="BT268" s="93"/>
      <c r="BU268" s="27">
        <f t="shared" si="242"/>
        <v>0</v>
      </c>
      <c r="BV268" s="27"/>
      <c r="BW268" s="27"/>
      <c r="BX268" s="27"/>
      <c r="BY268" s="27"/>
      <c r="BZ268" s="27"/>
      <c r="CA268" s="27"/>
      <c r="CB268" s="97">
        <v>100</v>
      </c>
      <c r="CC268" s="97">
        <v>100</v>
      </c>
      <c r="CD268" s="97">
        <v>100</v>
      </c>
      <c r="CE268" s="97">
        <v>100</v>
      </c>
      <c r="CF268" s="97">
        <v>100</v>
      </c>
      <c r="CG268" s="97">
        <v>100</v>
      </c>
      <c r="CH268" s="97">
        <v>100</v>
      </c>
      <c r="CI268" s="173"/>
      <c r="CJ268" s="173"/>
      <c r="CK268" s="173"/>
      <c r="CL268" s="173"/>
      <c r="CM268" s="173"/>
      <c r="CN268" s="173"/>
      <c r="CO268" s="173"/>
      <c r="CP268" s="174"/>
      <c r="CQ268" s="174"/>
      <c r="CR268" s="174"/>
      <c r="CS268" s="174"/>
      <c r="CT268" s="174"/>
      <c r="CU268" s="174"/>
      <c r="CV268" s="174"/>
      <c r="CW268" s="165"/>
      <c r="CX268" s="166"/>
      <c r="CY268" s="166"/>
      <c r="CZ268" s="166"/>
      <c r="DA268" s="166"/>
      <c r="DB268" s="166"/>
      <c r="DC268" s="166"/>
      <c r="DD268" s="171"/>
      <c r="DE268" s="171"/>
      <c r="DF268" s="171"/>
      <c r="DG268" s="171"/>
      <c r="DH268" s="171"/>
      <c r="DI268" s="171"/>
      <c r="DJ268" s="171"/>
      <c r="DK268" s="79" t="s">
        <v>415</v>
      </c>
      <c r="DL268" s="128"/>
      <c r="DM268" s="128"/>
      <c r="DN268" s="128"/>
      <c r="DO268" s="128"/>
      <c r="DP268" s="128"/>
      <c r="DQ268" s="128"/>
      <c r="DR268" s="128"/>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x14ac:dyDescent="0.35">
      <c r="A269" s="6" t="s">
        <v>1324</v>
      </c>
      <c r="B269" s="6" t="s">
        <v>654</v>
      </c>
      <c r="C269" s="6" t="s">
        <v>788</v>
      </c>
      <c r="D269" s="6" t="s">
        <v>656</v>
      </c>
      <c r="E269" s="6" t="s">
        <v>459</v>
      </c>
      <c r="F269" s="6" t="s">
        <v>457</v>
      </c>
      <c r="G269" s="48" t="s">
        <v>1325</v>
      </c>
      <c r="H269" s="48" t="s">
        <v>981</v>
      </c>
      <c r="I269" s="102">
        <v>50</v>
      </c>
      <c r="J269" s="102">
        <v>50</v>
      </c>
      <c r="K269" s="102">
        <v>50</v>
      </c>
      <c r="L269" s="102">
        <v>50</v>
      </c>
      <c r="M269" s="102">
        <v>50</v>
      </c>
      <c r="N269" s="102">
        <v>50</v>
      </c>
      <c r="O269" s="102">
        <v>50</v>
      </c>
      <c r="P269" s="94">
        <v>0</v>
      </c>
      <c r="Q269" s="102">
        <v>1</v>
      </c>
      <c r="R269" s="102">
        <v>1</v>
      </c>
      <c r="S269" s="102">
        <v>1</v>
      </c>
      <c r="T269" s="102">
        <v>1</v>
      </c>
      <c r="U269" s="102">
        <v>1</v>
      </c>
      <c r="V269" s="102">
        <v>1</v>
      </c>
      <c r="W269" s="102">
        <v>1</v>
      </c>
      <c r="X269" s="102">
        <v>0</v>
      </c>
      <c r="Y269" s="102">
        <v>0</v>
      </c>
      <c r="Z269" s="102">
        <v>0</v>
      </c>
      <c r="AA269" s="102">
        <v>0</v>
      </c>
      <c r="AB269" s="102">
        <v>0</v>
      </c>
      <c r="AC269" s="102">
        <v>0</v>
      </c>
      <c r="AD269" s="102">
        <v>0</v>
      </c>
      <c r="AE269" s="186">
        <v>0.08</v>
      </c>
      <c r="AF269" s="94">
        <v>0</v>
      </c>
      <c r="AG269" s="94">
        <v>12</v>
      </c>
      <c r="AH269" s="94">
        <v>12</v>
      </c>
      <c r="AI269" s="17">
        <f>1.5*3.6</f>
        <v>5.4</v>
      </c>
      <c r="AJ269" s="17" t="s">
        <v>660</v>
      </c>
      <c r="AK269" s="17" t="s">
        <v>672</v>
      </c>
      <c r="AL269" s="17"/>
      <c r="AM269" s="61"/>
      <c r="AN269" s="61"/>
      <c r="AO269" s="61"/>
      <c r="AP269" s="61"/>
      <c r="AQ269" s="61"/>
      <c r="AR269" s="61"/>
      <c r="AS269" s="64"/>
      <c r="AT269" s="64"/>
      <c r="AU269" s="64"/>
      <c r="AV269" s="132"/>
      <c r="AW269" s="132"/>
      <c r="AX269" s="132"/>
      <c r="AY269" s="28" t="s">
        <v>662</v>
      </c>
      <c r="AZ269" s="28"/>
      <c r="BA269" s="28"/>
      <c r="BB269" s="28"/>
      <c r="BC269" s="28"/>
      <c r="BD269" s="28"/>
      <c r="BE269" s="28"/>
      <c r="BF269" s="28"/>
      <c r="BG269" s="28"/>
      <c r="BH269" s="106"/>
      <c r="BI269" s="106"/>
      <c r="BJ269" s="106"/>
      <c r="BK269" s="106"/>
      <c r="BL269" s="137"/>
      <c r="BM269" s="123"/>
      <c r="BN269" s="139">
        <v>45</v>
      </c>
      <c r="BO269" s="94">
        <v>20</v>
      </c>
      <c r="BP269" s="94">
        <v>15</v>
      </c>
      <c r="BQ269" s="94">
        <v>10</v>
      </c>
      <c r="BR269" s="94"/>
      <c r="BS269" s="94"/>
      <c r="BT269" s="94"/>
      <c r="BU269" s="28">
        <f t="shared" si="242"/>
        <v>0</v>
      </c>
      <c r="BV269" s="28"/>
      <c r="BW269" s="28"/>
      <c r="BX269" s="28"/>
      <c r="BY269" s="28"/>
      <c r="BZ269" s="28"/>
      <c r="CA269" s="28"/>
      <c r="CB269" s="185">
        <v>100</v>
      </c>
      <c r="CC269" s="99">
        <v>100</v>
      </c>
      <c r="CD269" s="99">
        <v>100</v>
      </c>
      <c r="CE269" s="99">
        <v>100</v>
      </c>
      <c r="CF269" s="99">
        <v>100</v>
      </c>
      <c r="CG269" s="99">
        <v>100</v>
      </c>
      <c r="CH269" s="99">
        <v>100</v>
      </c>
      <c r="CI269" s="175"/>
      <c r="CJ269" s="175"/>
      <c r="CK269" s="175"/>
      <c r="CL269" s="175"/>
      <c r="CM269" s="175"/>
      <c r="CN269" s="175"/>
      <c r="CO269" s="175"/>
      <c r="CP269" s="176"/>
      <c r="CQ269" s="176"/>
      <c r="CR269" s="176"/>
      <c r="CS269" s="176"/>
      <c r="CT269" s="176"/>
      <c r="CU269" s="176"/>
      <c r="CV269" s="176"/>
      <c r="CW269" s="167"/>
      <c r="CX269" s="168"/>
      <c r="CY269" s="168"/>
      <c r="CZ269" s="168"/>
      <c r="DA269" s="168"/>
      <c r="DB269" s="168"/>
      <c r="DC269" s="168"/>
      <c r="DD269" s="172"/>
      <c r="DE269" s="172"/>
      <c r="DF269" s="172"/>
      <c r="DG269" s="172"/>
      <c r="DH269" s="172"/>
      <c r="DI269" s="172"/>
      <c r="DJ269" s="172"/>
      <c r="DK269" s="80" t="s">
        <v>452</v>
      </c>
      <c r="DL269" s="129">
        <v>500</v>
      </c>
      <c r="DM269" s="129">
        <v>500</v>
      </c>
      <c r="DN269" s="129">
        <v>500</v>
      </c>
      <c r="DO269" s="129">
        <v>500</v>
      </c>
      <c r="DP269" s="129">
        <v>500</v>
      </c>
      <c r="DQ269" s="129">
        <v>500</v>
      </c>
      <c r="DR269" s="129">
        <v>500</v>
      </c>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5" t="s">
        <v>1326</v>
      </c>
      <c r="B270" s="5" t="s">
        <v>654</v>
      </c>
      <c r="C270" s="5" t="s">
        <v>788</v>
      </c>
      <c r="D270" s="5" t="s">
        <v>656</v>
      </c>
      <c r="E270" s="5" t="s">
        <v>459</v>
      </c>
      <c r="F270" s="5" t="s">
        <v>457</v>
      </c>
      <c r="G270" s="47" t="s">
        <v>1327</v>
      </c>
      <c r="H270" s="47" t="s">
        <v>981</v>
      </c>
      <c r="I270" s="101">
        <v>85</v>
      </c>
      <c r="J270" s="101">
        <v>85</v>
      </c>
      <c r="K270" s="101">
        <v>85</v>
      </c>
      <c r="L270" s="101">
        <v>85</v>
      </c>
      <c r="M270" s="101">
        <v>85</v>
      </c>
      <c r="N270" s="101">
        <v>85</v>
      </c>
      <c r="O270" s="101">
        <v>85</v>
      </c>
      <c r="P270" s="93">
        <v>0</v>
      </c>
      <c r="Q270" s="101">
        <v>7</v>
      </c>
      <c r="R270" s="101">
        <v>7</v>
      </c>
      <c r="S270" s="101">
        <v>7</v>
      </c>
      <c r="T270" s="101">
        <v>7</v>
      </c>
      <c r="U270" s="101">
        <v>7</v>
      </c>
      <c r="V270" s="101">
        <v>7</v>
      </c>
      <c r="W270" s="101">
        <v>7</v>
      </c>
      <c r="X270" s="101">
        <v>0</v>
      </c>
      <c r="Y270" s="101">
        <v>0</v>
      </c>
      <c r="Z270" s="101">
        <v>0</v>
      </c>
      <c r="AA270" s="101">
        <v>0</v>
      </c>
      <c r="AB270" s="101">
        <v>0</v>
      </c>
      <c r="AC270" s="101">
        <v>0</v>
      </c>
      <c r="AD270" s="101">
        <v>0</v>
      </c>
      <c r="AE270" s="186">
        <v>0.08</v>
      </c>
      <c r="AF270" s="93">
        <v>0</v>
      </c>
      <c r="AG270" s="93">
        <v>12</v>
      </c>
      <c r="AH270" s="93">
        <v>12</v>
      </c>
      <c r="AI270" s="16">
        <f t="shared" ref="AI270:AI289" si="267">1.5*3.6</f>
        <v>5.4</v>
      </c>
      <c r="AJ270" s="16" t="s">
        <v>660</v>
      </c>
      <c r="AK270" s="16" t="s">
        <v>672</v>
      </c>
      <c r="AL270" s="16"/>
      <c r="AM270" s="60"/>
      <c r="AN270" s="60"/>
      <c r="AO270" s="60"/>
      <c r="AP270" s="60"/>
      <c r="AQ270" s="60"/>
      <c r="AR270" s="60"/>
      <c r="AS270" s="63"/>
      <c r="AT270" s="63"/>
      <c r="AU270" s="63"/>
      <c r="AV270" s="131"/>
      <c r="AW270" s="131"/>
      <c r="AX270" s="131"/>
      <c r="AY270" s="27" t="s">
        <v>662</v>
      </c>
      <c r="AZ270" s="27"/>
      <c r="BA270" s="27"/>
      <c r="BB270" s="30"/>
      <c r="BC270" s="30"/>
      <c r="BD270" s="30"/>
      <c r="BE270" s="30"/>
      <c r="BF270" s="30"/>
      <c r="BG270" s="30"/>
      <c r="BH270" s="107"/>
      <c r="BI270" s="107"/>
      <c r="BJ270" s="107"/>
      <c r="BK270" s="107"/>
      <c r="BL270" s="136"/>
      <c r="BM270" s="122"/>
      <c r="BN270" s="138">
        <v>9</v>
      </c>
      <c r="BO270" s="93">
        <v>5</v>
      </c>
      <c r="BP270" s="93">
        <v>3</v>
      </c>
      <c r="BQ270" s="93">
        <v>1</v>
      </c>
      <c r="BR270" s="93"/>
      <c r="BS270" s="93"/>
      <c r="BT270" s="93"/>
      <c r="BU270" s="27">
        <f t="shared" si="242"/>
        <v>0</v>
      </c>
      <c r="BV270" s="27"/>
      <c r="BW270" s="27"/>
      <c r="BX270" s="27"/>
      <c r="BY270" s="27"/>
      <c r="BZ270" s="27"/>
      <c r="CA270" s="27"/>
      <c r="CB270" s="97">
        <v>9</v>
      </c>
      <c r="CC270" s="97">
        <v>100</v>
      </c>
      <c r="CD270" s="97">
        <v>100</v>
      </c>
      <c r="CE270" s="97">
        <v>100</v>
      </c>
      <c r="CF270" s="97">
        <v>100</v>
      </c>
      <c r="CG270" s="97">
        <v>100</v>
      </c>
      <c r="CH270" s="97">
        <v>100</v>
      </c>
      <c r="CI270" s="173"/>
      <c r="CJ270" s="173"/>
      <c r="CK270" s="173"/>
      <c r="CL270" s="173"/>
      <c r="CM270" s="173"/>
      <c r="CN270" s="173"/>
      <c r="CO270" s="173"/>
      <c r="CP270" s="174"/>
      <c r="CQ270" s="174"/>
      <c r="CR270" s="174"/>
      <c r="CS270" s="174"/>
      <c r="CT270" s="174"/>
      <c r="CU270" s="174"/>
      <c r="CV270" s="174"/>
      <c r="CW270" s="165"/>
      <c r="CX270" s="166"/>
      <c r="CY270" s="166"/>
      <c r="CZ270" s="166"/>
      <c r="DA270" s="166"/>
      <c r="DB270" s="166"/>
      <c r="DC270" s="166"/>
      <c r="DD270" s="171"/>
      <c r="DE270" s="171"/>
      <c r="DF270" s="171"/>
      <c r="DG270" s="171"/>
      <c r="DH270" s="171"/>
      <c r="DI270" s="171"/>
      <c r="DJ270" s="171"/>
      <c r="DK270" s="79" t="s">
        <v>452</v>
      </c>
      <c r="DL270" s="128">
        <v>500</v>
      </c>
      <c r="DM270" s="128">
        <v>500</v>
      </c>
      <c r="DN270" s="128">
        <v>500</v>
      </c>
      <c r="DO270" s="128">
        <v>500</v>
      </c>
      <c r="DP270" s="128">
        <v>500</v>
      </c>
      <c r="DQ270" s="128">
        <v>500</v>
      </c>
      <c r="DR270" s="128">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6" t="s">
        <v>1328</v>
      </c>
      <c r="B271" s="6" t="s">
        <v>654</v>
      </c>
      <c r="C271" s="6" t="s">
        <v>788</v>
      </c>
      <c r="D271" s="6" t="s">
        <v>656</v>
      </c>
      <c r="E271" s="6" t="s">
        <v>459</v>
      </c>
      <c r="F271" s="6" t="s">
        <v>457</v>
      </c>
      <c r="G271" s="48" t="s">
        <v>1329</v>
      </c>
      <c r="H271" s="48" t="s">
        <v>981</v>
      </c>
      <c r="I271" s="102">
        <v>0</v>
      </c>
      <c r="J271" s="102">
        <v>0</v>
      </c>
      <c r="K271" s="102">
        <v>0</v>
      </c>
      <c r="L271" s="102">
        <v>0</v>
      </c>
      <c r="M271" s="102">
        <v>0</v>
      </c>
      <c r="N271" s="102">
        <v>0</v>
      </c>
      <c r="O271" s="102">
        <v>0</v>
      </c>
      <c r="P271" s="94">
        <v>0</v>
      </c>
      <c r="Q271" s="102">
        <v>10</v>
      </c>
      <c r="R271" s="102">
        <v>10</v>
      </c>
      <c r="S271" s="102">
        <v>10</v>
      </c>
      <c r="T271" s="102">
        <v>10</v>
      </c>
      <c r="U271" s="102">
        <v>10</v>
      </c>
      <c r="V271" s="102">
        <v>10</v>
      </c>
      <c r="W271" s="102">
        <v>10</v>
      </c>
      <c r="X271" s="102">
        <v>0</v>
      </c>
      <c r="Y271" s="102">
        <v>0</v>
      </c>
      <c r="Z271" s="102">
        <v>0</v>
      </c>
      <c r="AA271" s="102">
        <v>0</v>
      </c>
      <c r="AB271" s="102">
        <v>0</v>
      </c>
      <c r="AC271" s="102">
        <v>0</v>
      </c>
      <c r="AD271" s="102">
        <v>0</v>
      </c>
      <c r="AE271" s="186">
        <v>0.08</v>
      </c>
      <c r="AF271" s="94">
        <v>0</v>
      </c>
      <c r="AG271" s="94">
        <v>40</v>
      </c>
      <c r="AH271" s="94">
        <v>40</v>
      </c>
      <c r="AI271" s="17">
        <f t="shared" si="267"/>
        <v>5.4</v>
      </c>
      <c r="AJ271" s="17" t="s">
        <v>660</v>
      </c>
      <c r="AK271" s="17" t="s">
        <v>672</v>
      </c>
      <c r="AL271" s="17"/>
      <c r="AM271" s="61"/>
      <c r="AN271" s="61"/>
      <c r="AO271" s="61"/>
      <c r="AP271" s="61"/>
      <c r="AQ271" s="61"/>
      <c r="AR271" s="61"/>
      <c r="AS271" s="64"/>
      <c r="AT271" s="64"/>
      <c r="AU271" s="64"/>
      <c r="AV271" s="132"/>
      <c r="AW271" s="132"/>
      <c r="AX271" s="132"/>
      <c r="AY271" s="28" t="s">
        <v>662</v>
      </c>
      <c r="AZ271" s="28"/>
      <c r="BA271" s="28"/>
      <c r="BB271" s="28"/>
      <c r="BC271" s="28"/>
      <c r="BD271" s="28"/>
      <c r="BE271" s="28"/>
      <c r="BF271" s="28"/>
      <c r="BG271" s="28"/>
      <c r="BH271" s="106"/>
      <c r="BI271" s="106"/>
      <c r="BJ271" s="106"/>
      <c r="BK271" s="106"/>
      <c r="BL271" s="137"/>
      <c r="BM271" s="123"/>
      <c r="BN271" s="139">
        <v>2.5</v>
      </c>
      <c r="BO271" s="94"/>
      <c r="BP271" s="94"/>
      <c r="BQ271" s="94"/>
      <c r="BR271" s="94">
        <v>0.5</v>
      </c>
      <c r="BS271" s="94">
        <v>1</v>
      </c>
      <c r="BT271" s="94">
        <v>1</v>
      </c>
      <c r="BU271" s="28">
        <f t="shared" si="242"/>
        <v>0</v>
      </c>
      <c r="BV271" s="28"/>
      <c r="BW271" s="28"/>
      <c r="BX271" s="28"/>
      <c r="BY271" s="28"/>
      <c r="BZ271" s="28"/>
      <c r="CA271" s="28"/>
      <c r="CB271" s="99">
        <v>2.5</v>
      </c>
      <c r="CC271" s="99">
        <v>100</v>
      </c>
      <c r="CD271" s="99">
        <v>100</v>
      </c>
      <c r="CE271" s="99">
        <v>100</v>
      </c>
      <c r="CF271" s="99">
        <v>100</v>
      </c>
      <c r="CG271" s="99">
        <v>100</v>
      </c>
      <c r="CH271" s="99">
        <v>100</v>
      </c>
      <c r="CI271" s="175"/>
      <c r="CJ271" s="175"/>
      <c r="CK271" s="175"/>
      <c r="CL271" s="175"/>
      <c r="CM271" s="175"/>
      <c r="CN271" s="175"/>
      <c r="CO271" s="175"/>
      <c r="CP271" s="176"/>
      <c r="CQ271" s="176"/>
      <c r="CR271" s="176"/>
      <c r="CS271" s="176"/>
      <c r="CT271" s="176"/>
      <c r="CU271" s="176"/>
      <c r="CV271" s="176"/>
      <c r="CW271" s="167"/>
      <c r="CX271" s="168"/>
      <c r="CY271" s="168"/>
      <c r="CZ271" s="168"/>
      <c r="DA271" s="168"/>
      <c r="DB271" s="168"/>
      <c r="DC271" s="168"/>
      <c r="DD271" s="172"/>
      <c r="DE271" s="172"/>
      <c r="DF271" s="172"/>
      <c r="DG271" s="172"/>
      <c r="DH271" s="172"/>
      <c r="DI271" s="172"/>
      <c r="DJ271" s="172"/>
      <c r="DK271" s="80" t="s">
        <v>452</v>
      </c>
      <c r="DL271" s="129">
        <v>500</v>
      </c>
      <c r="DM271" s="129">
        <v>500</v>
      </c>
      <c r="DN271" s="129">
        <v>500</v>
      </c>
      <c r="DO271" s="129">
        <v>500</v>
      </c>
      <c r="DP271" s="129">
        <v>500</v>
      </c>
      <c r="DQ271" s="129">
        <v>500</v>
      </c>
      <c r="DR271" s="129">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5" t="s">
        <v>1330</v>
      </c>
      <c r="B272" s="5" t="s">
        <v>654</v>
      </c>
      <c r="C272" s="5" t="s">
        <v>788</v>
      </c>
      <c r="D272" s="5" t="s">
        <v>656</v>
      </c>
      <c r="E272" s="5" t="s">
        <v>459</v>
      </c>
      <c r="F272" s="5" t="s">
        <v>457</v>
      </c>
      <c r="G272" s="47" t="s">
        <v>1331</v>
      </c>
      <c r="H272" s="47" t="s">
        <v>981</v>
      </c>
      <c r="I272" s="101">
        <v>600</v>
      </c>
      <c r="J272" s="101">
        <v>550</v>
      </c>
      <c r="K272" s="101">
        <v>500</v>
      </c>
      <c r="L272" s="101">
        <v>450</v>
      </c>
      <c r="M272" s="101">
        <v>400</v>
      </c>
      <c r="N272" s="101">
        <v>350</v>
      </c>
      <c r="O272" s="101">
        <v>300</v>
      </c>
      <c r="P272" s="93">
        <v>0</v>
      </c>
      <c r="Q272" s="101">
        <v>30</v>
      </c>
      <c r="R272" s="101">
        <v>30</v>
      </c>
      <c r="S272" s="101">
        <v>30</v>
      </c>
      <c r="T272" s="101">
        <v>30</v>
      </c>
      <c r="U272" s="101">
        <v>30</v>
      </c>
      <c r="V272" s="101">
        <v>30</v>
      </c>
      <c r="W272" s="101">
        <v>30</v>
      </c>
      <c r="X272" s="101">
        <v>0</v>
      </c>
      <c r="Y272" s="101">
        <v>0</v>
      </c>
      <c r="Z272" s="101">
        <v>0</v>
      </c>
      <c r="AA272" s="101">
        <v>0</v>
      </c>
      <c r="AB272" s="101">
        <v>0</v>
      </c>
      <c r="AC272" s="101">
        <v>0</v>
      </c>
      <c r="AD272" s="101">
        <v>0</v>
      </c>
      <c r="AE272" s="186">
        <v>0.08</v>
      </c>
      <c r="AF272" s="93">
        <v>0</v>
      </c>
      <c r="AG272" s="93">
        <v>12</v>
      </c>
      <c r="AH272" s="93">
        <v>12</v>
      </c>
      <c r="AI272" s="16">
        <f t="shared" si="267"/>
        <v>5.4</v>
      </c>
      <c r="AJ272" s="16" t="s">
        <v>660</v>
      </c>
      <c r="AK272" s="16" t="s">
        <v>672</v>
      </c>
      <c r="AL272" s="16"/>
      <c r="AM272" s="60"/>
      <c r="AN272" s="60"/>
      <c r="AO272" s="60"/>
      <c r="AP272" s="60"/>
      <c r="AQ272" s="60"/>
      <c r="AR272" s="60"/>
      <c r="AS272" s="63"/>
      <c r="AT272" s="63"/>
      <c r="AU272" s="63"/>
      <c r="AV272" s="131"/>
      <c r="AW272" s="131"/>
      <c r="AX272" s="131"/>
      <c r="AY272" s="27" t="s">
        <v>662</v>
      </c>
      <c r="AZ272" s="27"/>
      <c r="BA272" s="27"/>
      <c r="BB272" s="30"/>
      <c r="BC272" s="30"/>
      <c r="BD272" s="30"/>
      <c r="BE272" s="30"/>
      <c r="BF272" s="30"/>
      <c r="BG272" s="30"/>
      <c r="BH272" s="107"/>
      <c r="BI272" s="107"/>
      <c r="BJ272" s="107"/>
      <c r="BK272" s="107"/>
      <c r="BL272" s="136"/>
      <c r="BM272" s="122"/>
      <c r="BN272" s="138">
        <v>1.5</v>
      </c>
      <c r="BO272" s="93"/>
      <c r="BP272" s="93"/>
      <c r="BQ272" s="93">
        <v>1.5</v>
      </c>
      <c r="BR272" s="93"/>
      <c r="BS272" s="93"/>
      <c r="BT272" s="93"/>
      <c r="BU272" s="27">
        <f t="shared" si="242"/>
        <v>0</v>
      </c>
      <c r="BV272" s="27"/>
      <c r="BW272" s="27"/>
      <c r="BX272" s="27"/>
      <c r="BY272" s="27"/>
      <c r="BZ272" s="27"/>
      <c r="CA272" s="27"/>
      <c r="CB272" s="97">
        <v>1.5</v>
      </c>
      <c r="CC272" s="97">
        <v>100</v>
      </c>
      <c r="CD272" s="97">
        <v>100</v>
      </c>
      <c r="CE272" s="97">
        <v>100</v>
      </c>
      <c r="CF272" s="97">
        <v>100</v>
      </c>
      <c r="CG272" s="97">
        <v>100</v>
      </c>
      <c r="CH272" s="97">
        <v>100</v>
      </c>
      <c r="CI272" s="173"/>
      <c r="CJ272" s="173"/>
      <c r="CK272" s="173"/>
      <c r="CL272" s="173"/>
      <c r="CM272" s="173"/>
      <c r="CN272" s="173"/>
      <c r="CO272" s="173"/>
      <c r="CP272" s="174"/>
      <c r="CQ272" s="174"/>
      <c r="CR272" s="174"/>
      <c r="CS272" s="174"/>
      <c r="CT272" s="174"/>
      <c r="CU272" s="174"/>
      <c r="CV272" s="174"/>
      <c r="CW272" s="165"/>
      <c r="CX272" s="166"/>
      <c r="CY272" s="166"/>
      <c r="CZ272" s="166"/>
      <c r="DA272" s="166"/>
      <c r="DB272" s="166"/>
      <c r="DC272" s="166"/>
      <c r="DD272" s="171"/>
      <c r="DE272" s="171"/>
      <c r="DF272" s="171"/>
      <c r="DG272" s="171"/>
      <c r="DH272" s="171"/>
      <c r="DI272" s="171"/>
      <c r="DJ272" s="171"/>
      <c r="DK272" s="79" t="s">
        <v>1332</v>
      </c>
      <c r="DL272" s="128">
        <v>200</v>
      </c>
      <c r="DM272" s="128">
        <v>200</v>
      </c>
      <c r="DN272" s="128">
        <v>200</v>
      </c>
      <c r="DO272" s="128">
        <v>200</v>
      </c>
      <c r="DP272" s="128">
        <v>200</v>
      </c>
      <c r="DQ272" s="128">
        <v>200</v>
      </c>
      <c r="DR272" s="128">
        <v>200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6" t="s">
        <v>1333</v>
      </c>
      <c r="B273" s="6" t="s">
        <v>654</v>
      </c>
      <c r="C273" s="6" t="s">
        <v>788</v>
      </c>
      <c r="D273" s="6" t="s">
        <v>656</v>
      </c>
      <c r="E273" s="6" t="s">
        <v>459</v>
      </c>
      <c r="F273" s="6" t="s">
        <v>457</v>
      </c>
      <c r="G273" s="221" t="s">
        <v>1334</v>
      </c>
      <c r="H273" s="48" t="s">
        <v>981</v>
      </c>
      <c r="I273" s="102">
        <v>150</v>
      </c>
      <c r="J273" s="102">
        <v>150</v>
      </c>
      <c r="K273" s="102">
        <v>150</v>
      </c>
      <c r="L273" s="102">
        <v>150</v>
      </c>
      <c r="M273" s="102">
        <v>150</v>
      </c>
      <c r="N273" s="102">
        <v>150</v>
      </c>
      <c r="O273" s="102">
        <v>150</v>
      </c>
      <c r="P273" s="94">
        <v>0</v>
      </c>
      <c r="Q273" s="102">
        <v>2</v>
      </c>
      <c r="R273" s="102">
        <v>2</v>
      </c>
      <c r="S273" s="102">
        <v>2</v>
      </c>
      <c r="T273" s="102">
        <v>2</v>
      </c>
      <c r="U273" s="102">
        <v>2</v>
      </c>
      <c r="V273" s="102">
        <v>2</v>
      </c>
      <c r="W273" s="102">
        <v>2</v>
      </c>
      <c r="X273" s="102">
        <v>0</v>
      </c>
      <c r="Y273" s="102">
        <v>0</v>
      </c>
      <c r="Z273" s="102">
        <v>0</v>
      </c>
      <c r="AA273" s="102">
        <v>0</v>
      </c>
      <c r="AB273" s="102">
        <v>0</v>
      </c>
      <c r="AC273" s="102">
        <v>0</v>
      </c>
      <c r="AD273" s="102">
        <v>0</v>
      </c>
      <c r="AE273" s="186">
        <v>0.08</v>
      </c>
      <c r="AF273" s="94">
        <v>0</v>
      </c>
      <c r="AG273" s="94">
        <v>12</v>
      </c>
      <c r="AH273" s="94">
        <v>12</v>
      </c>
      <c r="AI273" s="17">
        <f t="shared" si="267"/>
        <v>5.4</v>
      </c>
      <c r="AJ273" s="17" t="s">
        <v>660</v>
      </c>
      <c r="AK273" s="17" t="s">
        <v>672</v>
      </c>
      <c r="AL273" s="17"/>
      <c r="AM273" s="61"/>
      <c r="AN273" s="61"/>
      <c r="AO273" s="61"/>
      <c r="AP273" s="61"/>
      <c r="AQ273" s="61"/>
      <c r="AR273" s="61"/>
      <c r="AS273" s="64"/>
      <c r="AT273" s="64"/>
      <c r="AU273" s="64"/>
      <c r="AV273" s="132"/>
      <c r="AW273" s="132"/>
      <c r="AX273" s="132"/>
      <c r="AY273" s="28" t="s">
        <v>662</v>
      </c>
      <c r="AZ273" s="28"/>
      <c r="BA273" s="28"/>
      <c r="BB273" s="28"/>
      <c r="BC273" s="28"/>
      <c r="BD273" s="28"/>
      <c r="BE273" s="28"/>
      <c r="BF273" s="28"/>
      <c r="BG273" s="28"/>
      <c r="BH273" s="106"/>
      <c r="BI273" s="106"/>
      <c r="BJ273" s="106"/>
      <c r="BK273" s="106"/>
      <c r="BL273" s="137"/>
      <c r="BM273" s="123"/>
      <c r="BN273" s="139">
        <v>0</v>
      </c>
      <c r="BO273" s="94"/>
      <c r="BP273" s="94"/>
      <c r="BQ273" s="94"/>
      <c r="BR273" s="94"/>
      <c r="BS273" s="94"/>
      <c r="BT273" s="94"/>
      <c r="BU273" s="28">
        <f t="shared" si="242"/>
        <v>0</v>
      </c>
      <c r="BV273" s="28"/>
      <c r="BW273" s="28"/>
      <c r="BX273" s="28"/>
      <c r="BY273" s="28"/>
      <c r="BZ273" s="28"/>
      <c r="CA273" s="28"/>
      <c r="CB273" s="99"/>
      <c r="CC273" s="99">
        <v>100</v>
      </c>
      <c r="CD273" s="99">
        <v>100</v>
      </c>
      <c r="CE273" s="99">
        <v>100</v>
      </c>
      <c r="CF273" s="99">
        <v>100</v>
      </c>
      <c r="CG273" s="99">
        <v>100</v>
      </c>
      <c r="CH273" s="99">
        <v>100</v>
      </c>
      <c r="CI273" s="175"/>
      <c r="CJ273" s="175"/>
      <c r="CK273" s="175"/>
      <c r="CL273" s="175"/>
      <c r="CM273" s="175"/>
      <c r="CN273" s="175"/>
      <c r="CO273" s="175"/>
      <c r="CP273" s="176"/>
      <c r="CQ273" s="176"/>
      <c r="CR273" s="176"/>
      <c r="CS273" s="176"/>
      <c r="CT273" s="176"/>
      <c r="CU273" s="176"/>
      <c r="CV273" s="176"/>
      <c r="CW273" s="167"/>
      <c r="CX273" s="168"/>
      <c r="CY273" s="168"/>
      <c r="CZ273" s="168"/>
      <c r="DA273" s="168"/>
      <c r="DB273" s="168"/>
      <c r="DC273" s="168"/>
      <c r="DD273" s="172"/>
      <c r="DE273" s="172"/>
      <c r="DF273" s="172"/>
      <c r="DG273" s="172"/>
      <c r="DH273" s="172"/>
      <c r="DI273" s="172"/>
      <c r="DJ273" s="172"/>
      <c r="DK273" s="80" t="s">
        <v>1335</v>
      </c>
      <c r="DL273" s="129">
        <v>200</v>
      </c>
      <c r="DM273" s="129">
        <v>200</v>
      </c>
      <c r="DN273" s="129">
        <v>200</v>
      </c>
      <c r="DO273" s="129">
        <v>200</v>
      </c>
      <c r="DP273" s="129">
        <v>200</v>
      </c>
      <c r="DQ273" s="129">
        <v>200</v>
      </c>
      <c r="DR273" s="129">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5" t="s">
        <v>1336</v>
      </c>
      <c r="B274" s="5" t="s">
        <v>654</v>
      </c>
      <c r="C274" s="5" t="s">
        <v>788</v>
      </c>
      <c r="D274" s="5" t="s">
        <v>656</v>
      </c>
      <c r="E274" s="5" t="s">
        <v>459</v>
      </c>
      <c r="F274" s="5" t="s">
        <v>457</v>
      </c>
      <c r="G274" s="47" t="s">
        <v>1337</v>
      </c>
      <c r="H274" s="47" t="s">
        <v>981</v>
      </c>
      <c r="I274" s="101">
        <v>100</v>
      </c>
      <c r="J274" s="101">
        <v>95</v>
      </c>
      <c r="K274" s="101">
        <v>90</v>
      </c>
      <c r="L274" s="101">
        <v>85</v>
      </c>
      <c r="M274" s="101">
        <v>80</v>
      </c>
      <c r="N274" s="101">
        <v>75</v>
      </c>
      <c r="O274" s="101">
        <v>70</v>
      </c>
      <c r="P274" s="93">
        <v>0</v>
      </c>
      <c r="Q274" s="101">
        <v>5</v>
      </c>
      <c r="R274" s="101">
        <v>5</v>
      </c>
      <c r="S274" s="101">
        <v>5</v>
      </c>
      <c r="T274" s="101">
        <v>5</v>
      </c>
      <c r="U274" s="101">
        <v>5</v>
      </c>
      <c r="V274" s="101">
        <v>5</v>
      </c>
      <c r="W274" s="101">
        <v>5</v>
      </c>
      <c r="X274" s="101">
        <v>0</v>
      </c>
      <c r="Y274" s="101">
        <v>0</v>
      </c>
      <c r="Z274" s="101">
        <v>0</v>
      </c>
      <c r="AA274" s="101">
        <v>0</v>
      </c>
      <c r="AB274" s="101">
        <v>0</v>
      </c>
      <c r="AC274" s="101">
        <v>0</v>
      </c>
      <c r="AD274" s="101">
        <v>0</v>
      </c>
      <c r="AE274" s="186">
        <v>0.08</v>
      </c>
      <c r="AF274" s="93">
        <v>0</v>
      </c>
      <c r="AG274" s="93">
        <v>12</v>
      </c>
      <c r="AH274" s="93">
        <v>12</v>
      </c>
      <c r="AI274" s="16">
        <f t="shared" si="267"/>
        <v>5.4</v>
      </c>
      <c r="AJ274" s="16" t="s">
        <v>660</v>
      </c>
      <c r="AK274" s="16" t="s">
        <v>672</v>
      </c>
      <c r="AL274" s="16"/>
      <c r="AM274" s="60"/>
      <c r="AN274" s="60"/>
      <c r="AO274" s="60"/>
      <c r="AP274" s="60"/>
      <c r="AQ274" s="60"/>
      <c r="AR274" s="60"/>
      <c r="AS274" s="63"/>
      <c r="AT274" s="63"/>
      <c r="AU274" s="63"/>
      <c r="AV274" s="131"/>
      <c r="AW274" s="131"/>
      <c r="AX274" s="131"/>
      <c r="AY274" s="27" t="s">
        <v>662</v>
      </c>
      <c r="AZ274" s="27"/>
      <c r="BA274" s="27"/>
      <c r="BB274" s="30"/>
      <c r="BC274" s="30"/>
      <c r="BD274" s="30"/>
      <c r="BE274" s="30"/>
      <c r="BF274" s="30"/>
      <c r="BG274" s="30"/>
      <c r="BH274" s="107"/>
      <c r="BI274" s="107"/>
      <c r="BJ274" s="107"/>
      <c r="BK274" s="107"/>
      <c r="BL274" s="136"/>
      <c r="BM274" s="122"/>
      <c r="BN274" s="138">
        <v>0</v>
      </c>
      <c r="BO274" s="93"/>
      <c r="BP274" s="93"/>
      <c r="BQ274" s="93"/>
      <c r="BR274" s="93"/>
      <c r="BS274" s="93"/>
      <c r="BT274" s="93"/>
      <c r="BU274" s="27">
        <f t="shared" ref="BU274" si="268">IF(BL274=1,BN274,0)</f>
        <v>0</v>
      </c>
      <c r="BV274" s="27"/>
      <c r="BW274" s="27"/>
      <c r="BX274" s="27"/>
      <c r="BY274" s="27"/>
      <c r="BZ274" s="27"/>
      <c r="CA274" s="27"/>
      <c r="CB274" s="97"/>
      <c r="CC274" s="97">
        <v>5</v>
      </c>
      <c r="CD274" s="97">
        <v>10</v>
      </c>
      <c r="CE274" s="97">
        <v>50</v>
      </c>
      <c r="CF274" s="97">
        <v>100</v>
      </c>
      <c r="CG274" s="97">
        <v>100</v>
      </c>
      <c r="CH274" s="97">
        <v>100</v>
      </c>
      <c r="CI274" s="173"/>
      <c r="CJ274" s="173"/>
      <c r="CK274" s="173"/>
      <c r="CL274" s="173"/>
      <c r="CM274" s="173"/>
      <c r="CN274" s="173"/>
      <c r="CO274" s="173"/>
      <c r="CP274" s="174"/>
      <c r="CQ274" s="174"/>
      <c r="CR274" s="174"/>
      <c r="CS274" s="174"/>
      <c r="CT274" s="174"/>
      <c r="CU274" s="174"/>
      <c r="CV274" s="174"/>
      <c r="CW274" s="165"/>
      <c r="CX274" s="166"/>
      <c r="CY274" s="166"/>
      <c r="CZ274" s="166"/>
      <c r="DA274" s="166"/>
      <c r="DB274" s="166"/>
      <c r="DC274" s="166"/>
      <c r="DD274" s="171"/>
      <c r="DE274" s="171"/>
      <c r="DF274" s="171"/>
      <c r="DG274" s="171"/>
      <c r="DH274" s="171"/>
      <c r="DI274" s="171"/>
      <c r="DJ274" s="171"/>
      <c r="DK274" s="79" t="s">
        <v>1338</v>
      </c>
      <c r="DL274" s="128">
        <v>500</v>
      </c>
      <c r="DM274" s="128">
        <v>500</v>
      </c>
      <c r="DN274" s="128">
        <v>500</v>
      </c>
      <c r="DO274" s="128">
        <v>500</v>
      </c>
      <c r="DP274" s="128">
        <v>500</v>
      </c>
      <c r="DQ274" s="128">
        <v>500</v>
      </c>
      <c r="DR274" s="128">
        <v>500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6" t="s">
        <v>1339</v>
      </c>
      <c r="B275" s="6" t="s">
        <v>654</v>
      </c>
      <c r="C275" s="6" t="s">
        <v>788</v>
      </c>
      <c r="D275" s="6" t="s">
        <v>656</v>
      </c>
      <c r="E275" s="6" t="s">
        <v>459</v>
      </c>
      <c r="F275" s="6" t="s">
        <v>460</v>
      </c>
      <c r="G275" s="48" t="s">
        <v>1340</v>
      </c>
      <c r="H275" s="48" t="s">
        <v>981</v>
      </c>
      <c r="I275" s="102">
        <v>0</v>
      </c>
      <c r="J275" s="102">
        <v>0</v>
      </c>
      <c r="K275" s="102">
        <v>0</v>
      </c>
      <c r="L275" s="102">
        <v>0</v>
      </c>
      <c r="M275" s="102">
        <v>0</v>
      </c>
      <c r="N275" s="102">
        <v>0</v>
      </c>
      <c r="O275" s="102">
        <v>0</v>
      </c>
      <c r="P275" s="94">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86">
        <v>0.08</v>
      </c>
      <c r="AF275" s="94"/>
      <c r="AG275" s="94">
        <v>1</v>
      </c>
      <c r="AH275" s="94">
        <v>1</v>
      </c>
      <c r="AI275" s="17">
        <f t="shared" si="267"/>
        <v>5.4</v>
      </c>
      <c r="AJ275" s="17" t="s">
        <v>660</v>
      </c>
      <c r="AK275" s="17" t="s">
        <v>672</v>
      </c>
      <c r="AL275" s="17"/>
      <c r="AM275" s="61"/>
      <c r="AN275" s="61"/>
      <c r="AO275" s="61"/>
      <c r="AP275" s="61"/>
      <c r="AQ275" s="61"/>
      <c r="AR275" s="61"/>
      <c r="AS275" s="64"/>
      <c r="AT275" s="64"/>
      <c r="AU275" s="64"/>
      <c r="AV275" s="132"/>
      <c r="AW275" s="132"/>
      <c r="AX275" s="132"/>
      <c r="AY275" s="28" t="s">
        <v>662</v>
      </c>
      <c r="AZ275" s="28"/>
      <c r="BA275" s="28"/>
      <c r="BB275" s="28"/>
      <c r="BC275" s="28"/>
      <c r="BD275" s="28"/>
      <c r="BE275" s="28"/>
      <c r="BF275" s="28"/>
      <c r="BG275" s="28"/>
      <c r="BH275" s="106"/>
      <c r="BI275" s="106"/>
      <c r="BJ275" s="106"/>
      <c r="BK275" s="106"/>
      <c r="BL275" s="137"/>
      <c r="BM275" s="123"/>
      <c r="BN275" s="139"/>
      <c r="BO275" s="94"/>
      <c r="BP275" s="94"/>
      <c r="BQ275" s="94"/>
      <c r="BR275" s="94"/>
      <c r="BS275" s="94"/>
      <c r="BT275" s="94"/>
      <c r="BU275" s="28">
        <f t="shared" si="242"/>
        <v>0</v>
      </c>
      <c r="BV275" s="28"/>
      <c r="BW275" s="28"/>
      <c r="BX275" s="28"/>
      <c r="BY275" s="28"/>
      <c r="BZ275" s="28"/>
      <c r="CA275" s="28"/>
      <c r="CB275" s="185">
        <v>250</v>
      </c>
      <c r="CC275" s="99">
        <v>100</v>
      </c>
      <c r="CD275" s="99">
        <v>100</v>
      </c>
      <c r="CE275" s="99">
        <v>100</v>
      </c>
      <c r="CF275" s="99">
        <v>100</v>
      </c>
      <c r="CG275" s="99">
        <v>100</v>
      </c>
      <c r="CH275" s="99">
        <v>100</v>
      </c>
      <c r="CI275" s="175"/>
      <c r="CJ275" s="175"/>
      <c r="CK275" s="175"/>
      <c r="CL275" s="175"/>
      <c r="CM275" s="175"/>
      <c r="CN275" s="175"/>
      <c r="CO275" s="175"/>
      <c r="CP275" s="176"/>
      <c r="CQ275" s="176"/>
      <c r="CR275" s="176"/>
      <c r="CS275" s="176"/>
      <c r="CT275" s="176"/>
      <c r="CU275" s="176"/>
      <c r="CV275" s="176"/>
      <c r="CW275" s="167"/>
      <c r="CX275" s="168"/>
      <c r="CY275" s="168"/>
      <c r="CZ275" s="168"/>
      <c r="DA275" s="168"/>
      <c r="DB275" s="168"/>
      <c r="DC275" s="168"/>
      <c r="DD275" s="172"/>
      <c r="DE275" s="172"/>
      <c r="DF275" s="172"/>
      <c r="DG275" s="172"/>
      <c r="DH275" s="172"/>
      <c r="DI275" s="172"/>
      <c r="DJ275" s="172"/>
      <c r="DK275" s="80" t="s">
        <v>502</v>
      </c>
      <c r="DL275" s="129">
        <v>500</v>
      </c>
      <c r="DM275" s="129">
        <v>500</v>
      </c>
      <c r="DN275" s="129">
        <v>500</v>
      </c>
      <c r="DO275" s="129">
        <v>500</v>
      </c>
      <c r="DP275" s="129">
        <v>500</v>
      </c>
      <c r="DQ275" s="129">
        <v>500</v>
      </c>
      <c r="DR275" s="129">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5" t="s">
        <v>1341</v>
      </c>
      <c r="B276" s="5" t="s">
        <v>654</v>
      </c>
      <c r="C276" s="5" t="s">
        <v>788</v>
      </c>
      <c r="D276" s="5" t="s">
        <v>656</v>
      </c>
      <c r="E276" s="5" t="s">
        <v>459</v>
      </c>
      <c r="F276" s="5" t="s">
        <v>460</v>
      </c>
      <c r="G276" s="47" t="s">
        <v>1342</v>
      </c>
      <c r="H276" s="47" t="s">
        <v>981</v>
      </c>
      <c r="I276" s="101">
        <v>350</v>
      </c>
      <c r="J276" s="101">
        <v>350</v>
      </c>
      <c r="K276" s="101">
        <v>350</v>
      </c>
      <c r="L276" s="101">
        <v>350</v>
      </c>
      <c r="M276" s="101">
        <v>350</v>
      </c>
      <c r="N276" s="101">
        <v>350</v>
      </c>
      <c r="O276" s="101">
        <v>350</v>
      </c>
      <c r="P276" s="93">
        <v>0</v>
      </c>
      <c r="Q276" s="101">
        <v>15</v>
      </c>
      <c r="R276" s="101">
        <v>15</v>
      </c>
      <c r="S276" s="101">
        <v>15</v>
      </c>
      <c r="T276" s="101">
        <v>15</v>
      </c>
      <c r="U276" s="101">
        <v>15</v>
      </c>
      <c r="V276" s="101">
        <v>15</v>
      </c>
      <c r="W276" s="101">
        <v>15</v>
      </c>
      <c r="X276" s="101">
        <v>0</v>
      </c>
      <c r="Y276" s="101">
        <v>0</v>
      </c>
      <c r="Z276" s="101">
        <v>0</v>
      </c>
      <c r="AA276" s="101">
        <v>0</v>
      </c>
      <c r="AB276" s="101">
        <v>0</v>
      </c>
      <c r="AC276" s="101">
        <v>0</v>
      </c>
      <c r="AD276" s="101">
        <v>0</v>
      </c>
      <c r="AE276" s="186">
        <v>0.08</v>
      </c>
      <c r="AF276" s="93">
        <v>0</v>
      </c>
      <c r="AG276" s="93">
        <v>12</v>
      </c>
      <c r="AH276" s="93">
        <v>12</v>
      </c>
      <c r="AI276" s="16">
        <f t="shared" si="267"/>
        <v>5.4</v>
      </c>
      <c r="AJ276" s="16" t="s">
        <v>660</v>
      </c>
      <c r="AK276" s="16" t="s">
        <v>672</v>
      </c>
      <c r="AL276" s="16"/>
      <c r="AM276" s="60"/>
      <c r="AN276" s="60"/>
      <c r="AO276" s="60"/>
      <c r="AP276" s="60"/>
      <c r="AQ276" s="60"/>
      <c r="AR276" s="60"/>
      <c r="AS276" s="63"/>
      <c r="AT276" s="63"/>
      <c r="AU276" s="63"/>
      <c r="AV276" s="131"/>
      <c r="AW276" s="131"/>
      <c r="AX276" s="131"/>
      <c r="AY276" s="27" t="s">
        <v>662</v>
      </c>
      <c r="AZ276" s="27"/>
      <c r="BA276" s="27"/>
      <c r="BB276" s="30"/>
      <c r="BC276" s="30"/>
      <c r="BD276" s="30"/>
      <c r="BE276" s="30"/>
      <c r="BF276" s="30"/>
      <c r="BG276" s="30"/>
      <c r="BH276" s="107"/>
      <c r="BI276" s="107"/>
      <c r="BJ276" s="107"/>
      <c r="BK276" s="107"/>
      <c r="BL276" s="136"/>
      <c r="BM276" s="122"/>
      <c r="BN276" s="138">
        <v>0.2</v>
      </c>
      <c r="BO276" s="93"/>
      <c r="BP276" s="93"/>
      <c r="BQ276" s="93"/>
      <c r="BR276" s="93">
        <f>BN276</f>
        <v>0.2</v>
      </c>
      <c r="BS276" s="93"/>
      <c r="BT276" s="93"/>
      <c r="BU276" s="27">
        <f t="shared" si="242"/>
        <v>0</v>
      </c>
      <c r="BV276" s="27"/>
      <c r="BW276" s="27"/>
      <c r="BX276" s="27"/>
      <c r="BY276" s="27"/>
      <c r="BZ276" s="27"/>
      <c r="CA276" s="27"/>
      <c r="CB276" s="97">
        <v>0.2</v>
      </c>
      <c r="CC276" s="97">
        <v>5</v>
      </c>
      <c r="CD276" s="97">
        <v>25</v>
      </c>
      <c r="CE276" s="97">
        <v>50</v>
      </c>
      <c r="CF276" s="97">
        <v>100</v>
      </c>
      <c r="CG276" s="97">
        <v>100</v>
      </c>
      <c r="CH276" s="97">
        <v>100</v>
      </c>
      <c r="CI276" s="173"/>
      <c r="CJ276" s="173"/>
      <c r="CK276" s="173"/>
      <c r="CL276" s="173"/>
      <c r="CM276" s="173"/>
      <c r="CN276" s="173"/>
      <c r="CO276" s="173"/>
      <c r="CP276" s="174"/>
      <c r="CQ276" s="174"/>
      <c r="CR276" s="174"/>
      <c r="CS276" s="174"/>
      <c r="CT276" s="174"/>
      <c r="CU276" s="174"/>
      <c r="CV276" s="174"/>
      <c r="CW276" s="165"/>
      <c r="CX276" s="166"/>
      <c r="CY276" s="166"/>
      <c r="CZ276" s="166"/>
      <c r="DA276" s="166"/>
      <c r="DB276" s="166"/>
      <c r="DC276" s="166"/>
      <c r="DD276" s="171"/>
      <c r="DE276" s="171"/>
      <c r="DF276" s="171"/>
      <c r="DG276" s="171"/>
      <c r="DH276" s="171"/>
      <c r="DI276" s="171"/>
      <c r="DJ276" s="171"/>
      <c r="DK276" s="79" t="s">
        <v>452</v>
      </c>
      <c r="DL276" s="128">
        <v>200</v>
      </c>
      <c r="DM276" s="128">
        <v>200</v>
      </c>
      <c r="DN276" s="128">
        <v>200</v>
      </c>
      <c r="DO276" s="128">
        <v>200</v>
      </c>
      <c r="DP276" s="128">
        <v>200</v>
      </c>
      <c r="DQ276" s="128">
        <v>200</v>
      </c>
      <c r="DR276" s="128">
        <v>200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6" t="s">
        <v>1343</v>
      </c>
      <c r="B277" s="6" t="s">
        <v>654</v>
      </c>
      <c r="C277" s="6" t="s">
        <v>788</v>
      </c>
      <c r="D277" s="6" t="s">
        <v>656</v>
      </c>
      <c r="E277" s="6" t="s">
        <v>459</v>
      </c>
      <c r="F277" s="6" t="s">
        <v>460</v>
      </c>
      <c r="G277" s="48" t="s">
        <v>1344</v>
      </c>
      <c r="H277" s="48" t="s">
        <v>981</v>
      </c>
      <c r="I277" s="102">
        <v>450</v>
      </c>
      <c r="J277" s="102">
        <v>450</v>
      </c>
      <c r="K277" s="102">
        <v>450</v>
      </c>
      <c r="L277" s="102">
        <v>450</v>
      </c>
      <c r="M277" s="102">
        <v>450</v>
      </c>
      <c r="N277" s="102">
        <v>450</v>
      </c>
      <c r="O277" s="102">
        <v>450</v>
      </c>
      <c r="P277" s="94">
        <v>0</v>
      </c>
      <c r="Q277" s="102">
        <v>16</v>
      </c>
      <c r="R277" s="102">
        <v>16</v>
      </c>
      <c r="S277" s="102">
        <v>16</v>
      </c>
      <c r="T277" s="102">
        <v>16</v>
      </c>
      <c r="U277" s="102">
        <v>16</v>
      </c>
      <c r="V277" s="102">
        <v>16</v>
      </c>
      <c r="W277" s="102">
        <v>16</v>
      </c>
      <c r="X277" s="102">
        <v>0</v>
      </c>
      <c r="Y277" s="102">
        <v>0</v>
      </c>
      <c r="Z277" s="102">
        <v>0</v>
      </c>
      <c r="AA277" s="102">
        <v>0</v>
      </c>
      <c r="AB277" s="102">
        <v>0</v>
      </c>
      <c r="AC277" s="102">
        <v>0</v>
      </c>
      <c r="AD277" s="102">
        <v>0</v>
      </c>
      <c r="AE277" s="186">
        <v>0.08</v>
      </c>
      <c r="AF277" s="94">
        <v>0</v>
      </c>
      <c r="AG277" s="94">
        <v>12</v>
      </c>
      <c r="AH277" s="94">
        <v>12</v>
      </c>
      <c r="AI277" s="17">
        <f t="shared" si="267"/>
        <v>5.4</v>
      </c>
      <c r="AJ277" s="17" t="s">
        <v>660</v>
      </c>
      <c r="AK277" s="17" t="s">
        <v>672</v>
      </c>
      <c r="AL277" s="17"/>
      <c r="AM277" s="61"/>
      <c r="AN277" s="61"/>
      <c r="AO277" s="61"/>
      <c r="AP277" s="61"/>
      <c r="AQ277" s="61"/>
      <c r="AR277" s="61"/>
      <c r="AS277" s="64"/>
      <c r="AT277" s="64"/>
      <c r="AU277" s="64"/>
      <c r="AV277" s="132"/>
      <c r="AW277" s="132"/>
      <c r="AX277" s="132"/>
      <c r="AY277" s="28" t="s">
        <v>662</v>
      </c>
      <c r="AZ277" s="28"/>
      <c r="BA277" s="28"/>
      <c r="BB277" s="28"/>
      <c r="BC277" s="28"/>
      <c r="BD277" s="28"/>
      <c r="BE277" s="28"/>
      <c r="BF277" s="28"/>
      <c r="BG277" s="28"/>
      <c r="BH277" s="106"/>
      <c r="BI277" s="106"/>
      <c r="BJ277" s="106"/>
      <c r="BK277" s="106"/>
      <c r="BL277" s="137"/>
      <c r="BM277" s="123"/>
      <c r="BN277" s="139">
        <v>0.1</v>
      </c>
      <c r="BO277" s="94"/>
      <c r="BP277" s="94"/>
      <c r="BQ277" s="94"/>
      <c r="BR277" s="94">
        <f>BN277</f>
        <v>0.1</v>
      </c>
      <c r="BS277" s="94"/>
      <c r="BT277" s="94"/>
      <c r="BU277" s="28">
        <f t="shared" si="242"/>
        <v>0</v>
      </c>
      <c r="BV277" s="28"/>
      <c r="BW277" s="28"/>
      <c r="BX277" s="28"/>
      <c r="BY277" s="28"/>
      <c r="BZ277" s="28"/>
      <c r="CA277" s="28"/>
      <c r="CB277" s="99">
        <v>0.1</v>
      </c>
      <c r="CC277" s="99">
        <v>5</v>
      </c>
      <c r="CD277" s="99">
        <v>25</v>
      </c>
      <c r="CE277" s="99">
        <v>50</v>
      </c>
      <c r="CF277" s="99">
        <v>100</v>
      </c>
      <c r="CG277" s="99">
        <v>100</v>
      </c>
      <c r="CH277" s="99">
        <v>100</v>
      </c>
      <c r="CI277" s="175"/>
      <c r="CJ277" s="175"/>
      <c r="CK277" s="175"/>
      <c r="CL277" s="175"/>
      <c r="CM277" s="175"/>
      <c r="CN277" s="175"/>
      <c r="CO277" s="175"/>
      <c r="CP277" s="176"/>
      <c r="CQ277" s="176"/>
      <c r="CR277" s="176"/>
      <c r="CS277" s="176"/>
      <c r="CT277" s="176"/>
      <c r="CU277" s="176"/>
      <c r="CV277" s="176"/>
      <c r="CW277" s="167"/>
      <c r="CX277" s="168"/>
      <c r="CY277" s="168"/>
      <c r="CZ277" s="168"/>
      <c r="DA277" s="168"/>
      <c r="DB277" s="168"/>
      <c r="DC277" s="168"/>
      <c r="DD277" s="172"/>
      <c r="DE277" s="172"/>
      <c r="DF277" s="172"/>
      <c r="DG277" s="172"/>
      <c r="DH277" s="172"/>
      <c r="DI277" s="172"/>
      <c r="DJ277" s="172"/>
      <c r="DK277" s="80" t="s">
        <v>452</v>
      </c>
      <c r="DL277" s="129">
        <v>200</v>
      </c>
      <c r="DM277" s="129">
        <v>200</v>
      </c>
      <c r="DN277" s="129">
        <v>200</v>
      </c>
      <c r="DO277" s="129">
        <v>200</v>
      </c>
      <c r="DP277" s="129">
        <v>200</v>
      </c>
      <c r="DQ277" s="129">
        <v>200</v>
      </c>
      <c r="DR277" s="129">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5" t="s">
        <v>1345</v>
      </c>
      <c r="B278" s="5" t="s">
        <v>654</v>
      </c>
      <c r="C278" s="5" t="s">
        <v>788</v>
      </c>
      <c r="D278" s="5" t="s">
        <v>656</v>
      </c>
      <c r="E278" s="5" t="s">
        <v>459</v>
      </c>
      <c r="F278" s="5" t="s">
        <v>460</v>
      </c>
      <c r="G278" s="47" t="s">
        <v>1346</v>
      </c>
      <c r="H278" s="47" t="s">
        <v>981</v>
      </c>
      <c r="I278" s="101">
        <v>1300</v>
      </c>
      <c r="J278" s="101">
        <v>1200</v>
      </c>
      <c r="K278" s="101">
        <v>1100</v>
      </c>
      <c r="L278" s="101">
        <v>1000</v>
      </c>
      <c r="M278" s="101">
        <v>900</v>
      </c>
      <c r="N278" s="101">
        <v>800</v>
      </c>
      <c r="O278" s="101">
        <v>700</v>
      </c>
      <c r="P278" s="93">
        <v>0</v>
      </c>
      <c r="Q278" s="101">
        <v>22</v>
      </c>
      <c r="R278" s="101">
        <v>22</v>
      </c>
      <c r="S278" s="101">
        <v>22</v>
      </c>
      <c r="T278" s="101">
        <v>22</v>
      </c>
      <c r="U278" s="101">
        <v>22</v>
      </c>
      <c r="V278" s="101">
        <v>22</v>
      </c>
      <c r="W278" s="101">
        <v>22</v>
      </c>
      <c r="X278" s="101">
        <v>0</v>
      </c>
      <c r="Y278" s="101">
        <v>0</v>
      </c>
      <c r="Z278" s="101">
        <v>0</v>
      </c>
      <c r="AA278" s="101">
        <v>0</v>
      </c>
      <c r="AB278" s="101">
        <v>0</v>
      </c>
      <c r="AC278" s="101">
        <v>0</v>
      </c>
      <c r="AD278" s="101">
        <v>0</v>
      </c>
      <c r="AE278" s="186">
        <v>0.08</v>
      </c>
      <c r="AF278" s="93">
        <v>0</v>
      </c>
      <c r="AG278" s="93">
        <v>12</v>
      </c>
      <c r="AH278" s="93">
        <v>12</v>
      </c>
      <c r="AI278" s="16">
        <f t="shared" si="267"/>
        <v>5.4</v>
      </c>
      <c r="AJ278" s="16" t="s">
        <v>660</v>
      </c>
      <c r="AK278" s="16" t="s">
        <v>672</v>
      </c>
      <c r="AL278" s="16"/>
      <c r="AM278" s="60"/>
      <c r="AN278" s="60"/>
      <c r="AO278" s="60"/>
      <c r="AP278" s="60"/>
      <c r="AQ278" s="60"/>
      <c r="AR278" s="60"/>
      <c r="AS278" s="63"/>
      <c r="AT278" s="63"/>
      <c r="AU278" s="63"/>
      <c r="AV278" s="131"/>
      <c r="AW278" s="131"/>
      <c r="AX278" s="131"/>
      <c r="AY278" s="27" t="s">
        <v>1347</v>
      </c>
      <c r="AZ278" s="27" t="s">
        <v>456</v>
      </c>
      <c r="BA278" s="27">
        <v>1</v>
      </c>
      <c r="BB278" s="30"/>
      <c r="BC278" s="30" t="s">
        <v>1348</v>
      </c>
      <c r="BD278" s="30">
        <v>5.0000000000000001E-3</v>
      </c>
      <c r="BE278" s="30">
        <v>0.7</v>
      </c>
      <c r="BF278" s="30"/>
      <c r="BG278" s="30"/>
      <c r="BH278" s="107"/>
      <c r="BI278" s="107"/>
      <c r="BJ278" s="107"/>
      <c r="BK278" s="107"/>
      <c r="BL278" s="136"/>
      <c r="BM278" s="122"/>
      <c r="BN278" s="138">
        <v>0.2</v>
      </c>
      <c r="BO278" s="93"/>
      <c r="BP278" s="93"/>
      <c r="BQ278" s="93"/>
      <c r="BR278" s="93">
        <f>BN278</f>
        <v>0.2</v>
      </c>
      <c r="BS278" s="93"/>
      <c r="BT278" s="93"/>
      <c r="BU278" s="27">
        <f t="shared" si="242"/>
        <v>0</v>
      </c>
      <c r="BV278" s="27"/>
      <c r="BW278" s="27"/>
      <c r="BX278" s="27"/>
      <c r="BY278" s="27"/>
      <c r="BZ278" s="27"/>
      <c r="CA278" s="27"/>
      <c r="CB278" s="97">
        <v>0.2</v>
      </c>
      <c r="CC278" s="97">
        <v>5</v>
      </c>
      <c r="CD278" s="97">
        <v>25</v>
      </c>
      <c r="CE278" s="97">
        <v>50</v>
      </c>
      <c r="CF278" s="97">
        <v>100</v>
      </c>
      <c r="CG278" s="97">
        <v>100</v>
      </c>
      <c r="CH278" s="97">
        <v>100</v>
      </c>
      <c r="CI278" s="173"/>
      <c r="CJ278" s="173"/>
      <c r="CK278" s="173"/>
      <c r="CL278" s="173"/>
      <c r="CM278" s="173"/>
      <c r="CN278" s="173"/>
      <c r="CO278" s="173"/>
      <c r="CP278" s="174"/>
      <c r="CQ278" s="174"/>
      <c r="CR278" s="174"/>
      <c r="CS278" s="174"/>
      <c r="CT278" s="174"/>
      <c r="CU278" s="174"/>
      <c r="CV278" s="174"/>
      <c r="CW278" s="165"/>
      <c r="CX278" s="166"/>
      <c r="CY278" s="166"/>
      <c r="CZ278" s="166"/>
      <c r="DA278" s="166"/>
      <c r="DB278" s="166"/>
      <c r="DC278" s="166"/>
      <c r="DD278" s="171"/>
      <c r="DE278" s="171"/>
      <c r="DF278" s="171"/>
      <c r="DG278" s="171"/>
      <c r="DH278" s="171"/>
      <c r="DI278" s="171"/>
      <c r="DJ278" s="171"/>
      <c r="DK278" s="79" t="s">
        <v>1349</v>
      </c>
      <c r="DL278" s="128">
        <v>200</v>
      </c>
      <c r="DM278" s="128">
        <v>200</v>
      </c>
      <c r="DN278" s="128">
        <v>200</v>
      </c>
      <c r="DO278" s="128">
        <v>200</v>
      </c>
      <c r="DP278" s="128">
        <v>200</v>
      </c>
      <c r="DQ278" s="128">
        <v>200</v>
      </c>
      <c r="DR278" s="128">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6" t="s">
        <v>1350</v>
      </c>
      <c r="B279" s="6" t="s">
        <v>654</v>
      </c>
      <c r="C279" s="6" t="s">
        <v>788</v>
      </c>
      <c r="D279" s="6" t="s">
        <v>656</v>
      </c>
      <c r="E279" s="6" t="s">
        <v>459</v>
      </c>
      <c r="F279" s="6" t="s">
        <v>460</v>
      </c>
      <c r="G279" s="48" t="s">
        <v>1351</v>
      </c>
      <c r="H279" s="48" t="s">
        <v>981</v>
      </c>
      <c r="I279" s="102">
        <v>2000</v>
      </c>
      <c r="J279" s="102">
        <v>1900</v>
      </c>
      <c r="K279" s="102">
        <v>1800</v>
      </c>
      <c r="L279" s="102">
        <v>1700</v>
      </c>
      <c r="M279" s="102">
        <v>1600</v>
      </c>
      <c r="N279" s="102">
        <v>1500</v>
      </c>
      <c r="O279" s="102">
        <v>1400</v>
      </c>
      <c r="P279" s="94">
        <v>0</v>
      </c>
      <c r="Q279" s="102">
        <v>50</v>
      </c>
      <c r="R279" s="102">
        <v>50</v>
      </c>
      <c r="S279" s="102">
        <v>50</v>
      </c>
      <c r="T279" s="102">
        <v>50</v>
      </c>
      <c r="U279" s="102">
        <v>50</v>
      </c>
      <c r="V279" s="102">
        <v>50</v>
      </c>
      <c r="W279" s="102">
        <v>50</v>
      </c>
      <c r="X279" s="102">
        <v>0</v>
      </c>
      <c r="Y279" s="102">
        <v>0</v>
      </c>
      <c r="Z279" s="102">
        <v>0</v>
      </c>
      <c r="AA279" s="102">
        <v>0</v>
      </c>
      <c r="AB279" s="102">
        <v>0</v>
      </c>
      <c r="AC279" s="102">
        <v>0</v>
      </c>
      <c r="AD279" s="102">
        <v>0</v>
      </c>
      <c r="AE279" s="186">
        <v>0.08</v>
      </c>
      <c r="AF279" s="94">
        <v>0</v>
      </c>
      <c r="AG279" s="94">
        <v>12</v>
      </c>
      <c r="AH279" s="94">
        <v>12</v>
      </c>
      <c r="AI279" s="17">
        <f t="shared" si="267"/>
        <v>5.4</v>
      </c>
      <c r="AJ279" s="17" t="s">
        <v>660</v>
      </c>
      <c r="AK279" s="17" t="s">
        <v>672</v>
      </c>
      <c r="AL279" s="17"/>
      <c r="AM279" s="61"/>
      <c r="AN279" s="61"/>
      <c r="AO279" s="61"/>
      <c r="AP279" s="61"/>
      <c r="AQ279" s="61"/>
      <c r="AR279" s="61"/>
      <c r="AS279" s="64"/>
      <c r="AT279" s="64"/>
      <c r="AU279" s="64"/>
      <c r="AV279" s="132"/>
      <c r="AW279" s="132"/>
      <c r="AX279" s="132"/>
      <c r="AY279" s="28" t="s">
        <v>666</v>
      </c>
      <c r="AZ279" s="28" t="s">
        <v>456</v>
      </c>
      <c r="BA279" s="28">
        <v>1</v>
      </c>
      <c r="BB279" s="28"/>
      <c r="BC279" s="28" t="s">
        <v>1313</v>
      </c>
      <c r="BD279" s="28">
        <v>0.1</v>
      </c>
      <c r="BE279" s="28">
        <v>0</v>
      </c>
      <c r="BF279" s="28"/>
      <c r="BG279" s="28"/>
      <c r="BH279" s="106"/>
      <c r="BI279" s="106"/>
      <c r="BJ279" s="106"/>
      <c r="BK279" s="106"/>
      <c r="BL279" s="137"/>
      <c r="BM279" s="123"/>
      <c r="BN279" s="139">
        <v>0</v>
      </c>
      <c r="BO279" s="94"/>
      <c r="BP279" s="94"/>
      <c r="BQ279" s="94"/>
      <c r="BR279" s="94"/>
      <c r="BS279" s="94"/>
      <c r="BT279" s="94"/>
      <c r="BU279" s="28">
        <f t="shared" si="242"/>
        <v>0</v>
      </c>
      <c r="BV279" s="28"/>
      <c r="BW279" s="28"/>
      <c r="BX279" s="28"/>
      <c r="BY279" s="28"/>
      <c r="BZ279" s="28"/>
      <c r="CA279" s="28"/>
      <c r="CB279" s="99"/>
      <c r="CC279" s="99">
        <v>5</v>
      </c>
      <c r="CD279" s="99">
        <v>25</v>
      </c>
      <c r="CE279" s="99">
        <v>50</v>
      </c>
      <c r="CF279" s="99">
        <v>100</v>
      </c>
      <c r="CG279" s="99">
        <v>100</v>
      </c>
      <c r="CH279" s="99">
        <v>100</v>
      </c>
      <c r="CI279" s="175"/>
      <c r="CJ279" s="175"/>
      <c r="CK279" s="175"/>
      <c r="CL279" s="175"/>
      <c r="CM279" s="175"/>
      <c r="CN279" s="175"/>
      <c r="CO279" s="175"/>
      <c r="CP279" s="176"/>
      <c r="CQ279" s="176"/>
      <c r="CR279" s="176"/>
      <c r="CS279" s="176"/>
      <c r="CT279" s="176"/>
      <c r="CU279" s="176"/>
      <c r="CV279" s="176"/>
      <c r="CW279" s="167"/>
      <c r="CX279" s="168"/>
      <c r="CY279" s="168"/>
      <c r="CZ279" s="168"/>
      <c r="DA279" s="168"/>
      <c r="DB279" s="168"/>
      <c r="DC279" s="168"/>
      <c r="DD279" s="172"/>
      <c r="DE279" s="172"/>
      <c r="DF279" s="172"/>
      <c r="DG279" s="172"/>
      <c r="DH279" s="172"/>
      <c r="DI279" s="172"/>
      <c r="DJ279" s="172"/>
      <c r="DK279" s="80" t="s">
        <v>1352</v>
      </c>
      <c r="DL279" s="129">
        <v>200</v>
      </c>
      <c r="DM279" s="129">
        <v>200</v>
      </c>
      <c r="DN279" s="129">
        <v>200</v>
      </c>
      <c r="DO279" s="129">
        <v>200</v>
      </c>
      <c r="DP279" s="129">
        <v>200</v>
      </c>
      <c r="DQ279" s="129">
        <v>200</v>
      </c>
      <c r="DR279" s="129">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5" t="s">
        <v>1353</v>
      </c>
      <c r="B280" s="5" t="s">
        <v>654</v>
      </c>
      <c r="C280" s="5" t="s">
        <v>788</v>
      </c>
      <c r="D280" s="5" t="s">
        <v>708</v>
      </c>
      <c r="E280" s="5" t="s">
        <v>459</v>
      </c>
      <c r="F280" s="5" t="s">
        <v>461</v>
      </c>
      <c r="G280" s="47" t="s">
        <v>1354</v>
      </c>
      <c r="H280" s="47" t="s">
        <v>981</v>
      </c>
      <c r="I280" s="101">
        <v>50</v>
      </c>
      <c r="J280" s="101">
        <v>50</v>
      </c>
      <c r="K280" s="101">
        <v>50</v>
      </c>
      <c r="L280" s="101">
        <v>50</v>
      </c>
      <c r="M280" s="101">
        <v>50</v>
      </c>
      <c r="N280" s="101">
        <v>50</v>
      </c>
      <c r="O280" s="101">
        <v>50</v>
      </c>
      <c r="P280" s="93">
        <v>0</v>
      </c>
      <c r="Q280" s="101">
        <v>1</v>
      </c>
      <c r="R280" s="101">
        <v>1</v>
      </c>
      <c r="S280" s="101">
        <v>1</v>
      </c>
      <c r="T280" s="101">
        <v>1</v>
      </c>
      <c r="U280" s="101">
        <v>1</v>
      </c>
      <c r="V280" s="101">
        <v>1</v>
      </c>
      <c r="W280" s="101">
        <v>1</v>
      </c>
      <c r="X280" s="101">
        <v>0</v>
      </c>
      <c r="Y280" s="101">
        <v>0</v>
      </c>
      <c r="Z280" s="101">
        <v>0</v>
      </c>
      <c r="AA280" s="101">
        <v>0</v>
      </c>
      <c r="AB280" s="101">
        <v>0</v>
      </c>
      <c r="AC280" s="101">
        <v>0</v>
      </c>
      <c r="AD280" s="101">
        <v>0</v>
      </c>
      <c r="AE280" s="186">
        <v>0.08</v>
      </c>
      <c r="AF280" s="93">
        <v>0</v>
      </c>
      <c r="AG280" s="93">
        <v>10</v>
      </c>
      <c r="AH280" s="93">
        <v>10</v>
      </c>
      <c r="AI280" s="16">
        <f t="shared" si="267"/>
        <v>5.4</v>
      </c>
      <c r="AJ280" s="16" t="s">
        <v>660</v>
      </c>
      <c r="AK280" s="16" t="s">
        <v>672</v>
      </c>
      <c r="AL280" s="16"/>
      <c r="AM280" s="60"/>
      <c r="AN280" s="60"/>
      <c r="AO280" s="60"/>
      <c r="AP280" s="60"/>
      <c r="AQ280" s="60"/>
      <c r="AR280" s="60"/>
      <c r="AS280" s="63"/>
      <c r="AT280" s="63"/>
      <c r="AU280" s="63"/>
      <c r="AV280" s="131"/>
      <c r="AW280" s="131"/>
      <c r="AX280" s="131"/>
      <c r="AY280" s="27" t="s">
        <v>662</v>
      </c>
      <c r="AZ280" s="27"/>
      <c r="BA280" s="27"/>
      <c r="BB280" s="30"/>
      <c r="BC280" s="30"/>
      <c r="BD280" s="30"/>
      <c r="BE280" s="30"/>
      <c r="BF280" s="30"/>
      <c r="BG280" s="30"/>
      <c r="BH280" s="107"/>
      <c r="BI280" s="107"/>
      <c r="BJ280" s="107"/>
      <c r="BK280" s="107"/>
      <c r="BL280" s="136"/>
      <c r="BM280" s="122"/>
      <c r="BN280" s="138">
        <v>23</v>
      </c>
      <c r="BO280" s="93">
        <v>13</v>
      </c>
      <c r="BP280" s="93">
        <v>10</v>
      </c>
      <c r="BQ280" s="93"/>
      <c r="BR280" s="93"/>
      <c r="BS280" s="93"/>
      <c r="BT280" s="93"/>
      <c r="BU280" s="27">
        <f t="shared" si="242"/>
        <v>0</v>
      </c>
      <c r="BV280" s="27"/>
      <c r="BW280" s="27"/>
      <c r="BX280" s="27"/>
      <c r="BY280" s="27"/>
      <c r="BZ280" s="27"/>
      <c r="CA280" s="27"/>
      <c r="CB280" s="97">
        <v>23</v>
      </c>
      <c r="CC280" s="97">
        <v>23</v>
      </c>
      <c r="CD280" s="97">
        <v>23</v>
      </c>
      <c r="CE280" s="97">
        <v>23</v>
      </c>
      <c r="CF280" s="97">
        <v>23</v>
      </c>
      <c r="CG280" s="97">
        <v>23</v>
      </c>
      <c r="CH280" s="97">
        <v>23</v>
      </c>
      <c r="CI280" s="173"/>
      <c r="CJ280" s="173"/>
      <c r="CK280" s="173"/>
      <c r="CL280" s="173"/>
      <c r="CM280" s="173"/>
      <c r="CN280" s="173"/>
      <c r="CO280" s="173"/>
      <c r="CP280" s="174"/>
      <c r="CQ280" s="174"/>
      <c r="CR280" s="174"/>
      <c r="CS280" s="174"/>
      <c r="CT280" s="174"/>
      <c r="CU280" s="174"/>
      <c r="CV280" s="174"/>
      <c r="CW280" s="165"/>
      <c r="CX280" s="166"/>
      <c r="CY280" s="166"/>
      <c r="CZ280" s="166"/>
      <c r="DA280" s="166"/>
      <c r="DB280" s="166"/>
      <c r="DC280" s="166"/>
      <c r="DD280" s="171"/>
      <c r="DE280" s="171"/>
      <c r="DF280" s="171"/>
      <c r="DG280" s="171"/>
      <c r="DH280" s="171"/>
      <c r="DI280" s="171"/>
      <c r="DJ280" s="171"/>
      <c r="DK280" s="79" t="s">
        <v>452</v>
      </c>
      <c r="DL280" s="128">
        <v>500</v>
      </c>
      <c r="DM280" s="128">
        <v>500</v>
      </c>
      <c r="DN280" s="128">
        <v>500</v>
      </c>
      <c r="DO280" s="128">
        <v>500</v>
      </c>
      <c r="DP280" s="128">
        <v>500</v>
      </c>
      <c r="DQ280" s="128">
        <v>500</v>
      </c>
      <c r="DR280" s="128">
        <v>500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6" t="s">
        <v>1355</v>
      </c>
      <c r="B281" s="6" t="s">
        <v>654</v>
      </c>
      <c r="C281" s="6" t="s">
        <v>788</v>
      </c>
      <c r="D281" s="6" t="s">
        <v>708</v>
      </c>
      <c r="E281" s="6" t="s">
        <v>459</v>
      </c>
      <c r="F281" s="6" t="s">
        <v>461</v>
      </c>
      <c r="G281" s="48" t="s">
        <v>1356</v>
      </c>
      <c r="H281" s="48" t="s">
        <v>981</v>
      </c>
      <c r="I281" s="102">
        <v>50</v>
      </c>
      <c r="J281" s="102">
        <v>50</v>
      </c>
      <c r="K281" s="102">
        <v>50</v>
      </c>
      <c r="L281" s="102">
        <v>50</v>
      </c>
      <c r="M281" s="102">
        <v>50</v>
      </c>
      <c r="N281" s="102">
        <v>50</v>
      </c>
      <c r="O281" s="102">
        <v>50</v>
      </c>
      <c r="P281" s="94">
        <v>0</v>
      </c>
      <c r="Q281" s="102">
        <v>1</v>
      </c>
      <c r="R281" s="102">
        <v>1</v>
      </c>
      <c r="S281" s="102">
        <v>1</v>
      </c>
      <c r="T281" s="102">
        <v>1</v>
      </c>
      <c r="U281" s="102">
        <v>1</v>
      </c>
      <c r="V281" s="102">
        <v>1</v>
      </c>
      <c r="W281" s="102">
        <v>1</v>
      </c>
      <c r="X281" s="102">
        <v>0</v>
      </c>
      <c r="Y281" s="102">
        <v>0</v>
      </c>
      <c r="Z281" s="102">
        <v>0</v>
      </c>
      <c r="AA281" s="102">
        <v>0</v>
      </c>
      <c r="AB281" s="102">
        <v>0</v>
      </c>
      <c r="AC281" s="102">
        <v>0</v>
      </c>
      <c r="AD281" s="102">
        <v>0</v>
      </c>
      <c r="AE281" s="186">
        <v>0.08</v>
      </c>
      <c r="AF281" s="94">
        <v>0</v>
      </c>
      <c r="AG281" s="94">
        <v>10</v>
      </c>
      <c r="AH281" s="94">
        <v>10</v>
      </c>
      <c r="AI281" s="17">
        <f t="shared" si="267"/>
        <v>5.4</v>
      </c>
      <c r="AJ281" s="17" t="s">
        <v>660</v>
      </c>
      <c r="AK281" s="17" t="s">
        <v>672</v>
      </c>
      <c r="AL281" s="17"/>
      <c r="AM281" s="61"/>
      <c r="AN281" s="61"/>
      <c r="AO281" s="61"/>
      <c r="AP281" s="61"/>
      <c r="AQ281" s="61"/>
      <c r="AR281" s="61"/>
      <c r="AS281" s="64"/>
      <c r="AT281" s="64"/>
      <c r="AU281" s="64"/>
      <c r="AV281" s="132"/>
      <c r="AW281" s="132"/>
      <c r="AX281" s="132"/>
      <c r="AY281" s="28" t="s">
        <v>662</v>
      </c>
      <c r="AZ281" s="28"/>
      <c r="BA281" s="28"/>
      <c r="BB281" s="28"/>
      <c r="BC281" s="28"/>
      <c r="BD281" s="28"/>
      <c r="BE281" s="28"/>
      <c r="BF281" s="28"/>
      <c r="BG281" s="28"/>
      <c r="BH281" s="106"/>
      <c r="BI281" s="106"/>
      <c r="BJ281" s="106"/>
      <c r="BK281" s="106"/>
      <c r="BL281" s="137"/>
      <c r="BM281" s="123"/>
      <c r="BN281" s="139">
        <v>0.9</v>
      </c>
      <c r="BO281" s="94">
        <v>0.6</v>
      </c>
      <c r="BP281" s="94">
        <v>0.3</v>
      </c>
      <c r="BQ281" s="94"/>
      <c r="BR281" s="94"/>
      <c r="BS281" s="94"/>
      <c r="BT281" s="94"/>
      <c r="BU281" s="28">
        <f t="shared" si="242"/>
        <v>0</v>
      </c>
      <c r="BV281" s="28"/>
      <c r="BW281" s="28"/>
      <c r="BX281" s="28"/>
      <c r="BY281" s="28"/>
      <c r="BZ281" s="28"/>
      <c r="CA281" s="28"/>
      <c r="CB281" s="99">
        <v>2</v>
      </c>
      <c r="CC281" s="99">
        <v>5</v>
      </c>
      <c r="CD281" s="99">
        <v>25</v>
      </c>
      <c r="CE281" s="99">
        <v>100</v>
      </c>
      <c r="CF281" s="99">
        <v>100</v>
      </c>
      <c r="CG281" s="99">
        <v>100</v>
      </c>
      <c r="CH281" s="99">
        <v>100</v>
      </c>
      <c r="CI281" s="175"/>
      <c r="CJ281" s="175"/>
      <c r="CK281" s="175"/>
      <c r="CL281" s="175"/>
      <c r="CM281" s="175"/>
      <c r="CN281" s="175"/>
      <c r="CO281" s="175"/>
      <c r="CP281" s="176"/>
      <c r="CQ281" s="176"/>
      <c r="CR281" s="176"/>
      <c r="CS281" s="176"/>
      <c r="CT281" s="176"/>
      <c r="CU281" s="176"/>
      <c r="CV281" s="176"/>
      <c r="CW281" s="167"/>
      <c r="CX281" s="168"/>
      <c r="CY281" s="168"/>
      <c r="CZ281" s="168"/>
      <c r="DA281" s="168"/>
      <c r="DB281" s="168"/>
      <c r="DC281" s="168"/>
      <c r="DD281" s="172"/>
      <c r="DE281" s="172"/>
      <c r="DF281" s="172"/>
      <c r="DG281" s="172"/>
      <c r="DH281" s="172"/>
      <c r="DI281" s="172"/>
      <c r="DJ281" s="172"/>
      <c r="DK281" s="80" t="s">
        <v>452</v>
      </c>
      <c r="DL281" s="129">
        <v>500</v>
      </c>
      <c r="DM281" s="129">
        <v>500</v>
      </c>
      <c r="DN281" s="129">
        <v>500</v>
      </c>
      <c r="DO281" s="129">
        <v>500</v>
      </c>
      <c r="DP281" s="129">
        <v>500</v>
      </c>
      <c r="DQ281" s="129">
        <v>500</v>
      </c>
      <c r="DR281" s="129">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5" t="s">
        <v>1357</v>
      </c>
      <c r="B282" s="5" t="s">
        <v>654</v>
      </c>
      <c r="C282" s="5" t="s">
        <v>788</v>
      </c>
      <c r="D282" s="5" t="s">
        <v>708</v>
      </c>
      <c r="E282" s="5" t="s">
        <v>459</v>
      </c>
      <c r="F282" s="5" t="s">
        <v>461</v>
      </c>
      <c r="G282" s="47" t="s">
        <v>1358</v>
      </c>
      <c r="H282" s="47" t="s">
        <v>981</v>
      </c>
      <c r="I282" s="101">
        <v>0</v>
      </c>
      <c r="J282" s="101">
        <v>0</v>
      </c>
      <c r="K282" s="101">
        <v>0</v>
      </c>
      <c r="L282" s="101">
        <v>0</v>
      </c>
      <c r="M282" s="101">
        <v>0</v>
      </c>
      <c r="N282" s="101">
        <v>0</v>
      </c>
      <c r="O282" s="101">
        <v>0</v>
      </c>
      <c r="P282" s="93">
        <v>0</v>
      </c>
      <c r="Q282" s="101">
        <v>15</v>
      </c>
      <c r="R282" s="101">
        <v>15</v>
      </c>
      <c r="S282" s="101">
        <v>15</v>
      </c>
      <c r="T282" s="101">
        <v>15</v>
      </c>
      <c r="U282" s="101">
        <v>15</v>
      </c>
      <c r="V282" s="101">
        <v>15</v>
      </c>
      <c r="W282" s="101">
        <v>15</v>
      </c>
      <c r="X282" s="101">
        <v>0</v>
      </c>
      <c r="Y282" s="101">
        <v>0</v>
      </c>
      <c r="Z282" s="101">
        <v>0</v>
      </c>
      <c r="AA282" s="101">
        <v>0</v>
      </c>
      <c r="AB282" s="101">
        <v>0</v>
      </c>
      <c r="AC282" s="101">
        <v>0</v>
      </c>
      <c r="AD282" s="101">
        <v>0</v>
      </c>
      <c r="AE282" s="186">
        <v>0.08</v>
      </c>
      <c r="AF282" s="93">
        <v>0</v>
      </c>
      <c r="AG282" s="93">
        <v>40</v>
      </c>
      <c r="AH282" s="93">
        <v>40</v>
      </c>
      <c r="AI282" s="16">
        <f t="shared" si="267"/>
        <v>5.4</v>
      </c>
      <c r="AJ282" s="16" t="s">
        <v>660</v>
      </c>
      <c r="AK282" s="16" t="s">
        <v>672</v>
      </c>
      <c r="AL282" s="16"/>
      <c r="AM282" s="60"/>
      <c r="AN282" s="60"/>
      <c r="AO282" s="60"/>
      <c r="AP282" s="60"/>
      <c r="AQ282" s="60"/>
      <c r="AR282" s="60"/>
      <c r="AS282" s="63"/>
      <c r="AT282" s="63"/>
      <c r="AU282" s="63"/>
      <c r="AV282" s="131"/>
      <c r="AW282" s="131"/>
      <c r="AX282" s="131"/>
      <c r="AY282" s="27" t="s">
        <v>662</v>
      </c>
      <c r="AZ282" s="27"/>
      <c r="BA282" s="27"/>
      <c r="BB282" s="30"/>
      <c r="BC282" s="30"/>
      <c r="BD282" s="30"/>
      <c r="BE282" s="30"/>
      <c r="BF282" s="30"/>
      <c r="BG282" s="30"/>
      <c r="BH282" s="107"/>
      <c r="BI282" s="107"/>
      <c r="BJ282" s="107"/>
      <c r="BK282" s="107"/>
      <c r="BL282" s="136"/>
      <c r="BM282" s="122"/>
      <c r="BN282" s="138">
        <v>1.85</v>
      </c>
      <c r="BO282" s="93"/>
      <c r="BP282" s="93"/>
      <c r="BQ282" s="93"/>
      <c r="BR282" s="93">
        <v>0.5</v>
      </c>
      <c r="BS282" s="93">
        <v>0.5</v>
      </c>
      <c r="BT282" s="93">
        <v>0.85</v>
      </c>
      <c r="BU282" s="27">
        <f t="shared" si="242"/>
        <v>0</v>
      </c>
      <c r="BV282" s="27"/>
      <c r="BW282" s="27"/>
      <c r="BX282" s="27"/>
      <c r="BY282" s="27"/>
      <c r="BZ282" s="27"/>
      <c r="CA282" s="27"/>
      <c r="CB282" s="97">
        <v>1.85</v>
      </c>
      <c r="CC282" s="97">
        <v>5</v>
      </c>
      <c r="CD282" s="97">
        <v>25</v>
      </c>
      <c r="CE282" s="97">
        <v>50</v>
      </c>
      <c r="CF282" s="97">
        <v>100</v>
      </c>
      <c r="CG282" s="97">
        <v>100</v>
      </c>
      <c r="CH282" s="97">
        <v>100</v>
      </c>
      <c r="CI282" s="173"/>
      <c r="CJ282" s="173"/>
      <c r="CK282" s="173"/>
      <c r="CL282" s="173"/>
      <c r="CM282" s="173"/>
      <c r="CN282" s="173"/>
      <c r="CO282" s="173"/>
      <c r="CP282" s="174"/>
      <c r="CQ282" s="174"/>
      <c r="CR282" s="174"/>
      <c r="CS282" s="174"/>
      <c r="CT282" s="174"/>
      <c r="CU282" s="174"/>
      <c r="CV282" s="174"/>
      <c r="CW282" s="165"/>
      <c r="CX282" s="166"/>
      <c r="CY282" s="166"/>
      <c r="CZ282" s="166"/>
      <c r="DA282" s="166"/>
      <c r="DB282" s="166"/>
      <c r="DC282" s="166"/>
      <c r="DD282" s="171"/>
      <c r="DE282" s="171"/>
      <c r="DF282" s="171"/>
      <c r="DG282" s="171"/>
      <c r="DH282" s="171"/>
      <c r="DI282" s="171"/>
      <c r="DJ282" s="171"/>
      <c r="DK282" s="79" t="s">
        <v>452</v>
      </c>
      <c r="DL282" s="128">
        <v>500</v>
      </c>
      <c r="DM282" s="128">
        <v>500</v>
      </c>
      <c r="DN282" s="128">
        <v>500</v>
      </c>
      <c r="DO282" s="128">
        <v>500</v>
      </c>
      <c r="DP282" s="128">
        <v>500</v>
      </c>
      <c r="DQ282" s="128">
        <v>500</v>
      </c>
      <c r="DR282" s="128">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6" t="s">
        <v>1359</v>
      </c>
      <c r="B283" s="6" t="s">
        <v>654</v>
      </c>
      <c r="C283" s="6" t="s">
        <v>788</v>
      </c>
      <c r="D283" s="6" t="s">
        <v>708</v>
      </c>
      <c r="E283" s="6" t="s">
        <v>459</v>
      </c>
      <c r="F283" s="6" t="s">
        <v>461</v>
      </c>
      <c r="G283" s="48" t="s">
        <v>1360</v>
      </c>
      <c r="H283" s="48" t="s">
        <v>981</v>
      </c>
      <c r="I283" s="102">
        <v>600</v>
      </c>
      <c r="J283" s="102">
        <v>550</v>
      </c>
      <c r="K283" s="102">
        <v>500</v>
      </c>
      <c r="L283" s="102">
        <v>450</v>
      </c>
      <c r="M283" s="102">
        <v>400</v>
      </c>
      <c r="N283" s="102">
        <v>350</v>
      </c>
      <c r="O283" s="102">
        <v>300</v>
      </c>
      <c r="P283" s="94">
        <v>0</v>
      </c>
      <c r="Q283" s="102">
        <v>30</v>
      </c>
      <c r="R283" s="102">
        <v>30</v>
      </c>
      <c r="S283" s="102">
        <v>30</v>
      </c>
      <c r="T283" s="102">
        <v>30</v>
      </c>
      <c r="U283" s="102">
        <v>30</v>
      </c>
      <c r="V283" s="102">
        <v>30</v>
      </c>
      <c r="W283" s="102">
        <v>30</v>
      </c>
      <c r="X283" s="102">
        <v>0</v>
      </c>
      <c r="Y283" s="102">
        <v>0</v>
      </c>
      <c r="Z283" s="102">
        <v>0</v>
      </c>
      <c r="AA283" s="102">
        <v>0</v>
      </c>
      <c r="AB283" s="102">
        <v>0</v>
      </c>
      <c r="AC283" s="102">
        <v>0</v>
      </c>
      <c r="AD283" s="102">
        <v>0</v>
      </c>
      <c r="AE283" s="186">
        <v>0.08</v>
      </c>
      <c r="AF283" s="94">
        <v>0</v>
      </c>
      <c r="AG283" s="94">
        <v>10</v>
      </c>
      <c r="AH283" s="94">
        <v>10</v>
      </c>
      <c r="AI283" s="17">
        <f t="shared" si="267"/>
        <v>5.4</v>
      </c>
      <c r="AJ283" s="17" t="s">
        <v>660</v>
      </c>
      <c r="AK283" s="17" t="s">
        <v>672</v>
      </c>
      <c r="AL283" s="17"/>
      <c r="AM283" s="61"/>
      <c r="AN283" s="61"/>
      <c r="AO283" s="61"/>
      <c r="AP283" s="61"/>
      <c r="AQ283" s="61"/>
      <c r="AR283" s="61"/>
      <c r="AS283" s="64"/>
      <c r="AT283" s="64"/>
      <c r="AU283" s="64"/>
      <c r="AV283" s="132"/>
      <c r="AW283" s="132"/>
      <c r="AX283" s="132"/>
      <c r="AY283" s="28" t="s">
        <v>662</v>
      </c>
      <c r="AZ283" s="28"/>
      <c r="BA283" s="28"/>
      <c r="BB283" s="28"/>
      <c r="BC283" s="28"/>
      <c r="BD283" s="28"/>
      <c r="BE283" s="28"/>
      <c r="BF283" s="28"/>
      <c r="BG283" s="28"/>
      <c r="BH283" s="106"/>
      <c r="BI283" s="106"/>
      <c r="BJ283" s="106"/>
      <c r="BK283" s="106"/>
      <c r="BL283" s="137"/>
      <c r="BM283" s="123"/>
      <c r="BN283" s="139">
        <v>0.55000000000000004</v>
      </c>
      <c r="BO283" s="94">
        <v>0.15</v>
      </c>
      <c r="BP283" s="94">
        <v>0.4</v>
      </c>
      <c r="BQ283" s="94"/>
      <c r="BR283" s="94"/>
      <c r="BS283" s="94"/>
      <c r="BT283" s="94"/>
      <c r="BU283" s="28">
        <f t="shared" si="242"/>
        <v>0</v>
      </c>
      <c r="BV283" s="28"/>
      <c r="BW283" s="28"/>
      <c r="BX283" s="28"/>
      <c r="BY283" s="28"/>
      <c r="BZ283" s="28"/>
      <c r="CA283" s="28"/>
      <c r="CB283" s="99">
        <v>0.55000000000000004</v>
      </c>
      <c r="CC283" s="99">
        <v>5</v>
      </c>
      <c r="CD283" s="99">
        <v>25</v>
      </c>
      <c r="CE283" s="99">
        <v>50</v>
      </c>
      <c r="CF283" s="99">
        <v>100</v>
      </c>
      <c r="CG283" s="99">
        <v>100</v>
      </c>
      <c r="CH283" s="99">
        <v>100</v>
      </c>
      <c r="CI283" s="175"/>
      <c r="CJ283" s="175"/>
      <c r="CK283" s="175"/>
      <c r="CL283" s="175"/>
      <c r="CM283" s="175"/>
      <c r="CN283" s="175"/>
      <c r="CO283" s="175"/>
      <c r="CP283" s="176"/>
      <c r="CQ283" s="176"/>
      <c r="CR283" s="176"/>
      <c r="CS283" s="176"/>
      <c r="CT283" s="176"/>
      <c r="CU283" s="176"/>
      <c r="CV283" s="176"/>
      <c r="CW283" s="167"/>
      <c r="CX283" s="168"/>
      <c r="CY283" s="168"/>
      <c r="CZ283" s="168"/>
      <c r="DA283" s="168"/>
      <c r="DB283" s="168"/>
      <c r="DC283" s="168"/>
      <c r="DD283" s="172"/>
      <c r="DE283" s="172"/>
      <c r="DF283" s="172"/>
      <c r="DG283" s="172"/>
      <c r="DH283" s="172"/>
      <c r="DI283" s="172"/>
      <c r="DJ283" s="172"/>
      <c r="DK283" s="80" t="s">
        <v>452</v>
      </c>
      <c r="DL283" s="129">
        <v>500</v>
      </c>
      <c r="DM283" s="129">
        <v>500</v>
      </c>
      <c r="DN283" s="129">
        <v>500</v>
      </c>
      <c r="DO283" s="129">
        <v>500</v>
      </c>
      <c r="DP283" s="129">
        <v>500</v>
      </c>
      <c r="DQ283" s="129">
        <v>500</v>
      </c>
      <c r="DR283" s="129">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5" t="s">
        <v>1361</v>
      </c>
      <c r="B284" s="5" t="s">
        <v>654</v>
      </c>
      <c r="C284" s="5" t="s">
        <v>788</v>
      </c>
      <c r="D284" s="5" t="s">
        <v>708</v>
      </c>
      <c r="E284" s="5" t="s">
        <v>459</v>
      </c>
      <c r="F284" s="5" t="s">
        <v>461</v>
      </c>
      <c r="G284" s="221" t="s">
        <v>1362</v>
      </c>
      <c r="H284" s="47" t="s">
        <v>981</v>
      </c>
      <c r="I284" s="101">
        <v>150</v>
      </c>
      <c r="J284" s="101">
        <v>150</v>
      </c>
      <c r="K284" s="101">
        <v>150</v>
      </c>
      <c r="L284" s="101">
        <v>150</v>
      </c>
      <c r="M284" s="101">
        <v>150</v>
      </c>
      <c r="N284" s="101">
        <v>150</v>
      </c>
      <c r="O284" s="101">
        <v>150</v>
      </c>
      <c r="P284" s="93">
        <v>0</v>
      </c>
      <c r="Q284" s="101">
        <v>2</v>
      </c>
      <c r="R284" s="101">
        <v>2</v>
      </c>
      <c r="S284" s="101">
        <v>2</v>
      </c>
      <c r="T284" s="101">
        <v>2</v>
      </c>
      <c r="U284" s="101">
        <v>2</v>
      </c>
      <c r="V284" s="101">
        <v>2</v>
      </c>
      <c r="W284" s="101">
        <v>2</v>
      </c>
      <c r="X284" s="101">
        <v>0</v>
      </c>
      <c r="Y284" s="101">
        <v>0</v>
      </c>
      <c r="Z284" s="101">
        <v>0</v>
      </c>
      <c r="AA284" s="101">
        <v>0</v>
      </c>
      <c r="AB284" s="101">
        <v>0</v>
      </c>
      <c r="AC284" s="101">
        <v>0</v>
      </c>
      <c r="AD284" s="101">
        <v>0</v>
      </c>
      <c r="AE284" s="186">
        <v>0.08</v>
      </c>
      <c r="AF284" s="93">
        <v>0</v>
      </c>
      <c r="AG284" s="93">
        <v>12</v>
      </c>
      <c r="AH284" s="93">
        <v>12</v>
      </c>
      <c r="AI284" s="16">
        <f t="shared" si="267"/>
        <v>5.4</v>
      </c>
      <c r="AJ284" s="16" t="s">
        <v>660</v>
      </c>
      <c r="AK284" s="16" t="s">
        <v>672</v>
      </c>
      <c r="AL284" s="16"/>
      <c r="AM284" s="60"/>
      <c r="AN284" s="60"/>
      <c r="AO284" s="60"/>
      <c r="AP284" s="60"/>
      <c r="AQ284" s="60"/>
      <c r="AR284" s="60"/>
      <c r="AS284" s="63"/>
      <c r="AT284" s="63"/>
      <c r="AU284" s="63"/>
      <c r="AV284" s="131"/>
      <c r="AW284" s="131"/>
      <c r="AX284" s="131"/>
      <c r="AY284" s="27" t="s">
        <v>662</v>
      </c>
      <c r="AZ284" s="27"/>
      <c r="BA284" s="27"/>
      <c r="BB284" s="30"/>
      <c r="BC284" s="30"/>
      <c r="BD284" s="30"/>
      <c r="BE284" s="30"/>
      <c r="BF284" s="30"/>
      <c r="BG284" s="30"/>
      <c r="BH284" s="107"/>
      <c r="BI284" s="107"/>
      <c r="BJ284" s="107"/>
      <c r="BK284" s="107"/>
      <c r="BL284" s="136"/>
      <c r="BM284" s="122"/>
      <c r="BN284" s="138">
        <v>0</v>
      </c>
      <c r="BO284" s="93"/>
      <c r="BP284" s="93"/>
      <c r="BQ284" s="93"/>
      <c r="BR284" s="93"/>
      <c r="BS284" s="93"/>
      <c r="BT284" s="93"/>
      <c r="BU284" s="27">
        <f t="shared" ref="BU284" si="269">IF(BL284=1,BN284,0)</f>
        <v>0</v>
      </c>
      <c r="BV284" s="27"/>
      <c r="BW284" s="27"/>
      <c r="BX284" s="27"/>
      <c r="BY284" s="27"/>
      <c r="BZ284" s="27"/>
      <c r="CA284" s="27"/>
      <c r="CB284" s="97"/>
      <c r="CC284" s="97">
        <v>5</v>
      </c>
      <c r="CD284" s="97">
        <v>25</v>
      </c>
      <c r="CE284" s="97">
        <v>50</v>
      </c>
      <c r="CF284" s="97">
        <v>100</v>
      </c>
      <c r="CG284" s="97">
        <v>100</v>
      </c>
      <c r="CH284" s="97">
        <v>100</v>
      </c>
      <c r="CI284" s="173"/>
      <c r="CJ284" s="173"/>
      <c r="CK284" s="173"/>
      <c r="CL284" s="173"/>
      <c r="CM284" s="173"/>
      <c r="CN284" s="173"/>
      <c r="CO284" s="173"/>
      <c r="CP284" s="174"/>
      <c r="CQ284" s="174"/>
      <c r="CR284" s="174"/>
      <c r="CS284" s="174"/>
      <c r="CT284" s="174"/>
      <c r="CU284" s="174"/>
      <c r="CV284" s="174"/>
      <c r="CW284" s="165"/>
      <c r="CX284" s="166"/>
      <c r="CY284" s="166"/>
      <c r="CZ284" s="166"/>
      <c r="DA284" s="166"/>
      <c r="DB284" s="166"/>
      <c r="DC284" s="166"/>
      <c r="DD284" s="171"/>
      <c r="DE284" s="171"/>
      <c r="DF284" s="171"/>
      <c r="DG284" s="171"/>
      <c r="DH284" s="171"/>
      <c r="DI284" s="171"/>
      <c r="DJ284" s="171"/>
      <c r="DK284" s="79" t="s">
        <v>1335</v>
      </c>
      <c r="DL284" s="128">
        <v>200</v>
      </c>
      <c r="DM284" s="128">
        <v>200</v>
      </c>
      <c r="DN284" s="128">
        <v>200</v>
      </c>
      <c r="DO284" s="128">
        <v>200</v>
      </c>
      <c r="DP284" s="128">
        <v>200</v>
      </c>
      <c r="DQ284" s="128">
        <v>200</v>
      </c>
      <c r="DR284" s="128">
        <v>200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6" t="s">
        <v>1363</v>
      </c>
      <c r="B285" s="6" t="s">
        <v>654</v>
      </c>
      <c r="C285" s="6" t="s">
        <v>788</v>
      </c>
      <c r="D285" s="6" t="s">
        <v>708</v>
      </c>
      <c r="E285" s="6" t="s">
        <v>459</v>
      </c>
      <c r="F285" s="6" t="s">
        <v>461</v>
      </c>
      <c r="G285" s="48" t="s">
        <v>1364</v>
      </c>
      <c r="H285" s="48" t="s">
        <v>981</v>
      </c>
      <c r="I285" s="102">
        <v>1300</v>
      </c>
      <c r="J285" s="102">
        <v>1200</v>
      </c>
      <c r="K285" s="102">
        <v>1100</v>
      </c>
      <c r="L285" s="102">
        <v>1000</v>
      </c>
      <c r="M285" s="102">
        <v>900</v>
      </c>
      <c r="N285" s="102">
        <v>800</v>
      </c>
      <c r="O285" s="102">
        <v>700</v>
      </c>
      <c r="P285" s="94">
        <v>0</v>
      </c>
      <c r="Q285" s="102">
        <v>22</v>
      </c>
      <c r="R285" s="102">
        <v>22</v>
      </c>
      <c r="S285" s="102">
        <v>22</v>
      </c>
      <c r="T285" s="102">
        <v>22</v>
      </c>
      <c r="U285" s="102">
        <v>22</v>
      </c>
      <c r="V285" s="102">
        <v>22</v>
      </c>
      <c r="W285" s="102">
        <v>22</v>
      </c>
      <c r="X285" s="102">
        <v>0</v>
      </c>
      <c r="Y285" s="102">
        <v>0</v>
      </c>
      <c r="Z285" s="102">
        <v>0</v>
      </c>
      <c r="AA285" s="102">
        <v>0</v>
      </c>
      <c r="AB285" s="102">
        <v>0</v>
      </c>
      <c r="AC285" s="102">
        <v>0</v>
      </c>
      <c r="AD285" s="102">
        <v>0</v>
      </c>
      <c r="AE285" s="186">
        <v>0.08</v>
      </c>
      <c r="AF285" s="94">
        <v>0</v>
      </c>
      <c r="AG285" s="94">
        <v>10</v>
      </c>
      <c r="AH285" s="94">
        <v>10</v>
      </c>
      <c r="AI285" s="17">
        <f t="shared" si="267"/>
        <v>5.4</v>
      </c>
      <c r="AJ285" s="17" t="s">
        <v>660</v>
      </c>
      <c r="AK285" s="17" t="s">
        <v>672</v>
      </c>
      <c r="AL285" s="17"/>
      <c r="AM285" s="61"/>
      <c r="AN285" s="61"/>
      <c r="AO285" s="61"/>
      <c r="AP285" s="61"/>
      <c r="AQ285" s="61"/>
      <c r="AR285" s="61"/>
      <c r="AS285" s="64"/>
      <c r="AT285" s="64"/>
      <c r="AU285" s="64"/>
      <c r="AV285" s="132"/>
      <c r="AW285" s="132"/>
      <c r="AX285" s="132"/>
      <c r="AY285" s="28" t="s">
        <v>662</v>
      </c>
      <c r="AZ285" s="28"/>
      <c r="BA285" s="28"/>
      <c r="BB285" s="28"/>
      <c r="BC285" s="28"/>
      <c r="BD285" s="28"/>
      <c r="BE285" s="28"/>
      <c r="BF285" s="28"/>
      <c r="BG285" s="28"/>
      <c r="BH285" s="106"/>
      <c r="BI285" s="106"/>
      <c r="BJ285" s="106"/>
      <c r="BK285" s="106"/>
      <c r="BL285" s="137"/>
      <c r="BM285" s="123"/>
      <c r="BN285" s="139">
        <v>0.2</v>
      </c>
      <c r="BO285" s="94"/>
      <c r="BP285" s="94">
        <v>0.2</v>
      </c>
      <c r="BQ285" s="94"/>
      <c r="BR285" s="94"/>
      <c r="BS285" s="94"/>
      <c r="BT285" s="94"/>
      <c r="BU285" s="28">
        <f t="shared" si="242"/>
        <v>0</v>
      </c>
      <c r="BV285" s="28"/>
      <c r="BW285" s="28"/>
      <c r="BX285" s="28"/>
      <c r="BY285" s="28"/>
      <c r="BZ285" s="28"/>
      <c r="CA285" s="28"/>
      <c r="CB285" s="99">
        <v>0.2</v>
      </c>
      <c r="CC285" s="99">
        <v>5</v>
      </c>
      <c r="CD285" s="99">
        <v>25</v>
      </c>
      <c r="CE285" s="99">
        <v>50</v>
      </c>
      <c r="CF285" s="99">
        <v>100</v>
      </c>
      <c r="CG285" s="99">
        <v>100</v>
      </c>
      <c r="CH285" s="99">
        <v>100</v>
      </c>
      <c r="CI285" s="175"/>
      <c r="CJ285" s="175"/>
      <c r="CK285" s="175"/>
      <c r="CL285" s="175"/>
      <c r="CM285" s="175"/>
      <c r="CN285" s="175"/>
      <c r="CO285" s="175"/>
      <c r="CP285" s="176"/>
      <c r="CQ285" s="176"/>
      <c r="CR285" s="176"/>
      <c r="CS285" s="176"/>
      <c r="CT285" s="176"/>
      <c r="CU285" s="176"/>
      <c r="CV285" s="176"/>
      <c r="CW285" s="167"/>
      <c r="CX285" s="168"/>
      <c r="CY285" s="168"/>
      <c r="CZ285" s="168"/>
      <c r="DA285" s="168"/>
      <c r="DB285" s="168"/>
      <c r="DC285" s="168"/>
      <c r="DD285" s="172"/>
      <c r="DE285" s="172"/>
      <c r="DF285" s="172"/>
      <c r="DG285" s="172"/>
      <c r="DH285" s="172"/>
      <c r="DI285" s="172"/>
      <c r="DJ285" s="172"/>
      <c r="DK285" s="80" t="s">
        <v>1365</v>
      </c>
      <c r="DL285" s="129">
        <v>500</v>
      </c>
      <c r="DM285" s="129">
        <v>500</v>
      </c>
      <c r="DN285" s="129">
        <v>500</v>
      </c>
      <c r="DO285" s="129">
        <v>500</v>
      </c>
      <c r="DP285" s="129">
        <v>500</v>
      </c>
      <c r="DQ285" s="129">
        <v>500</v>
      </c>
      <c r="DR285" s="129">
        <v>500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5" t="s">
        <v>1366</v>
      </c>
      <c r="B286" s="5" t="s">
        <v>654</v>
      </c>
      <c r="C286" s="5" t="s">
        <v>788</v>
      </c>
      <c r="D286" s="5" t="s">
        <v>708</v>
      </c>
      <c r="E286" s="5" t="s">
        <v>459</v>
      </c>
      <c r="F286" s="5" t="s">
        <v>461</v>
      </c>
      <c r="G286" s="47" t="s">
        <v>1367</v>
      </c>
      <c r="H286" s="47" t="s">
        <v>981</v>
      </c>
      <c r="I286" s="101">
        <v>2000</v>
      </c>
      <c r="J286" s="101">
        <v>1900</v>
      </c>
      <c r="K286" s="101">
        <v>1800</v>
      </c>
      <c r="L286" s="101">
        <v>1700</v>
      </c>
      <c r="M286" s="101">
        <v>1600</v>
      </c>
      <c r="N286" s="101">
        <v>1500</v>
      </c>
      <c r="O286" s="101">
        <v>1400</v>
      </c>
      <c r="P286" s="93">
        <v>0</v>
      </c>
      <c r="Q286" s="101">
        <v>50</v>
      </c>
      <c r="R286" s="101">
        <v>50</v>
      </c>
      <c r="S286" s="101">
        <v>50</v>
      </c>
      <c r="T286" s="101">
        <v>50</v>
      </c>
      <c r="U286" s="101">
        <v>50</v>
      </c>
      <c r="V286" s="101">
        <v>50</v>
      </c>
      <c r="W286" s="101">
        <v>50</v>
      </c>
      <c r="X286" s="101">
        <v>0</v>
      </c>
      <c r="Y286" s="101">
        <v>0</v>
      </c>
      <c r="Z286" s="101">
        <v>0</v>
      </c>
      <c r="AA286" s="101">
        <v>0</v>
      </c>
      <c r="AB286" s="101">
        <v>0</v>
      </c>
      <c r="AC286" s="101">
        <v>0</v>
      </c>
      <c r="AD286" s="101">
        <v>0</v>
      </c>
      <c r="AE286" s="186">
        <v>0.08</v>
      </c>
      <c r="AF286" s="93">
        <v>0</v>
      </c>
      <c r="AG286" s="93">
        <v>10</v>
      </c>
      <c r="AH286" s="93">
        <v>10</v>
      </c>
      <c r="AI286" s="16">
        <f t="shared" si="267"/>
        <v>5.4</v>
      </c>
      <c r="AJ286" s="16" t="s">
        <v>660</v>
      </c>
      <c r="AK286" s="16" t="s">
        <v>672</v>
      </c>
      <c r="AL286" s="16"/>
      <c r="AM286" s="60"/>
      <c r="AN286" s="60"/>
      <c r="AO286" s="60"/>
      <c r="AP286" s="60"/>
      <c r="AQ286" s="60"/>
      <c r="AR286" s="60"/>
      <c r="AS286" s="63"/>
      <c r="AT286" s="63"/>
      <c r="AU286" s="63"/>
      <c r="AV286" s="131"/>
      <c r="AW286" s="131"/>
      <c r="AX286" s="131"/>
      <c r="AY286" s="27" t="s">
        <v>662</v>
      </c>
      <c r="AZ286" s="27"/>
      <c r="BA286" s="27"/>
      <c r="BB286" s="30"/>
      <c r="BC286" s="30"/>
      <c r="BD286" s="30"/>
      <c r="BE286" s="30"/>
      <c r="BF286" s="30"/>
      <c r="BG286" s="30"/>
      <c r="BH286" s="107"/>
      <c r="BI286" s="107"/>
      <c r="BJ286" s="107"/>
      <c r="BK286" s="107"/>
      <c r="BL286" s="136"/>
      <c r="BM286" s="122"/>
      <c r="BN286" s="138">
        <v>0</v>
      </c>
      <c r="BO286" s="93"/>
      <c r="BP286" s="93"/>
      <c r="BQ286" s="93"/>
      <c r="BR286" s="93"/>
      <c r="BS286" s="93"/>
      <c r="BT286" s="93"/>
      <c r="BU286" s="27">
        <f t="shared" si="242"/>
        <v>0</v>
      </c>
      <c r="BV286" s="27"/>
      <c r="BW286" s="27"/>
      <c r="BX286" s="27"/>
      <c r="BY286" s="27"/>
      <c r="BZ286" s="27"/>
      <c r="CA286" s="27"/>
      <c r="CB286" s="97"/>
      <c r="CC286" s="97">
        <v>5</v>
      </c>
      <c r="CD286" s="97">
        <v>25</v>
      </c>
      <c r="CE286" s="97">
        <v>50</v>
      </c>
      <c r="CF286" s="97">
        <v>100</v>
      </c>
      <c r="CG286" s="97">
        <v>100</v>
      </c>
      <c r="CH286" s="97">
        <v>100</v>
      </c>
      <c r="CI286" s="173"/>
      <c r="CJ286" s="173"/>
      <c r="CK286" s="173"/>
      <c r="CL286" s="173"/>
      <c r="CM286" s="173"/>
      <c r="CN286" s="173"/>
      <c r="CO286" s="173"/>
      <c r="CP286" s="174"/>
      <c r="CQ286" s="174"/>
      <c r="CR286" s="174"/>
      <c r="CS286" s="174"/>
      <c r="CT286" s="174"/>
      <c r="CU286" s="174"/>
      <c r="CV286" s="174"/>
      <c r="CW286" s="165"/>
      <c r="CX286" s="166"/>
      <c r="CY286" s="166"/>
      <c r="CZ286" s="166"/>
      <c r="DA286" s="166"/>
      <c r="DB286" s="166"/>
      <c r="DC286" s="166"/>
      <c r="DD286" s="171"/>
      <c r="DE286" s="171"/>
      <c r="DF286" s="171"/>
      <c r="DG286" s="171"/>
      <c r="DH286" s="171"/>
      <c r="DI286" s="171"/>
      <c r="DJ286" s="171"/>
      <c r="DK286" s="79" t="s">
        <v>1352</v>
      </c>
      <c r="DL286" s="128">
        <v>500</v>
      </c>
      <c r="DM286" s="128">
        <v>500</v>
      </c>
      <c r="DN286" s="128">
        <v>500</v>
      </c>
      <c r="DO286" s="128">
        <v>500</v>
      </c>
      <c r="DP286" s="128">
        <v>500</v>
      </c>
      <c r="DQ286" s="128">
        <v>500</v>
      </c>
      <c r="DR286" s="128">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6" t="s">
        <v>1368</v>
      </c>
      <c r="B287" s="6" t="s">
        <v>654</v>
      </c>
      <c r="C287" s="6" t="s">
        <v>788</v>
      </c>
      <c r="D287" s="6" t="s">
        <v>708</v>
      </c>
      <c r="E287" s="6" t="s">
        <v>459</v>
      </c>
      <c r="F287" s="6" t="s">
        <v>461</v>
      </c>
      <c r="G287" s="48" t="s">
        <v>1369</v>
      </c>
      <c r="H287" s="48" t="s">
        <v>981</v>
      </c>
      <c r="I287" s="102">
        <v>600</v>
      </c>
      <c r="J287" s="102">
        <v>600</v>
      </c>
      <c r="K287" s="102">
        <v>600</v>
      </c>
      <c r="L287" s="102">
        <v>600</v>
      </c>
      <c r="M287" s="102">
        <v>600</v>
      </c>
      <c r="N287" s="102">
        <v>600</v>
      </c>
      <c r="O287" s="102">
        <v>600</v>
      </c>
      <c r="P287" s="94">
        <v>0</v>
      </c>
      <c r="Q287" s="102">
        <v>60</v>
      </c>
      <c r="R287" s="102">
        <v>60</v>
      </c>
      <c r="S287" s="102">
        <v>60</v>
      </c>
      <c r="T287" s="102">
        <v>60</v>
      </c>
      <c r="U287" s="102">
        <v>60</v>
      </c>
      <c r="V287" s="102">
        <v>60</v>
      </c>
      <c r="W287" s="102">
        <v>60</v>
      </c>
      <c r="X287" s="102">
        <v>0</v>
      </c>
      <c r="Y287" s="102">
        <v>0</v>
      </c>
      <c r="Z287" s="102">
        <v>0</v>
      </c>
      <c r="AA287" s="102">
        <v>0</v>
      </c>
      <c r="AB287" s="102">
        <v>0</v>
      </c>
      <c r="AC287" s="102">
        <v>0</v>
      </c>
      <c r="AD287" s="102">
        <v>0</v>
      </c>
      <c r="AE287" s="186">
        <v>0.08</v>
      </c>
      <c r="AF287" s="94">
        <v>0</v>
      </c>
      <c r="AG287" s="94">
        <v>10</v>
      </c>
      <c r="AH287" s="94">
        <v>10</v>
      </c>
      <c r="AI287" s="17">
        <f t="shared" si="267"/>
        <v>5.4</v>
      </c>
      <c r="AJ287" s="17" t="s">
        <v>982</v>
      </c>
      <c r="AK287" s="17" t="s">
        <v>672</v>
      </c>
      <c r="AL287" s="17"/>
      <c r="AM287" s="61" t="s">
        <v>461</v>
      </c>
      <c r="AN287" s="61" t="s">
        <v>494</v>
      </c>
      <c r="AO287" s="61">
        <v>0.95</v>
      </c>
      <c r="AP287" s="61" t="s">
        <v>766</v>
      </c>
      <c r="AQ287" s="61">
        <v>0.2</v>
      </c>
      <c r="AR287" s="61">
        <v>0.15</v>
      </c>
      <c r="AS287" s="64"/>
      <c r="AT287" s="64"/>
      <c r="AU287" s="64"/>
      <c r="AV287" s="132"/>
      <c r="AW287" s="132"/>
      <c r="AX287" s="132"/>
      <c r="AY287" s="28" t="s">
        <v>662</v>
      </c>
      <c r="AZ287" s="28"/>
      <c r="BA287" s="28"/>
      <c r="BB287" s="28"/>
      <c r="BC287" s="28"/>
      <c r="BD287" s="28"/>
      <c r="BE287" s="28"/>
      <c r="BF287" s="28"/>
      <c r="BG287" s="28"/>
      <c r="BH287" s="106"/>
      <c r="BI287" s="106"/>
      <c r="BJ287" s="106"/>
      <c r="BK287" s="106"/>
      <c r="BL287" s="137"/>
      <c r="BM287" s="123"/>
      <c r="BN287" s="139">
        <v>0.9</v>
      </c>
      <c r="BO287" s="94">
        <v>0.5</v>
      </c>
      <c r="BP287" s="94">
        <v>0.4</v>
      </c>
      <c r="BQ287" s="94"/>
      <c r="BR287" s="94"/>
      <c r="BS287" s="94"/>
      <c r="BT287" s="94"/>
      <c r="BU287" s="28">
        <f t="shared" si="242"/>
        <v>0</v>
      </c>
      <c r="BV287" s="28"/>
      <c r="BW287" s="28"/>
      <c r="BX287" s="28"/>
      <c r="BY287" s="28"/>
      <c r="BZ287" s="28"/>
      <c r="CA287" s="28"/>
      <c r="CB287" s="99">
        <v>0.9</v>
      </c>
      <c r="CC287" s="99">
        <v>5</v>
      </c>
      <c r="CD287" s="99">
        <v>25</v>
      </c>
      <c r="CE287" s="99">
        <v>50</v>
      </c>
      <c r="CF287" s="99">
        <v>100</v>
      </c>
      <c r="CG287" s="99">
        <v>100</v>
      </c>
      <c r="CH287" s="99">
        <v>100</v>
      </c>
      <c r="CI287" s="175"/>
      <c r="CJ287" s="175"/>
      <c r="CK287" s="175"/>
      <c r="CL287" s="175"/>
      <c r="CM287" s="175"/>
      <c r="CN287" s="175"/>
      <c r="CO287" s="175"/>
      <c r="CP287" s="176"/>
      <c r="CQ287" s="176"/>
      <c r="CR287" s="176"/>
      <c r="CS287" s="176"/>
      <c r="CT287" s="176"/>
      <c r="CU287" s="176"/>
      <c r="CV287" s="176"/>
      <c r="CW287" s="167"/>
      <c r="CX287" s="168"/>
      <c r="CY287" s="168"/>
      <c r="CZ287" s="168"/>
      <c r="DA287" s="168"/>
      <c r="DB287" s="168"/>
      <c r="DC287" s="168"/>
      <c r="DD287" s="172"/>
      <c r="DE287" s="172"/>
      <c r="DF287" s="172"/>
      <c r="DG287" s="172"/>
      <c r="DH287" s="172"/>
      <c r="DI287" s="172"/>
      <c r="DJ287" s="172"/>
      <c r="DK287" s="80" t="s">
        <v>452</v>
      </c>
      <c r="DL287" s="129">
        <v>500</v>
      </c>
      <c r="DM287" s="129">
        <v>500</v>
      </c>
      <c r="DN287" s="129">
        <v>500</v>
      </c>
      <c r="DO287" s="129">
        <v>500</v>
      </c>
      <c r="DP287" s="129">
        <v>500</v>
      </c>
      <c r="DQ287" s="129">
        <v>500</v>
      </c>
      <c r="DR287" s="129">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5" t="s">
        <v>1370</v>
      </c>
      <c r="B288" s="5" t="s">
        <v>654</v>
      </c>
      <c r="C288" s="5" t="s">
        <v>788</v>
      </c>
      <c r="D288" s="5" t="s">
        <v>708</v>
      </c>
      <c r="E288" s="5" t="s">
        <v>459</v>
      </c>
      <c r="F288" s="5" t="s">
        <v>461</v>
      </c>
      <c r="G288" s="47" t="s">
        <v>1371</v>
      </c>
      <c r="H288" s="47" t="s">
        <v>981</v>
      </c>
      <c r="I288" s="101">
        <v>1100</v>
      </c>
      <c r="J288" s="101">
        <v>1050</v>
      </c>
      <c r="K288" s="101">
        <v>1000</v>
      </c>
      <c r="L288" s="101">
        <v>950</v>
      </c>
      <c r="M288" s="101">
        <v>900</v>
      </c>
      <c r="N288" s="101">
        <v>850</v>
      </c>
      <c r="O288" s="101">
        <v>800</v>
      </c>
      <c r="P288" s="93">
        <v>0</v>
      </c>
      <c r="Q288" s="101">
        <v>100</v>
      </c>
      <c r="R288" s="101">
        <v>100</v>
      </c>
      <c r="S288" s="101">
        <v>100</v>
      </c>
      <c r="T288" s="101">
        <v>100</v>
      </c>
      <c r="U288" s="101">
        <v>100</v>
      </c>
      <c r="V288" s="101">
        <v>100</v>
      </c>
      <c r="W288" s="101">
        <v>100</v>
      </c>
      <c r="X288" s="101">
        <v>0</v>
      </c>
      <c r="Y288" s="101">
        <v>0</v>
      </c>
      <c r="Z288" s="101">
        <v>0</v>
      </c>
      <c r="AA288" s="101">
        <v>0</v>
      </c>
      <c r="AB288" s="101">
        <v>0</v>
      </c>
      <c r="AC288" s="101">
        <v>0</v>
      </c>
      <c r="AD288" s="101">
        <v>0</v>
      </c>
      <c r="AE288" s="186">
        <v>0.08</v>
      </c>
      <c r="AF288" s="93">
        <v>0</v>
      </c>
      <c r="AG288" s="93">
        <v>10</v>
      </c>
      <c r="AH288" s="93">
        <v>10</v>
      </c>
      <c r="AI288" s="16">
        <f t="shared" si="267"/>
        <v>5.4</v>
      </c>
      <c r="AJ288" s="16" t="s">
        <v>982</v>
      </c>
      <c r="AK288" s="16" t="s">
        <v>672</v>
      </c>
      <c r="AL288" s="16"/>
      <c r="AM288" s="60" t="s">
        <v>461</v>
      </c>
      <c r="AN288" s="60" t="s">
        <v>498</v>
      </c>
      <c r="AO288" s="60">
        <v>0.95</v>
      </c>
      <c r="AP288" s="60" t="s">
        <v>766</v>
      </c>
      <c r="AQ288" s="60">
        <v>0.2</v>
      </c>
      <c r="AR288" s="60">
        <v>0.15</v>
      </c>
      <c r="AS288" s="63"/>
      <c r="AT288" s="63"/>
      <c r="AU288" s="63"/>
      <c r="AV288" s="131"/>
      <c r="AW288" s="131"/>
      <c r="AX288" s="131"/>
      <c r="AY288" s="27" t="s">
        <v>662</v>
      </c>
      <c r="AZ288" s="27"/>
      <c r="BA288" s="27"/>
      <c r="BB288" s="30"/>
      <c r="BC288" s="30"/>
      <c r="BD288" s="30"/>
      <c r="BE288" s="30"/>
      <c r="BF288" s="30"/>
      <c r="BG288" s="30"/>
      <c r="BH288" s="107"/>
      <c r="BI288" s="107"/>
      <c r="BJ288" s="107"/>
      <c r="BK288" s="107"/>
      <c r="BL288" s="136"/>
      <c r="BM288" s="122"/>
      <c r="BN288" s="138">
        <v>0</v>
      </c>
      <c r="BO288" s="93"/>
      <c r="BP288" s="93"/>
      <c r="BQ288" s="93"/>
      <c r="BR288" s="93"/>
      <c r="BS288" s="93"/>
      <c r="BT288" s="93"/>
      <c r="BU288" s="27">
        <f t="shared" si="242"/>
        <v>0</v>
      </c>
      <c r="BV288" s="27"/>
      <c r="BW288" s="27"/>
      <c r="BX288" s="27"/>
      <c r="BY288" s="27"/>
      <c r="BZ288" s="27"/>
      <c r="CA288" s="27"/>
      <c r="CB288" s="97"/>
      <c r="CC288" s="97">
        <v>5</v>
      </c>
      <c r="CD288" s="97">
        <v>25</v>
      </c>
      <c r="CE288" s="97">
        <v>50</v>
      </c>
      <c r="CF288" s="97">
        <v>100</v>
      </c>
      <c r="CG288" s="97">
        <v>100</v>
      </c>
      <c r="CH288" s="97">
        <v>100</v>
      </c>
      <c r="CI288" s="173"/>
      <c r="CJ288" s="173"/>
      <c r="CK288" s="173"/>
      <c r="CL288" s="173"/>
      <c r="CM288" s="173"/>
      <c r="CN288" s="173"/>
      <c r="CO288" s="173"/>
      <c r="CP288" s="174"/>
      <c r="CQ288" s="174"/>
      <c r="CR288" s="174"/>
      <c r="CS288" s="174"/>
      <c r="CT288" s="174"/>
      <c r="CU288" s="174"/>
      <c r="CV288" s="174"/>
      <c r="CW288" s="165"/>
      <c r="CX288" s="166"/>
      <c r="CY288" s="166"/>
      <c r="CZ288" s="166"/>
      <c r="DA288" s="166"/>
      <c r="DB288" s="166"/>
      <c r="DC288" s="166"/>
      <c r="DD288" s="171"/>
      <c r="DE288" s="171"/>
      <c r="DF288" s="171"/>
      <c r="DG288" s="171"/>
      <c r="DH288" s="171"/>
      <c r="DI288" s="171"/>
      <c r="DJ288" s="171"/>
      <c r="DK288" s="79" t="s">
        <v>452</v>
      </c>
      <c r="DL288" s="128">
        <v>500</v>
      </c>
      <c r="DM288" s="128">
        <v>500</v>
      </c>
      <c r="DN288" s="128">
        <v>500</v>
      </c>
      <c r="DO288" s="128">
        <v>500</v>
      </c>
      <c r="DP288" s="128">
        <v>500</v>
      </c>
      <c r="DQ288" s="128">
        <v>500</v>
      </c>
      <c r="DR288" s="128">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6" t="s">
        <v>1372</v>
      </c>
      <c r="B289" s="6" t="s">
        <v>654</v>
      </c>
      <c r="C289" s="6" t="s">
        <v>788</v>
      </c>
      <c r="D289" s="6" t="s">
        <v>708</v>
      </c>
      <c r="E289" s="6" t="s">
        <v>459</v>
      </c>
      <c r="F289" s="6" t="s">
        <v>461</v>
      </c>
      <c r="G289" s="48" t="s">
        <v>1373</v>
      </c>
      <c r="H289" s="48" t="s">
        <v>981</v>
      </c>
      <c r="I289" s="102">
        <v>100</v>
      </c>
      <c r="J289" s="102">
        <v>110</v>
      </c>
      <c r="K289" s="102">
        <v>100</v>
      </c>
      <c r="L289" s="102">
        <v>90</v>
      </c>
      <c r="M289" s="102">
        <v>80</v>
      </c>
      <c r="N289" s="102">
        <v>70</v>
      </c>
      <c r="O289" s="102">
        <v>60</v>
      </c>
      <c r="P289" s="94">
        <v>0</v>
      </c>
      <c r="Q289" s="102">
        <v>5</v>
      </c>
      <c r="R289" s="102">
        <v>5</v>
      </c>
      <c r="S289" s="102">
        <v>5</v>
      </c>
      <c r="T289" s="102">
        <v>5</v>
      </c>
      <c r="U289" s="102">
        <v>5</v>
      </c>
      <c r="V289" s="102">
        <v>5</v>
      </c>
      <c r="W289" s="102">
        <v>5</v>
      </c>
      <c r="X289" s="102">
        <v>0</v>
      </c>
      <c r="Y289" s="102">
        <v>0</v>
      </c>
      <c r="Z289" s="102">
        <v>0</v>
      </c>
      <c r="AA289" s="102">
        <v>0</v>
      </c>
      <c r="AB289" s="102">
        <v>0</v>
      </c>
      <c r="AC289" s="102">
        <v>0</v>
      </c>
      <c r="AD289" s="102">
        <v>0</v>
      </c>
      <c r="AE289" s="186">
        <v>0.08</v>
      </c>
      <c r="AF289" s="94">
        <v>0</v>
      </c>
      <c r="AG289" s="94">
        <v>10</v>
      </c>
      <c r="AH289" s="94">
        <v>10</v>
      </c>
      <c r="AI289" s="17">
        <f t="shared" si="267"/>
        <v>5.4</v>
      </c>
      <c r="AJ289" s="17" t="s">
        <v>660</v>
      </c>
      <c r="AK289" s="17" t="s">
        <v>672</v>
      </c>
      <c r="AL289" s="17"/>
      <c r="AM289" s="61"/>
      <c r="AN289" s="61"/>
      <c r="AO289" s="61"/>
      <c r="AP289" s="61"/>
      <c r="AQ289" s="61"/>
      <c r="AR289" s="61"/>
      <c r="AS289" s="64"/>
      <c r="AT289" s="64"/>
      <c r="AU289" s="64"/>
      <c r="AV289" s="132"/>
      <c r="AW289" s="132"/>
      <c r="AX289" s="132"/>
      <c r="AY289" s="28" t="s">
        <v>662</v>
      </c>
      <c r="AZ289" s="28"/>
      <c r="BA289" s="28"/>
      <c r="BB289" s="28"/>
      <c r="BC289" s="28"/>
      <c r="BD289" s="28"/>
      <c r="BE289" s="28"/>
      <c r="BF289" s="28"/>
      <c r="BG289" s="28"/>
      <c r="BH289" s="106"/>
      <c r="BI289" s="106"/>
      <c r="BJ289" s="106"/>
      <c r="BK289" s="106"/>
      <c r="BL289" s="137"/>
      <c r="BM289" s="123"/>
      <c r="BN289" s="139">
        <v>0</v>
      </c>
      <c r="BO289" s="94"/>
      <c r="BP289" s="94"/>
      <c r="BQ289" s="94"/>
      <c r="BR289" s="94"/>
      <c r="BS289" s="94"/>
      <c r="BT289" s="94"/>
      <c r="BU289" s="28">
        <f t="shared" ref="BU289" si="270">IF(BL289=1,BN289,0)</f>
        <v>0</v>
      </c>
      <c r="BV289" s="28"/>
      <c r="BW289" s="28"/>
      <c r="BX289" s="28"/>
      <c r="BY289" s="28"/>
      <c r="BZ289" s="28"/>
      <c r="CA289" s="28"/>
      <c r="CB289" s="99"/>
      <c r="CC289" s="99">
        <v>5</v>
      </c>
      <c r="CD289" s="99">
        <v>25</v>
      </c>
      <c r="CE289" s="99">
        <v>50</v>
      </c>
      <c r="CF289" s="99">
        <v>100</v>
      </c>
      <c r="CG289" s="99">
        <v>100</v>
      </c>
      <c r="CH289" s="99">
        <v>100</v>
      </c>
      <c r="CI289" s="175"/>
      <c r="CJ289" s="175"/>
      <c r="CK289" s="175"/>
      <c r="CL289" s="175"/>
      <c r="CM289" s="175"/>
      <c r="CN289" s="175"/>
      <c r="CO289" s="175"/>
      <c r="CP289" s="176"/>
      <c r="CQ289" s="176"/>
      <c r="CR289" s="176"/>
      <c r="CS289" s="176"/>
      <c r="CT289" s="176"/>
      <c r="CU289" s="176"/>
      <c r="CV289" s="176"/>
      <c r="CW289" s="167"/>
      <c r="CX289" s="168"/>
      <c r="CY289" s="168"/>
      <c r="CZ289" s="168"/>
      <c r="DA289" s="168"/>
      <c r="DB289" s="168"/>
      <c r="DC289" s="168"/>
      <c r="DD289" s="172"/>
      <c r="DE289" s="172"/>
      <c r="DF289" s="172"/>
      <c r="DG289" s="172"/>
      <c r="DH289" s="172"/>
      <c r="DI289" s="172"/>
      <c r="DJ289" s="172"/>
      <c r="DK289" s="80" t="s">
        <v>1374</v>
      </c>
      <c r="DL289" s="129">
        <v>500</v>
      </c>
      <c r="DM289" s="129">
        <v>500</v>
      </c>
      <c r="DN289" s="129">
        <v>500</v>
      </c>
      <c r="DO289" s="129">
        <v>500</v>
      </c>
      <c r="DP289" s="129">
        <v>500</v>
      </c>
      <c r="DQ289" s="129">
        <v>500</v>
      </c>
      <c r="DR289" s="129">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5" t="s">
        <v>1375</v>
      </c>
      <c r="B290" s="5" t="s">
        <v>1243</v>
      </c>
      <c r="C290" s="5" t="s">
        <v>788</v>
      </c>
      <c r="D290" s="5" t="s">
        <v>1376</v>
      </c>
      <c r="E290" s="5" t="s">
        <v>459</v>
      </c>
      <c r="F290" s="5" t="s">
        <v>462</v>
      </c>
      <c r="G290" s="47" t="s">
        <v>1377</v>
      </c>
      <c r="H290" s="47" t="s">
        <v>981</v>
      </c>
      <c r="I290" s="101">
        <v>35</v>
      </c>
      <c r="J290" s="101">
        <v>35</v>
      </c>
      <c r="K290" s="101">
        <v>35</v>
      </c>
      <c r="L290" s="101">
        <v>35</v>
      </c>
      <c r="M290" s="101">
        <v>35</v>
      </c>
      <c r="N290" s="101">
        <v>35</v>
      </c>
      <c r="O290" s="101">
        <v>35</v>
      </c>
      <c r="P290" s="93">
        <v>0</v>
      </c>
      <c r="Q290" s="101">
        <v>1</v>
      </c>
      <c r="R290" s="101">
        <v>1</v>
      </c>
      <c r="S290" s="101">
        <v>1</v>
      </c>
      <c r="T290" s="101">
        <v>1</v>
      </c>
      <c r="U290" s="101">
        <v>1</v>
      </c>
      <c r="V290" s="101">
        <v>1</v>
      </c>
      <c r="W290" s="101">
        <v>1</v>
      </c>
      <c r="X290" s="101">
        <v>0</v>
      </c>
      <c r="Y290" s="101">
        <v>0</v>
      </c>
      <c r="Z290" s="101">
        <v>0</v>
      </c>
      <c r="AA290" s="101">
        <v>0</v>
      </c>
      <c r="AB290" s="101">
        <v>0</v>
      </c>
      <c r="AC290" s="101">
        <v>0</v>
      </c>
      <c r="AD290" s="101">
        <v>0</v>
      </c>
      <c r="AE290" s="186">
        <v>0.08</v>
      </c>
      <c r="AF290" s="93">
        <v>0</v>
      </c>
      <c r="AG290" s="93">
        <v>20</v>
      </c>
      <c r="AH290" s="93">
        <v>20</v>
      </c>
      <c r="AI290" s="16">
        <v>31.536000000000001</v>
      </c>
      <c r="AJ290" s="16" t="s">
        <v>1241</v>
      </c>
      <c r="AK290" s="16" t="s">
        <v>745</v>
      </c>
      <c r="AL290" s="16"/>
      <c r="AM290" s="60"/>
      <c r="AN290" s="60"/>
      <c r="AO290" s="60"/>
      <c r="AP290" s="60"/>
      <c r="AQ290" s="60"/>
      <c r="AR290" s="60"/>
      <c r="AS290" s="63"/>
      <c r="AT290" s="63"/>
      <c r="AU290" s="63"/>
      <c r="AV290" s="131"/>
      <c r="AW290" s="131"/>
      <c r="AX290" s="131"/>
      <c r="AY290" s="27" t="s">
        <v>662</v>
      </c>
      <c r="AZ290" s="27"/>
      <c r="BA290" s="27"/>
      <c r="BB290" s="30"/>
      <c r="BC290" s="30"/>
      <c r="BD290" s="30"/>
      <c r="BE290" s="30"/>
      <c r="BF290" s="30"/>
      <c r="BG290" s="30"/>
      <c r="BH290" s="107"/>
      <c r="BI290" s="107"/>
      <c r="BJ290" s="107"/>
      <c r="BK290" s="107"/>
      <c r="BL290" s="136"/>
      <c r="BM290" s="122"/>
      <c r="BN290" s="138">
        <v>4</v>
      </c>
      <c r="BO290" s="93">
        <v>1</v>
      </c>
      <c r="BP290" s="93">
        <v>1</v>
      </c>
      <c r="BQ290" s="93">
        <v>1</v>
      </c>
      <c r="BR290" s="93">
        <v>1</v>
      </c>
      <c r="BS290" s="93"/>
      <c r="BT290" s="93"/>
      <c r="BU290" s="27">
        <f t="shared" si="242"/>
        <v>0</v>
      </c>
      <c r="BV290" s="27"/>
      <c r="BW290" s="27"/>
      <c r="BX290" s="27"/>
      <c r="BY290" s="27"/>
      <c r="BZ290" s="27"/>
      <c r="CA290" s="27"/>
      <c r="CB290" s="97">
        <v>4</v>
      </c>
      <c r="CC290" s="97">
        <v>5</v>
      </c>
      <c r="CD290" s="97">
        <v>25</v>
      </c>
      <c r="CE290" s="97">
        <v>50</v>
      </c>
      <c r="CF290" s="97">
        <v>100</v>
      </c>
      <c r="CG290" s="97">
        <v>100</v>
      </c>
      <c r="CH290" s="97">
        <v>100</v>
      </c>
      <c r="CI290" s="173"/>
      <c r="CJ290" s="173"/>
      <c r="CK290" s="173"/>
      <c r="CL290" s="173"/>
      <c r="CM290" s="173"/>
      <c r="CN290" s="173"/>
      <c r="CO290" s="173"/>
      <c r="CP290" s="174"/>
      <c r="CQ290" s="174"/>
      <c r="CR290" s="174"/>
      <c r="CS290" s="174"/>
      <c r="CT290" s="174"/>
      <c r="CU290" s="174"/>
      <c r="CV290" s="174"/>
      <c r="CW290" s="165"/>
      <c r="CX290" s="166"/>
      <c r="CY290" s="166"/>
      <c r="CZ290" s="166"/>
      <c r="DA290" s="166"/>
      <c r="DB290" s="166"/>
      <c r="DC290" s="166"/>
      <c r="DD290" s="171"/>
      <c r="DE290" s="171"/>
      <c r="DF290" s="171"/>
      <c r="DG290" s="171"/>
      <c r="DH290" s="171"/>
      <c r="DI290" s="171"/>
      <c r="DJ290" s="171"/>
      <c r="DK290" s="79" t="s">
        <v>452</v>
      </c>
      <c r="DL290" s="128">
        <v>500</v>
      </c>
      <c r="DM290" s="128">
        <v>500</v>
      </c>
      <c r="DN290" s="128">
        <v>500</v>
      </c>
      <c r="DO290" s="128">
        <v>500</v>
      </c>
      <c r="DP290" s="128">
        <v>500</v>
      </c>
      <c r="DQ290" s="128">
        <v>500</v>
      </c>
      <c r="DR290" s="128">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6" t="s">
        <v>1378</v>
      </c>
      <c r="B291" s="6" t="s">
        <v>1243</v>
      </c>
      <c r="C291" s="6" t="s">
        <v>788</v>
      </c>
      <c r="D291" s="6" t="s">
        <v>1376</v>
      </c>
      <c r="E291" s="6" t="s">
        <v>459</v>
      </c>
      <c r="F291" s="6" t="s">
        <v>462</v>
      </c>
      <c r="G291" s="48" t="s">
        <v>1379</v>
      </c>
      <c r="H291" s="48" t="s">
        <v>981</v>
      </c>
      <c r="I291" s="102">
        <v>50</v>
      </c>
      <c r="J291" s="102">
        <v>50</v>
      </c>
      <c r="K291" s="102">
        <v>50</v>
      </c>
      <c r="L291" s="102">
        <v>50</v>
      </c>
      <c r="M291" s="102">
        <v>50</v>
      </c>
      <c r="N291" s="102">
        <v>50</v>
      </c>
      <c r="O291" s="102">
        <v>50</v>
      </c>
      <c r="P291" s="94">
        <v>0</v>
      </c>
      <c r="Q291" s="102">
        <v>5</v>
      </c>
      <c r="R291" s="102">
        <v>5</v>
      </c>
      <c r="S291" s="102">
        <v>5</v>
      </c>
      <c r="T291" s="102">
        <v>5</v>
      </c>
      <c r="U291" s="102">
        <v>5</v>
      </c>
      <c r="V291" s="102">
        <v>5</v>
      </c>
      <c r="W291" s="102">
        <v>5</v>
      </c>
      <c r="X291" s="102">
        <v>0</v>
      </c>
      <c r="Y291" s="102">
        <v>0</v>
      </c>
      <c r="Z291" s="102">
        <v>0</v>
      </c>
      <c r="AA291" s="102">
        <v>0</v>
      </c>
      <c r="AB291" s="102">
        <v>0</v>
      </c>
      <c r="AC291" s="102">
        <v>0</v>
      </c>
      <c r="AD291" s="102">
        <v>0</v>
      </c>
      <c r="AE291" s="186">
        <v>0.08</v>
      </c>
      <c r="AF291" s="94">
        <v>0</v>
      </c>
      <c r="AG291" s="94">
        <v>20</v>
      </c>
      <c r="AH291" s="94">
        <v>20</v>
      </c>
      <c r="AI291" s="17">
        <v>31.536000000000001</v>
      </c>
      <c r="AJ291" s="17" t="s">
        <v>1241</v>
      </c>
      <c r="AK291" s="17" t="s">
        <v>745</v>
      </c>
      <c r="AL291" s="17"/>
      <c r="AM291" s="61"/>
      <c r="AN291" s="61"/>
      <c r="AO291" s="61"/>
      <c r="AP291" s="61"/>
      <c r="AQ291" s="61"/>
      <c r="AR291" s="61"/>
      <c r="AS291" s="64"/>
      <c r="AT291" s="64"/>
      <c r="AU291" s="64"/>
      <c r="AV291" s="132"/>
      <c r="AW291" s="132"/>
      <c r="AX291" s="132"/>
      <c r="AY291" s="28" t="s">
        <v>662</v>
      </c>
      <c r="AZ291" s="28"/>
      <c r="BA291" s="28"/>
      <c r="BB291" s="28"/>
      <c r="BC291" s="28"/>
      <c r="BD291" s="28"/>
      <c r="BE291" s="28"/>
      <c r="BF291" s="28"/>
      <c r="BG291" s="28"/>
      <c r="BH291" s="106"/>
      <c r="BI291" s="106"/>
      <c r="BJ291" s="106"/>
      <c r="BK291" s="106"/>
      <c r="BL291" s="137"/>
      <c r="BM291" s="123"/>
      <c r="BN291" s="139">
        <v>0</v>
      </c>
      <c r="BO291" s="94"/>
      <c r="BP291" s="94"/>
      <c r="BQ291" s="94"/>
      <c r="BR291" s="94"/>
      <c r="BS291" s="94"/>
      <c r="BT291" s="94"/>
      <c r="BU291" s="28">
        <f t="shared" si="242"/>
        <v>0</v>
      </c>
      <c r="BV291" s="28"/>
      <c r="BW291" s="28"/>
      <c r="BX291" s="28"/>
      <c r="BY291" s="28"/>
      <c r="BZ291" s="28"/>
      <c r="CA291" s="28"/>
      <c r="CB291" s="99"/>
      <c r="CC291" s="99">
        <v>5</v>
      </c>
      <c r="CD291" s="99">
        <v>25</v>
      </c>
      <c r="CE291" s="99">
        <v>50</v>
      </c>
      <c r="CF291" s="99">
        <v>100</v>
      </c>
      <c r="CG291" s="99">
        <v>100</v>
      </c>
      <c r="CH291" s="99">
        <v>100</v>
      </c>
      <c r="CI291" s="175"/>
      <c r="CJ291" s="175"/>
      <c r="CK291" s="175"/>
      <c r="CL291" s="175"/>
      <c r="CM291" s="175"/>
      <c r="CN291" s="175"/>
      <c r="CO291" s="175"/>
      <c r="CP291" s="176"/>
      <c r="CQ291" s="176"/>
      <c r="CR291" s="176"/>
      <c r="CS291" s="176"/>
      <c r="CT291" s="176"/>
      <c r="CU291" s="176"/>
      <c r="CV291" s="176"/>
      <c r="CW291" s="167"/>
      <c r="CX291" s="168"/>
      <c r="CY291" s="168"/>
      <c r="CZ291" s="168"/>
      <c r="DA291" s="168"/>
      <c r="DB291" s="168"/>
      <c r="DC291" s="168"/>
      <c r="DD291" s="172"/>
      <c r="DE291" s="172"/>
      <c r="DF291" s="172"/>
      <c r="DG291" s="172"/>
      <c r="DH291" s="172"/>
      <c r="DI291" s="172"/>
      <c r="DJ291" s="172"/>
      <c r="DK291" s="80" t="s">
        <v>452</v>
      </c>
      <c r="DL291" s="129">
        <v>500</v>
      </c>
      <c r="DM291" s="129">
        <v>500</v>
      </c>
      <c r="DN291" s="129">
        <v>500</v>
      </c>
      <c r="DO291" s="129">
        <v>500</v>
      </c>
      <c r="DP291" s="129">
        <v>500</v>
      </c>
      <c r="DQ291" s="129">
        <v>500</v>
      </c>
      <c r="DR291" s="129">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5" t="s">
        <v>1380</v>
      </c>
      <c r="B292" s="5" t="s">
        <v>1243</v>
      </c>
      <c r="C292" s="5" t="s">
        <v>788</v>
      </c>
      <c r="D292" s="5" t="s">
        <v>1376</v>
      </c>
      <c r="E292" s="5" t="s">
        <v>459</v>
      </c>
      <c r="F292" s="5" t="s">
        <v>462</v>
      </c>
      <c r="G292" s="47" t="s">
        <v>1381</v>
      </c>
      <c r="H292" s="47" t="s">
        <v>981</v>
      </c>
      <c r="I292" s="101">
        <v>500</v>
      </c>
      <c r="J292" s="101">
        <v>500</v>
      </c>
      <c r="K292" s="101">
        <v>500</v>
      </c>
      <c r="L292" s="101">
        <v>500</v>
      </c>
      <c r="M292" s="101">
        <v>500</v>
      </c>
      <c r="N292" s="101">
        <v>500</v>
      </c>
      <c r="O292" s="101">
        <v>500</v>
      </c>
      <c r="P292" s="93">
        <v>0</v>
      </c>
      <c r="Q292" s="101">
        <v>20</v>
      </c>
      <c r="R292" s="101">
        <v>20</v>
      </c>
      <c r="S292" s="101">
        <v>20</v>
      </c>
      <c r="T292" s="101">
        <v>20</v>
      </c>
      <c r="U292" s="101">
        <v>20</v>
      </c>
      <c r="V292" s="101">
        <v>20</v>
      </c>
      <c r="W292" s="101">
        <v>20</v>
      </c>
      <c r="X292" s="101">
        <v>0</v>
      </c>
      <c r="Y292" s="101">
        <v>0</v>
      </c>
      <c r="Z292" s="101">
        <v>0</v>
      </c>
      <c r="AA292" s="101">
        <v>0</v>
      </c>
      <c r="AB292" s="101">
        <v>0</v>
      </c>
      <c r="AC292" s="101">
        <v>0</v>
      </c>
      <c r="AD292" s="101">
        <v>0</v>
      </c>
      <c r="AE292" s="186">
        <v>0.08</v>
      </c>
      <c r="AF292" s="93">
        <v>0</v>
      </c>
      <c r="AG292" s="93">
        <v>20</v>
      </c>
      <c r="AH292" s="93">
        <v>20</v>
      </c>
      <c r="AI292" s="16">
        <v>31.536000000000001</v>
      </c>
      <c r="AJ292" s="16" t="s">
        <v>1241</v>
      </c>
      <c r="AK292" s="16" t="s">
        <v>745</v>
      </c>
      <c r="AL292" s="16"/>
      <c r="AM292" s="60"/>
      <c r="AN292" s="60"/>
      <c r="AO292" s="60"/>
      <c r="AP292" s="60"/>
      <c r="AQ292" s="60"/>
      <c r="AR292" s="60"/>
      <c r="AS292" s="63"/>
      <c r="AT292" s="63"/>
      <c r="AU292" s="63"/>
      <c r="AV292" s="131"/>
      <c r="AW292" s="131"/>
      <c r="AX292" s="131"/>
      <c r="AY292" s="27" t="s">
        <v>662</v>
      </c>
      <c r="AZ292" s="27"/>
      <c r="BA292" s="27"/>
      <c r="BB292" s="30"/>
      <c r="BC292" s="30"/>
      <c r="BD292" s="30"/>
      <c r="BE292" s="30"/>
      <c r="BF292" s="30"/>
      <c r="BG292" s="30"/>
      <c r="BH292" s="107"/>
      <c r="BI292" s="107"/>
      <c r="BJ292" s="107"/>
      <c r="BK292" s="107"/>
      <c r="BL292" s="136"/>
      <c r="BM292" s="122"/>
      <c r="BN292" s="138">
        <v>0.5</v>
      </c>
      <c r="BO292" s="93"/>
      <c r="BP292" s="93"/>
      <c r="BQ292" s="93"/>
      <c r="BR292" s="93">
        <v>0.5</v>
      </c>
      <c r="BS292" s="93"/>
      <c r="BT292" s="93"/>
      <c r="BU292" s="27">
        <f t="shared" ref="BU292:BU342" si="271">IF(BL292=1,BN292,0)</f>
        <v>0</v>
      </c>
      <c r="BV292" s="27"/>
      <c r="BW292" s="27"/>
      <c r="BX292" s="27"/>
      <c r="BY292" s="27"/>
      <c r="BZ292" s="27"/>
      <c r="CA292" s="27"/>
      <c r="CB292" s="97">
        <v>0.5</v>
      </c>
      <c r="CC292" s="97">
        <v>5</v>
      </c>
      <c r="CD292" s="97">
        <v>25</v>
      </c>
      <c r="CE292" s="97">
        <v>50</v>
      </c>
      <c r="CF292" s="97">
        <v>100</v>
      </c>
      <c r="CG292" s="97">
        <v>100</v>
      </c>
      <c r="CH292" s="97">
        <v>100</v>
      </c>
      <c r="CI292" s="173"/>
      <c r="CJ292" s="173"/>
      <c r="CK292" s="173"/>
      <c r="CL292" s="173"/>
      <c r="CM292" s="173"/>
      <c r="CN292" s="173"/>
      <c r="CO292" s="173"/>
      <c r="CP292" s="174"/>
      <c r="CQ292" s="174"/>
      <c r="CR292" s="174"/>
      <c r="CS292" s="174"/>
      <c r="CT292" s="174"/>
      <c r="CU292" s="174"/>
      <c r="CV292" s="174"/>
      <c r="CW292" s="165"/>
      <c r="CX292" s="166"/>
      <c r="CY292" s="166"/>
      <c r="CZ292" s="166"/>
      <c r="DA292" s="166"/>
      <c r="DB292" s="166"/>
      <c r="DC292" s="166"/>
      <c r="DD292" s="171"/>
      <c r="DE292" s="171"/>
      <c r="DF292" s="171"/>
      <c r="DG292" s="171"/>
      <c r="DH292" s="171"/>
      <c r="DI292" s="171"/>
      <c r="DJ292" s="171"/>
      <c r="DK292" s="79" t="s">
        <v>452</v>
      </c>
      <c r="DL292" s="128">
        <v>500</v>
      </c>
      <c r="DM292" s="128">
        <v>500</v>
      </c>
      <c r="DN292" s="128">
        <v>500</v>
      </c>
      <c r="DO292" s="128">
        <v>500</v>
      </c>
      <c r="DP292" s="128">
        <v>500</v>
      </c>
      <c r="DQ292" s="128">
        <v>500</v>
      </c>
      <c r="DR292" s="128">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6" t="s">
        <v>1382</v>
      </c>
      <c r="B293" s="6" t="s">
        <v>1243</v>
      </c>
      <c r="C293" s="6" t="s">
        <v>788</v>
      </c>
      <c r="D293" s="6" t="s">
        <v>1376</v>
      </c>
      <c r="E293" s="6" t="s">
        <v>459</v>
      </c>
      <c r="F293" s="6" t="s">
        <v>462</v>
      </c>
      <c r="G293" s="48" t="s">
        <v>1383</v>
      </c>
      <c r="H293" s="48" t="s">
        <v>981</v>
      </c>
      <c r="I293" s="102">
        <v>600</v>
      </c>
      <c r="J293" s="102">
        <v>600</v>
      </c>
      <c r="K293" s="102">
        <v>600</v>
      </c>
      <c r="L293" s="102">
        <v>600</v>
      </c>
      <c r="M293" s="102">
        <v>600</v>
      </c>
      <c r="N293" s="102">
        <v>600</v>
      </c>
      <c r="O293" s="102">
        <v>600</v>
      </c>
      <c r="P293" s="94">
        <v>0</v>
      </c>
      <c r="Q293" s="102">
        <v>50</v>
      </c>
      <c r="R293" s="102">
        <v>50</v>
      </c>
      <c r="S293" s="102">
        <v>50</v>
      </c>
      <c r="T293" s="102">
        <v>50</v>
      </c>
      <c r="U293" s="102">
        <v>50</v>
      </c>
      <c r="V293" s="102">
        <v>50</v>
      </c>
      <c r="W293" s="102">
        <v>50</v>
      </c>
      <c r="X293" s="102">
        <v>0</v>
      </c>
      <c r="Y293" s="102">
        <v>0</v>
      </c>
      <c r="Z293" s="102">
        <v>0</v>
      </c>
      <c r="AA293" s="102">
        <v>0</v>
      </c>
      <c r="AB293" s="102">
        <v>0</v>
      </c>
      <c r="AC293" s="102">
        <v>0</v>
      </c>
      <c r="AD293" s="102">
        <v>0</v>
      </c>
      <c r="AE293" s="186">
        <v>0.08</v>
      </c>
      <c r="AF293" s="94">
        <v>0</v>
      </c>
      <c r="AG293" s="94">
        <v>20</v>
      </c>
      <c r="AH293" s="94">
        <v>20</v>
      </c>
      <c r="AI293" s="17">
        <v>31.536000000000001</v>
      </c>
      <c r="AJ293" s="17" t="s">
        <v>1241</v>
      </c>
      <c r="AK293" s="17" t="s">
        <v>745</v>
      </c>
      <c r="AL293" s="17"/>
      <c r="AM293" s="61"/>
      <c r="AN293" s="61"/>
      <c r="AO293" s="61"/>
      <c r="AP293" s="61"/>
      <c r="AQ293" s="61"/>
      <c r="AR293" s="61"/>
      <c r="AS293" s="64"/>
      <c r="AT293" s="64"/>
      <c r="AU293" s="64"/>
      <c r="AV293" s="132"/>
      <c r="AW293" s="132"/>
      <c r="AX293" s="132"/>
      <c r="AY293" s="28" t="s">
        <v>662</v>
      </c>
      <c r="AZ293" s="28"/>
      <c r="BA293" s="28"/>
      <c r="BB293" s="28"/>
      <c r="BC293" s="28"/>
      <c r="BD293" s="28"/>
      <c r="BE293" s="28"/>
      <c r="BF293" s="28"/>
      <c r="BG293" s="28"/>
      <c r="BH293" s="106"/>
      <c r="BI293" s="106"/>
      <c r="BJ293" s="106"/>
      <c r="BK293" s="106"/>
      <c r="BL293" s="137"/>
      <c r="BM293" s="123"/>
      <c r="BN293" s="139">
        <v>0</v>
      </c>
      <c r="BO293" s="94"/>
      <c r="BP293" s="94"/>
      <c r="BQ293" s="94"/>
      <c r="BR293" s="94"/>
      <c r="BS293" s="94"/>
      <c r="BT293" s="94"/>
      <c r="BU293" s="28">
        <f t="shared" si="271"/>
        <v>0</v>
      </c>
      <c r="BV293" s="28"/>
      <c r="BW293" s="28"/>
      <c r="BX293" s="28"/>
      <c r="BY293" s="28"/>
      <c r="BZ293" s="28"/>
      <c r="CA293" s="28"/>
      <c r="CB293" s="99"/>
      <c r="CC293" s="99">
        <v>5</v>
      </c>
      <c r="CD293" s="99">
        <v>25</v>
      </c>
      <c r="CE293" s="99">
        <v>50</v>
      </c>
      <c r="CF293" s="99">
        <v>100</v>
      </c>
      <c r="CG293" s="99">
        <v>100</v>
      </c>
      <c r="CH293" s="99">
        <v>100</v>
      </c>
      <c r="CI293" s="175"/>
      <c r="CJ293" s="175"/>
      <c r="CK293" s="175"/>
      <c r="CL293" s="175"/>
      <c r="CM293" s="175"/>
      <c r="CN293" s="175"/>
      <c r="CO293" s="175"/>
      <c r="CP293" s="176"/>
      <c r="CQ293" s="176"/>
      <c r="CR293" s="176"/>
      <c r="CS293" s="176"/>
      <c r="CT293" s="176"/>
      <c r="CU293" s="176"/>
      <c r="CV293" s="176"/>
      <c r="CW293" s="167"/>
      <c r="CX293" s="168"/>
      <c r="CY293" s="168"/>
      <c r="CZ293" s="168"/>
      <c r="DA293" s="168"/>
      <c r="DB293" s="168"/>
      <c r="DC293" s="168"/>
      <c r="DD293" s="172"/>
      <c r="DE293" s="172"/>
      <c r="DF293" s="172"/>
      <c r="DG293" s="172"/>
      <c r="DH293" s="172"/>
      <c r="DI293" s="172"/>
      <c r="DJ293" s="172"/>
      <c r="DK293" s="80" t="s">
        <v>452</v>
      </c>
      <c r="DL293" s="129">
        <v>500</v>
      </c>
      <c r="DM293" s="129">
        <v>500</v>
      </c>
      <c r="DN293" s="129">
        <v>500</v>
      </c>
      <c r="DO293" s="129">
        <v>500</v>
      </c>
      <c r="DP293" s="129">
        <v>500</v>
      </c>
      <c r="DQ293" s="129">
        <v>500</v>
      </c>
      <c r="DR293" s="129">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5" t="s">
        <v>1384</v>
      </c>
      <c r="B294" s="5" t="s">
        <v>1243</v>
      </c>
      <c r="C294" s="5" t="s">
        <v>788</v>
      </c>
      <c r="D294" s="5" t="s">
        <v>1376</v>
      </c>
      <c r="E294" s="5" t="s">
        <v>459</v>
      </c>
      <c r="F294" s="5" t="s">
        <v>462</v>
      </c>
      <c r="G294" s="47" t="s">
        <v>1385</v>
      </c>
      <c r="H294" s="47" t="s">
        <v>981</v>
      </c>
      <c r="I294" s="101">
        <v>1000</v>
      </c>
      <c r="J294" s="101">
        <v>1000</v>
      </c>
      <c r="K294" s="101">
        <v>1000</v>
      </c>
      <c r="L294" s="101">
        <v>1000</v>
      </c>
      <c r="M294" s="101">
        <v>1000</v>
      </c>
      <c r="N294" s="101">
        <v>1000</v>
      </c>
      <c r="O294" s="101">
        <v>1000</v>
      </c>
      <c r="P294" s="93">
        <v>0</v>
      </c>
      <c r="Q294" s="101">
        <v>30</v>
      </c>
      <c r="R294" s="101">
        <v>30</v>
      </c>
      <c r="S294" s="101">
        <v>30</v>
      </c>
      <c r="T294" s="101">
        <v>30</v>
      </c>
      <c r="U294" s="101">
        <v>30</v>
      </c>
      <c r="V294" s="101">
        <v>30</v>
      </c>
      <c r="W294" s="101">
        <v>30</v>
      </c>
      <c r="X294" s="101">
        <v>0</v>
      </c>
      <c r="Y294" s="101">
        <v>0</v>
      </c>
      <c r="Z294" s="101">
        <v>0</v>
      </c>
      <c r="AA294" s="101">
        <v>0</v>
      </c>
      <c r="AB294" s="101">
        <v>0</v>
      </c>
      <c r="AC294" s="101">
        <v>0</v>
      </c>
      <c r="AD294" s="101">
        <v>0</v>
      </c>
      <c r="AE294" s="186">
        <v>0.08</v>
      </c>
      <c r="AF294" s="93">
        <v>0</v>
      </c>
      <c r="AG294" s="93">
        <v>15</v>
      </c>
      <c r="AH294" s="93">
        <v>15</v>
      </c>
      <c r="AI294" s="16">
        <v>31.536000000000001</v>
      </c>
      <c r="AJ294" s="16" t="s">
        <v>1241</v>
      </c>
      <c r="AK294" s="16" t="s">
        <v>745</v>
      </c>
      <c r="AL294" s="16"/>
      <c r="AM294" s="60"/>
      <c r="AN294" s="60"/>
      <c r="AO294" s="60"/>
      <c r="AP294" s="60"/>
      <c r="AQ294" s="60"/>
      <c r="AR294" s="60"/>
      <c r="AS294" s="63"/>
      <c r="AT294" s="63"/>
      <c r="AU294" s="63"/>
      <c r="AV294" s="131"/>
      <c r="AW294" s="131"/>
      <c r="AX294" s="131"/>
      <c r="AY294" s="27" t="s">
        <v>662</v>
      </c>
      <c r="AZ294" s="27"/>
      <c r="BA294" s="27"/>
      <c r="BB294" s="30"/>
      <c r="BC294" s="30"/>
      <c r="BD294" s="30"/>
      <c r="BE294" s="30"/>
      <c r="BF294" s="30"/>
      <c r="BG294" s="30"/>
      <c r="BH294" s="107"/>
      <c r="BI294" s="107"/>
      <c r="BJ294" s="107"/>
      <c r="BK294" s="107"/>
      <c r="BL294" s="136"/>
      <c r="BM294" s="122"/>
      <c r="BN294" s="138">
        <v>0</v>
      </c>
      <c r="BO294" s="93"/>
      <c r="BP294" s="93"/>
      <c r="BQ294" s="93"/>
      <c r="BR294" s="93"/>
      <c r="BS294" s="93"/>
      <c r="BT294" s="93"/>
      <c r="BU294" s="27">
        <f t="shared" si="271"/>
        <v>0</v>
      </c>
      <c r="BV294" s="27"/>
      <c r="BW294" s="27"/>
      <c r="BX294" s="27"/>
      <c r="BY294" s="27"/>
      <c r="BZ294" s="27"/>
      <c r="CA294" s="27"/>
      <c r="CB294" s="97"/>
      <c r="CC294" s="97">
        <v>5</v>
      </c>
      <c r="CD294" s="97">
        <v>25</v>
      </c>
      <c r="CE294" s="97">
        <v>50</v>
      </c>
      <c r="CF294" s="97">
        <v>100</v>
      </c>
      <c r="CG294" s="97">
        <v>100</v>
      </c>
      <c r="CH294" s="97">
        <v>100</v>
      </c>
      <c r="CI294" s="173"/>
      <c r="CJ294" s="173"/>
      <c r="CK294" s="173"/>
      <c r="CL294" s="173"/>
      <c r="CM294" s="173"/>
      <c r="CN294" s="173"/>
      <c r="CO294" s="173"/>
      <c r="CP294" s="174"/>
      <c r="CQ294" s="174"/>
      <c r="CR294" s="174"/>
      <c r="CS294" s="174"/>
      <c r="CT294" s="174"/>
      <c r="CU294" s="174"/>
      <c r="CV294" s="174"/>
      <c r="CW294" s="165"/>
      <c r="CX294" s="166"/>
      <c r="CY294" s="166"/>
      <c r="CZ294" s="166"/>
      <c r="DA294" s="166"/>
      <c r="DB294" s="166"/>
      <c r="DC294" s="166"/>
      <c r="DD294" s="171"/>
      <c r="DE294" s="171"/>
      <c r="DF294" s="171"/>
      <c r="DG294" s="171"/>
      <c r="DH294" s="171"/>
      <c r="DI294" s="171"/>
      <c r="DJ294" s="171"/>
      <c r="DK294" s="79" t="s">
        <v>452</v>
      </c>
      <c r="DL294" s="128">
        <v>500</v>
      </c>
      <c r="DM294" s="128">
        <v>500</v>
      </c>
      <c r="DN294" s="128">
        <v>500</v>
      </c>
      <c r="DO294" s="128">
        <v>500</v>
      </c>
      <c r="DP294" s="128">
        <v>500</v>
      </c>
      <c r="DQ294" s="128">
        <v>500</v>
      </c>
      <c r="DR294" s="128">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6" t="s">
        <v>1386</v>
      </c>
      <c r="B295" s="6" t="s">
        <v>1243</v>
      </c>
      <c r="C295" s="6" t="s">
        <v>788</v>
      </c>
      <c r="D295" s="6" t="s">
        <v>1376</v>
      </c>
      <c r="E295" s="6" t="s">
        <v>459</v>
      </c>
      <c r="F295" s="6" t="s">
        <v>462</v>
      </c>
      <c r="G295" s="48" t="s">
        <v>1387</v>
      </c>
      <c r="H295" s="48" t="s">
        <v>659</v>
      </c>
      <c r="I295" s="102">
        <v>100</v>
      </c>
      <c r="J295" s="102">
        <v>100</v>
      </c>
      <c r="K295" s="102">
        <v>100</v>
      </c>
      <c r="L295" s="102">
        <v>100</v>
      </c>
      <c r="M295" s="102">
        <v>100</v>
      </c>
      <c r="N295" s="102">
        <v>100</v>
      </c>
      <c r="O295" s="102">
        <v>100</v>
      </c>
      <c r="P295" s="94">
        <v>0</v>
      </c>
      <c r="Q295" s="102">
        <v>1.5</v>
      </c>
      <c r="R295" s="102">
        <v>1.5</v>
      </c>
      <c r="S295" s="102">
        <v>1.5</v>
      </c>
      <c r="T295" s="102">
        <v>1.5</v>
      </c>
      <c r="U295" s="102">
        <v>1.5</v>
      </c>
      <c r="V295" s="102">
        <v>1.5</v>
      </c>
      <c r="W295" s="102">
        <v>1.5</v>
      </c>
      <c r="X295" s="102">
        <v>0</v>
      </c>
      <c r="Y295" s="102">
        <v>0</v>
      </c>
      <c r="Z295" s="102">
        <v>0</v>
      </c>
      <c r="AA295" s="102">
        <v>0</v>
      </c>
      <c r="AB295" s="102">
        <v>0</v>
      </c>
      <c r="AC295" s="102">
        <v>0</v>
      </c>
      <c r="AD295" s="102">
        <v>0</v>
      </c>
      <c r="AE295" s="186">
        <v>0.08</v>
      </c>
      <c r="AF295" s="94">
        <v>0</v>
      </c>
      <c r="AG295" s="94">
        <v>30</v>
      </c>
      <c r="AH295" s="94">
        <v>30</v>
      </c>
      <c r="AI295" s="17">
        <v>1</v>
      </c>
      <c r="AJ295" s="17" t="s">
        <v>660</v>
      </c>
      <c r="AK295" s="17" t="s">
        <v>745</v>
      </c>
      <c r="AL295" s="17"/>
      <c r="AM295" s="61"/>
      <c r="AN295" s="61"/>
      <c r="AO295" s="61"/>
      <c r="AP295" s="61"/>
      <c r="AQ295" s="61"/>
      <c r="AR295" s="61"/>
      <c r="AS295" s="64"/>
      <c r="AT295" s="64"/>
      <c r="AU295" s="64"/>
      <c r="AV295" s="132"/>
      <c r="AW295" s="132"/>
      <c r="AX295" s="132"/>
      <c r="AY295" s="28" t="s">
        <v>1309</v>
      </c>
      <c r="AZ295" s="28" t="s">
        <v>462</v>
      </c>
      <c r="BA295" s="28">
        <v>1</v>
      </c>
      <c r="BB295" s="28">
        <v>1500</v>
      </c>
      <c r="BC295" s="28" t="s">
        <v>1388</v>
      </c>
      <c r="BD295" s="28">
        <v>0.1</v>
      </c>
      <c r="BE295" s="28"/>
      <c r="BF295" s="28"/>
      <c r="BG295" s="28"/>
      <c r="BH295" s="106"/>
      <c r="BI295" s="106"/>
      <c r="BJ295" s="106"/>
      <c r="BK295" s="106"/>
      <c r="BL295" s="137"/>
      <c r="BM295" s="123"/>
      <c r="BN295" s="139">
        <v>0</v>
      </c>
      <c r="BO295" s="94"/>
      <c r="BP295" s="94"/>
      <c r="BQ295" s="94"/>
      <c r="BR295" s="94"/>
      <c r="BS295" s="94"/>
      <c r="BT295" s="94"/>
      <c r="BU295" s="28">
        <f t="shared" si="271"/>
        <v>0</v>
      </c>
      <c r="BV295" s="28"/>
      <c r="BW295" s="28"/>
      <c r="BX295" s="28"/>
      <c r="BY295" s="28"/>
      <c r="BZ295" s="28"/>
      <c r="CA295" s="28"/>
      <c r="CB295" s="99">
        <v>0.5</v>
      </c>
      <c r="CC295" s="99">
        <v>1.25</v>
      </c>
      <c r="CD295" s="99">
        <v>2</v>
      </c>
      <c r="CE295" s="99">
        <v>5</v>
      </c>
      <c r="CF295" s="99">
        <v>100</v>
      </c>
      <c r="CG295" s="99">
        <v>100</v>
      </c>
      <c r="CH295" s="99">
        <v>100</v>
      </c>
      <c r="CI295" s="175"/>
      <c r="CJ295" s="175"/>
      <c r="CK295" s="175"/>
      <c r="CL295" s="175"/>
      <c r="CM295" s="175"/>
      <c r="CN295" s="175"/>
      <c r="CO295" s="175"/>
      <c r="CP295" s="176"/>
      <c r="CQ295" s="176"/>
      <c r="CR295" s="176"/>
      <c r="CS295" s="176"/>
      <c r="CT295" s="176"/>
      <c r="CU295" s="176"/>
      <c r="CV295" s="176"/>
      <c r="CW295" s="167"/>
      <c r="CX295" s="168"/>
      <c r="CY295" s="168"/>
      <c r="CZ295" s="168"/>
      <c r="DA295" s="168"/>
      <c r="DB295" s="168"/>
      <c r="DC295" s="168"/>
      <c r="DD295" s="172"/>
      <c r="DE295" s="172"/>
      <c r="DF295" s="172"/>
      <c r="DG295" s="172"/>
      <c r="DH295" s="172"/>
      <c r="DI295" s="172"/>
      <c r="DJ295" s="172"/>
      <c r="DK295" s="80" t="s">
        <v>452</v>
      </c>
      <c r="DL295" s="129">
        <v>50</v>
      </c>
      <c r="DM295" s="129">
        <v>50</v>
      </c>
      <c r="DN295" s="129">
        <v>50</v>
      </c>
      <c r="DO295" s="129">
        <v>50</v>
      </c>
      <c r="DP295" s="129">
        <v>50</v>
      </c>
      <c r="DQ295" s="129">
        <v>50</v>
      </c>
      <c r="DR295" s="129">
        <v>50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5" t="s">
        <v>1389</v>
      </c>
      <c r="B296" s="5" t="s">
        <v>1243</v>
      </c>
      <c r="C296" s="5" t="s">
        <v>788</v>
      </c>
      <c r="D296" s="5" t="s">
        <v>1376</v>
      </c>
      <c r="E296" s="5" t="s">
        <v>459</v>
      </c>
      <c r="F296" s="5" t="s">
        <v>462</v>
      </c>
      <c r="G296" s="47" t="s">
        <v>1390</v>
      </c>
      <c r="H296" s="47" t="s">
        <v>981</v>
      </c>
      <c r="I296" s="101">
        <v>80</v>
      </c>
      <c r="J296" s="101">
        <v>75</v>
      </c>
      <c r="K296" s="101">
        <v>70</v>
      </c>
      <c r="L296" s="101">
        <v>65</v>
      </c>
      <c r="M296" s="101">
        <v>60</v>
      </c>
      <c r="N296" s="101">
        <v>55</v>
      </c>
      <c r="O296" s="101">
        <v>50</v>
      </c>
      <c r="P296" s="93">
        <v>0</v>
      </c>
      <c r="Q296" s="101">
        <v>5</v>
      </c>
      <c r="R296" s="101">
        <v>5</v>
      </c>
      <c r="S296" s="101">
        <v>5</v>
      </c>
      <c r="T296" s="101">
        <v>5</v>
      </c>
      <c r="U296" s="101">
        <v>5</v>
      </c>
      <c r="V296" s="101">
        <v>5</v>
      </c>
      <c r="W296" s="101">
        <v>5</v>
      </c>
      <c r="X296" s="101">
        <v>0</v>
      </c>
      <c r="Y296" s="101">
        <v>0</v>
      </c>
      <c r="Z296" s="101">
        <v>0</v>
      </c>
      <c r="AA296" s="101">
        <v>0</v>
      </c>
      <c r="AB296" s="101">
        <v>0</v>
      </c>
      <c r="AC296" s="101">
        <v>0</v>
      </c>
      <c r="AD296" s="101">
        <v>0</v>
      </c>
      <c r="AE296" s="186">
        <v>0.08</v>
      </c>
      <c r="AF296" s="93">
        <v>0</v>
      </c>
      <c r="AG296" s="93">
        <v>20</v>
      </c>
      <c r="AH296" s="93">
        <v>20</v>
      </c>
      <c r="AI296" s="16">
        <v>31.536000000000001</v>
      </c>
      <c r="AJ296" s="16" t="s">
        <v>1241</v>
      </c>
      <c r="AK296" s="16" t="s">
        <v>745</v>
      </c>
      <c r="AL296" s="16"/>
      <c r="AM296" s="60"/>
      <c r="AN296" s="60"/>
      <c r="AO296" s="60"/>
      <c r="AP296" s="60"/>
      <c r="AQ296" s="60"/>
      <c r="AR296" s="60"/>
      <c r="AS296" s="63"/>
      <c r="AT296" s="63"/>
      <c r="AU296" s="63"/>
      <c r="AV296" s="131"/>
      <c r="AW296" s="131"/>
      <c r="AX296" s="131"/>
      <c r="AY296" s="27" t="s">
        <v>662</v>
      </c>
      <c r="AZ296" s="27"/>
      <c r="BA296" s="27"/>
      <c r="BB296" s="30"/>
      <c r="BC296" s="30"/>
      <c r="BD296" s="30"/>
      <c r="BE296" s="30"/>
      <c r="BF296" s="30"/>
      <c r="BG296" s="30"/>
      <c r="BH296" s="107"/>
      <c r="BI296" s="107"/>
      <c r="BJ296" s="107"/>
      <c r="BK296" s="107"/>
      <c r="BL296" s="136"/>
      <c r="BM296" s="122"/>
      <c r="BN296" s="138">
        <v>0</v>
      </c>
      <c r="BO296" s="93"/>
      <c r="BP296" s="93"/>
      <c r="BQ296" s="93"/>
      <c r="BR296" s="93"/>
      <c r="BS296" s="93"/>
      <c r="BT296" s="93"/>
      <c r="BU296" s="27">
        <f t="shared" si="271"/>
        <v>0</v>
      </c>
      <c r="BV296" s="27"/>
      <c r="BW296" s="27"/>
      <c r="BX296" s="27"/>
      <c r="BY296" s="27"/>
      <c r="BZ296" s="27"/>
      <c r="CA296" s="27"/>
      <c r="CB296" s="97"/>
      <c r="CC296" s="97">
        <v>5</v>
      </c>
      <c r="CD296" s="97">
        <v>25</v>
      </c>
      <c r="CE296" s="97">
        <v>50</v>
      </c>
      <c r="CF296" s="97">
        <v>100</v>
      </c>
      <c r="CG296" s="97">
        <v>100</v>
      </c>
      <c r="CH296" s="97">
        <v>100</v>
      </c>
      <c r="CI296" s="173"/>
      <c r="CJ296" s="173"/>
      <c r="CK296" s="173"/>
      <c r="CL296" s="173"/>
      <c r="CM296" s="173"/>
      <c r="CN296" s="173"/>
      <c r="CO296" s="173"/>
      <c r="CP296" s="174"/>
      <c r="CQ296" s="174"/>
      <c r="CR296" s="174"/>
      <c r="CS296" s="174"/>
      <c r="CT296" s="174"/>
      <c r="CU296" s="174"/>
      <c r="CV296" s="174"/>
      <c r="CW296" s="165"/>
      <c r="CX296" s="166"/>
      <c r="CY296" s="166"/>
      <c r="CZ296" s="166"/>
      <c r="DA296" s="166"/>
      <c r="DB296" s="166"/>
      <c r="DC296" s="166"/>
      <c r="DD296" s="171"/>
      <c r="DE296" s="171"/>
      <c r="DF296" s="171"/>
      <c r="DG296" s="171"/>
      <c r="DH296" s="171"/>
      <c r="DI296" s="171"/>
      <c r="DJ296" s="171"/>
      <c r="DK296" s="79" t="s">
        <v>452</v>
      </c>
      <c r="DL296" s="128">
        <v>500</v>
      </c>
      <c r="DM296" s="128">
        <v>500</v>
      </c>
      <c r="DN296" s="128">
        <v>500</v>
      </c>
      <c r="DO296" s="128">
        <v>500</v>
      </c>
      <c r="DP296" s="128">
        <v>500</v>
      </c>
      <c r="DQ296" s="128">
        <v>500</v>
      </c>
      <c r="DR296" s="128">
        <v>500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1243</v>
      </c>
      <c r="C297" s="5" t="s">
        <v>788</v>
      </c>
      <c r="D297" s="5" t="s">
        <v>1376</v>
      </c>
      <c r="E297" s="5" t="s">
        <v>459</v>
      </c>
      <c r="F297" s="5" t="s">
        <v>462</v>
      </c>
      <c r="G297" s="221" t="s">
        <v>1392</v>
      </c>
      <c r="H297" s="47" t="s">
        <v>981</v>
      </c>
      <c r="I297" s="101">
        <v>150</v>
      </c>
      <c r="J297" s="101">
        <v>150</v>
      </c>
      <c r="K297" s="101">
        <v>150</v>
      </c>
      <c r="L297" s="101">
        <v>150</v>
      </c>
      <c r="M297" s="101">
        <v>150</v>
      </c>
      <c r="N297" s="101">
        <v>150</v>
      </c>
      <c r="O297" s="101">
        <v>150</v>
      </c>
      <c r="P297" s="93">
        <v>0</v>
      </c>
      <c r="Q297" s="101">
        <v>2</v>
      </c>
      <c r="R297" s="101">
        <v>2</v>
      </c>
      <c r="S297" s="101">
        <v>2</v>
      </c>
      <c r="T297" s="101">
        <v>2</v>
      </c>
      <c r="U297" s="101">
        <v>2</v>
      </c>
      <c r="V297" s="101">
        <v>2</v>
      </c>
      <c r="W297" s="101">
        <v>2</v>
      </c>
      <c r="X297" s="101">
        <v>0</v>
      </c>
      <c r="Y297" s="101">
        <v>0</v>
      </c>
      <c r="Z297" s="101">
        <v>0</v>
      </c>
      <c r="AA297" s="101">
        <v>0</v>
      </c>
      <c r="AB297" s="101">
        <v>0</v>
      </c>
      <c r="AC297" s="101">
        <v>0</v>
      </c>
      <c r="AD297" s="101">
        <v>0</v>
      </c>
      <c r="AE297" s="186">
        <v>0.08</v>
      </c>
      <c r="AF297" s="93">
        <v>0</v>
      </c>
      <c r="AG297" s="93">
        <v>12</v>
      </c>
      <c r="AH297" s="93">
        <v>12</v>
      </c>
      <c r="AI297" s="16">
        <f t="shared" ref="AI297" si="272">1.5*3.6</f>
        <v>5.4</v>
      </c>
      <c r="AJ297" s="16" t="s">
        <v>660</v>
      </c>
      <c r="AK297" s="16" t="s">
        <v>672</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1"/>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1335</v>
      </c>
      <c r="DL297" s="128">
        <v>200</v>
      </c>
      <c r="DM297" s="128">
        <v>200</v>
      </c>
      <c r="DN297" s="128">
        <v>200</v>
      </c>
      <c r="DO297" s="128">
        <v>200</v>
      </c>
      <c r="DP297" s="128">
        <v>200</v>
      </c>
      <c r="DQ297" s="128">
        <v>200</v>
      </c>
      <c r="DR297" s="128">
        <v>200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6" t="s">
        <v>1393</v>
      </c>
      <c r="B298" s="6" t="s">
        <v>726</v>
      </c>
      <c r="C298" s="6" t="s">
        <v>788</v>
      </c>
      <c r="D298" s="6" t="s">
        <v>727</v>
      </c>
      <c r="E298" s="6" t="s">
        <v>459</v>
      </c>
      <c r="F298" s="6" t="s">
        <v>463</v>
      </c>
      <c r="G298" s="48" t="s">
        <v>1394</v>
      </c>
      <c r="H298" s="48" t="s">
        <v>981</v>
      </c>
      <c r="I298" s="102">
        <v>600</v>
      </c>
      <c r="J298" s="102">
        <v>600</v>
      </c>
      <c r="K298" s="102">
        <v>600</v>
      </c>
      <c r="L298" s="102">
        <v>600</v>
      </c>
      <c r="M298" s="102">
        <v>600</v>
      </c>
      <c r="N298" s="102">
        <v>600</v>
      </c>
      <c r="O298" s="102">
        <v>600</v>
      </c>
      <c r="P298" s="94">
        <v>0</v>
      </c>
      <c r="Q298" s="102">
        <v>60</v>
      </c>
      <c r="R298" s="102">
        <v>60</v>
      </c>
      <c r="S298" s="102">
        <v>60</v>
      </c>
      <c r="T298" s="102">
        <v>60</v>
      </c>
      <c r="U298" s="102">
        <v>60</v>
      </c>
      <c r="V298" s="102">
        <v>60</v>
      </c>
      <c r="W298" s="102">
        <v>60</v>
      </c>
      <c r="X298" s="102">
        <v>0</v>
      </c>
      <c r="Y298" s="102">
        <v>0</v>
      </c>
      <c r="Z298" s="102">
        <v>0</v>
      </c>
      <c r="AA298" s="102">
        <v>0</v>
      </c>
      <c r="AB298" s="102">
        <v>0</v>
      </c>
      <c r="AC298" s="102">
        <v>0</v>
      </c>
      <c r="AD298" s="102">
        <v>0</v>
      </c>
      <c r="AE298" s="186">
        <v>0.08</v>
      </c>
      <c r="AF298" s="94">
        <v>0</v>
      </c>
      <c r="AG298" s="94">
        <v>10</v>
      </c>
      <c r="AH298" s="94">
        <v>10</v>
      </c>
      <c r="AI298" s="17">
        <v>31.536000000000001</v>
      </c>
      <c r="AJ298" s="17" t="s">
        <v>982</v>
      </c>
      <c r="AK298" s="17" t="s">
        <v>732</v>
      </c>
      <c r="AL298" s="17"/>
      <c r="AM298" s="61" t="s">
        <v>463</v>
      </c>
      <c r="AN298" s="61" t="s">
        <v>494</v>
      </c>
      <c r="AO298" s="61">
        <v>0.95</v>
      </c>
      <c r="AP298" s="61" t="s">
        <v>766</v>
      </c>
      <c r="AQ298" s="61">
        <v>0.2</v>
      </c>
      <c r="AR298" s="61">
        <v>0.15</v>
      </c>
      <c r="AS298" s="64"/>
      <c r="AT298" s="64"/>
      <c r="AU298" s="64"/>
      <c r="AV298" s="132"/>
      <c r="AW298" s="132"/>
      <c r="AX298" s="132"/>
      <c r="AY298" s="28" t="s">
        <v>662</v>
      </c>
      <c r="AZ298" s="28"/>
      <c r="BA298" s="28"/>
      <c r="BB298" s="28"/>
      <c r="BC298" s="28"/>
      <c r="BD298" s="28"/>
      <c r="BE298" s="28"/>
      <c r="BF298" s="28"/>
      <c r="BG298" s="28"/>
      <c r="BH298" s="106"/>
      <c r="BI298" s="106"/>
      <c r="BJ298" s="106"/>
      <c r="BK298" s="106"/>
      <c r="BL298" s="137"/>
      <c r="BM298" s="123"/>
      <c r="BN298" s="139">
        <v>1.6</v>
      </c>
      <c r="BO298" s="94">
        <v>1</v>
      </c>
      <c r="BP298" s="94">
        <v>0.6</v>
      </c>
      <c r="BQ298" s="94"/>
      <c r="BR298" s="94"/>
      <c r="BS298" s="94"/>
      <c r="BT298" s="94"/>
      <c r="BU298" s="28">
        <f t="shared" si="271"/>
        <v>0</v>
      </c>
      <c r="BV298" s="28"/>
      <c r="BW298" s="28"/>
      <c r="BX298" s="28"/>
      <c r="BY298" s="28"/>
      <c r="BZ298" s="28"/>
      <c r="CA298" s="28"/>
      <c r="CB298" s="99">
        <v>1.7</v>
      </c>
      <c r="CC298" s="99">
        <v>3</v>
      </c>
      <c r="CD298" s="99">
        <v>3</v>
      </c>
      <c r="CE298" s="99">
        <v>3</v>
      </c>
      <c r="CF298" s="99">
        <v>3</v>
      </c>
      <c r="CG298" s="99">
        <v>3</v>
      </c>
      <c r="CH298" s="99">
        <v>3</v>
      </c>
      <c r="CI298" s="175"/>
      <c r="CJ298" s="175"/>
      <c r="CK298" s="175"/>
      <c r="CL298" s="175"/>
      <c r="CM298" s="175"/>
      <c r="CN298" s="175"/>
      <c r="CO298" s="175"/>
      <c r="CP298" s="176"/>
      <c r="CQ298" s="176"/>
      <c r="CR298" s="176"/>
      <c r="CS298" s="176"/>
      <c r="CT298" s="176"/>
      <c r="CU298" s="176"/>
      <c r="CV298" s="176"/>
      <c r="CW298" s="167"/>
      <c r="CX298" s="168"/>
      <c r="CY298" s="168"/>
      <c r="CZ298" s="168"/>
      <c r="DA298" s="168"/>
      <c r="DB298" s="168"/>
      <c r="DC298" s="168"/>
      <c r="DD298" s="172"/>
      <c r="DE298" s="172"/>
      <c r="DF298" s="172"/>
      <c r="DG298" s="172"/>
      <c r="DH298" s="172"/>
      <c r="DI298" s="172"/>
      <c r="DJ298" s="172"/>
      <c r="DK298" s="80" t="s">
        <v>452</v>
      </c>
      <c r="DL298" s="129">
        <v>100</v>
      </c>
      <c r="DM298" s="129">
        <v>100</v>
      </c>
      <c r="DN298" s="129">
        <v>100</v>
      </c>
      <c r="DO298" s="129">
        <v>100</v>
      </c>
      <c r="DP298" s="129">
        <v>100</v>
      </c>
      <c r="DQ298" s="129">
        <v>100</v>
      </c>
      <c r="DR298" s="129">
        <v>100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5" t="s">
        <v>1395</v>
      </c>
      <c r="B299" s="5" t="s">
        <v>726</v>
      </c>
      <c r="C299" s="5" t="s">
        <v>788</v>
      </c>
      <c r="D299" s="5" t="s">
        <v>727</v>
      </c>
      <c r="E299" s="5" t="s">
        <v>459</v>
      </c>
      <c r="F299" s="5" t="s">
        <v>463</v>
      </c>
      <c r="G299" s="47" t="s">
        <v>1396</v>
      </c>
      <c r="H299" s="47" t="s">
        <v>981</v>
      </c>
      <c r="I299" s="101">
        <v>40</v>
      </c>
      <c r="J299" s="101">
        <v>40</v>
      </c>
      <c r="K299" s="101">
        <v>40</v>
      </c>
      <c r="L299" s="101">
        <v>40</v>
      </c>
      <c r="M299" s="101">
        <v>40</v>
      </c>
      <c r="N299" s="101">
        <v>40</v>
      </c>
      <c r="O299" s="101">
        <v>40</v>
      </c>
      <c r="P299" s="93">
        <v>0</v>
      </c>
      <c r="Q299" s="101">
        <v>2</v>
      </c>
      <c r="R299" s="101">
        <v>2</v>
      </c>
      <c r="S299" s="101">
        <v>2</v>
      </c>
      <c r="T299" s="101">
        <v>2</v>
      </c>
      <c r="U299" s="101">
        <v>2</v>
      </c>
      <c r="V299" s="101">
        <v>2</v>
      </c>
      <c r="W299" s="101">
        <v>2</v>
      </c>
      <c r="X299" s="101">
        <v>0</v>
      </c>
      <c r="Y299" s="101">
        <v>0</v>
      </c>
      <c r="Z299" s="101">
        <v>0</v>
      </c>
      <c r="AA299" s="101">
        <v>0</v>
      </c>
      <c r="AB299" s="101">
        <v>0</v>
      </c>
      <c r="AC299" s="101">
        <v>0</v>
      </c>
      <c r="AD299" s="101">
        <v>0</v>
      </c>
      <c r="AE299" s="186">
        <v>0.08</v>
      </c>
      <c r="AF299" s="93">
        <v>0</v>
      </c>
      <c r="AG299" s="93">
        <v>10</v>
      </c>
      <c r="AH299" s="93">
        <v>10</v>
      </c>
      <c r="AI299" s="16">
        <v>31.536000000000001</v>
      </c>
      <c r="AJ299" s="16" t="s">
        <v>660</v>
      </c>
      <c r="AK299" s="16" t="s">
        <v>732</v>
      </c>
      <c r="AL299" s="16"/>
      <c r="AM299" s="60"/>
      <c r="AN299" s="60"/>
      <c r="AO299" s="60"/>
      <c r="AP299" s="60"/>
      <c r="AQ299" s="60"/>
      <c r="AR299" s="60"/>
      <c r="AS299" s="63"/>
      <c r="AT299" s="63"/>
      <c r="AU299" s="63"/>
      <c r="AV299" s="131"/>
      <c r="AW299" s="131"/>
      <c r="AX299" s="131"/>
      <c r="AY299" s="27" t="s">
        <v>662</v>
      </c>
      <c r="AZ299" s="27"/>
      <c r="BA299" s="27"/>
      <c r="BB299" s="30"/>
      <c r="BC299" s="30"/>
      <c r="BD299" s="30"/>
      <c r="BE299" s="30"/>
      <c r="BF299" s="30"/>
      <c r="BG299" s="30"/>
      <c r="BH299" s="107"/>
      <c r="BI299" s="107"/>
      <c r="BJ299" s="107"/>
      <c r="BK299" s="107"/>
      <c r="BL299" s="136"/>
      <c r="BM299" s="122"/>
      <c r="BN299" s="138">
        <v>1</v>
      </c>
      <c r="BO299" s="93">
        <v>0.5</v>
      </c>
      <c r="BP299" s="93">
        <v>0.5</v>
      </c>
      <c r="BQ299" s="93"/>
      <c r="BR299" s="93"/>
      <c r="BS299" s="93"/>
      <c r="BT299" s="93"/>
      <c r="BU299" s="27">
        <f t="shared" si="271"/>
        <v>0</v>
      </c>
      <c r="BV299" s="27"/>
      <c r="BW299" s="27"/>
      <c r="BX299" s="27"/>
      <c r="BY299" s="27"/>
      <c r="BZ299" s="27"/>
      <c r="CA299" s="27"/>
      <c r="CB299" s="97">
        <v>1</v>
      </c>
      <c r="CC299" s="97">
        <v>1.5</v>
      </c>
      <c r="CD299" s="97">
        <v>3</v>
      </c>
      <c r="CE299" s="97">
        <v>3</v>
      </c>
      <c r="CF299" s="97">
        <v>3</v>
      </c>
      <c r="CG299" s="97">
        <v>3</v>
      </c>
      <c r="CH299" s="97">
        <v>3</v>
      </c>
      <c r="CI299" s="173"/>
      <c r="CJ299" s="173"/>
      <c r="CK299" s="173"/>
      <c r="CL299" s="173"/>
      <c r="CM299" s="173"/>
      <c r="CN299" s="173"/>
      <c r="CO299" s="173"/>
      <c r="CP299" s="174"/>
      <c r="CQ299" s="174"/>
      <c r="CR299" s="174"/>
      <c r="CS299" s="174"/>
      <c r="CT299" s="174"/>
      <c r="CU299" s="174"/>
      <c r="CV299" s="174"/>
      <c r="CW299" s="165"/>
      <c r="CX299" s="166"/>
      <c r="CY299" s="166"/>
      <c r="CZ299" s="166"/>
      <c r="DA299" s="166"/>
      <c r="DB299" s="166"/>
      <c r="DC299" s="166"/>
      <c r="DD299" s="171"/>
      <c r="DE299" s="171"/>
      <c r="DF299" s="171"/>
      <c r="DG299" s="171"/>
      <c r="DH299" s="171"/>
      <c r="DI299" s="171"/>
      <c r="DJ299" s="171"/>
      <c r="DK299" s="79" t="s">
        <v>452</v>
      </c>
      <c r="DL299" s="128">
        <v>100</v>
      </c>
      <c r="DM299" s="128">
        <v>100</v>
      </c>
      <c r="DN299" s="128">
        <v>100</v>
      </c>
      <c r="DO299" s="128">
        <v>100</v>
      </c>
      <c r="DP299" s="128">
        <v>100</v>
      </c>
      <c r="DQ299" s="128">
        <v>100</v>
      </c>
      <c r="DR299" s="128">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6" t="s">
        <v>1397</v>
      </c>
      <c r="B300" s="6" t="s">
        <v>726</v>
      </c>
      <c r="C300" s="6" t="s">
        <v>788</v>
      </c>
      <c r="D300" s="6" t="s">
        <v>727</v>
      </c>
      <c r="E300" s="6" t="s">
        <v>459</v>
      </c>
      <c r="F300" s="6" t="s">
        <v>463</v>
      </c>
      <c r="G300" s="48" t="s">
        <v>1398</v>
      </c>
      <c r="H300" s="48" t="s">
        <v>981</v>
      </c>
      <c r="I300" s="102">
        <v>1100</v>
      </c>
      <c r="J300" s="102">
        <v>1100</v>
      </c>
      <c r="K300" s="102">
        <v>1100</v>
      </c>
      <c r="L300" s="102">
        <v>1100</v>
      </c>
      <c r="M300" s="102">
        <v>1100</v>
      </c>
      <c r="N300" s="102">
        <v>1100</v>
      </c>
      <c r="O300" s="102">
        <v>1100</v>
      </c>
      <c r="P300" s="94">
        <v>0</v>
      </c>
      <c r="Q300" s="102">
        <v>30</v>
      </c>
      <c r="R300" s="102">
        <v>30</v>
      </c>
      <c r="S300" s="102">
        <v>30</v>
      </c>
      <c r="T300" s="102">
        <v>30</v>
      </c>
      <c r="U300" s="102">
        <v>30</v>
      </c>
      <c r="V300" s="102">
        <v>30</v>
      </c>
      <c r="W300" s="102">
        <v>30</v>
      </c>
      <c r="X300" s="102">
        <v>0</v>
      </c>
      <c r="Y300" s="102">
        <v>0</v>
      </c>
      <c r="Z300" s="102">
        <v>0</v>
      </c>
      <c r="AA300" s="102">
        <v>0</v>
      </c>
      <c r="AB300" s="102">
        <v>0</v>
      </c>
      <c r="AC300" s="102">
        <v>0</v>
      </c>
      <c r="AD300" s="102">
        <v>0</v>
      </c>
      <c r="AE300" s="186">
        <v>0.08</v>
      </c>
      <c r="AF300" s="94">
        <v>0</v>
      </c>
      <c r="AG300" s="94">
        <v>35</v>
      </c>
      <c r="AH300" s="94">
        <v>35</v>
      </c>
      <c r="AI300" s="17">
        <v>31.536000000000001</v>
      </c>
      <c r="AJ300" s="17" t="s">
        <v>660</v>
      </c>
      <c r="AK300" s="17" t="s">
        <v>732</v>
      </c>
      <c r="AL300" s="17"/>
      <c r="AM300" s="61"/>
      <c r="AN300" s="61"/>
      <c r="AO300" s="61"/>
      <c r="AP300" s="61"/>
      <c r="AQ300" s="61"/>
      <c r="AR300" s="61"/>
      <c r="AS300" s="64"/>
      <c r="AT300" s="64"/>
      <c r="AU300" s="64"/>
      <c r="AV300" s="132"/>
      <c r="AW300" s="132"/>
      <c r="AX300" s="132"/>
      <c r="AY300" s="28" t="s">
        <v>662</v>
      </c>
      <c r="AZ300" s="28"/>
      <c r="BA300" s="28"/>
      <c r="BB300" s="28"/>
      <c r="BC300" s="28"/>
      <c r="BD300" s="28"/>
      <c r="BE300" s="28"/>
      <c r="BF300" s="28"/>
      <c r="BG300" s="28"/>
      <c r="BH300" s="106"/>
      <c r="BI300" s="106"/>
      <c r="BJ300" s="106"/>
      <c r="BK300" s="106"/>
      <c r="BL300" s="137"/>
      <c r="BM300" s="123"/>
      <c r="BN300" s="139">
        <v>0.2</v>
      </c>
      <c r="BO300" s="94"/>
      <c r="BP300" s="94"/>
      <c r="BQ300" s="94"/>
      <c r="BR300" s="94"/>
      <c r="BS300" s="94"/>
      <c r="BT300" s="94">
        <v>0.2</v>
      </c>
      <c r="BU300" s="28">
        <f t="shared" si="271"/>
        <v>0</v>
      </c>
      <c r="BV300" s="28"/>
      <c r="BW300" s="28"/>
      <c r="BX300" s="28"/>
      <c r="BY300" s="28"/>
      <c r="BZ300" s="28"/>
      <c r="CA300" s="28"/>
      <c r="CB300" s="99">
        <v>0.2</v>
      </c>
      <c r="CC300" s="99">
        <v>1.5</v>
      </c>
      <c r="CD300" s="99">
        <v>3</v>
      </c>
      <c r="CE300" s="99">
        <v>3</v>
      </c>
      <c r="CF300" s="99">
        <v>3</v>
      </c>
      <c r="CG300" s="99">
        <v>3</v>
      </c>
      <c r="CH300" s="99">
        <v>3</v>
      </c>
      <c r="CI300" s="175"/>
      <c r="CJ300" s="175"/>
      <c r="CK300" s="175"/>
      <c r="CL300" s="175"/>
      <c r="CM300" s="175"/>
      <c r="CN300" s="175"/>
      <c r="CO300" s="175"/>
      <c r="CP300" s="176"/>
      <c r="CQ300" s="176"/>
      <c r="CR300" s="176"/>
      <c r="CS300" s="176"/>
      <c r="CT300" s="176"/>
      <c r="CU300" s="176"/>
      <c r="CV300" s="176"/>
      <c r="CW300" s="167"/>
      <c r="CX300" s="168"/>
      <c r="CY300" s="168"/>
      <c r="CZ300" s="168"/>
      <c r="DA300" s="168"/>
      <c r="DB300" s="168"/>
      <c r="DC300" s="168"/>
      <c r="DD300" s="172"/>
      <c r="DE300" s="172"/>
      <c r="DF300" s="172"/>
      <c r="DG300" s="172"/>
      <c r="DH300" s="172"/>
      <c r="DI300" s="172"/>
      <c r="DJ300" s="172"/>
      <c r="DK300" s="80" t="s">
        <v>452</v>
      </c>
      <c r="DL300" s="129">
        <v>100</v>
      </c>
      <c r="DM300" s="129">
        <v>100</v>
      </c>
      <c r="DN300" s="129">
        <v>100</v>
      </c>
      <c r="DO300" s="129">
        <v>100</v>
      </c>
      <c r="DP300" s="129">
        <v>100</v>
      </c>
      <c r="DQ300" s="129">
        <v>100</v>
      </c>
      <c r="DR300" s="129">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5" t="s">
        <v>1399</v>
      </c>
      <c r="B301" s="5" t="s">
        <v>726</v>
      </c>
      <c r="C301" s="5" t="s">
        <v>788</v>
      </c>
      <c r="D301" s="5" t="s">
        <v>727</v>
      </c>
      <c r="E301" s="5" t="s">
        <v>459</v>
      </c>
      <c r="F301" s="5" t="s">
        <v>463</v>
      </c>
      <c r="G301" s="47" t="s">
        <v>1400</v>
      </c>
      <c r="H301" s="47" t="s">
        <v>981</v>
      </c>
      <c r="I301" s="101">
        <v>900</v>
      </c>
      <c r="J301" s="101">
        <v>900</v>
      </c>
      <c r="K301" s="101">
        <v>900</v>
      </c>
      <c r="L301" s="101">
        <v>900</v>
      </c>
      <c r="M301" s="101">
        <v>900</v>
      </c>
      <c r="N301" s="101">
        <v>900</v>
      </c>
      <c r="O301" s="101">
        <v>900</v>
      </c>
      <c r="P301" s="93">
        <v>0</v>
      </c>
      <c r="Q301" s="101">
        <v>30</v>
      </c>
      <c r="R301" s="101">
        <v>30</v>
      </c>
      <c r="S301" s="101">
        <v>30</v>
      </c>
      <c r="T301" s="101">
        <v>30</v>
      </c>
      <c r="U301" s="101">
        <v>30</v>
      </c>
      <c r="V301" s="101">
        <v>30</v>
      </c>
      <c r="W301" s="101">
        <v>30</v>
      </c>
      <c r="X301" s="101">
        <v>0</v>
      </c>
      <c r="Y301" s="101">
        <v>0</v>
      </c>
      <c r="Z301" s="101">
        <v>0</v>
      </c>
      <c r="AA301" s="101">
        <v>0</v>
      </c>
      <c r="AB301" s="101">
        <v>0</v>
      </c>
      <c r="AC301" s="101">
        <v>0</v>
      </c>
      <c r="AD301" s="101">
        <v>0</v>
      </c>
      <c r="AE301" s="186">
        <v>0.08</v>
      </c>
      <c r="AF301" s="93">
        <v>0</v>
      </c>
      <c r="AG301" s="93">
        <v>20</v>
      </c>
      <c r="AH301" s="93">
        <v>20</v>
      </c>
      <c r="AI301" s="16">
        <v>31.536000000000001</v>
      </c>
      <c r="AJ301" s="16" t="s">
        <v>660</v>
      </c>
      <c r="AK301" s="16" t="s">
        <v>732</v>
      </c>
      <c r="AL301" s="16"/>
      <c r="AM301" s="60"/>
      <c r="AN301" s="60"/>
      <c r="AO301" s="60"/>
      <c r="AP301" s="60"/>
      <c r="AQ301" s="60"/>
      <c r="AR301" s="60"/>
      <c r="AS301" s="63"/>
      <c r="AT301" s="63"/>
      <c r="AU301" s="63"/>
      <c r="AV301" s="131"/>
      <c r="AW301" s="131"/>
      <c r="AX301" s="131"/>
      <c r="AY301" s="27" t="s">
        <v>662</v>
      </c>
      <c r="AZ301" s="27"/>
      <c r="BA301" s="27"/>
      <c r="BB301" s="30"/>
      <c r="BC301" s="30"/>
      <c r="BD301" s="30"/>
      <c r="BE301" s="30"/>
      <c r="BF301" s="30"/>
      <c r="BG301" s="30"/>
      <c r="BH301" s="107"/>
      <c r="BI301" s="107"/>
      <c r="BJ301" s="107"/>
      <c r="BK301" s="107"/>
      <c r="BL301" s="136"/>
      <c r="BM301" s="122"/>
      <c r="BN301" s="138">
        <v>0.01</v>
      </c>
      <c r="BO301" s="93"/>
      <c r="BP301" s="93"/>
      <c r="BQ301" s="93"/>
      <c r="BR301" s="93">
        <v>0.01</v>
      </c>
      <c r="BS301" s="93"/>
      <c r="BT301" s="93"/>
      <c r="BU301" s="27">
        <f t="shared" si="271"/>
        <v>0</v>
      </c>
      <c r="BV301" s="27"/>
      <c r="BW301" s="27"/>
      <c r="BX301" s="27"/>
      <c r="BY301" s="27"/>
      <c r="BZ301" s="27"/>
      <c r="CA301" s="27"/>
      <c r="CB301" s="97">
        <v>0.01</v>
      </c>
      <c r="CC301" s="97">
        <v>1.5</v>
      </c>
      <c r="CD301" s="97">
        <v>3</v>
      </c>
      <c r="CE301" s="97">
        <v>3</v>
      </c>
      <c r="CF301" s="97">
        <v>3</v>
      </c>
      <c r="CG301" s="97">
        <v>3</v>
      </c>
      <c r="CH301" s="97">
        <v>3</v>
      </c>
      <c r="CI301" s="173"/>
      <c r="CJ301" s="173"/>
      <c r="CK301" s="173"/>
      <c r="CL301" s="173"/>
      <c r="CM301" s="173"/>
      <c r="CN301" s="173"/>
      <c r="CO301" s="173"/>
      <c r="CP301" s="174"/>
      <c r="CQ301" s="174"/>
      <c r="CR301" s="174"/>
      <c r="CS301" s="174"/>
      <c r="CT301" s="174"/>
      <c r="CU301" s="174"/>
      <c r="CV301" s="174"/>
      <c r="CW301" s="165"/>
      <c r="CX301" s="166"/>
      <c r="CY301" s="166"/>
      <c r="CZ301" s="166"/>
      <c r="DA301" s="166"/>
      <c r="DB301" s="166"/>
      <c r="DC301" s="166"/>
      <c r="DD301" s="171"/>
      <c r="DE301" s="171"/>
      <c r="DF301" s="171"/>
      <c r="DG301" s="171"/>
      <c r="DH301" s="171"/>
      <c r="DI301" s="171"/>
      <c r="DJ301" s="171"/>
      <c r="DK301" s="79" t="s">
        <v>452</v>
      </c>
      <c r="DL301" s="128">
        <v>100</v>
      </c>
      <c r="DM301" s="128">
        <v>100</v>
      </c>
      <c r="DN301" s="128">
        <v>100</v>
      </c>
      <c r="DO301" s="128">
        <v>100</v>
      </c>
      <c r="DP301" s="128">
        <v>100</v>
      </c>
      <c r="DQ301" s="128">
        <v>100</v>
      </c>
      <c r="DR301" s="128">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6" t="s">
        <v>1401</v>
      </c>
      <c r="B302" s="6" t="s">
        <v>726</v>
      </c>
      <c r="C302" s="6" t="s">
        <v>788</v>
      </c>
      <c r="D302" s="6" t="s">
        <v>727</v>
      </c>
      <c r="E302" s="6" t="s">
        <v>459</v>
      </c>
      <c r="F302" s="6" t="s">
        <v>463</v>
      </c>
      <c r="G302" s="48" t="s">
        <v>1402</v>
      </c>
      <c r="H302" s="48" t="s">
        <v>981</v>
      </c>
      <c r="I302" s="102">
        <v>500</v>
      </c>
      <c r="J302" s="102">
        <v>500</v>
      </c>
      <c r="K302" s="102">
        <v>500</v>
      </c>
      <c r="L302" s="102">
        <v>500</v>
      </c>
      <c r="M302" s="102">
        <v>500</v>
      </c>
      <c r="N302" s="102">
        <v>500</v>
      </c>
      <c r="O302" s="102">
        <v>500</v>
      </c>
      <c r="P302" s="94">
        <v>0</v>
      </c>
      <c r="Q302" s="102">
        <v>20</v>
      </c>
      <c r="R302" s="102">
        <v>20</v>
      </c>
      <c r="S302" s="102">
        <v>20</v>
      </c>
      <c r="T302" s="102">
        <v>20</v>
      </c>
      <c r="U302" s="102">
        <v>20</v>
      </c>
      <c r="V302" s="102">
        <v>20</v>
      </c>
      <c r="W302" s="102">
        <v>20</v>
      </c>
      <c r="X302" s="102">
        <v>0</v>
      </c>
      <c r="Y302" s="102">
        <v>0</v>
      </c>
      <c r="Z302" s="102">
        <v>0</v>
      </c>
      <c r="AA302" s="102">
        <v>0</v>
      </c>
      <c r="AB302" s="102">
        <v>0</v>
      </c>
      <c r="AC302" s="102">
        <v>0</v>
      </c>
      <c r="AD302" s="102">
        <v>0</v>
      </c>
      <c r="AE302" s="186">
        <v>0.08</v>
      </c>
      <c r="AF302" s="94">
        <v>0</v>
      </c>
      <c r="AG302" s="94">
        <v>10</v>
      </c>
      <c r="AH302" s="94">
        <v>10</v>
      </c>
      <c r="AI302" s="17">
        <v>31.536000000000001</v>
      </c>
      <c r="AJ302" s="17" t="s">
        <v>660</v>
      </c>
      <c r="AK302" s="17" t="s">
        <v>732</v>
      </c>
      <c r="AL302" s="17"/>
      <c r="AM302" s="61"/>
      <c r="AN302" s="61"/>
      <c r="AO302" s="61"/>
      <c r="AP302" s="61"/>
      <c r="AQ302" s="61"/>
      <c r="AR302" s="61"/>
      <c r="AS302" s="64"/>
      <c r="AT302" s="64"/>
      <c r="AU302" s="64"/>
      <c r="AV302" s="132"/>
      <c r="AW302" s="132"/>
      <c r="AX302" s="132"/>
      <c r="AY302" s="28" t="s">
        <v>662</v>
      </c>
      <c r="AZ302" s="28"/>
      <c r="BA302" s="28"/>
      <c r="BB302" s="28"/>
      <c r="BC302" s="28"/>
      <c r="BD302" s="28"/>
      <c r="BE302" s="28"/>
      <c r="BF302" s="28"/>
      <c r="BG302" s="28"/>
      <c r="BH302" s="106"/>
      <c r="BI302" s="106"/>
      <c r="BJ302" s="106"/>
      <c r="BK302" s="106"/>
      <c r="BL302" s="137"/>
      <c r="BM302" s="123"/>
      <c r="BN302" s="139">
        <v>0.2</v>
      </c>
      <c r="BO302" s="94">
        <v>0.1</v>
      </c>
      <c r="BP302" s="94">
        <v>0.1</v>
      </c>
      <c r="BQ302" s="94"/>
      <c r="BR302" s="94"/>
      <c r="BS302" s="94"/>
      <c r="BT302" s="94"/>
      <c r="BU302" s="28">
        <f t="shared" si="271"/>
        <v>0</v>
      </c>
      <c r="BV302" s="28"/>
      <c r="BW302" s="28"/>
      <c r="BX302" s="28"/>
      <c r="BY302" s="28"/>
      <c r="BZ302" s="28"/>
      <c r="CA302" s="28"/>
      <c r="CB302" s="99">
        <v>0.2</v>
      </c>
      <c r="CC302" s="99">
        <v>1.5</v>
      </c>
      <c r="CD302" s="99">
        <v>3</v>
      </c>
      <c r="CE302" s="99">
        <v>3</v>
      </c>
      <c r="CF302" s="99">
        <v>3</v>
      </c>
      <c r="CG302" s="99">
        <v>3</v>
      </c>
      <c r="CH302" s="99">
        <v>3</v>
      </c>
      <c r="CI302" s="175"/>
      <c r="CJ302" s="175"/>
      <c r="CK302" s="175"/>
      <c r="CL302" s="175"/>
      <c r="CM302" s="175"/>
      <c r="CN302" s="175"/>
      <c r="CO302" s="175"/>
      <c r="CP302" s="176"/>
      <c r="CQ302" s="176"/>
      <c r="CR302" s="176"/>
      <c r="CS302" s="176"/>
      <c r="CT302" s="176"/>
      <c r="CU302" s="176"/>
      <c r="CV302" s="176"/>
      <c r="CW302" s="167"/>
      <c r="CX302" s="168"/>
      <c r="CY302" s="168"/>
      <c r="CZ302" s="168"/>
      <c r="DA302" s="168"/>
      <c r="DB302" s="168"/>
      <c r="DC302" s="168"/>
      <c r="DD302" s="172"/>
      <c r="DE302" s="172"/>
      <c r="DF302" s="172"/>
      <c r="DG302" s="172"/>
      <c r="DH302" s="172"/>
      <c r="DI302" s="172"/>
      <c r="DJ302" s="172"/>
      <c r="DK302" s="80" t="s">
        <v>452</v>
      </c>
      <c r="DL302" s="129">
        <v>100</v>
      </c>
      <c r="DM302" s="129">
        <v>100</v>
      </c>
      <c r="DN302" s="129">
        <v>100</v>
      </c>
      <c r="DO302" s="129">
        <v>100</v>
      </c>
      <c r="DP302" s="129">
        <v>100</v>
      </c>
      <c r="DQ302" s="129">
        <v>100</v>
      </c>
      <c r="DR302" s="129">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5" t="s">
        <v>1403</v>
      </c>
      <c r="B303" s="5" t="s">
        <v>726</v>
      </c>
      <c r="C303" s="5" t="s">
        <v>788</v>
      </c>
      <c r="D303" s="5" t="s">
        <v>727</v>
      </c>
      <c r="E303" s="5" t="s">
        <v>459</v>
      </c>
      <c r="F303" s="5" t="s">
        <v>463</v>
      </c>
      <c r="G303" s="47" t="s">
        <v>1404</v>
      </c>
      <c r="H303" s="47" t="s">
        <v>981</v>
      </c>
      <c r="I303" s="101">
        <v>90</v>
      </c>
      <c r="J303" s="101">
        <v>85</v>
      </c>
      <c r="K303" s="101">
        <v>80</v>
      </c>
      <c r="L303" s="101">
        <v>75</v>
      </c>
      <c r="M303" s="101">
        <v>70</v>
      </c>
      <c r="N303" s="101">
        <v>65</v>
      </c>
      <c r="O303" s="101">
        <v>60</v>
      </c>
      <c r="P303" s="93">
        <v>0</v>
      </c>
      <c r="Q303" s="101">
        <v>5</v>
      </c>
      <c r="R303" s="101">
        <v>5</v>
      </c>
      <c r="S303" s="101">
        <v>5</v>
      </c>
      <c r="T303" s="101">
        <v>5</v>
      </c>
      <c r="U303" s="101">
        <v>5</v>
      </c>
      <c r="V303" s="101">
        <v>5</v>
      </c>
      <c r="W303" s="101">
        <v>5</v>
      </c>
      <c r="X303" s="101">
        <v>0</v>
      </c>
      <c r="Y303" s="101">
        <v>0</v>
      </c>
      <c r="Z303" s="101">
        <v>0</v>
      </c>
      <c r="AA303" s="101">
        <v>0</v>
      </c>
      <c r="AB303" s="101">
        <v>0</v>
      </c>
      <c r="AC303" s="101">
        <v>0</v>
      </c>
      <c r="AD303" s="101">
        <v>0</v>
      </c>
      <c r="AE303" s="186">
        <v>0.08</v>
      </c>
      <c r="AF303" s="93">
        <v>0</v>
      </c>
      <c r="AG303" s="93">
        <v>10</v>
      </c>
      <c r="AH303" s="93">
        <v>10</v>
      </c>
      <c r="AI303" s="16">
        <v>31.536000000000001</v>
      </c>
      <c r="AJ303" s="16" t="s">
        <v>660</v>
      </c>
      <c r="AK303" s="16" t="s">
        <v>732</v>
      </c>
      <c r="AL303" s="16"/>
      <c r="AM303" s="60"/>
      <c r="AN303" s="60"/>
      <c r="AO303" s="60"/>
      <c r="AP303" s="60"/>
      <c r="AQ303" s="60"/>
      <c r="AR303" s="60"/>
      <c r="AS303" s="63"/>
      <c r="AT303" s="63"/>
      <c r="AU303" s="63"/>
      <c r="AV303" s="131"/>
      <c r="AW303" s="131"/>
      <c r="AX303" s="131"/>
      <c r="AY303" s="27" t="s">
        <v>662</v>
      </c>
      <c r="AZ303" s="27"/>
      <c r="BA303" s="27"/>
      <c r="BB303" s="30"/>
      <c r="BC303" s="30"/>
      <c r="BD303" s="30"/>
      <c r="BE303" s="30"/>
      <c r="BF303" s="30"/>
      <c r="BG303" s="30"/>
      <c r="BH303" s="107"/>
      <c r="BI303" s="107"/>
      <c r="BJ303" s="107"/>
      <c r="BK303" s="107"/>
      <c r="BL303" s="136"/>
      <c r="BM303" s="122"/>
      <c r="BN303" s="138">
        <v>0</v>
      </c>
      <c r="BO303" s="93"/>
      <c r="BP303" s="93"/>
      <c r="BQ303" s="93"/>
      <c r="BR303" s="93"/>
      <c r="BS303" s="93"/>
      <c r="BT303" s="93"/>
      <c r="BU303" s="27">
        <f t="shared" ref="BU303:BU304" si="273">IF(BL303=1,BN303,0)</f>
        <v>0</v>
      </c>
      <c r="BV303" s="27"/>
      <c r="BW303" s="27"/>
      <c r="BX303" s="27"/>
      <c r="BY303" s="27"/>
      <c r="BZ303" s="27"/>
      <c r="CA303" s="27"/>
      <c r="CB303" s="97"/>
      <c r="CC303" s="97">
        <v>1.5</v>
      </c>
      <c r="CD303" s="97">
        <v>3</v>
      </c>
      <c r="CE303" s="97">
        <v>3</v>
      </c>
      <c r="CF303" s="97">
        <v>3</v>
      </c>
      <c r="CG303" s="97">
        <v>3</v>
      </c>
      <c r="CH303" s="97">
        <v>3</v>
      </c>
      <c r="CI303" s="173"/>
      <c r="CJ303" s="173"/>
      <c r="CK303" s="173"/>
      <c r="CL303" s="173"/>
      <c r="CM303" s="173"/>
      <c r="CN303" s="173"/>
      <c r="CO303" s="173"/>
      <c r="CP303" s="174"/>
      <c r="CQ303" s="174"/>
      <c r="CR303" s="174"/>
      <c r="CS303" s="174"/>
      <c r="CT303" s="174"/>
      <c r="CU303" s="174"/>
      <c r="CV303" s="174"/>
      <c r="CW303" s="165"/>
      <c r="CX303" s="166"/>
      <c r="CY303" s="166"/>
      <c r="CZ303" s="166"/>
      <c r="DA303" s="166"/>
      <c r="DB303" s="166"/>
      <c r="DC303" s="166"/>
      <c r="DD303" s="171"/>
      <c r="DE303" s="171"/>
      <c r="DF303" s="171"/>
      <c r="DG303" s="171"/>
      <c r="DH303" s="171"/>
      <c r="DI303" s="171"/>
      <c r="DJ303" s="171"/>
      <c r="DK303" s="79" t="s">
        <v>452</v>
      </c>
      <c r="DL303" s="128">
        <v>100</v>
      </c>
      <c r="DM303" s="128">
        <v>100</v>
      </c>
      <c r="DN303" s="128">
        <v>100</v>
      </c>
      <c r="DO303" s="128">
        <v>100</v>
      </c>
      <c r="DP303" s="128">
        <v>100</v>
      </c>
      <c r="DQ303" s="128">
        <v>100</v>
      </c>
      <c r="DR303" s="128">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221" t="s">
        <v>1406</v>
      </c>
      <c r="H304" s="47" t="s">
        <v>981</v>
      </c>
      <c r="I304" s="101">
        <v>150</v>
      </c>
      <c r="J304" s="101">
        <v>150</v>
      </c>
      <c r="K304" s="101">
        <v>150</v>
      </c>
      <c r="L304" s="101">
        <v>150</v>
      </c>
      <c r="M304" s="101">
        <v>150</v>
      </c>
      <c r="N304" s="101">
        <v>150</v>
      </c>
      <c r="O304" s="101">
        <v>150</v>
      </c>
      <c r="P304" s="93">
        <v>0</v>
      </c>
      <c r="Q304" s="101">
        <v>2</v>
      </c>
      <c r="R304" s="101">
        <v>2</v>
      </c>
      <c r="S304" s="101">
        <v>2</v>
      </c>
      <c r="T304" s="101">
        <v>2</v>
      </c>
      <c r="U304" s="101">
        <v>2</v>
      </c>
      <c r="V304" s="101">
        <v>2</v>
      </c>
      <c r="W304" s="101">
        <v>2</v>
      </c>
      <c r="X304" s="101">
        <v>0</v>
      </c>
      <c r="Y304" s="101">
        <v>0</v>
      </c>
      <c r="Z304" s="101">
        <v>0</v>
      </c>
      <c r="AA304" s="101">
        <v>0</v>
      </c>
      <c r="AB304" s="101">
        <v>0</v>
      </c>
      <c r="AC304" s="101">
        <v>0</v>
      </c>
      <c r="AD304" s="101">
        <v>0</v>
      </c>
      <c r="AE304" s="186">
        <v>0.08</v>
      </c>
      <c r="AF304" s="93">
        <v>0</v>
      </c>
      <c r="AG304" s="93">
        <v>12</v>
      </c>
      <c r="AH304" s="93">
        <v>12</v>
      </c>
      <c r="AI304" s="16">
        <f t="shared" ref="AI304" si="274">1.5*3.6</f>
        <v>5.4</v>
      </c>
      <c r="AJ304" s="16" t="s">
        <v>660</v>
      </c>
      <c r="AK304" s="16" t="s">
        <v>672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si="273"/>
        <v>0</v>
      </c>
      <c r="BV304" s="27"/>
      <c r="BW304" s="27"/>
      <c r="BX304" s="27"/>
      <c r="BY304" s="27"/>
      <c r="BZ304" s="27"/>
      <c r="CA304" s="27"/>
      <c r="CB304" s="97"/>
      <c r="CC304" s="97">
        <v>5</v>
      </c>
      <c r="CD304" s="97">
        <v>25</v>
      </c>
      <c r="CE304" s="97">
        <v>50</v>
      </c>
      <c r="CF304" s="97">
        <v>100</v>
      </c>
      <c r="CG304" s="97">
        <v>100</v>
      </c>
      <c r="CH304" s="97">
        <v>100</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1335</v>
      </c>
      <c r="DL304" s="128">
        <v>200</v>
      </c>
      <c r="DM304" s="128">
        <v>200</v>
      </c>
      <c r="DN304" s="128">
        <v>200</v>
      </c>
      <c r="DO304" s="128">
        <v>200</v>
      </c>
      <c r="DP304" s="128">
        <v>200</v>
      </c>
      <c r="DQ304" s="128">
        <v>200</v>
      </c>
      <c r="DR304" s="128">
        <v>200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6" t="s">
        <v>1407</v>
      </c>
      <c r="B305" s="6" t="s">
        <v>740</v>
      </c>
      <c r="C305" s="6" t="s">
        <v>788</v>
      </c>
      <c r="D305" s="6" t="s">
        <v>741</v>
      </c>
      <c r="E305" s="6" t="s">
        <v>459</v>
      </c>
      <c r="F305" s="6" t="s">
        <v>464</v>
      </c>
      <c r="G305" s="48" t="s">
        <v>1408</v>
      </c>
      <c r="H305" s="48" t="s">
        <v>981</v>
      </c>
      <c r="I305" s="102">
        <v>20</v>
      </c>
      <c r="J305" s="102">
        <v>20</v>
      </c>
      <c r="K305" s="102">
        <v>20</v>
      </c>
      <c r="L305" s="102">
        <v>20</v>
      </c>
      <c r="M305" s="102">
        <v>20</v>
      </c>
      <c r="N305" s="102">
        <v>20</v>
      </c>
      <c r="O305" s="102">
        <v>20</v>
      </c>
      <c r="P305" s="94">
        <v>0</v>
      </c>
      <c r="Q305" s="102">
        <v>1</v>
      </c>
      <c r="R305" s="102">
        <v>1</v>
      </c>
      <c r="S305" s="102">
        <v>1</v>
      </c>
      <c r="T305" s="102">
        <v>1</v>
      </c>
      <c r="U305" s="102">
        <v>1</v>
      </c>
      <c r="V305" s="102">
        <v>1</v>
      </c>
      <c r="W305" s="102">
        <v>1</v>
      </c>
      <c r="X305" s="102">
        <v>0</v>
      </c>
      <c r="Y305" s="102">
        <v>0</v>
      </c>
      <c r="Z305" s="102">
        <v>0</v>
      </c>
      <c r="AA305" s="102">
        <v>0</v>
      </c>
      <c r="AB305" s="102">
        <v>0</v>
      </c>
      <c r="AC305" s="102">
        <v>0</v>
      </c>
      <c r="AD305" s="102">
        <v>0</v>
      </c>
      <c r="AE305" s="186">
        <v>0.08</v>
      </c>
      <c r="AF305" s="94">
        <v>0</v>
      </c>
      <c r="AG305" s="94">
        <v>20</v>
      </c>
      <c r="AH305" s="94">
        <v>20</v>
      </c>
      <c r="AI305" s="17">
        <v>31.536000000000001</v>
      </c>
      <c r="AJ305" s="17" t="s">
        <v>660</v>
      </c>
      <c r="AK305" s="17" t="s">
        <v>745</v>
      </c>
      <c r="AL305" s="17"/>
      <c r="AM305" s="61"/>
      <c r="AN305" s="61"/>
      <c r="AO305" s="61"/>
      <c r="AP305" s="61"/>
      <c r="AQ305" s="61"/>
      <c r="AR305" s="61"/>
      <c r="AS305" s="64"/>
      <c r="AT305" s="64"/>
      <c r="AU305" s="64"/>
      <c r="AV305" s="132"/>
      <c r="AW305" s="132"/>
      <c r="AX305" s="132"/>
      <c r="AY305" s="28" t="s">
        <v>662</v>
      </c>
      <c r="AZ305" s="28"/>
      <c r="BA305" s="28"/>
      <c r="BB305" s="28"/>
      <c r="BC305" s="28"/>
      <c r="BD305" s="28"/>
      <c r="BE305" s="28"/>
      <c r="BF305" s="28"/>
      <c r="BG305" s="28"/>
      <c r="BH305" s="106"/>
      <c r="BI305" s="106"/>
      <c r="BJ305" s="106"/>
      <c r="BK305" s="106"/>
      <c r="BL305" s="137"/>
      <c r="BM305" s="123"/>
      <c r="BN305" s="139">
        <v>1.9</v>
      </c>
      <c r="BO305" s="94">
        <v>0.5</v>
      </c>
      <c r="BP305" s="94">
        <v>0.5</v>
      </c>
      <c r="BQ305" s="94">
        <v>0.5</v>
      </c>
      <c r="BR305" s="94">
        <v>0.4</v>
      </c>
      <c r="BS305" s="94"/>
      <c r="BT305" s="94"/>
      <c r="BU305" s="28">
        <f t="shared" si="271"/>
        <v>0</v>
      </c>
      <c r="BV305" s="28"/>
      <c r="BW305" s="28"/>
      <c r="BX305" s="28"/>
      <c r="BY305" s="28"/>
      <c r="BZ305" s="28"/>
      <c r="CA305" s="28"/>
      <c r="CB305" s="99">
        <v>2</v>
      </c>
      <c r="CC305" s="99">
        <v>2</v>
      </c>
      <c r="CD305" s="99">
        <v>2</v>
      </c>
      <c r="CE305" s="99">
        <v>5</v>
      </c>
      <c r="CF305" s="99">
        <v>10</v>
      </c>
      <c r="CG305" s="99">
        <v>10</v>
      </c>
      <c r="CH305" s="99">
        <v>10</v>
      </c>
      <c r="CI305" s="175"/>
      <c r="CJ305" s="175"/>
      <c r="CK305" s="175"/>
      <c r="CL305" s="175"/>
      <c r="CM305" s="175"/>
      <c r="CN305" s="175"/>
      <c r="CO305" s="175"/>
      <c r="CP305" s="176"/>
      <c r="CQ305" s="176"/>
      <c r="CR305" s="176"/>
      <c r="CS305" s="176"/>
      <c r="CT305" s="176"/>
      <c r="CU305" s="176"/>
      <c r="CV305" s="176"/>
      <c r="CW305" s="167"/>
      <c r="CX305" s="168"/>
      <c r="CY305" s="168"/>
      <c r="CZ305" s="168"/>
      <c r="DA305" s="168"/>
      <c r="DB305" s="168"/>
      <c r="DC305" s="168"/>
      <c r="DD305" s="172"/>
      <c r="DE305" s="172"/>
      <c r="DF305" s="172"/>
      <c r="DG305" s="172"/>
      <c r="DH305" s="172"/>
      <c r="DI305" s="172"/>
      <c r="DJ305" s="172"/>
      <c r="DK305" s="80" t="s">
        <v>1409</v>
      </c>
      <c r="DL305" s="129">
        <v>100</v>
      </c>
      <c r="DM305" s="129">
        <v>100</v>
      </c>
      <c r="DN305" s="129">
        <v>100</v>
      </c>
      <c r="DO305" s="129">
        <v>100</v>
      </c>
      <c r="DP305" s="129">
        <v>100</v>
      </c>
      <c r="DQ305" s="129">
        <v>100</v>
      </c>
      <c r="DR305" s="129">
        <v>100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5" t="s">
        <v>1410</v>
      </c>
      <c r="B306" s="5" t="s">
        <v>740</v>
      </c>
      <c r="C306" s="5" t="s">
        <v>788</v>
      </c>
      <c r="D306" s="5" t="s">
        <v>741</v>
      </c>
      <c r="E306" s="5" t="s">
        <v>459</v>
      </c>
      <c r="F306" s="5" t="s">
        <v>464</v>
      </c>
      <c r="G306" s="47" t="s">
        <v>1411</v>
      </c>
      <c r="H306" s="47" t="s">
        <v>981</v>
      </c>
      <c r="I306" s="101">
        <v>30</v>
      </c>
      <c r="J306" s="101">
        <v>30</v>
      </c>
      <c r="K306" s="101">
        <v>30</v>
      </c>
      <c r="L306" s="101">
        <v>30</v>
      </c>
      <c r="M306" s="101">
        <v>30</v>
      </c>
      <c r="N306" s="101">
        <v>30</v>
      </c>
      <c r="O306" s="101">
        <v>30</v>
      </c>
      <c r="P306" s="93">
        <v>0</v>
      </c>
      <c r="Q306" s="101">
        <v>5</v>
      </c>
      <c r="R306" s="101">
        <v>5</v>
      </c>
      <c r="S306" s="101">
        <v>5</v>
      </c>
      <c r="T306" s="101">
        <v>5</v>
      </c>
      <c r="U306" s="101">
        <v>5</v>
      </c>
      <c r="V306" s="101">
        <v>5</v>
      </c>
      <c r="W306" s="101">
        <v>5</v>
      </c>
      <c r="X306" s="101">
        <v>0</v>
      </c>
      <c r="Y306" s="101">
        <v>0</v>
      </c>
      <c r="Z306" s="101">
        <v>0</v>
      </c>
      <c r="AA306" s="101">
        <v>0</v>
      </c>
      <c r="AB306" s="101">
        <v>0</v>
      </c>
      <c r="AC306" s="101">
        <v>0</v>
      </c>
      <c r="AD306" s="101">
        <v>0</v>
      </c>
      <c r="AE306" s="186">
        <v>0.08</v>
      </c>
      <c r="AF306" s="93">
        <v>0</v>
      </c>
      <c r="AG306" s="93">
        <v>20</v>
      </c>
      <c r="AH306" s="93">
        <v>20</v>
      </c>
      <c r="AI306" s="16">
        <v>31.536000000000001</v>
      </c>
      <c r="AJ306" s="16" t="s">
        <v>660</v>
      </c>
      <c r="AK306" s="16" t="s">
        <v>745</v>
      </c>
      <c r="AL306" s="16"/>
      <c r="AM306" s="60"/>
      <c r="AN306" s="60"/>
      <c r="AO306" s="60"/>
      <c r="AP306" s="60"/>
      <c r="AQ306" s="60"/>
      <c r="AR306" s="60"/>
      <c r="AS306" s="63"/>
      <c r="AT306" s="63"/>
      <c r="AU306" s="63"/>
      <c r="AV306" s="131"/>
      <c r="AW306" s="131"/>
      <c r="AX306" s="131"/>
      <c r="AY306" s="27" t="s">
        <v>662</v>
      </c>
      <c r="AZ306" s="27"/>
      <c r="BA306" s="27"/>
      <c r="BB306" s="30"/>
      <c r="BC306" s="30"/>
      <c r="BD306" s="30"/>
      <c r="BE306" s="30"/>
      <c r="BF306" s="30"/>
      <c r="BG306" s="30"/>
      <c r="BH306" s="107"/>
      <c r="BI306" s="107"/>
      <c r="BJ306" s="107"/>
      <c r="BK306" s="107"/>
      <c r="BL306" s="136"/>
      <c r="BM306" s="122"/>
      <c r="BN306" s="138">
        <v>0</v>
      </c>
      <c r="BO306" s="93"/>
      <c r="BP306" s="93"/>
      <c r="BQ306" s="93"/>
      <c r="BR306" s="93"/>
      <c r="BS306" s="93"/>
      <c r="BT306" s="93"/>
      <c r="BU306" s="27">
        <f t="shared" si="271"/>
        <v>0</v>
      </c>
      <c r="BV306" s="27"/>
      <c r="BW306" s="27"/>
      <c r="BX306" s="27"/>
      <c r="BY306" s="27"/>
      <c r="BZ306" s="27"/>
      <c r="CA306" s="27"/>
      <c r="CB306" s="97"/>
      <c r="CC306" s="97">
        <v>1</v>
      </c>
      <c r="CD306" s="97">
        <v>2</v>
      </c>
      <c r="CE306" s="97">
        <v>5</v>
      </c>
      <c r="CF306" s="97">
        <v>10</v>
      </c>
      <c r="CG306" s="97">
        <v>10</v>
      </c>
      <c r="CH306" s="97">
        <v>10</v>
      </c>
      <c r="CI306" s="173"/>
      <c r="CJ306" s="173"/>
      <c r="CK306" s="173"/>
      <c r="CL306" s="173"/>
      <c r="CM306" s="173"/>
      <c r="CN306" s="173"/>
      <c r="CO306" s="173"/>
      <c r="CP306" s="174"/>
      <c r="CQ306" s="174"/>
      <c r="CR306" s="174"/>
      <c r="CS306" s="174"/>
      <c r="CT306" s="174"/>
      <c r="CU306" s="174"/>
      <c r="CV306" s="174"/>
      <c r="CW306" s="165"/>
      <c r="CX306" s="166"/>
      <c r="CY306" s="166"/>
      <c r="CZ306" s="166"/>
      <c r="DA306" s="166"/>
      <c r="DB306" s="166"/>
      <c r="DC306" s="166"/>
      <c r="DD306" s="171"/>
      <c r="DE306" s="171"/>
      <c r="DF306" s="171"/>
      <c r="DG306" s="171"/>
      <c r="DH306" s="171"/>
      <c r="DI306" s="171"/>
      <c r="DJ306" s="171"/>
      <c r="DK306" s="79" t="s">
        <v>1409</v>
      </c>
      <c r="DL306" s="128">
        <v>100</v>
      </c>
      <c r="DM306" s="128">
        <v>100</v>
      </c>
      <c r="DN306" s="128">
        <v>100</v>
      </c>
      <c r="DO306" s="128">
        <v>100</v>
      </c>
      <c r="DP306" s="128">
        <v>100</v>
      </c>
      <c r="DQ306" s="128">
        <v>100</v>
      </c>
      <c r="DR306" s="128">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6" t="s">
        <v>1412</v>
      </c>
      <c r="B307" s="6" t="s">
        <v>740</v>
      </c>
      <c r="C307" s="6" t="s">
        <v>788</v>
      </c>
      <c r="D307" s="6" t="s">
        <v>741</v>
      </c>
      <c r="E307" s="6" t="s">
        <v>459</v>
      </c>
      <c r="F307" s="6" t="s">
        <v>464</v>
      </c>
      <c r="G307" s="48" t="s">
        <v>1413</v>
      </c>
      <c r="H307" s="48" t="s">
        <v>981</v>
      </c>
      <c r="I307" s="102">
        <v>180</v>
      </c>
      <c r="J307" s="102">
        <v>180</v>
      </c>
      <c r="K307" s="102">
        <v>180</v>
      </c>
      <c r="L307" s="102">
        <v>180</v>
      </c>
      <c r="M307" s="102">
        <v>180</v>
      </c>
      <c r="N307" s="102">
        <v>180</v>
      </c>
      <c r="O307" s="102">
        <v>180</v>
      </c>
      <c r="P307" s="94">
        <v>0</v>
      </c>
      <c r="Q307" s="102">
        <v>15</v>
      </c>
      <c r="R307" s="102">
        <v>15</v>
      </c>
      <c r="S307" s="102">
        <v>15</v>
      </c>
      <c r="T307" s="102">
        <v>15</v>
      </c>
      <c r="U307" s="102">
        <v>15</v>
      </c>
      <c r="V307" s="102">
        <v>15</v>
      </c>
      <c r="W307" s="102">
        <v>15</v>
      </c>
      <c r="X307" s="102">
        <v>0</v>
      </c>
      <c r="Y307" s="102">
        <v>0</v>
      </c>
      <c r="Z307" s="102">
        <v>0</v>
      </c>
      <c r="AA307" s="102">
        <v>0</v>
      </c>
      <c r="AB307" s="102">
        <v>0</v>
      </c>
      <c r="AC307" s="102">
        <v>0</v>
      </c>
      <c r="AD307" s="102">
        <v>0</v>
      </c>
      <c r="AE307" s="186">
        <v>0.08</v>
      </c>
      <c r="AF307" s="94">
        <v>0</v>
      </c>
      <c r="AG307" s="94">
        <v>20</v>
      </c>
      <c r="AH307" s="94">
        <v>20</v>
      </c>
      <c r="AI307" s="17">
        <v>31.536000000000001</v>
      </c>
      <c r="AJ307" s="17" t="s">
        <v>660</v>
      </c>
      <c r="AK307" s="17" t="s">
        <v>745</v>
      </c>
      <c r="AL307" s="17"/>
      <c r="AM307" s="61"/>
      <c r="AN307" s="61"/>
      <c r="AO307" s="61"/>
      <c r="AP307" s="61"/>
      <c r="AQ307" s="61"/>
      <c r="AR307" s="61"/>
      <c r="AS307" s="64"/>
      <c r="AT307" s="64"/>
      <c r="AU307" s="64"/>
      <c r="AV307" s="132"/>
      <c r="AW307" s="132"/>
      <c r="AX307" s="132"/>
      <c r="AY307" s="28" t="s">
        <v>662</v>
      </c>
      <c r="AZ307" s="28"/>
      <c r="BA307" s="28"/>
      <c r="BB307" s="28"/>
      <c r="BC307" s="28"/>
      <c r="BD307" s="28"/>
      <c r="BE307" s="28"/>
      <c r="BF307" s="28"/>
      <c r="BG307" s="28"/>
      <c r="BH307" s="106"/>
      <c r="BI307" s="106"/>
      <c r="BJ307" s="106"/>
      <c r="BK307" s="106"/>
      <c r="BL307" s="137"/>
      <c r="BM307" s="123"/>
      <c r="BN307" s="139">
        <v>0</v>
      </c>
      <c r="BO307" s="94"/>
      <c r="BP307" s="94"/>
      <c r="BQ307" s="94"/>
      <c r="BR307" s="94"/>
      <c r="BS307" s="94"/>
      <c r="BT307" s="94"/>
      <c r="BU307" s="28">
        <f t="shared" si="271"/>
        <v>0</v>
      </c>
      <c r="BV307" s="28"/>
      <c r="BW307" s="28"/>
      <c r="BX307" s="28"/>
      <c r="BY307" s="28"/>
      <c r="BZ307" s="28"/>
      <c r="CA307" s="28"/>
      <c r="CB307" s="99"/>
      <c r="CC307" s="99">
        <v>1</v>
      </c>
      <c r="CD307" s="99">
        <v>2</v>
      </c>
      <c r="CE307" s="99">
        <v>5</v>
      </c>
      <c r="CF307" s="99">
        <v>10</v>
      </c>
      <c r="CG307" s="99">
        <v>10</v>
      </c>
      <c r="CH307" s="99">
        <v>10</v>
      </c>
      <c r="CI307" s="175"/>
      <c r="CJ307" s="175"/>
      <c r="CK307" s="175"/>
      <c r="CL307" s="175"/>
      <c r="CM307" s="175"/>
      <c r="CN307" s="175"/>
      <c r="CO307" s="175"/>
      <c r="CP307" s="176"/>
      <c r="CQ307" s="176"/>
      <c r="CR307" s="176"/>
      <c r="CS307" s="176"/>
      <c r="CT307" s="176"/>
      <c r="CU307" s="176"/>
      <c r="CV307" s="176"/>
      <c r="CW307" s="167"/>
      <c r="CX307" s="168"/>
      <c r="CY307" s="168"/>
      <c r="CZ307" s="168"/>
      <c r="DA307" s="168"/>
      <c r="DB307" s="168"/>
      <c r="DC307" s="168"/>
      <c r="DD307" s="172"/>
      <c r="DE307" s="172"/>
      <c r="DF307" s="172"/>
      <c r="DG307" s="172"/>
      <c r="DH307" s="172"/>
      <c r="DI307" s="172"/>
      <c r="DJ307" s="172"/>
      <c r="DK307" s="80" t="s">
        <v>1409</v>
      </c>
      <c r="DL307" s="129">
        <v>100</v>
      </c>
      <c r="DM307" s="129">
        <v>100</v>
      </c>
      <c r="DN307" s="129">
        <v>100</v>
      </c>
      <c r="DO307" s="129">
        <v>100</v>
      </c>
      <c r="DP307" s="129">
        <v>100</v>
      </c>
      <c r="DQ307" s="129">
        <v>100</v>
      </c>
      <c r="DR307" s="129">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5" t="s">
        <v>1414</v>
      </c>
      <c r="B308" s="5" t="s">
        <v>740</v>
      </c>
      <c r="C308" s="5" t="s">
        <v>788</v>
      </c>
      <c r="D308" s="5" t="s">
        <v>741</v>
      </c>
      <c r="E308" s="5" t="s">
        <v>459</v>
      </c>
      <c r="F308" s="5" t="s">
        <v>464</v>
      </c>
      <c r="G308" s="47" t="s">
        <v>1415</v>
      </c>
      <c r="H308" s="47" t="s">
        <v>981</v>
      </c>
      <c r="I308" s="101">
        <v>220</v>
      </c>
      <c r="J308" s="101">
        <v>220</v>
      </c>
      <c r="K308" s="101">
        <v>220</v>
      </c>
      <c r="L308" s="101">
        <v>220</v>
      </c>
      <c r="M308" s="101">
        <v>220</v>
      </c>
      <c r="N308" s="101">
        <v>220</v>
      </c>
      <c r="O308" s="101">
        <v>220</v>
      </c>
      <c r="P308" s="93">
        <v>0</v>
      </c>
      <c r="Q308" s="101">
        <v>25</v>
      </c>
      <c r="R308" s="101">
        <v>25</v>
      </c>
      <c r="S308" s="101">
        <v>25</v>
      </c>
      <c r="T308" s="101">
        <v>25</v>
      </c>
      <c r="U308" s="101">
        <v>25</v>
      </c>
      <c r="V308" s="101">
        <v>25</v>
      </c>
      <c r="W308" s="101">
        <v>25</v>
      </c>
      <c r="X308" s="101">
        <v>0</v>
      </c>
      <c r="Y308" s="101">
        <v>0</v>
      </c>
      <c r="Z308" s="101">
        <v>0</v>
      </c>
      <c r="AA308" s="101">
        <v>0</v>
      </c>
      <c r="AB308" s="101">
        <v>0</v>
      </c>
      <c r="AC308" s="101">
        <v>0</v>
      </c>
      <c r="AD308" s="101">
        <v>0</v>
      </c>
      <c r="AE308" s="186">
        <v>0.08</v>
      </c>
      <c r="AF308" s="93">
        <v>0</v>
      </c>
      <c r="AG308" s="93">
        <v>20</v>
      </c>
      <c r="AH308" s="93">
        <v>20</v>
      </c>
      <c r="AI308" s="16">
        <v>31.536000000000001</v>
      </c>
      <c r="AJ308" s="16" t="s">
        <v>660</v>
      </c>
      <c r="AK308" s="16" t="s">
        <v>745</v>
      </c>
      <c r="AL308" s="16"/>
      <c r="AM308" s="60"/>
      <c r="AN308" s="60"/>
      <c r="AO308" s="60"/>
      <c r="AP308" s="60"/>
      <c r="AQ308" s="60"/>
      <c r="AR308" s="60"/>
      <c r="AS308" s="63"/>
      <c r="AT308" s="63"/>
      <c r="AU308" s="63"/>
      <c r="AV308" s="131"/>
      <c r="AW308" s="131"/>
      <c r="AX308" s="131"/>
      <c r="AY308" s="27" t="s">
        <v>662</v>
      </c>
      <c r="AZ308" s="27"/>
      <c r="BA308" s="27"/>
      <c r="BB308" s="30"/>
      <c r="BC308" s="30"/>
      <c r="BD308" s="30"/>
      <c r="BE308" s="30"/>
      <c r="BF308" s="30"/>
      <c r="BG308" s="30"/>
      <c r="BH308" s="107"/>
      <c r="BI308" s="107"/>
      <c r="BJ308" s="107"/>
      <c r="BK308" s="107"/>
      <c r="BL308" s="136"/>
      <c r="BM308" s="122"/>
      <c r="BN308" s="138">
        <v>0</v>
      </c>
      <c r="BO308" s="93"/>
      <c r="BP308" s="93"/>
      <c r="BQ308" s="93"/>
      <c r="BR308" s="93"/>
      <c r="BS308" s="93"/>
      <c r="BT308" s="93"/>
      <c r="BU308" s="27">
        <f t="shared" si="271"/>
        <v>0</v>
      </c>
      <c r="BV308" s="27"/>
      <c r="BW308" s="27"/>
      <c r="BX308" s="27"/>
      <c r="BY308" s="27"/>
      <c r="BZ308" s="27"/>
      <c r="CA308" s="27"/>
      <c r="CB308" s="97"/>
      <c r="CC308" s="97">
        <v>1</v>
      </c>
      <c r="CD308" s="97">
        <v>2</v>
      </c>
      <c r="CE308" s="97">
        <v>5</v>
      </c>
      <c r="CF308" s="97">
        <v>10</v>
      </c>
      <c r="CG308" s="97">
        <v>10</v>
      </c>
      <c r="CH308" s="97">
        <v>10</v>
      </c>
      <c r="CI308" s="173"/>
      <c r="CJ308" s="173"/>
      <c r="CK308" s="173"/>
      <c r="CL308" s="173"/>
      <c r="CM308" s="173"/>
      <c r="CN308" s="173"/>
      <c r="CO308" s="173"/>
      <c r="CP308" s="174"/>
      <c r="CQ308" s="174"/>
      <c r="CR308" s="174"/>
      <c r="CS308" s="174"/>
      <c r="CT308" s="174"/>
      <c r="CU308" s="174"/>
      <c r="CV308" s="174"/>
      <c r="CW308" s="165"/>
      <c r="CX308" s="166"/>
      <c r="CY308" s="166"/>
      <c r="CZ308" s="166"/>
      <c r="DA308" s="166"/>
      <c r="DB308" s="166"/>
      <c r="DC308" s="166"/>
      <c r="DD308" s="171"/>
      <c r="DE308" s="171"/>
      <c r="DF308" s="171"/>
      <c r="DG308" s="171"/>
      <c r="DH308" s="171"/>
      <c r="DI308" s="171"/>
      <c r="DJ308" s="171"/>
      <c r="DK308" s="79" t="s">
        <v>1409</v>
      </c>
      <c r="DL308" s="128">
        <v>100</v>
      </c>
      <c r="DM308" s="128">
        <v>100</v>
      </c>
      <c r="DN308" s="128">
        <v>100</v>
      </c>
      <c r="DO308" s="128">
        <v>100</v>
      </c>
      <c r="DP308" s="128">
        <v>100</v>
      </c>
      <c r="DQ308" s="128">
        <v>100</v>
      </c>
      <c r="DR308" s="128">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6" t="s">
        <v>1416</v>
      </c>
      <c r="B309" s="6" t="s">
        <v>740</v>
      </c>
      <c r="C309" s="6" t="s">
        <v>788</v>
      </c>
      <c r="D309" s="6" t="s">
        <v>741</v>
      </c>
      <c r="E309" s="6" t="s">
        <v>459</v>
      </c>
      <c r="F309" s="6" t="s">
        <v>464</v>
      </c>
      <c r="G309" s="48" t="s">
        <v>1417</v>
      </c>
      <c r="H309" s="48" t="s">
        <v>981</v>
      </c>
      <c r="I309" s="102">
        <v>30</v>
      </c>
      <c r="J309" s="102">
        <v>30</v>
      </c>
      <c r="K309" s="102">
        <v>30</v>
      </c>
      <c r="L309" s="102">
        <v>30</v>
      </c>
      <c r="M309" s="102">
        <v>30</v>
      </c>
      <c r="N309" s="102">
        <v>30</v>
      </c>
      <c r="O309" s="102">
        <v>30</v>
      </c>
      <c r="P309" s="94">
        <v>0</v>
      </c>
      <c r="Q309" s="102">
        <v>1</v>
      </c>
      <c r="R309" s="102">
        <v>1</v>
      </c>
      <c r="S309" s="102">
        <v>1</v>
      </c>
      <c r="T309" s="102">
        <v>1</v>
      </c>
      <c r="U309" s="102">
        <v>1</v>
      </c>
      <c r="V309" s="102">
        <v>1</v>
      </c>
      <c r="W309" s="102">
        <v>1</v>
      </c>
      <c r="X309" s="102">
        <v>0</v>
      </c>
      <c r="Y309" s="102">
        <v>0</v>
      </c>
      <c r="Z309" s="102">
        <v>0</v>
      </c>
      <c r="AA309" s="102">
        <v>0</v>
      </c>
      <c r="AB309" s="102">
        <v>0</v>
      </c>
      <c r="AC309" s="102">
        <v>0</v>
      </c>
      <c r="AD309" s="102">
        <v>0</v>
      </c>
      <c r="AE309" s="186">
        <v>0.08</v>
      </c>
      <c r="AF309" s="94">
        <v>0</v>
      </c>
      <c r="AG309" s="94">
        <v>20</v>
      </c>
      <c r="AH309" s="94">
        <v>20</v>
      </c>
      <c r="AI309" s="17">
        <v>31.536000000000001</v>
      </c>
      <c r="AJ309" s="17" t="s">
        <v>660</v>
      </c>
      <c r="AK309" s="17" t="s">
        <v>745</v>
      </c>
      <c r="AL309" s="17"/>
      <c r="AM309" s="61"/>
      <c r="AN309" s="61"/>
      <c r="AO309" s="61"/>
      <c r="AP309" s="61"/>
      <c r="AQ309" s="61"/>
      <c r="AR309" s="61"/>
      <c r="AS309" s="64"/>
      <c r="AT309" s="64"/>
      <c r="AU309" s="64"/>
      <c r="AV309" s="132"/>
      <c r="AW309" s="132"/>
      <c r="AX309" s="132"/>
      <c r="AY309" s="28" t="s">
        <v>662</v>
      </c>
      <c r="AZ309" s="28"/>
      <c r="BA309" s="28"/>
      <c r="BB309" s="28"/>
      <c r="BC309" s="28"/>
      <c r="BD309" s="28"/>
      <c r="BE309" s="28"/>
      <c r="BF309" s="28"/>
      <c r="BG309" s="28"/>
      <c r="BH309" s="106"/>
      <c r="BI309" s="106"/>
      <c r="BJ309" s="106"/>
      <c r="BK309" s="106"/>
      <c r="BL309" s="137"/>
      <c r="BM309" s="123"/>
      <c r="BN309" s="139">
        <v>0</v>
      </c>
      <c r="BO309" s="94"/>
      <c r="BP309" s="94"/>
      <c r="BQ309" s="94"/>
      <c r="BR309" s="94"/>
      <c r="BS309" s="94"/>
      <c r="BT309" s="94"/>
      <c r="BU309" s="28">
        <f t="shared" si="271"/>
        <v>0</v>
      </c>
      <c r="BV309" s="28"/>
      <c r="BW309" s="28"/>
      <c r="BX309" s="28"/>
      <c r="BY309" s="28"/>
      <c r="BZ309" s="28"/>
      <c r="CA309" s="28"/>
      <c r="CB309" s="99"/>
      <c r="CC309" s="99"/>
      <c r="CD309" s="99"/>
      <c r="CE309" s="99"/>
      <c r="CF309" s="99"/>
      <c r="CG309" s="99"/>
      <c r="CH309" s="99"/>
      <c r="CI309" s="175"/>
      <c r="CJ309" s="175"/>
      <c r="CK309" s="175"/>
      <c r="CL309" s="175"/>
      <c r="CM309" s="175"/>
      <c r="CN309" s="175"/>
      <c r="CO309" s="175"/>
      <c r="CP309" s="176"/>
      <c r="CQ309" s="176"/>
      <c r="CR309" s="176"/>
      <c r="CS309" s="176"/>
      <c r="CT309" s="176"/>
      <c r="CU309" s="176"/>
      <c r="CV309" s="176"/>
      <c r="CW309" s="167"/>
      <c r="CX309" s="168"/>
      <c r="CY309" s="168"/>
      <c r="CZ309" s="168"/>
      <c r="DA309" s="168"/>
      <c r="DB309" s="168"/>
      <c r="DC309" s="168"/>
      <c r="DD309" s="172"/>
      <c r="DE309" s="172"/>
      <c r="DF309" s="172"/>
      <c r="DG309" s="172"/>
      <c r="DH309" s="172"/>
      <c r="DI309" s="172"/>
      <c r="DJ309" s="172"/>
      <c r="DK309" s="80" t="s">
        <v>1409</v>
      </c>
      <c r="DL309" s="129">
        <v>0</v>
      </c>
      <c r="DM309" s="129">
        <v>0</v>
      </c>
      <c r="DN309" s="129">
        <v>0</v>
      </c>
      <c r="DO309" s="129">
        <v>0</v>
      </c>
      <c r="DP309" s="129">
        <v>0</v>
      </c>
      <c r="DQ309" s="129">
        <v>0</v>
      </c>
      <c r="DR309" s="129">
        <v>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5" t="s">
        <v>1418</v>
      </c>
      <c r="B310" s="5" t="s">
        <v>740</v>
      </c>
      <c r="C310" s="5" t="s">
        <v>788</v>
      </c>
      <c r="D310" s="5" t="s">
        <v>741</v>
      </c>
      <c r="E310" s="5" t="s">
        <v>459</v>
      </c>
      <c r="F310" s="5" t="s">
        <v>464</v>
      </c>
      <c r="G310" s="47" t="s">
        <v>1419</v>
      </c>
      <c r="H310" s="47" t="s">
        <v>981</v>
      </c>
      <c r="I310" s="101">
        <v>40</v>
      </c>
      <c r="J310" s="101">
        <v>40</v>
      </c>
      <c r="K310" s="101">
        <v>40</v>
      </c>
      <c r="L310" s="101">
        <v>40</v>
      </c>
      <c r="M310" s="101">
        <v>40</v>
      </c>
      <c r="N310" s="101">
        <v>40</v>
      </c>
      <c r="O310" s="101">
        <v>40</v>
      </c>
      <c r="P310" s="93">
        <v>0</v>
      </c>
      <c r="Q310" s="101">
        <v>5</v>
      </c>
      <c r="R310" s="101">
        <v>5</v>
      </c>
      <c r="S310" s="101">
        <v>5</v>
      </c>
      <c r="T310" s="101">
        <v>5</v>
      </c>
      <c r="U310" s="101">
        <v>5</v>
      </c>
      <c r="V310" s="101">
        <v>5</v>
      </c>
      <c r="W310" s="101">
        <v>5</v>
      </c>
      <c r="X310" s="101">
        <v>0</v>
      </c>
      <c r="Y310" s="101">
        <v>0</v>
      </c>
      <c r="Z310" s="101">
        <v>0</v>
      </c>
      <c r="AA310" s="101">
        <v>0</v>
      </c>
      <c r="AB310" s="101">
        <v>0</v>
      </c>
      <c r="AC310" s="101">
        <v>0</v>
      </c>
      <c r="AD310" s="101">
        <v>0</v>
      </c>
      <c r="AE310" s="186">
        <v>0.08</v>
      </c>
      <c r="AF310" s="93">
        <v>0</v>
      </c>
      <c r="AG310" s="93">
        <v>20</v>
      </c>
      <c r="AH310" s="93">
        <v>20</v>
      </c>
      <c r="AI310" s="16">
        <v>31.536000000000001</v>
      </c>
      <c r="AJ310" s="16" t="s">
        <v>660</v>
      </c>
      <c r="AK310" s="16" t="s">
        <v>745</v>
      </c>
      <c r="AL310" s="16"/>
      <c r="AM310" s="60"/>
      <c r="AN310" s="60"/>
      <c r="AO310" s="60"/>
      <c r="AP310" s="60"/>
      <c r="AQ310" s="60"/>
      <c r="AR310" s="60"/>
      <c r="AS310" s="63"/>
      <c r="AT310" s="63"/>
      <c r="AU310" s="63"/>
      <c r="AV310" s="131"/>
      <c r="AW310" s="131"/>
      <c r="AX310" s="131"/>
      <c r="AY310" s="27" t="s">
        <v>662</v>
      </c>
      <c r="AZ310" s="27"/>
      <c r="BA310" s="27"/>
      <c r="BB310" s="30"/>
      <c r="BC310" s="30"/>
      <c r="BD310" s="30"/>
      <c r="BE310" s="30"/>
      <c r="BF310" s="30"/>
      <c r="BG310" s="30"/>
      <c r="BH310" s="107"/>
      <c r="BI310" s="107"/>
      <c r="BJ310" s="107"/>
      <c r="BK310" s="107"/>
      <c r="BL310" s="136"/>
      <c r="BM310" s="122"/>
      <c r="BN310" s="138">
        <v>0</v>
      </c>
      <c r="BO310" s="93"/>
      <c r="BP310" s="93"/>
      <c r="BQ310" s="93"/>
      <c r="BR310" s="93"/>
      <c r="BS310" s="93"/>
      <c r="BT310" s="93"/>
      <c r="BU310" s="27">
        <f t="shared" si="271"/>
        <v>0</v>
      </c>
      <c r="BV310" s="27"/>
      <c r="BW310" s="27"/>
      <c r="BX310" s="27"/>
      <c r="BY310" s="27"/>
      <c r="BZ310" s="27"/>
      <c r="CA310" s="27"/>
      <c r="CB310" s="97"/>
      <c r="CC310" s="97"/>
      <c r="CD310" s="97"/>
      <c r="CE310" s="97"/>
      <c r="CF310" s="97"/>
      <c r="CG310" s="97"/>
      <c r="CH310" s="97"/>
      <c r="CI310" s="173"/>
      <c r="CJ310" s="173"/>
      <c r="CK310" s="173"/>
      <c r="CL310" s="173"/>
      <c r="CM310" s="173"/>
      <c r="CN310" s="173"/>
      <c r="CO310" s="173"/>
      <c r="CP310" s="174"/>
      <c r="CQ310" s="174"/>
      <c r="CR310" s="174"/>
      <c r="CS310" s="174"/>
      <c r="CT310" s="174"/>
      <c r="CU310" s="174"/>
      <c r="CV310" s="174"/>
      <c r="CW310" s="165"/>
      <c r="CX310" s="166"/>
      <c r="CY310" s="166"/>
      <c r="CZ310" s="166"/>
      <c r="DA310" s="166"/>
      <c r="DB310" s="166"/>
      <c r="DC310" s="166"/>
      <c r="DD310" s="171"/>
      <c r="DE310" s="171"/>
      <c r="DF310" s="171"/>
      <c r="DG310" s="171"/>
      <c r="DH310" s="171"/>
      <c r="DI310" s="171"/>
      <c r="DJ310" s="171"/>
      <c r="DK310" s="79" t="s">
        <v>1409</v>
      </c>
      <c r="DL310" s="128">
        <v>100</v>
      </c>
      <c r="DM310" s="128">
        <v>100</v>
      </c>
      <c r="DN310" s="128">
        <v>100</v>
      </c>
      <c r="DO310" s="128">
        <v>100</v>
      </c>
      <c r="DP310" s="128">
        <v>100</v>
      </c>
      <c r="DQ310" s="128">
        <v>100</v>
      </c>
      <c r="DR310" s="128">
        <v>100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6" t="s">
        <v>1420</v>
      </c>
      <c r="B311" s="6" t="s">
        <v>740</v>
      </c>
      <c r="C311" s="6" t="s">
        <v>788</v>
      </c>
      <c r="D311" s="6" t="s">
        <v>741</v>
      </c>
      <c r="E311" s="6" t="s">
        <v>459</v>
      </c>
      <c r="F311" s="6" t="s">
        <v>464</v>
      </c>
      <c r="G311" s="48" t="s">
        <v>1421</v>
      </c>
      <c r="H311" s="48" t="s">
        <v>981</v>
      </c>
      <c r="I311" s="102">
        <v>400</v>
      </c>
      <c r="J311" s="102">
        <v>400</v>
      </c>
      <c r="K311" s="102">
        <v>400</v>
      </c>
      <c r="L311" s="102">
        <v>400</v>
      </c>
      <c r="M311" s="102">
        <v>400</v>
      </c>
      <c r="N311" s="102">
        <v>400</v>
      </c>
      <c r="O311" s="102">
        <v>400</v>
      </c>
      <c r="P311" s="94">
        <v>0</v>
      </c>
      <c r="Q311" s="102">
        <v>5</v>
      </c>
      <c r="R311" s="102">
        <v>5</v>
      </c>
      <c r="S311" s="102">
        <v>5</v>
      </c>
      <c r="T311" s="102">
        <v>5</v>
      </c>
      <c r="U311" s="102">
        <v>5</v>
      </c>
      <c r="V311" s="102">
        <v>5</v>
      </c>
      <c r="W311" s="102">
        <v>5</v>
      </c>
      <c r="X311" s="102">
        <v>0</v>
      </c>
      <c r="Y311" s="102">
        <v>0</v>
      </c>
      <c r="Z311" s="102">
        <v>0</v>
      </c>
      <c r="AA311" s="102">
        <v>0</v>
      </c>
      <c r="AB311" s="102">
        <v>0</v>
      </c>
      <c r="AC311" s="102">
        <v>0</v>
      </c>
      <c r="AD311" s="102">
        <v>0</v>
      </c>
      <c r="AE311" s="186">
        <v>0.08</v>
      </c>
      <c r="AF311" s="94">
        <v>0</v>
      </c>
      <c r="AG311" s="94">
        <v>20</v>
      </c>
      <c r="AH311" s="94">
        <v>20</v>
      </c>
      <c r="AI311" s="17">
        <v>31.536000000000001</v>
      </c>
      <c r="AJ311" s="17" t="s">
        <v>660</v>
      </c>
      <c r="AK311" s="17" t="s">
        <v>745</v>
      </c>
      <c r="AL311" s="17"/>
      <c r="AM311" s="61"/>
      <c r="AN311" s="61"/>
      <c r="AO311" s="61"/>
      <c r="AP311" s="61"/>
      <c r="AQ311" s="61"/>
      <c r="AR311" s="61"/>
      <c r="AS311" s="64"/>
      <c r="AT311" s="64"/>
      <c r="AU311" s="64"/>
      <c r="AV311" s="132"/>
      <c r="AW311" s="132"/>
      <c r="AX311" s="132"/>
      <c r="AY311" s="28" t="s">
        <v>662</v>
      </c>
      <c r="AZ311" s="28"/>
      <c r="BA311" s="28"/>
      <c r="BB311" s="28"/>
      <c r="BC311" s="28"/>
      <c r="BD311" s="28"/>
      <c r="BE311" s="28"/>
      <c r="BF311" s="28"/>
      <c r="BG311" s="28"/>
      <c r="BH311" s="106"/>
      <c r="BI311" s="106"/>
      <c r="BJ311" s="106"/>
      <c r="BK311" s="106"/>
      <c r="BL311" s="137"/>
      <c r="BM311" s="123"/>
      <c r="BN311" s="139">
        <v>0.5</v>
      </c>
      <c r="BO311" s="94">
        <v>0.1</v>
      </c>
      <c r="BP311" s="94">
        <v>0.1</v>
      </c>
      <c r="BQ311" s="94">
        <v>0.15</v>
      </c>
      <c r="BR311" s="94">
        <v>0.15</v>
      </c>
      <c r="BS311" s="94"/>
      <c r="BT311" s="94"/>
      <c r="BU311" s="28">
        <f t="shared" si="271"/>
        <v>0</v>
      </c>
      <c r="BV311" s="28"/>
      <c r="BW311" s="28"/>
      <c r="BX311" s="28"/>
      <c r="BY311" s="28"/>
      <c r="BZ311" s="28"/>
      <c r="CA311" s="28"/>
      <c r="CB311" s="99">
        <v>0.5</v>
      </c>
      <c r="CC311" s="99">
        <v>1</v>
      </c>
      <c r="CD311" s="99">
        <v>2</v>
      </c>
      <c r="CE311" s="99">
        <v>5</v>
      </c>
      <c r="CF311" s="99">
        <v>10</v>
      </c>
      <c r="CG311" s="99">
        <v>10</v>
      </c>
      <c r="CH311" s="99">
        <v>10</v>
      </c>
      <c r="CI311" s="175"/>
      <c r="CJ311" s="175"/>
      <c r="CK311" s="175"/>
      <c r="CL311" s="175"/>
      <c r="CM311" s="175"/>
      <c r="CN311" s="175"/>
      <c r="CO311" s="175"/>
      <c r="CP311" s="176"/>
      <c r="CQ311" s="176"/>
      <c r="CR311" s="176"/>
      <c r="CS311" s="176"/>
      <c r="CT311" s="176"/>
      <c r="CU311" s="176"/>
      <c r="CV311" s="176"/>
      <c r="CW311" s="167"/>
      <c r="CX311" s="168"/>
      <c r="CY311" s="168"/>
      <c r="CZ311" s="168"/>
      <c r="DA311" s="168"/>
      <c r="DB311" s="168"/>
      <c r="DC311" s="168"/>
      <c r="DD311" s="172"/>
      <c r="DE311" s="172"/>
      <c r="DF311" s="172"/>
      <c r="DG311" s="172"/>
      <c r="DH311" s="172"/>
      <c r="DI311" s="172"/>
      <c r="DJ311" s="172"/>
      <c r="DK311" s="80" t="s">
        <v>1409</v>
      </c>
      <c r="DL311" s="129">
        <v>100</v>
      </c>
      <c r="DM311" s="129">
        <v>100</v>
      </c>
      <c r="DN311" s="129">
        <v>100</v>
      </c>
      <c r="DO311" s="129">
        <v>100</v>
      </c>
      <c r="DP311" s="129">
        <v>100</v>
      </c>
      <c r="DQ311" s="129">
        <v>100</v>
      </c>
      <c r="DR311" s="129">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5" t="s">
        <v>1422</v>
      </c>
      <c r="B312" s="5" t="s">
        <v>740</v>
      </c>
      <c r="C312" s="5" t="s">
        <v>788</v>
      </c>
      <c r="D312" s="5" t="s">
        <v>741</v>
      </c>
      <c r="E312" s="5" t="s">
        <v>459</v>
      </c>
      <c r="F312" s="5" t="s">
        <v>464</v>
      </c>
      <c r="G312" s="47" t="s">
        <v>1423</v>
      </c>
      <c r="H312" s="47" t="s">
        <v>981</v>
      </c>
      <c r="I312" s="101">
        <v>500</v>
      </c>
      <c r="J312" s="101">
        <v>500</v>
      </c>
      <c r="K312" s="101">
        <v>500</v>
      </c>
      <c r="L312" s="101">
        <v>500</v>
      </c>
      <c r="M312" s="101">
        <v>500</v>
      </c>
      <c r="N312" s="101">
        <v>500</v>
      </c>
      <c r="O312" s="101">
        <v>500</v>
      </c>
      <c r="P312" s="93">
        <v>0</v>
      </c>
      <c r="Q312" s="101">
        <v>15</v>
      </c>
      <c r="R312" s="101">
        <v>15</v>
      </c>
      <c r="S312" s="101">
        <v>15</v>
      </c>
      <c r="T312" s="101">
        <v>15</v>
      </c>
      <c r="U312" s="101">
        <v>15</v>
      </c>
      <c r="V312" s="101">
        <v>15</v>
      </c>
      <c r="W312" s="101">
        <v>15</v>
      </c>
      <c r="X312" s="101">
        <v>0</v>
      </c>
      <c r="Y312" s="101">
        <v>0</v>
      </c>
      <c r="Z312" s="101">
        <v>0</v>
      </c>
      <c r="AA312" s="101">
        <v>0</v>
      </c>
      <c r="AB312" s="101">
        <v>0</v>
      </c>
      <c r="AC312" s="101">
        <v>0</v>
      </c>
      <c r="AD312" s="101">
        <v>0</v>
      </c>
      <c r="AE312" s="186">
        <v>0.08</v>
      </c>
      <c r="AF312" s="93">
        <v>0</v>
      </c>
      <c r="AG312" s="93">
        <v>20</v>
      </c>
      <c r="AH312" s="93">
        <v>20</v>
      </c>
      <c r="AI312" s="16">
        <v>31.536000000000001</v>
      </c>
      <c r="AJ312" s="16" t="s">
        <v>660</v>
      </c>
      <c r="AK312" s="16" t="s">
        <v>745</v>
      </c>
      <c r="AL312" s="16"/>
      <c r="AM312" s="60"/>
      <c r="AN312" s="60"/>
      <c r="AO312" s="60"/>
      <c r="AP312" s="60"/>
      <c r="AQ312" s="60"/>
      <c r="AR312" s="60"/>
      <c r="AS312" s="63"/>
      <c r="AT312" s="63"/>
      <c r="AU312" s="63"/>
      <c r="AV312" s="131"/>
      <c r="AW312" s="131"/>
      <c r="AX312" s="131"/>
      <c r="AY312" s="27" t="s">
        <v>662</v>
      </c>
      <c r="AZ312" s="27"/>
      <c r="BA312" s="27"/>
      <c r="BB312" s="30"/>
      <c r="BC312" s="30"/>
      <c r="BD312" s="30"/>
      <c r="BE312" s="30"/>
      <c r="BF312" s="30"/>
      <c r="BG312" s="30"/>
      <c r="BH312" s="107"/>
      <c r="BI312" s="107"/>
      <c r="BJ312" s="107"/>
      <c r="BK312" s="107"/>
      <c r="BL312" s="136"/>
      <c r="BM312" s="122"/>
      <c r="BN312" s="138">
        <v>0</v>
      </c>
      <c r="BO312" s="93"/>
      <c r="BP312" s="93"/>
      <c r="BQ312" s="93"/>
      <c r="BR312" s="93"/>
      <c r="BS312" s="93"/>
      <c r="BT312" s="93"/>
      <c r="BU312" s="27">
        <f t="shared" si="271"/>
        <v>0</v>
      </c>
      <c r="BV312" s="27"/>
      <c r="BW312" s="27"/>
      <c r="BX312" s="27"/>
      <c r="BY312" s="27"/>
      <c r="BZ312" s="27"/>
      <c r="CA312" s="27"/>
      <c r="CB312" s="97"/>
      <c r="CC312" s="97">
        <v>0.5</v>
      </c>
      <c r="CD312" s="97">
        <v>0.75</v>
      </c>
      <c r="CE312" s="97">
        <v>1</v>
      </c>
      <c r="CF312" s="97">
        <v>1.25</v>
      </c>
      <c r="CG312" s="97">
        <v>1.5</v>
      </c>
      <c r="CH312" s="97">
        <v>3</v>
      </c>
      <c r="CI312" s="173"/>
      <c r="CJ312" s="173"/>
      <c r="CK312" s="173"/>
      <c r="CL312" s="173"/>
      <c r="CM312" s="173"/>
      <c r="CN312" s="173"/>
      <c r="CO312" s="173"/>
      <c r="CP312" s="174"/>
      <c r="CQ312" s="174"/>
      <c r="CR312" s="174"/>
      <c r="CS312" s="174"/>
      <c r="CT312" s="174"/>
      <c r="CU312" s="174"/>
      <c r="CV312" s="174"/>
      <c r="CW312" s="165"/>
      <c r="CX312" s="166"/>
      <c r="CY312" s="166"/>
      <c r="CZ312" s="166"/>
      <c r="DA312" s="166"/>
      <c r="DB312" s="166"/>
      <c r="DC312" s="166"/>
      <c r="DD312" s="171"/>
      <c r="DE312" s="171"/>
      <c r="DF312" s="171"/>
      <c r="DG312" s="171"/>
      <c r="DH312" s="171"/>
      <c r="DI312" s="171"/>
      <c r="DJ312" s="171"/>
      <c r="DK312" s="79" t="s">
        <v>1409</v>
      </c>
      <c r="DL312" s="128">
        <v>100</v>
      </c>
      <c r="DM312" s="128">
        <v>100</v>
      </c>
      <c r="DN312" s="128">
        <v>100</v>
      </c>
      <c r="DO312" s="128">
        <v>100</v>
      </c>
      <c r="DP312" s="128">
        <v>100</v>
      </c>
      <c r="DQ312" s="128">
        <v>100</v>
      </c>
      <c r="DR312" s="128">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6" t="s">
        <v>1424</v>
      </c>
      <c r="B313" s="6" t="s">
        <v>740</v>
      </c>
      <c r="C313" s="6" t="s">
        <v>788</v>
      </c>
      <c r="D313" s="6" t="s">
        <v>741</v>
      </c>
      <c r="E313" s="6" t="s">
        <v>459</v>
      </c>
      <c r="F313" s="6" t="s">
        <v>464</v>
      </c>
      <c r="G313" s="48" t="s">
        <v>1425</v>
      </c>
      <c r="H313" s="48" t="s">
        <v>981</v>
      </c>
      <c r="I313" s="102">
        <v>450</v>
      </c>
      <c r="J313" s="102">
        <v>450</v>
      </c>
      <c r="K313" s="102">
        <v>450</v>
      </c>
      <c r="L313" s="102">
        <v>450</v>
      </c>
      <c r="M313" s="102">
        <v>450</v>
      </c>
      <c r="N313" s="102">
        <v>450</v>
      </c>
      <c r="O313" s="102">
        <v>450</v>
      </c>
      <c r="P313" s="94">
        <v>0</v>
      </c>
      <c r="Q313" s="102">
        <v>30</v>
      </c>
      <c r="R313" s="102">
        <v>30</v>
      </c>
      <c r="S313" s="102">
        <v>30</v>
      </c>
      <c r="T313" s="102">
        <v>30</v>
      </c>
      <c r="U313" s="102">
        <v>30</v>
      </c>
      <c r="V313" s="102">
        <v>30</v>
      </c>
      <c r="W313" s="102">
        <v>30</v>
      </c>
      <c r="X313" s="102">
        <v>0</v>
      </c>
      <c r="Y313" s="102">
        <v>0</v>
      </c>
      <c r="Z313" s="102">
        <v>0</v>
      </c>
      <c r="AA313" s="102">
        <v>0</v>
      </c>
      <c r="AB313" s="102">
        <v>0</v>
      </c>
      <c r="AC313" s="102">
        <v>0</v>
      </c>
      <c r="AD313" s="102">
        <v>0</v>
      </c>
      <c r="AE313" s="186">
        <v>0.08</v>
      </c>
      <c r="AF313" s="94">
        <v>0</v>
      </c>
      <c r="AG313" s="94">
        <v>20</v>
      </c>
      <c r="AH313" s="94">
        <v>20</v>
      </c>
      <c r="AI313" s="17">
        <v>31.536000000000001</v>
      </c>
      <c r="AJ313" s="17" t="s">
        <v>982</v>
      </c>
      <c r="AK313" s="17" t="s">
        <v>745</v>
      </c>
      <c r="AL313" s="17"/>
      <c r="AM313" s="61" t="s">
        <v>464</v>
      </c>
      <c r="AN313" s="61" t="s">
        <v>491</v>
      </c>
      <c r="AO313" s="61">
        <v>0.95</v>
      </c>
      <c r="AP313" s="61" t="s">
        <v>766</v>
      </c>
      <c r="AQ313" s="61">
        <v>0.2</v>
      </c>
      <c r="AR313" s="61">
        <v>0.15</v>
      </c>
      <c r="AS313" s="64"/>
      <c r="AT313" s="64"/>
      <c r="AU313" s="64"/>
      <c r="AV313" s="132"/>
      <c r="AW313" s="132"/>
      <c r="AX313" s="132"/>
      <c r="AY313" s="28" t="s">
        <v>662</v>
      </c>
      <c r="AZ313" s="28"/>
      <c r="BA313" s="28"/>
      <c r="BB313" s="28"/>
      <c r="BC313" s="28"/>
      <c r="BD313" s="28"/>
      <c r="BE313" s="28"/>
      <c r="BF313" s="28"/>
      <c r="BG313" s="28"/>
      <c r="BH313" s="106"/>
      <c r="BI313" s="106"/>
      <c r="BJ313" s="106"/>
      <c r="BK313" s="106"/>
      <c r="BL313" s="137"/>
      <c r="BM313" s="123"/>
      <c r="BN313" s="139">
        <v>2.2000000000000002</v>
      </c>
      <c r="BO313" s="94">
        <v>0.55000000000000004</v>
      </c>
      <c r="BP313" s="94">
        <v>0.55000000000000004</v>
      </c>
      <c r="BQ313" s="94">
        <v>0.55000000000000004</v>
      </c>
      <c r="BR313" s="94">
        <v>0.55000000000000004</v>
      </c>
      <c r="BS313" s="94"/>
      <c r="BT313" s="94"/>
      <c r="BU313" s="28">
        <f t="shared" si="271"/>
        <v>0</v>
      </c>
      <c r="BV313" s="28"/>
      <c r="BW313" s="28"/>
      <c r="BX313" s="28"/>
      <c r="BY313" s="28"/>
      <c r="BZ313" s="28"/>
      <c r="CA313" s="28"/>
      <c r="CB313" s="99">
        <v>2.2000000000000002</v>
      </c>
      <c r="CC313" s="99">
        <v>5</v>
      </c>
      <c r="CD313" s="99">
        <v>5</v>
      </c>
      <c r="CE313" s="99">
        <v>5</v>
      </c>
      <c r="CF313" s="99">
        <v>10</v>
      </c>
      <c r="CG313" s="99">
        <v>10</v>
      </c>
      <c r="CH313" s="99">
        <v>10</v>
      </c>
      <c r="CI313" s="175"/>
      <c r="CJ313" s="175"/>
      <c r="CK313" s="175"/>
      <c r="CL313" s="175"/>
      <c r="CM313" s="175"/>
      <c r="CN313" s="175"/>
      <c r="CO313" s="175"/>
      <c r="CP313" s="176"/>
      <c r="CQ313" s="176"/>
      <c r="CR313" s="176"/>
      <c r="CS313" s="176"/>
      <c r="CT313" s="176"/>
      <c r="CU313" s="176"/>
      <c r="CV313" s="176"/>
      <c r="CW313" s="167"/>
      <c r="CX313" s="168"/>
      <c r="CY313" s="168"/>
      <c r="CZ313" s="168"/>
      <c r="DA313" s="168"/>
      <c r="DB313" s="168"/>
      <c r="DC313" s="168"/>
      <c r="DD313" s="172"/>
      <c r="DE313" s="172"/>
      <c r="DF313" s="172"/>
      <c r="DG313" s="172"/>
      <c r="DH313" s="172"/>
      <c r="DI313" s="172"/>
      <c r="DJ313" s="172"/>
      <c r="DK313" s="80" t="s">
        <v>1409</v>
      </c>
      <c r="DL313" s="129">
        <v>100</v>
      </c>
      <c r="DM313" s="129">
        <v>100</v>
      </c>
      <c r="DN313" s="129">
        <v>100</v>
      </c>
      <c r="DO313" s="129">
        <v>100</v>
      </c>
      <c r="DP313" s="129">
        <v>100</v>
      </c>
      <c r="DQ313" s="129">
        <v>100</v>
      </c>
      <c r="DR313" s="129">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5" t="s">
        <v>1426</v>
      </c>
      <c r="B314" s="5" t="s">
        <v>740</v>
      </c>
      <c r="C314" s="5" t="s">
        <v>788</v>
      </c>
      <c r="D314" s="5" t="s">
        <v>741</v>
      </c>
      <c r="E314" s="5" t="s">
        <v>459</v>
      </c>
      <c r="F314" s="5" t="s">
        <v>464</v>
      </c>
      <c r="G314" s="47" t="s">
        <v>1427</v>
      </c>
      <c r="H314" s="47" t="s">
        <v>981</v>
      </c>
      <c r="I314" s="101">
        <v>550</v>
      </c>
      <c r="J314" s="101">
        <v>550</v>
      </c>
      <c r="K314" s="101">
        <v>550</v>
      </c>
      <c r="L314" s="101">
        <v>550</v>
      </c>
      <c r="M314" s="101">
        <v>550</v>
      </c>
      <c r="N314" s="101">
        <v>550</v>
      </c>
      <c r="O314" s="101">
        <v>550</v>
      </c>
      <c r="P314" s="93">
        <v>0</v>
      </c>
      <c r="Q314" s="101">
        <v>50</v>
      </c>
      <c r="R314" s="101">
        <v>50</v>
      </c>
      <c r="S314" s="101">
        <v>50</v>
      </c>
      <c r="T314" s="101">
        <v>50</v>
      </c>
      <c r="U314" s="101">
        <v>50</v>
      </c>
      <c r="V314" s="101">
        <v>50</v>
      </c>
      <c r="W314" s="101">
        <v>50</v>
      </c>
      <c r="X314" s="101">
        <v>0</v>
      </c>
      <c r="Y314" s="101">
        <v>0</v>
      </c>
      <c r="Z314" s="101">
        <v>0</v>
      </c>
      <c r="AA314" s="101">
        <v>0</v>
      </c>
      <c r="AB314" s="101">
        <v>0</v>
      </c>
      <c r="AC314" s="101">
        <v>0</v>
      </c>
      <c r="AD314" s="101">
        <v>0</v>
      </c>
      <c r="AE314" s="186">
        <v>0.08</v>
      </c>
      <c r="AF314" s="93">
        <v>0</v>
      </c>
      <c r="AG314" s="93">
        <v>20</v>
      </c>
      <c r="AH314" s="93">
        <v>20</v>
      </c>
      <c r="AI314" s="16">
        <v>31.536000000000001</v>
      </c>
      <c r="AJ314" s="16" t="s">
        <v>982</v>
      </c>
      <c r="AK314" s="16" t="s">
        <v>745</v>
      </c>
      <c r="AL314" s="16"/>
      <c r="AM314" s="60" t="s">
        <v>464</v>
      </c>
      <c r="AN314" s="60" t="s">
        <v>491</v>
      </c>
      <c r="AO314" s="60">
        <v>0.95</v>
      </c>
      <c r="AP314" s="60" t="s">
        <v>766</v>
      </c>
      <c r="AQ314" s="60">
        <v>0.2</v>
      </c>
      <c r="AR314" s="60">
        <v>0.15</v>
      </c>
      <c r="AS314" s="63"/>
      <c r="AT314" s="63"/>
      <c r="AU314" s="63"/>
      <c r="AV314" s="131"/>
      <c r="AW314" s="131"/>
      <c r="AX314" s="131"/>
      <c r="AY314" s="27" t="s">
        <v>662</v>
      </c>
      <c r="AZ314" s="27"/>
      <c r="BA314" s="27"/>
      <c r="BB314" s="30"/>
      <c r="BC314" s="30"/>
      <c r="BD314" s="30"/>
      <c r="BE314" s="30"/>
      <c r="BF314" s="30"/>
      <c r="BG314" s="30"/>
      <c r="BH314" s="107"/>
      <c r="BI314" s="107"/>
      <c r="BJ314" s="107"/>
      <c r="BK314" s="107"/>
      <c r="BL314" s="136"/>
      <c r="BM314" s="122"/>
      <c r="BN314" s="138">
        <v>0</v>
      </c>
      <c r="BO314" s="93"/>
      <c r="BP314" s="93"/>
      <c r="BQ314" s="93"/>
      <c r="BR314" s="93"/>
      <c r="BS314" s="93"/>
      <c r="BT314" s="93"/>
      <c r="BU314" s="27">
        <f t="shared" si="271"/>
        <v>0</v>
      </c>
      <c r="BV314" s="27"/>
      <c r="BW314" s="27"/>
      <c r="BX314" s="27"/>
      <c r="BY314" s="27"/>
      <c r="BZ314" s="27"/>
      <c r="CA314" s="27"/>
      <c r="CB314" s="97"/>
      <c r="CC314" s="97">
        <v>1</v>
      </c>
      <c r="CD314" s="97">
        <v>2</v>
      </c>
      <c r="CE314" s="97">
        <v>5</v>
      </c>
      <c r="CF314" s="97">
        <v>10</v>
      </c>
      <c r="CG314" s="97">
        <v>10</v>
      </c>
      <c r="CH314" s="97">
        <v>10</v>
      </c>
      <c r="CI314" s="173"/>
      <c r="CJ314" s="173"/>
      <c r="CK314" s="173"/>
      <c r="CL314" s="173"/>
      <c r="CM314" s="173"/>
      <c r="CN314" s="173"/>
      <c r="CO314" s="173"/>
      <c r="CP314" s="174"/>
      <c r="CQ314" s="174"/>
      <c r="CR314" s="174"/>
      <c r="CS314" s="174"/>
      <c r="CT314" s="174"/>
      <c r="CU314" s="174"/>
      <c r="CV314" s="174"/>
      <c r="CW314" s="165"/>
      <c r="CX314" s="166"/>
      <c r="CY314" s="166"/>
      <c r="CZ314" s="166"/>
      <c r="DA314" s="166"/>
      <c r="DB314" s="166"/>
      <c r="DC314" s="166"/>
      <c r="DD314" s="171"/>
      <c r="DE314" s="171"/>
      <c r="DF314" s="171"/>
      <c r="DG314" s="171"/>
      <c r="DH314" s="171"/>
      <c r="DI314" s="171"/>
      <c r="DJ314" s="171"/>
      <c r="DK314" s="79" t="s">
        <v>1409</v>
      </c>
      <c r="DL314" s="128">
        <v>100</v>
      </c>
      <c r="DM314" s="128">
        <v>100</v>
      </c>
      <c r="DN314" s="128">
        <v>100</v>
      </c>
      <c r="DO314" s="128">
        <v>100</v>
      </c>
      <c r="DP314" s="128">
        <v>100</v>
      </c>
      <c r="DQ314" s="128">
        <v>100</v>
      </c>
      <c r="DR314" s="128">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6" t="s">
        <v>1428</v>
      </c>
      <c r="B315" s="6" t="s">
        <v>740</v>
      </c>
      <c r="C315" s="6" t="s">
        <v>788</v>
      </c>
      <c r="D315" s="6" t="s">
        <v>741</v>
      </c>
      <c r="E315" s="6" t="s">
        <v>459</v>
      </c>
      <c r="F315" s="6" t="s">
        <v>464</v>
      </c>
      <c r="G315" s="48" t="s">
        <v>1429</v>
      </c>
      <c r="H315" s="48" t="s">
        <v>981</v>
      </c>
      <c r="I315" s="102">
        <v>500</v>
      </c>
      <c r="J315" s="102">
        <v>500</v>
      </c>
      <c r="K315" s="102">
        <v>500</v>
      </c>
      <c r="L315" s="102">
        <v>500</v>
      </c>
      <c r="M315" s="102">
        <v>500</v>
      </c>
      <c r="N315" s="102">
        <v>500</v>
      </c>
      <c r="O315" s="102">
        <v>500</v>
      </c>
      <c r="P315" s="94">
        <v>0</v>
      </c>
      <c r="Q315" s="102">
        <v>30</v>
      </c>
      <c r="R315" s="102">
        <v>30</v>
      </c>
      <c r="S315" s="102">
        <v>30</v>
      </c>
      <c r="T315" s="102">
        <v>30</v>
      </c>
      <c r="U315" s="102">
        <v>30</v>
      </c>
      <c r="V315" s="102">
        <v>30</v>
      </c>
      <c r="W315" s="102">
        <v>30</v>
      </c>
      <c r="X315" s="102">
        <v>0</v>
      </c>
      <c r="Y315" s="102">
        <v>0</v>
      </c>
      <c r="Z315" s="102">
        <v>0</v>
      </c>
      <c r="AA315" s="102">
        <v>0</v>
      </c>
      <c r="AB315" s="102">
        <v>0</v>
      </c>
      <c r="AC315" s="102">
        <v>0</v>
      </c>
      <c r="AD315" s="102">
        <v>0</v>
      </c>
      <c r="AE315" s="186">
        <v>0.08</v>
      </c>
      <c r="AF315" s="94">
        <v>0</v>
      </c>
      <c r="AG315" s="94">
        <v>20</v>
      </c>
      <c r="AH315" s="94">
        <v>20</v>
      </c>
      <c r="AI315" s="17">
        <v>31.536000000000001</v>
      </c>
      <c r="AJ315" s="17" t="s">
        <v>982</v>
      </c>
      <c r="AK315" s="17" t="s">
        <v>745</v>
      </c>
      <c r="AL315" s="17"/>
      <c r="AM315" s="61" t="s">
        <v>464</v>
      </c>
      <c r="AN315" s="61" t="s">
        <v>468</v>
      </c>
      <c r="AO315" s="61">
        <v>0.95</v>
      </c>
      <c r="AP315" s="61" t="s">
        <v>766</v>
      </c>
      <c r="AQ315" s="61">
        <v>0.2</v>
      </c>
      <c r="AR315" s="61">
        <v>0.15</v>
      </c>
      <c r="AS315" s="64"/>
      <c r="AT315" s="64"/>
      <c r="AU315" s="64"/>
      <c r="AV315" s="132"/>
      <c r="AW315" s="132"/>
      <c r="AX315" s="132"/>
      <c r="AY315" s="28" t="s">
        <v>662</v>
      </c>
      <c r="AZ315" s="28"/>
      <c r="BA315" s="28"/>
      <c r="BB315" s="28"/>
      <c r="BC315" s="28"/>
      <c r="BD315" s="28"/>
      <c r="BE315" s="28"/>
      <c r="BF315" s="28"/>
      <c r="BG315" s="28"/>
      <c r="BH315" s="106"/>
      <c r="BI315" s="106"/>
      <c r="BJ315" s="106"/>
      <c r="BK315" s="106"/>
      <c r="BL315" s="137"/>
      <c r="BM315" s="123"/>
      <c r="BN315" s="139">
        <v>0.1</v>
      </c>
      <c r="BO315" s="94">
        <v>0.04</v>
      </c>
      <c r="BP315" s="94">
        <v>0.03</v>
      </c>
      <c r="BQ315" s="94">
        <v>0.03</v>
      </c>
      <c r="BR315" s="94"/>
      <c r="BS315" s="94"/>
      <c r="BT315" s="94"/>
      <c r="BU315" s="28">
        <f t="shared" ref="BU315:BU316" si="275">IF(BL315=1,BN315,0)</f>
        <v>0</v>
      </c>
      <c r="BV315" s="28"/>
      <c r="BW315" s="28"/>
      <c r="BX315" s="28"/>
      <c r="BY315" s="28"/>
      <c r="BZ315" s="28"/>
      <c r="CA315" s="28"/>
      <c r="CB315" s="99">
        <v>0.1</v>
      </c>
      <c r="CC315" s="99">
        <v>0.1</v>
      </c>
      <c r="CD315" s="99">
        <v>0.1</v>
      </c>
      <c r="CE315" s="99"/>
      <c r="CF315" s="99"/>
      <c r="CG315" s="99"/>
      <c r="CH315" s="99"/>
      <c r="CI315" s="175"/>
      <c r="CJ315" s="175"/>
      <c r="CK315" s="175"/>
      <c r="CL315" s="175"/>
      <c r="CM315" s="175"/>
      <c r="CN315" s="175"/>
      <c r="CO315" s="175"/>
      <c r="CP315" s="176"/>
      <c r="CQ315" s="176"/>
      <c r="CR315" s="176"/>
      <c r="CS315" s="176"/>
      <c r="CT315" s="176"/>
      <c r="CU315" s="176"/>
      <c r="CV315" s="176"/>
      <c r="CW315" s="167"/>
      <c r="CX315" s="168"/>
      <c r="CY315" s="168"/>
      <c r="CZ315" s="168"/>
      <c r="DA315" s="168"/>
      <c r="DB315" s="168"/>
      <c r="DC315" s="168"/>
      <c r="DD315" s="172"/>
      <c r="DE315" s="172"/>
      <c r="DF315" s="172"/>
      <c r="DG315" s="172"/>
      <c r="DH315" s="172"/>
      <c r="DI315" s="172"/>
      <c r="DJ315" s="172"/>
      <c r="DK315" s="80" t="s">
        <v>1409</v>
      </c>
      <c r="DL315" s="129">
        <v>100</v>
      </c>
      <c r="DM315" s="129">
        <v>100</v>
      </c>
      <c r="DN315" s="129">
        <v>100</v>
      </c>
      <c r="DO315" s="129">
        <v>100</v>
      </c>
      <c r="DP315" s="129">
        <v>100</v>
      </c>
      <c r="DQ315" s="129">
        <v>100</v>
      </c>
      <c r="DR315" s="129">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5" t="s">
        <v>1430</v>
      </c>
      <c r="B316" s="5" t="s">
        <v>740</v>
      </c>
      <c r="C316" s="5" t="s">
        <v>788</v>
      </c>
      <c r="D316" s="5" t="s">
        <v>741</v>
      </c>
      <c r="E316" s="5" t="s">
        <v>459</v>
      </c>
      <c r="F316" s="5" t="s">
        <v>464</v>
      </c>
      <c r="G316" s="47" t="s">
        <v>1431</v>
      </c>
      <c r="H316" s="47" t="s">
        <v>981</v>
      </c>
      <c r="I316" s="101">
        <v>600</v>
      </c>
      <c r="J316" s="101">
        <v>600</v>
      </c>
      <c r="K316" s="101">
        <v>600</v>
      </c>
      <c r="L316" s="101">
        <v>600</v>
      </c>
      <c r="M316" s="101">
        <v>600</v>
      </c>
      <c r="N316" s="101">
        <v>600</v>
      </c>
      <c r="O316" s="101">
        <v>600</v>
      </c>
      <c r="P316" s="93">
        <v>0</v>
      </c>
      <c r="Q316" s="101">
        <v>50</v>
      </c>
      <c r="R316" s="101">
        <v>50</v>
      </c>
      <c r="S316" s="101">
        <v>50</v>
      </c>
      <c r="T316" s="101">
        <v>50</v>
      </c>
      <c r="U316" s="101">
        <v>50</v>
      </c>
      <c r="V316" s="101">
        <v>50</v>
      </c>
      <c r="W316" s="101">
        <v>50</v>
      </c>
      <c r="X316" s="101">
        <v>0</v>
      </c>
      <c r="Y316" s="101">
        <v>0</v>
      </c>
      <c r="Z316" s="101">
        <v>0</v>
      </c>
      <c r="AA316" s="101">
        <v>0</v>
      </c>
      <c r="AB316" s="101">
        <v>0</v>
      </c>
      <c r="AC316" s="101">
        <v>0</v>
      </c>
      <c r="AD316" s="101">
        <v>0</v>
      </c>
      <c r="AE316" s="186">
        <v>0.08</v>
      </c>
      <c r="AF316" s="93">
        <v>0</v>
      </c>
      <c r="AG316" s="93">
        <v>20</v>
      </c>
      <c r="AH316" s="93">
        <v>20</v>
      </c>
      <c r="AI316" s="16">
        <v>31.536000000000001</v>
      </c>
      <c r="AJ316" s="16" t="s">
        <v>982</v>
      </c>
      <c r="AK316" s="16" t="s">
        <v>745</v>
      </c>
      <c r="AL316" s="16"/>
      <c r="AM316" s="60" t="s">
        <v>464</v>
      </c>
      <c r="AN316" s="60" t="s">
        <v>491</v>
      </c>
      <c r="AO316" s="60">
        <v>0.95</v>
      </c>
      <c r="AP316" s="60" t="s">
        <v>766</v>
      </c>
      <c r="AQ316" s="60">
        <v>0.2</v>
      </c>
      <c r="AR316" s="60">
        <v>0.15</v>
      </c>
      <c r="AS316" s="63"/>
      <c r="AT316" s="63"/>
      <c r="AU316" s="63"/>
      <c r="AV316" s="131"/>
      <c r="AW316" s="131"/>
      <c r="AX316" s="131"/>
      <c r="AY316" s="27" t="s">
        <v>662</v>
      </c>
      <c r="AZ316" s="27"/>
      <c r="BA316" s="27"/>
      <c r="BB316" s="30"/>
      <c r="BC316" s="30"/>
      <c r="BD316" s="30"/>
      <c r="BE316" s="30"/>
      <c r="BF316" s="30"/>
      <c r="BG316" s="30"/>
      <c r="BH316" s="107"/>
      <c r="BI316" s="107"/>
      <c r="BJ316" s="107"/>
      <c r="BK316" s="107"/>
      <c r="BL316" s="136"/>
      <c r="BM316" s="122"/>
      <c r="BN316" s="138">
        <v>0</v>
      </c>
      <c r="BO316" s="93"/>
      <c r="BP316" s="93"/>
      <c r="BQ316" s="93"/>
      <c r="BR316" s="93"/>
      <c r="BS316" s="93"/>
      <c r="BT316" s="93"/>
      <c r="BU316" s="27">
        <f t="shared" si="275"/>
        <v>0</v>
      </c>
      <c r="BV316" s="27"/>
      <c r="BW316" s="27"/>
      <c r="BX316" s="27"/>
      <c r="BY316" s="27"/>
      <c r="BZ316" s="27"/>
      <c r="CA316" s="27"/>
      <c r="CB316" s="97"/>
      <c r="CC316" s="97">
        <v>0.1</v>
      </c>
      <c r="CD316" s="97">
        <v>0.1</v>
      </c>
      <c r="CE316" s="97"/>
      <c r="CF316" s="97"/>
      <c r="CG316" s="97"/>
      <c r="CH316" s="97"/>
      <c r="CI316" s="173"/>
      <c r="CJ316" s="173"/>
      <c r="CK316" s="173"/>
      <c r="CL316" s="173"/>
      <c r="CM316" s="173"/>
      <c r="CN316" s="173"/>
      <c r="CO316" s="173"/>
      <c r="CP316" s="174"/>
      <c r="CQ316" s="174"/>
      <c r="CR316" s="174"/>
      <c r="CS316" s="174"/>
      <c r="CT316" s="174"/>
      <c r="CU316" s="174"/>
      <c r="CV316" s="174"/>
      <c r="CW316" s="165"/>
      <c r="CX316" s="166"/>
      <c r="CY316" s="166"/>
      <c r="CZ316" s="166"/>
      <c r="DA316" s="166"/>
      <c r="DB316" s="166"/>
      <c r="DC316" s="166"/>
      <c r="DD316" s="171"/>
      <c r="DE316" s="171"/>
      <c r="DF316" s="171"/>
      <c r="DG316" s="171"/>
      <c r="DH316" s="171"/>
      <c r="DI316" s="171"/>
      <c r="DJ316" s="171"/>
      <c r="DK316" s="79" t="s">
        <v>1409</v>
      </c>
      <c r="DL316" s="128">
        <v>100</v>
      </c>
      <c r="DM316" s="128">
        <v>100</v>
      </c>
      <c r="DN316" s="128">
        <v>100</v>
      </c>
      <c r="DO316" s="128">
        <v>100</v>
      </c>
      <c r="DP316" s="128">
        <v>100</v>
      </c>
      <c r="DQ316" s="128">
        <v>100</v>
      </c>
      <c r="DR316" s="128">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6" t="s">
        <v>1432</v>
      </c>
      <c r="B317" s="6" t="s">
        <v>740</v>
      </c>
      <c r="C317" s="6" t="s">
        <v>788</v>
      </c>
      <c r="D317" s="6" t="s">
        <v>741</v>
      </c>
      <c r="E317" s="6" t="s">
        <v>459</v>
      </c>
      <c r="F317" s="6" t="s">
        <v>464</v>
      </c>
      <c r="G317" s="48" t="s">
        <v>1433</v>
      </c>
      <c r="H317" s="48" t="s">
        <v>981</v>
      </c>
      <c r="I317" s="102">
        <v>700</v>
      </c>
      <c r="J317" s="102">
        <v>700</v>
      </c>
      <c r="K317" s="102">
        <v>700</v>
      </c>
      <c r="L317" s="102">
        <v>700</v>
      </c>
      <c r="M317" s="102">
        <v>700</v>
      </c>
      <c r="N317" s="102">
        <v>700</v>
      </c>
      <c r="O317" s="102">
        <v>700</v>
      </c>
      <c r="P317" s="94">
        <v>0</v>
      </c>
      <c r="Q317" s="102">
        <v>40</v>
      </c>
      <c r="R317" s="102">
        <v>40</v>
      </c>
      <c r="S317" s="102">
        <v>40</v>
      </c>
      <c r="T317" s="102">
        <v>40</v>
      </c>
      <c r="U317" s="102">
        <v>40</v>
      </c>
      <c r="V317" s="102">
        <v>40</v>
      </c>
      <c r="W317" s="102">
        <v>40</v>
      </c>
      <c r="X317" s="102">
        <v>0</v>
      </c>
      <c r="Y317" s="102">
        <v>0</v>
      </c>
      <c r="Z317" s="102">
        <v>0</v>
      </c>
      <c r="AA317" s="102">
        <v>0</v>
      </c>
      <c r="AB317" s="102">
        <v>0</v>
      </c>
      <c r="AC317" s="102">
        <v>0</v>
      </c>
      <c r="AD317" s="102">
        <v>0</v>
      </c>
      <c r="AE317" s="186">
        <v>0.08</v>
      </c>
      <c r="AF317" s="94">
        <v>0</v>
      </c>
      <c r="AG317" s="94">
        <v>20</v>
      </c>
      <c r="AH317" s="94">
        <v>20</v>
      </c>
      <c r="AI317" s="17">
        <v>31.536000000000001</v>
      </c>
      <c r="AJ317" s="17" t="s">
        <v>982</v>
      </c>
      <c r="AK317" s="17" t="s">
        <v>745</v>
      </c>
      <c r="AL317" s="17"/>
      <c r="AM317" s="61" t="s">
        <v>464</v>
      </c>
      <c r="AN317" s="61" t="s">
        <v>467</v>
      </c>
      <c r="AO317" s="61">
        <v>0.95</v>
      </c>
      <c r="AP317" s="61" t="s">
        <v>766</v>
      </c>
      <c r="AQ317" s="61">
        <v>0.2</v>
      </c>
      <c r="AR317" s="61">
        <v>0.15</v>
      </c>
      <c r="AS317" s="64"/>
      <c r="AT317" s="64"/>
      <c r="AU317" s="64"/>
      <c r="AV317" s="132"/>
      <c r="AW317" s="132"/>
      <c r="AX317" s="132"/>
      <c r="AY317" s="28" t="s">
        <v>662</v>
      </c>
      <c r="AZ317" s="28"/>
      <c r="BA317" s="28"/>
      <c r="BB317" s="28"/>
      <c r="BC317" s="28"/>
      <c r="BD317" s="28"/>
      <c r="BE317" s="28"/>
      <c r="BF317" s="28"/>
      <c r="BG317" s="28"/>
      <c r="BH317" s="106"/>
      <c r="BI317" s="106"/>
      <c r="BJ317" s="106"/>
      <c r="BK317" s="106"/>
      <c r="BL317" s="137"/>
      <c r="BM317" s="123"/>
      <c r="BN317" s="139">
        <v>0.15</v>
      </c>
      <c r="BO317" s="94"/>
      <c r="BP317" s="94"/>
      <c r="BQ317" s="94"/>
      <c r="BR317" s="94">
        <v>0.15</v>
      </c>
      <c r="BS317" s="94"/>
      <c r="BT317" s="94"/>
      <c r="BU317" s="28">
        <f>IF(BL317=1,BN317,0)</f>
        <v>0</v>
      </c>
      <c r="BV317" s="28"/>
      <c r="BW317" s="28"/>
      <c r="BX317" s="28"/>
      <c r="BY317" s="28"/>
      <c r="BZ317" s="28"/>
      <c r="CA317" s="28"/>
      <c r="CB317" s="99">
        <v>0.15</v>
      </c>
      <c r="CC317" s="99">
        <v>0.15</v>
      </c>
      <c r="CD317" s="99">
        <v>0.15</v>
      </c>
      <c r="CE317" s="99">
        <v>0.15</v>
      </c>
      <c r="CF317" s="99">
        <v>0.15</v>
      </c>
      <c r="CG317" s="99">
        <v>0.15</v>
      </c>
      <c r="CH317" s="99">
        <v>0.15</v>
      </c>
      <c r="CI317" s="175"/>
      <c r="CJ317" s="175"/>
      <c r="CK317" s="175"/>
      <c r="CL317" s="175"/>
      <c r="CM317" s="175"/>
      <c r="CN317" s="175"/>
      <c r="CO317" s="175"/>
      <c r="CP317" s="176"/>
      <c r="CQ317" s="176"/>
      <c r="CR317" s="176"/>
      <c r="CS317" s="176"/>
      <c r="CT317" s="176"/>
      <c r="CU317" s="176"/>
      <c r="CV317" s="176"/>
      <c r="CW317" s="167"/>
      <c r="CX317" s="168"/>
      <c r="CY317" s="168"/>
      <c r="CZ317" s="168"/>
      <c r="DA317" s="168"/>
      <c r="DB317" s="168"/>
      <c r="DC317" s="168"/>
      <c r="DD317" s="172"/>
      <c r="DE317" s="172"/>
      <c r="DF317" s="172"/>
      <c r="DG317" s="172"/>
      <c r="DH317" s="172"/>
      <c r="DI317" s="172"/>
      <c r="DJ317" s="172"/>
      <c r="DK317" s="80" t="s">
        <v>1409</v>
      </c>
      <c r="DL317" s="129">
        <v>15</v>
      </c>
      <c r="DM317" s="129">
        <v>15</v>
      </c>
      <c r="DN317" s="129">
        <v>15</v>
      </c>
      <c r="DO317" s="129">
        <v>15</v>
      </c>
      <c r="DP317" s="129">
        <v>15</v>
      </c>
      <c r="DQ317" s="129">
        <v>15</v>
      </c>
      <c r="DR317" s="129">
        <v>15</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5" t="s">
        <v>1434</v>
      </c>
      <c r="B318" s="5" t="s">
        <v>740</v>
      </c>
      <c r="C318" s="5" t="s">
        <v>788</v>
      </c>
      <c r="D318" s="5" t="s">
        <v>741</v>
      </c>
      <c r="E318" s="5" t="s">
        <v>459</v>
      </c>
      <c r="F318" s="5" t="s">
        <v>464</v>
      </c>
      <c r="G318" s="47" t="s">
        <v>1435</v>
      </c>
      <c r="H318" s="47" t="s">
        <v>981</v>
      </c>
      <c r="I318" s="101">
        <v>1200</v>
      </c>
      <c r="J318" s="101">
        <v>1200</v>
      </c>
      <c r="K318" s="101">
        <v>1200</v>
      </c>
      <c r="L318" s="101">
        <v>1200</v>
      </c>
      <c r="M318" s="101">
        <v>1200</v>
      </c>
      <c r="N318" s="101">
        <v>1200</v>
      </c>
      <c r="O318" s="101">
        <v>1200</v>
      </c>
      <c r="P318" s="93">
        <v>0</v>
      </c>
      <c r="Q318" s="101">
        <v>60</v>
      </c>
      <c r="R318" s="101">
        <v>60</v>
      </c>
      <c r="S318" s="101">
        <v>60</v>
      </c>
      <c r="T318" s="101">
        <v>60</v>
      </c>
      <c r="U318" s="101">
        <v>60</v>
      </c>
      <c r="V318" s="101">
        <v>60</v>
      </c>
      <c r="W318" s="101">
        <v>60</v>
      </c>
      <c r="X318" s="101">
        <v>0</v>
      </c>
      <c r="Y318" s="101">
        <v>0</v>
      </c>
      <c r="Z318" s="101">
        <v>0</v>
      </c>
      <c r="AA318" s="101">
        <v>0</v>
      </c>
      <c r="AB318" s="101">
        <v>0</v>
      </c>
      <c r="AC318" s="101">
        <v>0</v>
      </c>
      <c r="AD318" s="101">
        <v>0</v>
      </c>
      <c r="AE318" s="186">
        <v>0.08</v>
      </c>
      <c r="AF318" s="93">
        <v>0</v>
      </c>
      <c r="AG318" s="93">
        <v>20</v>
      </c>
      <c r="AH318" s="93">
        <v>20</v>
      </c>
      <c r="AI318" s="16">
        <v>31.536000000000001</v>
      </c>
      <c r="AJ318" s="16" t="s">
        <v>982</v>
      </c>
      <c r="AK318" s="16" t="s">
        <v>745</v>
      </c>
      <c r="AL318" s="16"/>
      <c r="AM318" s="60" t="s">
        <v>464</v>
      </c>
      <c r="AN318" s="60" t="s">
        <v>504</v>
      </c>
      <c r="AO318" s="60">
        <v>0.95</v>
      </c>
      <c r="AP318" s="60" t="s">
        <v>766</v>
      </c>
      <c r="AQ318" s="60">
        <v>0.2</v>
      </c>
      <c r="AR318" s="60">
        <v>0.15</v>
      </c>
      <c r="AS318" s="63"/>
      <c r="AT318" s="63"/>
      <c r="AU318" s="63"/>
      <c r="AV318" s="131"/>
      <c r="AW318" s="131"/>
      <c r="AX318" s="131"/>
      <c r="AY318" s="27" t="s">
        <v>662</v>
      </c>
      <c r="AZ318" s="27"/>
      <c r="BA318" s="27"/>
      <c r="BB318" s="30"/>
      <c r="BC318" s="30"/>
      <c r="BD318" s="30"/>
      <c r="BE318" s="30"/>
      <c r="BF318" s="30"/>
      <c r="BG318" s="30"/>
      <c r="BH318" s="107"/>
      <c r="BI318" s="107"/>
      <c r="BJ318" s="107"/>
      <c r="BK318" s="107"/>
      <c r="BL318" s="136"/>
      <c r="BM318" s="122"/>
      <c r="BN318" s="138">
        <v>0.6</v>
      </c>
      <c r="BO318" s="93">
        <v>0.15</v>
      </c>
      <c r="BP318" s="93">
        <v>0.15</v>
      </c>
      <c r="BQ318" s="93">
        <v>0.15</v>
      </c>
      <c r="BR318" s="93">
        <v>0.15</v>
      </c>
      <c r="BS318" s="93"/>
      <c r="BT318" s="93"/>
      <c r="BU318" s="27">
        <f t="shared" si="271"/>
        <v>0</v>
      </c>
      <c r="BV318" s="27"/>
      <c r="BW318" s="27"/>
      <c r="BX318" s="27"/>
      <c r="BY318" s="27"/>
      <c r="BZ318" s="27"/>
      <c r="CA318" s="27"/>
      <c r="CB318" s="97">
        <v>0.6</v>
      </c>
      <c r="CC318" s="97">
        <v>1</v>
      </c>
      <c r="CD318" s="97">
        <v>2</v>
      </c>
      <c r="CE318" s="97">
        <v>5</v>
      </c>
      <c r="CF318" s="97">
        <v>10</v>
      </c>
      <c r="CG318" s="97">
        <v>10</v>
      </c>
      <c r="CH318" s="97">
        <v>10</v>
      </c>
      <c r="CI318" s="173"/>
      <c r="CJ318" s="173"/>
      <c r="CK318" s="173"/>
      <c r="CL318" s="173"/>
      <c r="CM318" s="173"/>
      <c r="CN318" s="173"/>
      <c r="CO318" s="173"/>
      <c r="CP318" s="174"/>
      <c r="CQ318" s="174"/>
      <c r="CR318" s="174"/>
      <c r="CS318" s="174"/>
      <c r="CT318" s="174"/>
      <c r="CU318" s="174"/>
      <c r="CV318" s="174"/>
      <c r="CW318" s="165"/>
      <c r="CX318" s="166"/>
      <c r="CY318" s="166"/>
      <c r="CZ318" s="166"/>
      <c r="DA318" s="166"/>
      <c r="DB318" s="166"/>
      <c r="DC318" s="166"/>
      <c r="DD318" s="171"/>
      <c r="DE318" s="171"/>
      <c r="DF318" s="171"/>
      <c r="DG318" s="171"/>
      <c r="DH318" s="171"/>
      <c r="DI318" s="171"/>
      <c r="DJ318" s="171"/>
      <c r="DK318" s="79" t="s">
        <v>1409</v>
      </c>
      <c r="DL318" s="128">
        <v>100</v>
      </c>
      <c r="DM318" s="128">
        <v>100</v>
      </c>
      <c r="DN318" s="128">
        <v>100</v>
      </c>
      <c r="DO318" s="128">
        <v>100</v>
      </c>
      <c r="DP318" s="128">
        <v>100</v>
      </c>
      <c r="DQ318" s="128">
        <v>100</v>
      </c>
      <c r="DR318" s="128">
        <v>100</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6" t="s">
        <v>1436</v>
      </c>
      <c r="B319" s="6" t="s">
        <v>740</v>
      </c>
      <c r="C319" s="6" t="s">
        <v>788</v>
      </c>
      <c r="D319" s="6" t="s">
        <v>741</v>
      </c>
      <c r="E319" s="6" t="s">
        <v>459</v>
      </c>
      <c r="F319" s="6" t="s">
        <v>464</v>
      </c>
      <c r="G319" s="48" t="s">
        <v>1437</v>
      </c>
      <c r="H319" s="48" t="s">
        <v>981</v>
      </c>
      <c r="I319" s="102">
        <v>1400</v>
      </c>
      <c r="J319" s="102">
        <v>1400</v>
      </c>
      <c r="K319" s="102">
        <v>1400</v>
      </c>
      <c r="L319" s="102">
        <v>1400</v>
      </c>
      <c r="M319" s="102">
        <v>1400</v>
      </c>
      <c r="N319" s="102">
        <v>1400</v>
      </c>
      <c r="O319" s="102">
        <v>1400</v>
      </c>
      <c r="P319" s="94">
        <v>0</v>
      </c>
      <c r="Q319" s="102">
        <v>75</v>
      </c>
      <c r="R319" s="102">
        <v>75</v>
      </c>
      <c r="S319" s="102">
        <v>75</v>
      </c>
      <c r="T319" s="102">
        <v>75</v>
      </c>
      <c r="U319" s="102">
        <v>75</v>
      </c>
      <c r="V319" s="102">
        <v>75</v>
      </c>
      <c r="W319" s="102">
        <v>75</v>
      </c>
      <c r="X319" s="102">
        <v>0</v>
      </c>
      <c r="Y319" s="102">
        <v>0</v>
      </c>
      <c r="Z319" s="102">
        <v>0</v>
      </c>
      <c r="AA319" s="102">
        <v>0</v>
      </c>
      <c r="AB319" s="102">
        <v>0</v>
      </c>
      <c r="AC319" s="102">
        <v>0</v>
      </c>
      <c r="AD319" s="102">
        <v>0</v>
      </c>
      <c r="AE319" s="186">
        <v>0.08</v>
      </c>
      <c r="AF319" s="94">
        <v>0</v>
      </c>
      <c r="AG319" s="94">
        <v>20</v>
      </c>
      <c r="AH319" s="94">
        <v>20</v>
      </c>
      <c r="AI319" s="17">
        <v>31.536000000000001</v>
      </c>
      <c r="AJ319" s="17" t="s">
        <v>982</v>
      </c>
      <c r="AK319" s="17" t="s">
        <v>745</v>
      </c>
      <c r="AL319" s="17"/>
      <c r="AM319" s="61" t="s">
        <v>464</v>
      </c>
      <c r="AN319" s="61" t="s">
        <v>504</v>
      </c>
      <c r="AO319" s="61">
        <v>0.95</v>
      </c>
      <c r="AP319" s="61" t="s">
        <v>766</v>
      </c>
      <c r="AQ319" s="61">
        <v>0.2</v>
      </c>
      <c r="AR319" s="61">
        <v>0.15</v>
      </c>
      <c r="AS319" s="64"/>
      <c r="AT319" s="64"/>
      <c r="AU319" s="64"/>
      <c r="AV319" s="132"/>
      <c r="AW319" s="132"/>
      <c r="AX319" s="132"/>
      <c r="AY319" s="28" t="s">
        <v>662</v>
      </c>
      <c r="AZ319" s="28"/>
      <c r="BA319" s="28"/>
      <c r="BB319" s="28"/>
      <c r="BC319" s="28"/>
      <c r="BD319" s="28"/>
      <c r="BE319" s="28"/>
      <c r="BF319" s="28"/>
      <c r="BG319" s="28"/>
      <c r="BH319" s="106"/>
      <c r="BI319" s="106"/>
      <c r="BJ319" s="106"/>
      <c r="BK319" s="106"/>
      <c r="BL319" s="137"/>
      <c r="BM319" s="123"/>
      <c r="BN319" s="139">
        <v>0</v>
      </c>
      <c r="BO319" s="94"/>
      <c r="BP319" s="94"/>
      <c r="BQ319" s="94"/>
      <c r="BR319" s="94"/>
      <c r="BS319" s="94"/>
      <c r="BT319" s="94"/>
      <c r="BU319" s="28">
        <f t="shared" si="271"/>
        <v>0</v>
      </c>
      <c r="BV319" s="28"/>
      <c r="BW319" s="28"/>
      <c r="BX319" s="28"/>
      <c r="BY319" s="28"/>
      <c r="BZ319" s="28"/>
      <c r="CA319" s="28"/>
      <c r="CB319" s="99"/>
      <c r="CC319" s="99">
        <v>1</v>
      </c>
      <c r="CD319" s="99">
        <v>2</v>
      </c>
      <c r="CE319" s="99">
        <v>5</v>
      </c>
      <c r="CF319" s="99">
        <v>10</v>
      </c>
      <c r="CG319" s="99">
        <v>10</v>
      </c>
      <c r="CH319" s="99">
        <v>10</v>
      </c>
      <c r="CI319" s="175"/>
      <c r="CJ319" s="175"/>
      <c r="CK319" s="175"/>
      <c r="CL319" s="175"/>
      <c r="CM319" s="175"/>
      <c r="CN319" s="175"/>
      <c r="CO319" s="175"/>
      <c r="CP319" s="176"/>
      <c r="CQ319" s="176"/>
      <c r="CR319" s="176"/>
      <c r="CS319" s="176"/>
      <c r="CT319" s="176"/>
      <c r="CU319" s="176"/>
      <c r="CV319" s="176"/>
      <c r="CW319" s="167"/>
      <c r="CX319" s="168"/>
      <c r="CY319" s="168"/>
      <c r="CZ319" s="168"/>
      <c r="DA319" s="168"/>
      <c r="DB319" s="168"/>
      <c r="DC319" s="168"/>
      <c r="DD319" s="172"/>
      <c r="DE319" s="172"/>
      <c r="DF319" s="172"/>
      <c r="DG319" s="172"/>
      <c r="DH319" s="172"/>
      <c r="DI319" s="172"/>
      <c r="DJ319" s="172"/>
      <c r="DK319" s="80" t="s">
        <v>1409</v>
      </c>
      <c r="DL319" s="129">
        <v>100</v>
      </c>
      <c r="DM319" s="129">
        <v>100</v>
      </c>
      <c r="DN319" s="129">
        <v>100</v>
      </c>
      <c r="DO319" s="129">
        <v>100</v>
      </c>
      <c r="DP319" s="129">
        <v>100</v>
      </c>
      <c r="DQ319" s="129">
        <v>100</v>
      </c>
      <c r="DR319" s="129">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5" t="s">
        <v>1438</v>
      </c>
      <c r="B320" s="5" t="s">
        <v>740</v>
      </c>
      <c r="C320" s="5" t="s">
        <v>788</v>
      </c>
      <c r="D320" s="5" t="s">
        <v>741</v>
      </c>
      <c r="E320" s="5" t="s">
        <v>459</v>
      </c>
      <c r="F320" s="5" t="s">
        <v>464</v>
      </c>
      <c r="G320" s="221" t="s">
        <v>1439</v>
      </c>
      <c r="H320" s="47" t="s">
        <v>981</v>
      </c>
      <c r="I320" s="101">
        <v>150</v>
      </c>
      <c r="J320" s="101">
        <v>150</v>
      </c>
      <c r="K320" s="101">
        <v>150</v>
      </c>
      <c r="L320" s="101">
        <v>150</v>
      </c>
      <c r="M320" s="101">
        <v>150</v>
      </c>
      <c r="N320" s="101">
        <v>150</v>
      </c>
      <c r="O320" s="101">
        <v>150</v>
      </c>
      <c r="P320" s="93">
        <v>0</v>
      </c>
      <c r="Q320" s="101">
        <v>2</v>
      </c>
      <c r="R320" s="101">
        <v>2</v>
      </c>
      <c r="S320" s="101">
        <v>2</v>
      </c>
      <c r="T320" s="101">
        <v>2</v>
      </c>
      <c r="U320" s="101">
        <v>2</v>
      </c>
      <c r="V320" s="101">
        <v>2</v>
      </c>
      <c r="W320" s="101">
        <v>2</v>
      </c>
      <c r="X320" s="101">
        <v>0</v>
      </c>
      <c r="Y320" s="101">
        <v>0</v>
      </c>
      <c r="Z320" s="101">
        <v>0</v>
      </c>
      <c r="AA320" s="101">
        <v>0</v>
      </c>
      <c r="AB320" s="101">
        <v>0</v>
      </c>
      <c r="AC320" s="101">
        <v>0</v>
      </c>
      <c r="AD320" s="101">
        <v>0</v>
      </c>
      <c r="AE320" s="186">
        <v>0.08</v>
      </c>
      <c r="AF320" s="93">
        <v>0</v>
      </c>
      <c r="AG320" s="93">
        <v>12</v>
      </c>
      <c r="AH320" s="93">
        <v>12</v>
      </c>
      <c r="AI320" s="16">
        <f t="shared" ref="AI320" si="276">1.5*3.6</f>
        <v>5.4</v>
      </c>
      <c r="AJ320" s="16" t="s">
        <v>660</v>
      </c>
      <c r="AK320" s="16" t="s">
        <v>672</v>
      </c>
      <c r="AL320" s="16"/>
      <c r="AM320" s="60"/>
      <c r="AN320" s="60"/>
      <c r="AO320" s="60"/>
      <c r="AP320" s="60"/>
      <c r="AQ320" s="60"/>
      <c r="AR320" s="60"/>
      <c r="AS320" s="63"/>
      <c r="AT320" s="63"/>
      <c r="AU320" s="63"/>
      <c r="AV320" s="131"/>
      <c r="AW320" s="131"/>
      <c r="AX320" s="131"/>
      <c r="AY320" s="27" t="s">
        <v>662</v>
      </c>
      <c r="AZ320" s="27"/>
      <c r="BA320" s="27"/>
      <c r="BB320" s="30"/>
      <c r="BC320" s="30"/>
      <c r="BD320" s="30"/>
      <c r="BE320" s="30"/>
      <c r="BF320" s="30"/>
      <c r="BG320" s="30"/>
      <c r="BH320" s="107"/>
      <c r="BI320" s="107"/>
      <c r="BJ320" s="107"/>
      <c r="BK320" s="107"/>
      <c r="BL320" s="136"/>
      <c r="BM320" s="122"/>
      <c r="BN320" s="138">
        <v>0</v>
      </c>
      <c r="BO320" s="93"/>
      <c r="BP320" s="93"/>
      <c r="BQ320" s="93"/>
      <c r="BR320" s="93"/>
      <c r="BS320" s="93"/>
      <c r="BT320" s="93"/>
      <c r="BU320" s="27">
        <f t="shared" si="271"/>
        <v>0</v>
      </c>
      <c r="BV320" s="27"/>
      <c r="BW320" s="27"/>
      <c r="BX320" s="27"/>
      <c r="BY320" s="27"/>
      <c r="BZ320" s="27"/>
      <c r="CA320" s="27"/>
      <c r="CB320" s="97"/>
      <c r="CC320" s="97">
        <v>5</v>
      </c>
      <c r="CD320" s="97">
        <v>25</v>
      </c>
      <c r="CE320" s="97">
        <v>50</v>
      </c>
      <c r="CF320" s="97">
        <v>100</v>
      </c>
      <c r="CG320" s="97">
        <v>100</v>
      </c>
      <c r="CH320" s="97">
        <v>100</v>
      </c>
      <c r="CI320" s="173"/>
      <c r="CJ320" s="173"/>
      <c r="CK320" s="173"/>
      <c r="CL320" s="173"/>
      <c r="CM320" s="173"/>
      <c r="CN320" s="173"/>
      <c r="CO320" s="173"/>
      <c r="CP320" s="174"/>
      <c r="CQ320" s="174"/>
      <c r="CR320" s="174"/>
      <c r="CS320" s="174"/>
      <c r="CT320" s="174"/>
      <c r="CU320" s="174"/>
      <c r="CV320" s="174"/>
      <c r="CW320" s="165"/>
      <c r="CX320" s="166"/>
      <c r="CY320" s="166"/>
      <c r="CZ320" s="166"/>
      <c r="DA320" s="166"/>
      <c r="DB320" s="166"/>
      <c r="DC320" s="166"/>
      <c r="DD320" s="171"/>
      <c r="DE320" s="171"/>
      <c r="DF320" s="171"/>
      <c r="DG320" s="171"/>
      <c r="DH320" s="171"/>
      <c r="DI320" s="171"/>
      <c r="DJ320" s="171"/>
      <c r="DK320" s="79" t="s">
        <v>1335</v>
      </c>
      <c r="DL320" s="128">
        <v>200</v>
      </c>
      <c r="DM320" s="128">
        <v>200</v>
      </c>
      <c r="DN320" s="128">
        <v>200</v>
      </c>
      <c r="DO320" s="128">
        <v>200</v>
      </c>
      <c r="DP320" s="128">
        <v>200</v>
      </c>
      <c r="DQ320" s="128">
        <v>200</v>
      </c>
      <c r="DR320" s="128">
        <v>200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6" t="s">
        <v>1440</v>
      </c>
      <c r="B321" s="6" t="s">
        <v>740</v>
      </c>
      <c r="C321" s="6" t="s">
        <v>788</v>
      </c>
      <c r="D321" s="6" t="s">
        <v>741</v>
      </c>
      <c r="E321" s="6" t="s">
        <v>459</v>
      </c>
      <c r="F321" s="6" t="s">
        <v>464</v>
      </c>
      <c r="G321" s="48" t="s">
        <v>1441</v>
      </c>
      <c r="H321" s="48" t="s">
        <v>981</v>
      </c>
      <c r="I321" s="102">
        <v>100</v>
      </c>
      <c r="J321" s="102">
        <v>100</v>
      </c>
      <c r="K321" s="102">
        <v>100</v>
      </c>
      <c r="L321" s="102">
        <v>100</v>
      </c>
      <c r="M321" s="102">
        <v>100</v>
      </c>
      <c r="N321" s="102">
        <v>100</v>
      </c>
      <c r="O321" s="102">
        <v>100</v>
      </c>
      <c r="P321" s="94">
        <v>0</v>
      </c>
      <c r="Q321" s="102">
        <v>3</v>
      </c>
      <c r="R321" s="102">
        <v>3</v>
      </c>
      <c r="S321" s="102">
        <v>3</v>
      </c>
      <c r="T321" s="102">
        <v>3</v>
      </c>
      <c r="U321" s="102">
        <v>3</v>
      </c>
      <c r="V321" s="102">
        <v>3</v>
      </c>
      <c r="W321" s="102">
        <v>3</v>
      </c>
      <c r="X321" s="102">
        <v>0</v>
      </c>
      <c r="Y321" s="102">
        <v>0</v>
      </c>
      <c r="Z321" s="102">
        <v>0</v>
      </c>
      <c r="AA321" s="102">
        <v>0</v>
      </c>
      <c r="AB321" s="102">
        <v>0</v>
      </c>
      <c r="AC321" s="102">
        <v>0</v>
      </c>
      <c r="AD321" s="102">
        <v>0</v>
      </c>
      <c r="AE321" s="186">
        <v>0.08</v>
      </c>
      <c r="AF321" s="94">
        <v>0</v>
      </c>
      <c r="AG321" s="94">
        <v>20</v>
      </c>
      <c r="AH321" s="94">
        <v>20</v>
      </c>
      <c r="AI321" s="17">
        <v>31.536000000000001</v>
      </c>
      <c r="AJ321" s="17" t="s">
        <v>660</v>
      </c>
      <c r="AK321" s="17" t="s">
        <v>745</v>
      </c>
      <c r="AL321" s="17"/>
      <c r="AM321" s="61"/>
      <c r="AN321" s="61"/>
      <c r="AO321" s="61"/>
      <c r="AP321" s="61"/>
      <c r="AQ321" s="61"/>
      <c r="AR321" s="61"/>
      <c r="AS321" s="64"/>
      <c r="AT321" s="64"/>
      <c r="AU321" s="64"/>
      <c r="AV321" s="132"/>
      <c r="AW321" s="132"/>
      <c r="AX321" s="132"/>
      <c r="AY321" s="28" t="s">
        <v>662</v>
      </c>
      <c r="AZ321" s="28"/>
      <c r="BA321" s="28"/>
      <c r="BB321" s="28"/>
      <c r="BC321" s="28"/>
      <c r="BD321" s="28"/>
      <c r="BE321" s="28"/>
      <c r="BF321" s="28"/>
      <c r="BG321" s="28"/>
      <c r="BH321" s="106"/>
      <c r="BI321" s="106"/>
      <c r="BJ321" s="106"/>
      <c r="BK321" s="106"/>
      <c r="BL321" s="137"/>
      <c r="BM321" s="123"/>
      <c r="BN321" s="139">
        <v>0</v>
      </c>
      <c r="BO321" s="94"/>
      <c r="BP321" s="94"/>
      <c r="BQ321" s="94"/>
      <c r="BR321" s="94"/>
      <c r="BS321" s="94"/>
      <c r="BT321" s="94"/>
      <c r="BU321" s="28">
        <f t="shared" si="271"/>
        <v>0</v>
      </c>
      <c r="BV321" s="28"/>
      <c r="BW321" s="28"/>
      <c r="BX321" s="28"/>
      <c r="BY321" s="28"/>
      <c r="BZ321" s="28"/>
      <c r="CA321" s="28"/>
      <c r="CB321" s="99"/>
      <c r="CC321" s="99">
        <v>1</v>
      </c>
      <c r="CD321" s="99">
        <v>2</v>
      </c>
      <c r="CE321" s="99">
        <v>5</v>
      </c>
      <c r="CF321" s="99">
        <v>10</v>
      </c>
      <c r="CG321" s="99">
        <v>10</v>
      </c>
      <c r="CH321" s="99">
        <v>10</v>
      </c>
      <c r="CI321" s="175"/>
      <c r="CJ321" s="175"/>
      <c r="CK321" s="175"/>
      <c r="CL321" s="175"/>
      <c r="CM321" s="175"/>
      <c r="CN321" s="175"/>
      <c r="CO321" s="175"/>
      <c r="CP321" s="176"/>
      <c r="CQ321" s="176"/>
      <c r="CR321" s="176"/>
      <c r="CS321" s="176"/>
      <c r="CT321" s="176"/>
      <c r="CU321" s="176"/>
      <c r="CV321" s="176"/>
      <c r="CW321" s="167"/>
      <c r="CX321" s="168"/>
      <c r="CY321" s="168"/>
      <c r="CZ321" s="168"/>
      <c r="DA321" s="168"/>
      <c r="DB321" s="168"/>
      <c r="DC321" s="168"/>
      <c r="DD321" s="172"/>
      <c r="DE321" s="172"/>
      <c r="DF321" s="172"/>
      <c r="DG321" s="172"/>
      <c r="DH321" s="172"/>
      <c r="DI321" s="172"/>
      <c r="DJ321" s="172"/>
      <c r="DK321" s="80" t="s">
        <v>1409</v>
      </c>
      <c r="DL321" s="129">
        <v>100</v>
      </c>
      <c r="DM321" s="129">
        <v>100</v>
      </c>
      <c r="DN321" s="129">
        <v>100</v>
      </c>
      <c r="DO321" s="129">
        <v>100</v>
      </c>
      <c r="DP321" s="129">
        <v>100</v>
      </c>
      <c r="DQ321" s="129">
        <v>100</v>
      </c>
      <c r="DR321" s="129">
        <v>100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tr">
        <f>H249</f>
        <v>[GW]</v>
      </c>
      <c r="I322" s="102">
        <f t="shared" ref="I322:AH322" si="277">I249</f>
        <v>9867</v>
      </c>
      <c r="J322" s="102">
        <f t="shared" si="277"/>
        <v>8745.75</v>
      </c>
      <c r="K322" s="102">
        <f t="shared" si="277"/>
        <v>7097</v>
      </c>
      <c r="L322" s="102">
        <f t="shared" si="277"/>
        <v>6600</v>
      </c>
      <c r="M322" s="102">
        <f t="shared" si="277"/>
        <v>6400</v>
      </c>
      <c r="N322" s="102">
        <f t="shared" si="277"/>
        <v>6200</v>
      </c>
      <c r="O322" s="102">
        <f t="shared" si="277"/>
        <v>6104</v>
      </c>
      <c r="P322" s="94">
        <v>0</v>
      </c>
      <c r="Q322" s="102">
        <f t="shared" si="277"/>
        <v>100.4</v>
      </c>
      <c r="R322" s="102">
        <f t="shared" si="277"/>
        <v>100.4</v>
      </c>
      <c r="S322" s="102">
        <f t="shared" si="277"/>
        <v>100.4</v>
      </c>
      <c r="T322" s="102">
        <f t="shared" si="277"/>
        <v>100.4</v>
      </c>
      <c r="U322" s="102">
        <f t="shared" si="277"/>
        <v>100.4</v>
      </c>
      <c r="V322" s="102">
        <f t="shared" si="277"/>
        <v>100.4</v>
      </c>
      <c r="W322" s="102">
        <f t="shared" si="277"/>
        <v>100.4</v>
      </c>
      <c r="X322" s="102">
        <f t="shared" si="277"/>
        <v>4.9400000000000004</v>
      </c>
      <c r="Y322" s="102">
        <f t="shared" si="277"/>
        <v>4.9400000000000004</v>
      </c>
      <c r="Z322" s="102">
        <f t="shared" si="277"/>
        <v>4.9400000000000004</v>
      </c>
      <c r="AA322" s="102">
        <f t="shared" si="277"/>
        <v>4.9400000000000004</v>
      </c>
      <c r="AB322" s="102">
        <f t="shared" si="277"/>
        <v>4.9400000000000004</v>
      </c>
      <c r="AC322" s="102">
        <f t="shared" si="277"/>
        <v>4.9400000000000004</v>
      </c>
      <c r="AD322" s="102">
        <f t="shared" si="277"/>
        <v>4.9400000000000004</v>
      </c>
      <c r="AE322" s="186">
        <v>0.08</v>
      </c>
      <c r="AF322" s="94">
        <f t="shared" si="277"/>
        <v>0</v>
      </c>
      <c r="AG322" s="94">
        <f t="shared" si="277"/>
        <v>60</v>
      </c>
      <c r="AH322" s="94">
        <f t="shared" si="277"/>
        <v>60</v>
      </c>
      <c r="AI322" s="17">
        <f>AI249</f>
        <v>28.4</v>
      </c>
      <c r="AJ322" s="17" t="s">
        <v>1241</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ref="BU322" si="278">IF(BL322=1,BN322,0)</f>
        <v>0</v>
      </c>
      <c r="BV322" s="28"/>
      <c r="BW322" s="28"/>
      <c r="BX322" s="28"/>
      <c r="BY322" s="28"/>
      <c r="BZ322" s="28"/>
      <c r="CA322" s="28"/>
      <c r="CB322" s="99"/>
      <c r="CC322" s="99">
        <f t="shared" ref="CC322:CD322" si="279">CC249</f>
        <v>0</v>
      </c>
      <c r="CD322" s="99">
        <f t="shared" si="279"/>
        <v>0</v>
      </c>
      <c r="CE322" s="99"/>
      <c r="CF322" s="99"/>
      <c r="CG322" s="99"/>
      <c r="CH322" s="99"/>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1409</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I322</f>
        <v>9867</v>
      </c>
      <c r="J323" s="102">
        <f t="shared" ref="J323:AI323" si="280">J322</f>
        <v>8745.75</v>
      </c>
      <c r="K323" s="102">
        <f t="shared" si="280"/>
        <v>7097</v>
      </c>
      <c r="L323" s="102">
        <f t="shared" si="280"/>
        <v>6600</v>
      </c>
      <c r="M323" s="102">
        <f t="shared" si="280"/>
        <v>6400</v>
      </c>
      <c r="N323" s="102">
        <f t="shared" si="280"/>
        <v>6200</v>
      </c>
      <c r="O323" s="102">
        <f t="shared" si="280"/>
        <v>6104</v>
      </c>
      <c r="P323" s="94">
        <v>0</v>
      </c>
      <c r="Q323" s="102">
        <f t="shared" si="280"/>
        <v>100.4</v>
      </c>
      <c r="R323" s="102">
        <f t="shared" si="280"/>
        <v>100.4</v>
      </c>
      <c r="S323" s="102">
        <f t="shared" si="280"/>
        <v>100.4</v>
      </c>
      <c r="T323" s="102">
        <f t="shared" si="280"/>
        <v>100.4</v>
      </c>
      <c r="U323" s="102">
        <f t="shared" si="280"/>
        <v>100.4</v>
      </c>
      <c r="V323" s="102">
        <f t="shared" si="280"/>
        <v>100.4</v>
      </c>
      <c r="W323" s="102">
        <f t="shared" si="280"/>
        <v>100.4</v>
      </c>
      <c r="X323" s="102">
        <f t="shared" si="280"/>
        <v>4.9400000000000004</v>
      </c>
      <c r="Y323" s="102">
        <f t="shared" si="280"/>
        <v>4.9400000000000004</v>
      </c>
      <c r="Z323" s="102">
        <f t="shared" si="280"/>
        <v>4.9400000000000004</v>
      </c>
      <c r="AA323" s="102">
        <f t="shared" si="280"/>
        <v>4.9400000000000004</v>
      </c>
      <c r="AB323" s="102">
        <f t="shared" si="280"/>
        <v>4.9400000000000004</v>
      </c>
      <c r="AC323" s="102">
        <f t="shared" si="280"/>
        <v>4.9400000000000004</v>
      </c>
      <c r="AD323" s="102">
        <f t="shared" si="280"/>
        <v>4.9400000000000004</v>
      </c>
      <c r="AE323" s="186">
        <v>0.08</v>
      </c>
      <c r="AF323" s="94">
        <f t="shared" si="280"/>
        <v>0</v>
      </c>
      <c r="AG323" s="94">
        <f t="shared" si="280"/>
        <v>60</v>
      </c>
      <c r="AH323" s="94">
        <f t="shared" si="280"/>
        <v>60</v>
      </c>
      <c r="AI323" s="17">
        <f t="shared" si="280"/>
        <v>28.4</v>
      </c>
      <c r="AJ323" s="17" t="s">
        <v>982</v>
      </c>
      <c r="AK323" s="17" t="s">
        <v>745</v>
      </c>
      <c r="AL323" s="17"/>
      <c r="AM323" s="61" t="s">
        <v>464</v>
      </c>
      <c r="AN323" s="61" t="s">
        <v>508</v>
      </c>
      <c r="AO323" s="61">
        <v>1</v>
      </c>
      <c r="AP323" s="61" t="s">
        <v>667</v>
      </c>
      <c r="AQ323" s="61">
        <v>0.2</v>
      </c>
      <c r="AR323" s="61">
        <v>0.5</v>
      </c>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1">IF(BL323=1,BN323,0)</f>
        <v>0</v>
      </c>
      <c r="BV323" s="28"/>
      <c r="BW323" s="28"/>
      <c r="BX323" s="28"/>
      <c r="BY323" s="28"/>
      <c r="BZ323" s="28"/>
      <c r="CA323" s="28"/>
      <c r="CB323" s="99">
        <f t="shared" ref="CB323:CE323" si="282">CB322</f>
        <v>0</v>
      </c>
      <c r="CC323" s="99">
        <f t="shared" si="282"/>
        <v>0</v>
      </c>
      <c r="CD323" s="99">
        <f t="shared" si="282"/>
        <v>0</v>
      </c>
      <c r="CE323" s="99">
        <f t="shared" si="282"/>
        <v>0</v>
      </c>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1409</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5" t="s">
        <v>1446</v>
      </c>
      <c r="B324" s="5" t="s">
        <v>740</v>
      </c>
      <c r="C324" s="5" t="s">
        <v>788</v>
      </c>
      <c r="D324" s="5" t="s">
        <v>741</v>
      </c>
      <c r="E324" s="5" t="s">
        <v>459</v>
      </c>
      <c r="F324" s="5" t="s">
        <v>465</v>
      </c>
      <c r="G324" s="47" t="s">
        <v>1447</v>
      </c>
      <c r="H324" s="47" t="s">
        <v>981</v>
      </c>
      <c r="I324" s="101">
        <v>0</v>
      </c>
      <c r="J324" s="101">
        <v>0</v>
      </c>
      <c r="K324" s="101">
        <v>0</v>
      </c>
      <c r="L324" s="101">
        <v>0</v>
      </c>
      <c r="M324" s="101">
        <v>0</v>
      </c>
      <c r="N324" s="101">
        <v>0</v>
      </c>
      <c r="O324" s="101">
        <v>0</v>
      </c>
      <c r="P324" s="93">
        <v>0</v>
      </c>
      <c r="Q324" s="101">
        <v>0</v>
      </c>
      <c r="R324" s="101">
        <v>0</v>
      </c>
      <c r="S324" s="101">
        <v>0</v>
      </c>
      <c r="T324" s="101">
        <v>0</v>
      </c>
      <c r="U324" s="101">
        <v>0</v>
      </c>
      <c r="V324" s="101">
        <v>0</v>
      </c>
      <c r="W324" s="101">
        <v>0</v>
      </c>
      <c r="X324" s="101">
        <v>0</v>
      </c>
      <c r="Y324" s="101">
        <v>0</v>
      </c>
      <c r="Z324" s="101">
        <v>0</v>
      </c>
      <c r="AA324" s="101">
        <v>0</v>
      </c>
      <c r="AB324" s="101">
        <v>0</v>
      </c>
      <c r="AC324" s="101">
        <v>0</v>
      </c>
      <c r="AD324" s="101">
        <v>0</v>
      </c>
      <c r="AE324" s="186">
        <v>0.08</v>
      </c>
      <c r="AF324" s="93"/>
      <c r="AG324" s="93">
        <v>1</v>
      </c>
      <c r="AH324" s="93">
        <v>1</v>
      </c>
      <c r="AI324" s="16">
        <v>31.536000000000001</v>
      </c>
      <c r="AJ324" s="16" t="s">
        <v>660</v>
      </c>
      <c r="AK324" s="16" t="s">
        <v>745</v>
      </c>
      <c r="AL324" s="16"/>
      <c r="AM324" s="60"/>
      <c r="AN324" s="60"/>
      <c r="AO324" s="60"/>
      <c r="AP324" s="60"/>
      <c r="AQ324" s="60"/>
      <c r="AR324" s="60"/>
      <c r="AS324" s="63"/>
      <c r="AT324" s="63"/>
      <c r="AU324" s="63"/>
      <c r="AV324" s="131"/>
      <c r="AW324" s="131"/>
      <c r="AX324" s="131"/>
      <c r="AY324" s="27" t="s">
        <v>662</v>
      </c>
      <c r="AZ324" s="27"/>
      <c r="BA324" s="27"/>
      <c r="BB324" s="30"/>
      <c r="BC324" s="30"/>
      <c r="BD324" s="30"/>
      <c r="BE324" s="30"/>
      <c r="BF324" s="30"/>
      <c r="BG324" s="30"/>
      <c r="BH324" s="107"/>
      <c r="BI324" s="107"/>
      <c r="BJ324" s="107"/>
      <c r="BK324" s="107"/>
      <c r="BL324" s="136"/>
      <c r="BM324" s="122"/>
      <c r="BN324" s="138">
        <v>5</v>
      </c>
      <c r="BO324" s="93"/>
      <c r="BP324" s="93"/>
      <c r="BQ324" s="93"/>
      <c r="BR324" s="93"/>
      <c r="BS324" s="93"/>
      <c r="BT324" s="93"/>
      <c r="BU324" s="27"/>
      <c r="BV324" s="27"/>
      <c r="BW324" s="27"/>
      <c r="BX324" s="27"/>
      <c r="BY324" s="27"/>
      <c r="BZ324" s="27"/>
      <c r="CA324" s="27"/>
      <c r="CB324" s="185">
        <v>10</v>
      </c>
      <c r="CC324" s="185">
        <v>10</v>
      </c>
      <c r="CD324" s="185">
        <v>10</v>
      </c>
      <c r="CE324" s="97">
        <v>0.5</v>
      </c>
      <c r="CF324" s="97">
        <v>0.5</v>
      </c>
      <c r="CG324" s="97">
        <v>0.5</v>
      </c>
      <c r="CH324" s="97">
        <v>0.5</v>
      </c>
      <c r="CI324" s="173"/>
      <c r="CJ324" s="173"/>
      <c r="CK324" s="173"/>
      <c r="CL324" s="173"/>
      <c r="CM324" s="173"/>
      <c r="CN324" s="173"/>
      <c r="CO324" s="173"/>
      <c r="CP324" s="174"/>
      <c r="CQ324" s="174"/>
      <c r="CR324" s="174"/>
      <c r="CS324" s="174"/>
      <c r="CT324" s="174"/>
      <c r="CU324" s="174"/>
      <c r="CV324" s="174"/>
      <c r="CW324" s="165"/>
      <c r="CX324" s="166"/>
      <c r="CY324" s="166"/>
      <c r="CZ324" s="166"/>
      <c r="DA324" s="166"/>
      <c r="DB324" s="166"/>
      <c r="DC324" s="166"/>
      <c r="DD324" s="171"/>
      <c r="DE324" s="171"/>
      <c r="DF324" s="171"/>
      <c r="DG324" s="171"/>
      <c r="DH324" s="171"/>
      <c r="DI324" s="171"/>
      <c r="DJ324" s="171"/>
      <c r="DK324" s="79" t="s">
        <v>1409</v>
      </c>
      <c r="DL324" s="128">
        <v>500</v>
      </c>
      <c r="DM324" s="128">
        <v>500</v>
      </c>
      <c r="DN324" s="128">
        <v>500</v>
      </c>
      <c r="DO324" s="128">
        <v>500</v>
      </c>
      <c r="DP324" s="128">
        <v>500</v>
      </c>
      <c r="DQ324" s="128">
        <v>500</v>
      </c>
      <c r="DR324" s="128">
        <v>500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6" t="s">
        <v>1448</v>
      </c>
      <c r="B325" s="6" t="s">
        <v>740</v>
      </c>
      <c r="C325" s="6" t="s">
        <v>788</v>
      </c>
      <c r="D325" s="6" t="s">
        <v>741</v>
      </c>
      <c r="E325" s="6" t="s">
        <v>459</v>
      </c>
      <c r="F325" s="6" t="s">
        <v>465</v>
      </c>
      <c r="G325" s="48" t="s">
        <v>1449</v>
      </c>
      <c r="H325" s="48" t="s">
        <v>981</v>
      </c>
      <c r="I325" s="102">
        <v>550</v>
      </c>
      <c r="J325" s="102">
        <v>550</v>
      </c>
      <c r="K325" s="102">
        <v>550</v>
      </c>
      <c r="L325" s="102">
        <v>550</v>
      </c>
      <c r="M325" s="102">
        <v>550</v>
      </c>
      <c r="N325" s="102">
        <v>550</v>
      </c>
      <c r="O325" s="102">
        <v>550</v>
      </c>
      <c r="P325" s="94">
        <v>0</v>
      </c>
      <c r="Q325" s="102">
        <v>8</v>
      </c>
      <c r="R325" s="102">
        <v>8</v>
      </c>
      <c r="S325" s="102">
        <v>8</v>
      </c>
      <c r="T325" s="102">
        <v>8</v>
      </c>
      <c r="U325" s="102">
        <v>8</v>
      </c>
      <c r="V325" s="102">
        <v>8</v>
      </c>
      <c r="W325" s="102">
        <v>8</v>
      </c>
      <c r="X325" s="102">
        <v>0</v>
      </c>
      <c r="Y325" s="102">
        <v>0</v>
      </c>
      <c r="Z325" s="102">
        <v>0</v>
      </c>
      <c r="AA325" s="102">
        <v>0</v>
      </c>
      <c r="AB325" s="102">
        <v>0</v>
      </c>
      <c r="AC325" s="102">
        <v>0</v>
      </c>
      <c r="AD325" s="102">
        <v>0</v>
      </c>
      <c r="AE325" s="186">
        <v>0.08</v>
      </c>
      <c r="AF325" s="94">
        <v>0</v>
      </c>
      <c r="AG325" s="94">
        <v>20</v>
      </c>
      <c r="AH325" s="94">
        <v>20</v>
      </c>
      <c r="AI325" s="17">
        <v>31.536000000000001</v>
      </c>
      <c r="AJ325" s="17" t="s">
        <v>660</v>
      </c>
      <c r="AK325" s="17" t="s">
        <v>745</v>
      </c>
      <c r="AL325" s="17"/>
      <c r="AM325" s="61"/>
      <c r="AN325" s="61"/>
      <c r="AO325" s="61"/>
      <c r="AP325" s="61"/>
      <c r="AQ325" s="61"/>
      <c r="AR325" s="61"/>
      <c r="AS325" s="64"/>
      <c r="AT325" s="64"/>
      <c r="AU325" s="64"/>
      <c r="AV325" s="132"/>
      <c r="AW325" s="132"/>
      <c r="AX325" s="132"/>
      <c r="AY325" s="28" t="s">
        <v>662</v>
      </c>
      <c r="AZ325" s="28"/>
      <c r="BA325" s="28"/>
      <c r="BB325" s="28"/>
      <c r="BC325" s="28"/>
      <c r="BD325" s="28"/>
      <c r="BE325" s="28"/>
      <c r="BF325" s="28"/>
      <c r="BG325" s="28"/>
      <c r="BH325" s="106"/>
      <c r="BI325" s="106"/>
      <c r="BJ325" s="106"/>
      <c r="BK325" s="106"/>
      <c r="BL325" s="137"/>
      <c r="BM325" s="123"/>
      <c r="BN325" s="139">
        <v>0</v>
      </c>
      <c r="BO325" s="94"/>
      <c r="BP325" s="94"/>
      <c r="BQ325" s="94"/>
      <c r="BR325" s="94"/>
      <c r="BS325" s="94"/>
      <c r="BT325" s="94"/>
      <c r="BU325" s="28">
        <f t="shared" si="271"/>
        <v>0</v>
      </c>
      <c r="BV325" s="28"/>
      <c r="BW325" s="28"/>
      <c r="BX325" s="28"/>
      <c r="BY325" s="28"/>
      <c r="BZ325" s="28"/>
      <c r="CA325" s="28"/>
      <c r="CB325" s="99"/>
      <c r="CC325" s="99">
        <v>1</v>
      </c>
      <c r="CD325" s="99">
        <v>2</v>
      </c>
      <c r="CE325" s="99">
        <v>5</v>
      </c>
      <c r="CF325" s="99">
        <v>10</v>
      </c>
      <c r="CG325" s="99">
        <v>10</v>
      </c>
      <c r="CH325" s="99">
        <v>10</v>
      </c>
      <c r="CI325" s="175"/>
      <c r="CJ325" s="175"/>
      <c r="CK325" s="175"/>
      <c r="CL325" s="175"/>
      <c r="CM325" s="175"/>
      <c r="CN325" s="175"/>
      <c r="CO325" s="175"/>
      <c r="CP325" s="176"/>
      <c r="CQ325" s="176"/>
      <c r="CR325" s="176"/>
      <c r="CS325" s="176"/>
      <c r="CT325" s="176"/>
      <c r="CU325" s="176"/>
      <c r="CV325" s="176"/>
      <c r="CW325" s="167"/>
      <c r="CX325" s="168"/>
      <c r="CY325" s="168"/>
      <c r="CZ325" s="168"/>
      <c r="DA325" s="168"/>
      <c r="DB325" s="168"/>
      <c r="DC325" s="168"/>
      <c r="DD325" s="172"/>
      <c r="DE325" s="172"/>
      <c r="DF325" s="172"/>
      <c r="DG325" s="172"/>
      <c r="DH325" s="172"/>
      <c r="DI325" s="172"/>
      <c r="DJ325" s="172"/>
      <c r="DK325" s="80" t="s">
        <v>1409</v>
      </c>
      <c r="DL325" s="129">
        <v>150</v>
      </c>
      <c r="DM325" s="129">
        <v>150</v>
      </c>
      <c r="DN325" s="129">
        <v>150</v>
      </c>
      <c r="DO325" s="129">
        <v>150</v>
      </c>
      <c r="DP325" s="129">
        <v>150</v>
      </c>
      <c r="DQ325" s="129">
        <v>150</v>
      </c>
      <c r="DR325" s="129">
        <v>150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5" t="s">
        <v>1450</v>
      </c>
      <c r="B326" s="5" t="s">
        <v>740</v>
      </c>
      <c r="C326" s="5" t="s">
        <v>788</v>
      </c>
      <c r="D326" s="5" t="s">
        <v>741</v>
      </c>
      <c r="E326" s="5" t="s">
        <v>459</v>
      </c>
      <c r="F326" s="5" t="s">
        <v>465</v>
      </c>
      <c r="G326" s="47" t="s">
        <v>1451</v>
      </c>
      <c r="H326" s="47" t="s">
        <v>981</v>
      </c>
      <c r="I326" s="101">
        <v>1200</v>
      </c>
      <c r="J326" s="101">
        <v>1100</v>
      </c>
      <c r="K326" s="101">
        <v>1000</v>
      </c>
      <c r="L326" s="101">
        <v>950</v>
      </c>
      <c r="M326" s="101">
        <v>900</v>
      </c>
      <c r="N326" s="101">
        <v>850</v>
      </c>
      <c r="O326" s="101">
        <v>800</v>
      </c>
      <c r="P326" s="93">
        <v>0</v>
      </c>
      <c r="Q326" s="101">
        <v>15</v>
      </c>
      <c r="R326" s="101">
        <v>15</v>
      </c>
      <c r="S326" s="101">
        <v>15</v>
      </c>
      <c r="T326" s="101">
        <v>15</v>
      </c>
      <c r="U326" s="101">
        <v>15</v>
      </c>
      <c r="V326" s="101">
        <v>15</v>
      </c>
      <c r="W326" s="101">
        <v>15</v>
      </c>
      <c r="X326" s="101">
        <v>0</v>
      </c>
      <c r="Y326" s="101">
        <v>0</v>
      </c>
      <c r="Z326" s="101">
        <v>0</v>
      </c>
      <c r="AA326" s="101">
        <v>0</v>
      </c>
      <c r="AB326" s="101">
        <v>0</v>
      </c>
      <c r="AC326" s="101">
        <v>0</v>
      </c>
      <c r="AD326" s="101">
        <v>0</v>
      </c>
      <c r="AE326" s="186">
        <v>0.08</v>
      </c>
      <c r="AF326" s="93">
        <v>0</v>
      </c>
      <c r="AG326" s="93">
        <v>20</v>
      </c>
      <c r="AH326" s="93">
        <v>20</v>
      </c>
      <c r="AI326" s="16">
        <v>31.536000000000001</v>
      </c>
      <c r="AJ326" s="16" t="s">
        <v>660</v>
      </c>
      <c r="AK326" s="16" t="s">
        <v>745</v>
      </c>
      <c r="AL326" s="16"/>
      <c r="AM326" s="60"/>
      <c r="AN326" s="60"/>
      <c r="AO326" s="60"/>
      <c r="AP326" s="60"/>
      <c r="AQ326" s="60"/>
      <c r="AR326" s="60"/>
      <c r="AS326" s="63"/>
      <c r="AT326" s="63"/>
      <c r="AU326" s="63"/>
      <c r="AV326" s="131"/>
      <c r="AW326" s="131"/>
      <c r="AX326" s="131"/>
      <c r="AY326" s="27" t="s">
        <v>662</v>
      </c>
      <c r="AZ326" s="27"/>
      <c r="BA326" s="27"/>
      <c r="BB326" s="30"/>
      <c r="BC326" s="30"/>
      <c r="BD326" s="30"/>
      <c r="BE326" s="30"/>
      <c r="BF326" s="30"/>
      <c r="BG326" s="30"/>
      <c r="BH326" s="107"/>
      <c r="BI326" s="107"/>
      <c r="BJ326" s="107"/>
      <c r="BK326" s="107"/>
      <c r="BL326" s="136"/>
      <c r="BM326" s="122"/>
      <c r="BN326" s="138">
        <v>0</v>
      </c>
      <c r="BO326" s="93"/>
      <c r="BP326" s="93"/>
      <c r="BQ326" s="93"/>
      <c r="BR326" s="93"/>
      <c r="BS326" s="93"/>
      <c r="BT326" s="93"/>
      <c r="BU326" s="27">
        <f t="shared" si="271"/>
        <v>0</v>
      </c>
      <c r="BV326" s="27"/>
      <c r="BW326" s="27"/>
      <c r="BX326" s="27"/>
      <c r="BY326" s="27"/>
      <c r="BZ326" s="27"/>
      <c r="CA326" s="27"/>
      <c r="CB326" s="97"/>
      <c r="CC326" s="97">
        <v>1</v>
      </c>
      <c r="CD326" s="97">
        <v>2</v>
      </c>
      <c r="CE326" s="97">
        <v>5</v>
      </c>
      <c r="CF326" s="97">
        <v>10</v>
      </c>
      <c r="CG326" s="97">
        <v>10</v>
      </c>
      <c r="CH326" s="97">
        <v>10</v>
      </c>
      <c r="CI326" s="173"/>
      <c r="CJ326" s="173"/>
      <c r="CK326" s="173"/>
      <c r="CL326" s="173"/>
      <c r="CM326" s="173"/>
      <c r="CN326" s="173"/>
      <c r="CO326" s="173"/>
      <c r="CP326" s="174"/>
      <c r="CQ326" s="174"/>
      <c r="CR326" s="174"/>
      <c r="CS326" s="174"/>
      <c r="CT326" s="174"/>
      <c r="CU326" s="174"/>
      <c r="CV326" s="174"/>
      <c r="CW326" s="165"/>
      <c r="CX326" s="166"/>
      <c r="CY326" s="166"/>
      <c r="CZ326" s="166"/>
      <c r="DA326" s="166"/>
      <c r="DB326" s="166"/>
      <c r="DC326" s="166"/>
      <c r="DD326" s="171"/>
      <c r="DE326" s="171"/>
      <c r="DF326" s="171"/>
      <c r="DG326" s="171"/>
      <c r="DH326" s="171"/>
      <c r="DI326" s="171"/>
      <c r="DJ326" s="171"/>
      <c r="DK326" s="79" t="s">
        <v>1409</v>
      </c>
      <c r="DL326" s="128">
        <v>150</v>
      </c>
      <c r="DM326" s="128">
        <v>150</v>
      </c>
      <c r="DN326" s="128">
        <v>150</v>
      </c>
      <c r="DO326" s="128">
        <v>150</v>
      </c>
      <c r="DP326" s="128">
        <v>150</v>
      </c>
      <c r="DQ326" s="128">
        <v>150</v>
      </c>
      <c r="DR326" s="128">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6" t="s">
        <v>1452</v>
      </c>
      <c r="B327" s="6" t="s">
        <v>740</v>
      </c>
      <c r="C327" s="6" t="s">
        <v>788</v>
      </c>
      <c r="D327" s="6" t="s">
        <v>741</v>
      </c>
      <c r="E327" s="6" t="s">
        <v>459</v>
      </c>
      <c r="F327" s="6" t="s">
        <v>465</v>
      </c>
      <c r="G327" s="48" t="s">
        <v>1453</v>
      </c>
      <c r="H327" s="48" t="s">
        <v>981</v>
      </c>
      <c r="I327" s="102">
        <v>900</v>
      </c>
      <c r="J327" s="102">
        <v>900</v>
      </c>
      <c r="K327" s="102">
        <v>900</v>
      </c>
      <c r="L327" s="102">
        <v>900</v>
      </c>
      <c r="M327" s="102">
        <v>900</v>
      </c>
      <c r="N327" s="102">
        <v>900</v>
      </c>
      <c r="O327" s="102">
        <v>900</v>
      </c>
      <c r="P327" s="94">
        <v>0</v>
      </c>
      <c r="Q327" s="102">
        <v>20</v>
      </c>
      <c r="R327" s="102">
        <v>20</v>
      </c>
      <c r="S327" s="102">
        <v>20</v>
      </c>
      <c r="T327" s="102">
        <v>20</v>
      </c>
      <c r="U327" s="102">
        <v>20</v>
      </c>
      <c r="V327" s="102">
        <v>20</v>
      </c>
      <c r="W327" s="102">
        <v>20</v>
      </c>
      <c r="X327" s="102">
        <v>0</v>
      </c>
      <c r="Y327" s="102">
        <v>0</v>
      </c>
      <c r="Z327" s="102">
        <v>0</v>
      </c>
      <c r="AA327" s="102">
        <v>0</v>
      </c>
      <c r="AB327" s="102">
        <v>0</v>
      </c>
      <c r="AC327" s="102">
        <v>0</v>
      </c>
      <c r="AD327" s="102">
        <v>0</v>
      </c>
      <c r="AE327" s="186">
        <v>0.08</v>
      </c>
      <c r="AF327" s="94">
        <v>0</v>
      </c>
      <c r="AG327" s="94">
        <v>20</v>
      </c>
      <c r="AH327" s="94">
        <v>20</v>
      </c>
      <c r="AI327" s="17">
        <v>31.536000000000001</v>
      </c>
      <c r="AJ327" s="17" t="s">
        <v>660</v>
      </c>
      <c r="AK327" s="17" t="s">
        <v>745</v>
      </c>
      <c r="AL327" s="17"/>
      <c r="AM327" s="61"/>
      <c r="AN327" s="61"/>
      <c r="AO327" s="61"/>
      <c r="AP327" s="61"/>
      <c r="AQ327" s="61"/>
      <c r="AR327" s="61"/>
      <c r="AS327" s="64"/>
      <c r="AT327" s="64"/>
      <c r="AU327" s="64"/>
      <c r="AV327" s="132"/>
      <c r="AW327" s="132"/>
      <c r="AX327" s="132"/>
      <c r="AY327" s="28" t="s">
        <v>662</v>
      </c>
      <c r="AZ327" s="28"/>
      <c r="BA327" s="28"/>
      <c r="BB327" s="28"/>
      <c r="BC327" s="28"/>
      <c r="BD327" s="28"/>
      <c r="BE327" s="28"/>
      <c r="BF327" s="28"/>
      <c r="BG327" s="28"/>
      <c r="BH327" s="106"/>
      <c r="BI327" s="106"/>
      <c r="BJ327" s="106"/>
      <c r="BK327" s="106"/>
      <c r="BL327" s="137"/>
      <c r="BM327" s="123"/>
      <c r="BN327" s="139">
        <v>0</v>
      </c>
      <c r="BO327" s="94"/>
      <c r="BP327" s="94"/>
      <c r="BQ327" s="94"/>
      <c r="BR327" s="94"/>
      <c r="BS327" s="94"/>
      <c r="BT327" s="94"/>
      <c r="BU327" s="28">
        <f t="shared" si="271"/>
        <v>0</v>
      </c>
      <c r="BV327" s="28"/>
      <c r="BW327" s="28"/>
      <c r="BX327" s="28"/>
      <c r="BY327" s="28"/>
      <c r="BZ327" s="28"/>
      <c r="CA327" s="28"/>
      <c r="CB327" s="99"/>
      <c r="CC327" s="99">
        <v>1</v>
      </c>
      <c r="CD327" s="99">
        <v>2</v>
      </c>
      <c r="CE327" s="99">
        <v>5</v>
      </c>
      <c r="CF327" s="99">
        <v>10</v>
      </c>
      <c r="CG327" s="99">
        <v>10</v>
      </c>
      <c r="CH327" s="99">
        <v>10</v>
      </c>
      <c r="CI327" s="175"/>
      <c r="CJ327" s="175"/>
      <c r="CK327" s="175"/>
      <c r="CL327" s="175"/>
      <c r="CM327" s="175"/>
      <c r="CN327" s="175"/>
      <c r="CO327" s="175"/>
      <c r="CP327" s="176"/>
      <c r="CQ327" s="176"/>
      <c r="CR327" s="176"/>
      <c r="CS327" s="176"/>
      <c r="CT327" s="176"/>
      <c r="CU327" s="176"/>
      <c r="CV327" s="176"/>
      <c r="CW327" s="167"/>
      <c r="CX327" s="168"/>
      <c r="CY327" s="168"/>
      <c r="CZ327" s="168"/>
      <c r="DA327" s="168"/>
      <c r="DB327" s="168"/>
      <c r="DC327" s="168"/>
      <c r="DD327" s="172"/>
      <c r="DE327" s="172"/>
      <c r="DF327" s="172"/>
      <c r="DG327" s="172"/>
      <c r="DH327" s="172"/>
      <c r="DI327" s="172"/>
      <c r="DJ327" s="172"/>
      <c r="DK327" s="80" t="s">
        <v>1409</v>
      </c>
      <c r="DL327" s="129">
        <v>150</v>
      </c>
      <c r="DM327" s="129">
        <v>150</v>
      </c>
      <c r="DN327" s="129">
        <v>150</v>
      </c>
      <c r="DO327" s="129">
        <v>150</v>
      </c>
      <c r="DP327" s="129">
        <v>150</v>
      </c>
      <c r="DQ327" s="129">
        <v>150</v>
      </c>
      <c r="DR327" s="129">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5" t="s">
        <v>1454</v>
      </c>
      <c r="B328" s="5" t="s">
        <v>740</v>
      </c>
      <c r="C328" s="5" t="s">
        <v>788</v>
      </c>
      <c r="D328" s="5" t="s">
        <v>741</v>
      </c>
      <c r="E328" s="5" t="s">
        <v>459</v>
      </c>
      <c r="F328" s="5" t="s">
        <v>465</v>
      </c>
      <c r="G328" s="47" t="s">
        <v>1455</v>
      </c>
      <c r="H328" s="47" t="s">
        <v>981</v>
      </c>
      <c r="I328" s="101">
        <v>700</v>
      </c>
      <c r="J328" s="101">
        <v>700</v>
      </c>
      <c r="K328" s="101">
        <v>700</v>
      </c>
      <c r="L328" s="101">
        <v>700</v>
      </c>
      <c r="M328" s="101">
        <v>700</v>
      </c>
      <c r="N328" s="101">
        <v>700</v>
      </c>
      <c r="O328" s="101">
        <v>700</v>
      </c>
      <c r="P328" s="93">
        <v>0</v>
      </c>
      <c r="Q328" s="101">
        <v>40</v>
      </c>
      <c r="R328" s="101">
        <v>40</v>
      </c>
      <c r="S328" s="101">
        <v>40</v>
      </c>
      <c r="T328" s="101">
        <v>40</v>
      </c>
      <c r="U328" s="101">
        <v>40</v>
      </c>
      <c r="V328" s="101">
        <v>40</v>
      </c>
      <c r="W328" s="101">
        <v>40</v>
      </c>
      <c r="X328" s="101">
        <v>10</v>
      </c>
      <c r="Y328" s="101">
        <v>10</v>
      </c>
      <c r="Z328" s="101">
        <v>10</v>
      </c>
      <c r="AA328" s="101">
        <v>10</v>
      </c>
      <c r="AB328" s="101">
        <v>10</v>
      </c>
      <c r="AC328" s="101">
        <v>10</v>
      </c>
      <c r="AD328" s="101">
        <v>10</v>
      </c>
      <c r="AE328" s="186">
        <v>0.08</v>
      </c>
      <c r="AF328" s="93">
        <v>0</v>
      </c>
      <c r="AG328" s="93">
        <v>20</v>
      </c>
      <c r="AH328" s="93">
        <v>20</v>
      </c>
      <c r="AI328" s="16">
        <v>31.536000000000001</v>
      </c>
      <c r="AJ328" s="16" t="s">
        <v>660</v>
      </c>
      <c r="AK328" s="16" t="s">
        <v>745</v>
      </c>
      <c r="AL328" s="16"/>
      <c r="AM328" s="60"/>
      <c r="AN328" s="60"/>
      <c r="AO328" s="60"/>
      <c r="AP328" s="60"/>
      <c r="AQ328" s="60"/>
      <c r="AR328" s="60"/>
      <c r="AS328" s="63"/>
      <c r="AT328" s="63"/>
      <c r="AU328" s="63"/>
      <c r="AV328" s="131"/>
      <c r="AW328" s="131"/>
      <c r="AX328" s="131"/>
      <c r="AY328" s="27" t="s">
        <v>662</v>
      </c>
      <c r="AZ328" s="27"/>
      <c r="BA328" s="27"/>
      <c r="BB328" s="30"/>
      <c r="BC328" s="30"/>
      <c r="BD328" s="30"/>
      <c r="BE328" s="30"/>
      <c r="BF328" s="30"/>
      <c r="BG328" s="30"/>
      <c r="BH328" s="107"/>
      <c r="BI328" s="107"/>
      <c r="BJ328" s="107"/>
      <c r="BK328" s="107"/>
      <c r="BL328" s="136"/>
      <c r="BM328" s="122"/>
      <c r="BN328" s="138">
        <v>0</v>
      </c>
      <c r="BO328" s="93"/>
      <c r="BP328" s="93"/>
      <c r="BQ328" s="93"/>
      <c r="BR328" s="93"/>
      <c r="BS328" s="93"/>
      <c r="BT328" s="93"/>
      <c r="BU328" s="27">
        <f t="shared" si="271"/>
        <v>0</v>
      </c>
      <c r="BV328" s="27"/>
      <c r="BW328" s="27"/>
      <c r="BX328" s="27"/>
      <c r="BY328" s="27"/>
      <c r="BZ328" s="27"/>
      <c r="CA328" s="27"/>
      <c r="CB328" s="97"/>
      <c r="CC328" s="97">
        <v>1</v>
      </c>
      <c r="CD328" s="97">
        <v>2</v>
      </c>
      <c r="CE328" s="97">
        <v>5</v>
      </c>
      <c r="CF328" s="97">
        <v>10</v>
      </c>
      <c r="CG328" s="97">
        <v>10</v>
      </c>
      <c r="CH328" s="97">
        <v>10</v>
      </c>
      <c r="CI328" s="173"/>
      <c r="CJ328" s="173"/>
      <c r="CK328" s="173"/>
      <c r="CL328" s="173"/>
      <c r="CM328" s="173"/>
      <c r="CN328" s="173"/>
      <c r="CO328" s="173"/>
      <c r="CP328" s="174"/>
      <c r="CQ328" s="174"/>
      <c r="CR328" s="174"/>
      <c r="CS328" s="174"/>
      <c r="CT328" s="174"/>
      <c r="CU328" s="174"/>
      <c r="CV328" s="174"/>
      <c r="CW328" s="165"/>
      <c r="CX328" s="166"/>
      <c r="CY328" s="166"/>
      <c r="CZ328" s="166"/>
      <c r="DA328" s="166"/>
      <c r="DB328" s="166"/>
      <c r="DC328" s="166"/>
      <c r="DD328" s="171"/>
      <c r="DE328" s="171"/>
      <c r="DF328" s="171"/>
      <c r="DG328" s="171"/>
      <c r="DH328" s="171"/>
      <c r="DI328" s="171"/>
      <c r="DJ328" s="171"/>
      <c r="DK328" s="79" t="s">
        <v>1409</v>
      </c>
      <c r="DL328" s="128">
        <v>150</v>
      </c>
      <c r="DM328" s="128">
        <v>150</v>
      </c>
      <c r="DN328" s="128">
        <v>150</v>
      </c>
      <c r="DO328" s="128">
        <v>150</v>
      </c>
      <c r="DP328" s="128">
        <v>150</v>
      </c>
      <c r="DQ328" s="128">
        <v>150</v>
      </c>
      <c r="DR328" s="128">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6" t="s">
        <v>1456</v>
      </c>
      <c r="B329" s="6" t="s">
        <v>740</v>
      </c>
      <c r="C329" s="6" t="s">
        <v>788</v>
      </c>
      <c r="D329" s="6" t="s">
        <v>741</v>
      </c>
      <c r="E329" s="6" t="s">
        <v>459</v>
      </c>
      <c r="F329" s="6" t="s">
        <v>466</v>
      </c>
      <c r="G329" s="48" t="s">
        <v>1457</v>
      </c>
      <c r="H329" s="48" t="s">
        <v>659</v>
      </c>
      <c r="I329" s="102">
        <v>20</v>
      </c>
      <c r="J329" s="102">
        <v>20</v>
      </c>
      <c r="K329" s="102">
        <v>20</v>
      </c>
      <c r="L329" s="102">
        <v>20</v>
      </c>
      <c r="M329" s="102">
        <v>20</v>
      </c>
      <c r="N329" s="102">
        <v>20</v>
      </c>
      <c r="O329" s="102">
        <v>20</v>
      </c>
      <c r="P329" s="94">
        <v>0</v>
      </c>
      <c r="Q329" s="102">
        <v>0.6</v>
      </c>
      <c r="R329" s="102">
        <v>0.6</v>
      </c>
      <c r="S329" s="102">
        <v>0.6</v>
      </c>
      <c r="T329" s="102">
        <v>0.6</v>
      </c>
      <c r="U329" s="102">
        <v>0.6</v>
      </c>
      <c r="V329" s="102">
        <v>0.6</v>
      </c>
      <c r="W329" s="102">
        <v>0.6</v>
      </c>
      <c r="X329" s="102">
        <v>0</v>
      </c>
      <c r="Y329" s="102">
        <v>0</v>
      </c>
      <c r="Z329" s="102">
        <v>0</v>
      </c>
      <c r="AA329" s="102">
        <v>0</v>
      </c>
      <c r="AB329" s="102">
        <v>0</v>
      </c>
      <c r="AC329" s="102">
        <v>0</v>
      </c>
      <c r="AD329" s="102">
        <v>0</v>
      </c>
      <c r="AE329" s="186">
        <v>0.08</v>
      </c>
      <c r="AF329" s="94">
        <v>0</v>
      </c>
      <c r="AG329" s="94">
        <v>20</v>
      </c>
      <c r="AH329" s="94">
        <v>20</v>
      </c>
      <c r="AI329" s="17">
        <v>1</v>
      </c>
      <c r="AJ329" s="17" t="s">
        <v>660</v>
      </c>
      <c r="AK329" s="17" t="s">
        <v>745</v>
      </c>
      <c r="AL329" s="17"/>
      <c r="AM329" s="61"/>
      <c r="AN329" s="61"/>
      <c r="AO329" s="61"/>
      <c r="AP329" s="61"/>
      <c r="AQ329" s="61"/>
      <c r="AR329" s="61"/>
      <c r="AS329" s="64"/>
      <c r="AT329" s="64"/>
      <c r="AU329" s="64"/>
      <c r="AV329" s="132"/>
      <c r="AW329" s="132"/>
      <c r="AX329" s="132"/>
      <c r="AY329" s="28" t="s">
        <v>662</v>
      </c>
      <c r="AZ329" s="28"/>
      <c r="BA329" s="28"/>
      <c r="BB329" s="28"/>
      <c r="BC329" s="28"/>
      <c r="BD329" s="28"/>
      <c r="BE329" s="28"/>
      <c r="BF329" s="28"/>
      <c r="BG329" s="28"/>
      <c r="BH329" s="106"/>
      <c r="BI329" s="106"/>
      <c r="BJ329" s="106"/>
      <c r="BK329" s="106"/>
      <c r="BL329" s="137"/>
      <c r="BM329" s="123"/>
      <c r="BN329" s="139">
        <v>10</v>
      </c>
      <c r="BO329" s="94">
        <v>5</v>
      </c>
      <c r="BP329" s="94">
        <v>5</v>
      </c>
      <c r="BQ329" s="94"/>
      <c r="BR329" s="94"/>
      <c r="BS329" s="94"/>
      <c r="BT329" s="94"/>
      <c r="BU329" s="28">
        <f t="shared" si="271"/>
        <v>0</v>
      </c>
      <c r="BV329" s="28"/>
      <c r="BW329" s="28"/>
      <c r="BX329" s="28"/>
      <c r="BY329" s="28"/>
      <c r="BZ329" s="28"/>
      <c r="CA329" s="28"/>
      <c r="CB329" s="99">
        <v>30</v>
      </c>
      <c r="CC329" s="99">
        <v>30</v>
      </c>
      <c r="CD329" s="99">
        <v>30</v>
      </c>
      <c r="CE329" s="99">
        <v>30</v>
      </c>
      <c r="CF329" s="99">
        <v>30</v>
      </c>
      <c r="CG329" s="99">
        <v>30</v>
      </c>
      <c r="CH329" s="99">
        <v>30</v>
      </c>
      <c r="CI329" s="175"/>
      <c r="CJ329" s="175"/>
      <c r="CK329" s="175"/>
      <c r="CL329" s="175"/>
      <c r="CM329" s="175"/>
      <c r="CN329" s="175"/>
      <c r="CO329" s="175"/>
      <c r="CP329" s="176"/>
      <c r="CQ329" s="176"/>
      <c r="CR329" s="176"/>
      <c r="CS329" s="176"/>
      <c r="CT329" s="176"/>
      <c r="CU329" s="176"/>
      <c r="CV329" s="176"/>
      <c r="CW329" s="167"/>
      <c r="CX329" s="168"/>
      <c r="CY329" s="168"/>
      <c r="CZ329" s="168"/>
      <c r="DA329" s="168"/>
      <c r="DB329" s="168"/>
      <c r="DC329" s="168"/>
      <c r="DD329" s="172"/>
      <c r="DE329" s="172"/>
      <c r="DF329" s="172"/>
      <c r="DG329" s="172"/>
      <c r="DH329" s="172"/>
      <c r="DI329" s="172"/>
      <c r="DJ329" s="172"/>
      <c r="DK329" s="80"/>
      <c r="DL329" s="129"/>
      <c r="DM329" s="129"/>
      <c r="DN329" s="129"/>
      <c r="DO329" s="129"/>
      <c r="DP329" s="129"/>
      <c r="DQ329" s="129"/>
      <c r="DR329" s="129"/>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5" t="s">
        <v>1458</v>
      </c>
      <c r="B330" s="5" t="s">
        <v>740</v>
      </c>
      <c r="C330" s="5" t="s">
        <v>788</v>
      </c>
      <c r="D330" s="5" t="s">
        <v>741</v>
      </c>
      <c r="E330" s="5" t="s">
        <v>459</v>
      </c>
      <c r="F330" s="5" t="s">
        <v>466</v>
      </c>
      <c r="G330" s="47" t="s">
        <v>1459</v>
      </c>
      <c r="H330" s="47" t="s">
        <v>659</v>
      </c>
      <c r="I330" s="101">
        <v>25</v>
      </c>
      <c r="J330" s="101">
        <v>25</v>
      </c>
      <c r="K330" s="101">
        <v>25</v>
      </c>
      <c r="L330" s="101">
        <v>25</v>
      </c>
      <c r="M330" s="101">
        <v>25</v>
      </c>
      <c r="N330" s="101">
        <v>25</v>
      </c>
      <c r="O330" s="101">
        <v>25</v>
      </c>
      <c r="P330" s="93">
        <v>0</v>
      </c>
      <c r="Q330" s="101">
        <v>0.65999999999999992</v>
      </c>
      <c r="R330" s="101">
        <v>0.65999999999999992</v>
      </c>
      <c r="S330" s="101">
        <v>0.65999999999999992</v>
      </c>
      <c r="T330" s="101">
        <v>0.65999999999999992</v>
      </c>
      <c r="U330" s="101">
        <v>0.65999999999999992</v>
      </c>
      <c r="V330" s="101">
        <v>0.65999999999999992</v>
      </c>
      <c r="W330" s="101">
        <v>0.65999999999999992</v>
      </c>
      <c r="X330" s="101">
        <v>0</v>
      </c>
      <c r="Y330" s="101">
        <v>0</v>
      </c>
      <c r="Z330" s="101">
        <v>0</v>
      </c>
      <c r="AA330" s="101">
        <v>0</v>
      </c>
      <c r="AB330" s="101">
        <v>0</v>
      </c>
      <c r="AC330" s="101">
        <v>0</v>
      </c>
      <c r="AD330" s="101">
        <v>0</v>
      </c>
      <c r="AE330" s="186">
        <v>0.08</v>
      </c>
      <c r="AF330" s="93">
        <v>0</v>
      </c>
      <c r="AG330" s="93">
        <v>20</v>
      </c>
      <c r="AH330" s="93">
        <v>20</v>
      </c>
      <c r="AI330" s="16">
        <v>1</v>
      </c>
      <c r="AJ330" s="16" t="s">
        <v>660</v>
      </c>
      <c r="AK330" s="16" t="s">
        <v>745</v>
      </c>
      <c r="AL330" s="16"/>
      <c r="AM330" s="60"/>
      <c r="AN330" s="60"/>
      <c r="AO330" s="60"/>
      <c r="AP330" s="60"/>
      <c r="AQ330" s="60"/>
      <c r="AR330" s="60"/>
      <c r="AS330" s="63"/>
      <c r="AT330" s="63"/>
      <c r="AU330" s="63"/>
      <c r="AV330" s="131"/>
      <c r="AW330" s="131"/>
      <c r="AX330" s="131"/>
      <c r="AY330" s="27" t="s">
        <v>662</v>
      </c>
      <c r="AZ330" s="27"/>
      <c r="BA330" s="27"/>
      <c r="BB330" s="30"/>
      <c r="BC330" s="30"/>
      <c r="BD330" s="30"/>
      <c r="BE330" s="30"/>
      <c r="BF330" s="30"/>
      <c r="BG330" s="30"/>
      <c r="BH330" s="107"/>
      <c r="BI330" s="107"/>
      <c r="BJ330" s="107"/>
      <c r="BK330" s="107"/>
      <c r="BL330" s="136"/>
      <c r="BM330" s="122"/>
      <c r="BN330" s="138">
        <v>0</v>
      </c>
      <c r="BO330" s="93"/>
      <c r="BP330" s="93"/>
      <c r="BQ330" s="93"/>
      <c r="BR330" s="93"/>
      <c r="BS330" s="93"/>
      <c r="BT330" s="93"/>
      <c r="BU330" s="27">
        <f t="shared" si="271"/>
        <v>0</v>
      </c>
      <c r="BV330" s="27"/>
      <c r="BW330" s="27"/>
      <c r="BX330" s="27"/>
      <c r="BY330" s="27"/>
      <c r="BZ330" s="27"/>
      <c r="CA330" s="27"/>
      <c r="CB330" s="97"/>
      <c r="CC330" s="97">
        <v>15</v>
      </c>
      <c r="CD330" s="97">
        <v>30</v>
      </c>
      <c r="CE330" s="97">
        <v>30</v>
      </c>
      <c r="CF330" s="97">
        <v>30</v>
      </c>
      <c r="CG330" s="97">
        <v>30</v>
      </c>
      <c r="CH330" s="97">
        <v>30</v>
      </c>
      <c r="CI330" s="173"/>
      <c r="CJ330" s="173"/>
      <c r="CK330" s="173"/>
      <c r="CL330" s="173"/>
      <c r="CM330" s="173"/>
      <c r="CN330" s="173"/>
      <c r="CO330" s="173"/>
      <c r="CP330" s="174"/>
      <c r="CQ330" s="174"/>
      <c r="CR330" s="174"/>
      <c r="CS330" s="174"/>
      <c r="CT330" s="174"/>
      <c r="CU330" s="174"/>
      <c r="CV330" s="174"/>
      <c r="CW330" s="165"/>
      <c r="CX330" s="166"/>
      <c r="CY330" s="166"/>
      <c r="CZ330" s="166"/>
      <c r="DA330" s="166"/>
      <c r="DB330" s="166"/>
      <c r="DC330" s="166"/>
      <c r="DD330" s="171"/>
      <c r="DE330" s="171"/>
      <c r="DF330" s="171"/>
      <c r="DG330" s="171"/>
      <c r="DH330" s="171"/>
      <c r="DI330" s="171"/>
      <c r="DJ330" s="171"/>
      <c r="DK330" s="79"/>
      <c r="DL330" s="128"/>
      <c r="DM330" s="128"/>
      <c r="DN330" s="128"/>
      <c r="DO330" s="128"/>
      <c r="DP330" s="128"/>
      <c r="DQ330" s="128"/>
      <c r="DR330" s="128"/>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6" t="s">
        <v>1460</v>
      </c>
      <c r="B331" s="6" t="s">
        <v>740</v>
      </c>
      <c r="C331" s="6" t="s">
        <v>788</v>
      </c>
      <c r="D331" s="6" t="s">
        <v>741</v>
      </c>
      <c r="E331" s="6" t="s">
        <v>459</v>
      </c>
      <c r="F331" s="6" t="s">
        <v>466</v>
      </c>
      <c r="G331" s="48" t="s">
        <v>1461</v>
      </c>
      <c r="H331" s="48" t="s">
        <v>659</v>
      </c>
      <c r="I331" s="102">
        <v>100</v>
      </c>
      <c r="J331" s="102">
        <v>100</v>
      </c>
      <c r="K331" s="102">
        <v>100</v>
      </c>
      <c r="L331" s="102">
        <v>100</v>
      </c>
      <c r="M331" s="102">
        <v>100</v>
      </c>
      <c r="N331" s="102">
        <v>100</v>
      </c>
      <c r="O331" s="102">
        <v>100</v>
      </c>
      <c r="P331" s="94">
        <v>0</v>
      </c>
      <c r="Q331" s="102">
        <v>3</v>
      </c>
      <c r="R331" s="102">
        <v>3</v>
      </c>
      <c r="S331" s="102">
        <v>3</v>
      </c>
      <c r="T331" s="102">
        <v>3</v>
      </c>
      <c r="U331" s="102">
        <v>3</v>
      </c>
      <c r="V331" s="102">
        <v>3</v>
      </c>
      <c r="W331" s="102">
        <v>3</v>
      </c>
      <c r="X331" s="102">
        <v>0</v>
      </c>
      <c r="Y331" s="102">
        <v>0</v>
      </c>
      <c r="Z331" s="102">
        <v>0</v>
      </c>
      <c r="AA331" s="102">
        <v>0</v>
      </c>
      <c r="AB331" s="102">
        <v>0</v>
      </c>
      <c r="AC331" s="102">
        <v>0</v>
      </c>
      <c r="AD331" s="102">
        <v>0</v>
      </c>
      <c r="AE331" s="186">
        <v>0.08</v>
      </c>
      <c r="AF331" s="94">
        <v>0</v>
      </c>
      <c r="AG331" s="94">
        <v>20</v>
      </c>
      <c r="AH331" s="94">
        <v>20</v>
      </c>
      <c r="AI331" s="17">
        <v>1</v>
      </c>
      <c r="AJ331" s="17" t="s">
        <v>660</v>
      </c>
      <c r="AK331" s="17" t="s">
        <v>745</v>
      </c>
      <c r="AL331" s="17"/>
      <c r="AM331" s="61"/>
      <c r="AN331" s="61"/>
      <c r="AO331" s="61"/>
      <c r="AP331" s="61"/>
      <c r="AQ331" s="61"/>
      <c r="AR331" s="61"/>
      <c r="AS331" s="64"/>
      <c r="AT331" s="64"/>
      <c r="AU331" s="64"/>
      <c r="AV331" s="132"/>
      <c r="AW331" s="132"/>
      <c r="AX331" s="132"/>
      <c r="AY331" s="28" t="s">
        <v>662</v>
      </c>
      <c r="AZ331" s="28"/>
      <c r="BA331" s="28"/>
      <c r="BB331" s="28"/>
      <c r="BC331" s="28"/>
      <c r="BD331" s="28"/>
      <c r="BE331" s="28"/>
      <c r="BF331" s="28"/>
      <c r="BG331" s="28"/>
      <c r="BH331" s="106"/>
      <c r="BI331" s="106"/>
      <c r="BJ331" s="106"/>
      <c r="BK331" s="106"/>
      <c r="BL331" s="137"/>
      <c r="BM331" s="123"/>
      <c r="BN331" s="139">
        <v>0</v>
      </c>
      <c r="BO331" s="94"/>
      <c r="BP331" s="94"/>
      <c r="BQ331" s="94"/>
      <c r="BR331" s="94"/>
      <c r="BS331" s="94"/>
      <c r="BT331" s="94"/>
      <c r="BU331" s="28">
        <f t="shared" si="271"/>
        <v>0</v>
      </c>
      <c r="BV331" s="28"/>
      <c r="BW331" s="28"/>
      <c r="BX331" s="28"/>
      <c r="BY331" s="28"/>
      <c r="BZ331" s="28"/>
      <c r="CA331" s="28"/>
      <c r="CB331" s="99"/>
      <c r="CC331" s="99">
        <v>15</v>
      </c>
      <c r="CD331" s="99">
        <v>30</v>
      </c>
      <c r="CE331" s="99">
        <v>30</v>
      </c>
      <c r="CF331" s="99">
        <v>30</v>
      </c>
      <c r="CG331" s="99">
        <v>30</v>
      </c>
      <c r="CH331" s="99">
        <v>30</v>
      </c>
      <c r="CI331" s="175"/>
      <c r="CJ331" s="175"/>
      <c r="CK331" s="175"/>
      <c r="CL331" s="175"/>
      <c r="CM331" s="175"/>
      <c r="CN331" s="175"/>
      <c r="CO331" s="175"/>
      <c r="CP331" s="176"/>
      <c r="CQ331" s="176"/>
      <c r="CR331" s="176"/>
      <c r="CS331" s="176"/>
      <c r="CT331" s="176"/>
      <c r="CU331" s="176"/>
      <c r="CV331" s="176"/>
      <c r="CW331" s="167"/>
      <c r="CX331" s="168"/>
      <c r="CY331" s="168"/>
      <c r="CZ331" s="168"/>
      <c r="DA331" s="168"/>
      <c r="DB331" s="168"/>
      <c r="DC331" s="168"/>
      <c r="DD331" s="172"/>
      <c r="DE331" s="172"/>
      <c r="DF331" s="172"/>
      <c r="DG331" s="172"/>
      <c r="DH331" s="172"/>
      <c r="DI331" s="172"/>
      <c r="DJ331" s="172"/>
      <c r="DK331" s="80"/>
      <c r="DL331" s="129"/>
      <c r="DM331" s="129"/>
      <c r="DN331" s="129"/>
      <c r="DO331" s="129"/>
      <c r="DP331" s="129"/>
      <c r="DQ331" s="129"/>
      <c r="DR331" s="129"/>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5" t="s">
        <v>1462</v>
      </c>
      <c r="B332" s="5" t="s">
        <v>740</v>
      </c>
      <c r="C332" s="5" t="s">
        <v>788</v>
      </c>
      <c r="D332" s="5" t="s">
        <v>741</v>
      </c>
      <c r="E332" s="5" t="s">
        <v>459</v>
      </c>
      <c r="F332" s="5" t="s">
        <v>466</v>
      </c>
      <c r="G332" s="47" t="s">
        <v>1463</v>
      </c>
      <c r="H332" s="47" t="s">
        <v>659</v>
      </c>
      <c r="I332" s="101">
        <v>120</v>
      </c>
      <c r="J332" s="101">
        <v>120</v>
      </c>
      <c r="K332" s="101">
        <v>120</v>
      </c>
      <c r="L332" s="101">
        <v>120</v>
      </c>
      <c r="M332" s="101">
        <v>120</v>
      </c>
      <c r="N332" s="101">
        <v>120</v>
      </c>
      <c r="O332" s="101">
        <v>120</v>
      </c>
      <c r="P332" s="93">
        <v>0</v>
      </c>
      <c r="Q332" s="101">
        <v>4</v>
      </c>
      <c r="R332" s="101">
        <v>4</v>
      </c>
      <c r="S332" s="101">
        <v>4</v>
      </c>
      <c r="T332" s="101">
        <v>4</v>
      </c>
      <c r="U332" s="101">
        <v>4</v>
      </c>
      <c r="V332" s="101">
        <v>4</v>
      </c>
      <c r="W332" s="101">
        <v>4</v>
      </c>
      <c r="X332" s="101">
        <v>0</v>
      </c>
      <c r="Y332" s="101">
        <v>0</v>
      </c>
      <c r="Z332" s="101">
        <v>0</v>
      </c>
      <c r="AA332" s="101">
        <v>0</v>
      </c>
      <c r="AB332" s="101">
        <v>0</v>
      </c>
      <c r="AC332" s="101">
        <v>0</v>
      </c>
      <c r="AD332" s="101">
        <v>0</v>
      </c>
      <c r="AE332" s="186">
        <v>0.08</v>
      </c>
      <c r="AF332" s="93">
        <v>0</v>
      </c>
      <c r="AG332" s="93">
        <v>20</v>
      </c>
      <c r="AH332" s="93">
        <v>20</v>
      </c>
      <c r="AI332" s="16">
        <v>1</v>
      </c>
      <c r="AJ332" s="16" t="s">
        <v>660</v>
      </c>
      <c r="AK332" s="16" t="s">
        <v>745</v>
      </c>
      <c r="AL332" s="16"/>
      <c r="AM332" s="60"/>
      <c r="AN332" s="60"/>
      <c r="AO332" s="60"/>
      <c r="AP332" s="60"/>
      <c r="AQ332" s="60"/>
      <c r="AR332" s="60"/>
      <c r="AS332" s="63"/>
      <c r="AT332" s="63"/>
      <c r="AU332" s="63"/>
      <c r="AV332" s="131"/>
      <c r="AW332" s="131"/>
      <c r="AX332" s="131"/>
      <c r="AY332" s="27" t="s">
        <v>662</v>
      </c>
      <c r="AZ332" s="27"/>
      <c r="BA332" s="27"/>
      <c r="BB332" s="30"/>
      <c r="BC332" s="30"/>
      <c r="BD332" s="30"/>
      <c r="BE332" s="30"/>
      <c r="BF332" s="30"/>
      <c r="BG332" s="30"/>
      <c r="BH332" s="107"/>
      <c r="BI332" s="107"/>
      <c r="BJ332" s="107"/>
      <c r="BK332" s="107"/>
      <c r="BL332" s="136"/>
      <c r="BM332" s="122"/>
      <c r="BN332" s="138">
        <v>0</v>
      </c>
      <c r="BO332" s="93"/>
      <c r="BP332" s="93"/>
      <c r="BQ332" s="93"/>
      <c r="BR332" s="93"/>
      <c r="BS332" s="93"/>
      <c r="BT332" s="93"/>
      <c r="BU332" s="27">
        <f t="shared" si="271"/>
        <v>0</v>
      </c>
      <c r="BV332" s="27"/>
      <c r="BW332" s="27"/>
      <c r="BX332" s="27"/>
      <c r="BY332" s="27"/>
      <c r="BZ332" s="27"/>
      <c r="CA332" s="27"/>
      <c r="CB332" s="97"/>
      <c r="CC332" s="97">
        <v>15</v>
      </c>
      <c r="CD332" s="97">
        <v>30</v>
      </c>
      <c r="CE332" s="97">
        <v>30</v>
      </c>
      <c r="CF332" s="97">
        <v>30</v>
      </c>
      <c r="CG332" s="97">
        <v>30</v>
      </c>
      <c r="CH332" s="97">
        <v>30</v>
      </c>
      <c r="CI332" s="173"/>
      <c r="CJ332" s="173"/>
      <c r="CK332" s="173"/>
      <c r="CL332" s="173"/>
      <c r="CM332" s="173"/>
      <c r="CN332" s="173"/>
      <c r="CO332" s="173"/>
      <c r="CP332" s="174"/>
      <c r="CQ332" s="174"/>
      <c r="CR332" s="174"/>
      <c r="CS332" s="174"/>
      <c r="CT332" s="174"/>
      <c r="CU332" s="174"/>
      <c r="CV332" s="174"/>
      <c r="CW332" s="165"/>
      <c r="CX332" s="166"/>
      <c r="CY332" s="166"/>
      <c r="CZ332" s="166"/>
      <c r="DA332" s="166"/>
      <c r="DB332" s="166"/>
      <c r="DC332" s="166"/>
      <c r="DD332" s="171"/>
      <c r="DE332" s="171"/>
      <c r="DF332" s="171"/>
      <c r="DG332" s="171"/>
      <c r="DH332" s="171"/>
      <c r="DI332" s="171"/>
      <c r="DJ332" s="171"/>
      <c r="DK332" s="79"/>
      <c r="DL332" s="128"/>
      <c r="DM332" s="128"/>
      <c r="DN332" s="128"/>
      <c r="DO332" s="128"/>
      <c r="DP332" s="128"/>
      <c r="DQ332" s="128"/>
      <c r="DR332" s="128"/>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6" t="s">
        <v>1464</v>
      </c>
      <c r="B333" s="6" t="s">
        <v>740</v>
      </c>
      <c r="C333" s="6" t="s">
        <v>788</v>
      </c>
      <c r="D333" s="6" t="s">
        <v>741</v>
      </c>
      <c r="E333" s="6" t="s">
        <v>459</v>
      </c>
      <c r="F333" s="6" t="s">
        <v>466</v>
      </c>
      <c r="G333" s="48" t="s">
        <v>1465</v>
      </c>
      <c r="H333" s="48" t="s">
        <v>659</v>
      </c>
      <c r="I333" s="102">
        <v>50</v>
      </c>
      <c r="J333" s="102">
        <v>47</v>
      </c>
      <c r="K333" s="102">
        <v>44</v>
      </c>
      <c r="L333" s="102">
        <v>41</v>
      </c>
      <c r="M333" s="102">
        <v>38</v>
      </c>
      <c r="N333" s="102">
        <v>35</v>
      </c>
      <c r="O333" s="102">
        <v>32</v>
      </c>
      <c r="P333" s="94">
        <v>0</v>
      </c>
      <c r="Q333" s="102">
        <v>0.65999999999999992</v>
      </c>
      <c r="R333" s="102">
        <v>0.65999999999999992</v>
      </c>
      <c r="S333" s="102">
        <v>0.65999999999999992</v>
      </c>
      <c r="T333" s="102">
        <v>0.65999999999999992</v>
      </c>
      <c r="U333" s="102">
        <v>0.65999999999999992</v>
      </c>
      <c r="V333" s="102">
        <v>0.65999999999999992</v>
      </c>
      <c r="W333" s="102">
        <v>0.65999999999999992</v>
      </c>
      <c r="X333" s="102">
        <v>0</v>
      </c>
      <c r="Y333" s="102">
        <v>0</v>
      </c>
      <c r="Z333" s="102">
        <v>0</v>
      </c>
      <c r="AA333" s="102">
        <v>0</v>
      </c>
      <c r="AB333" s="102">
        <v>0</v>
      </c>
      <c r="AC333" s="102">
        <v>0</v>
      </c>
      <c r="AD333" s="102">
        <v>0</v>
      </c>
      <c r="AE333" s="186">
        <v>0.08</v>
      </c>
      <c r="AF333" s="94">
        <v>0</v>
      </c>
      <c r="AG333" s="94">
        <v>20</v>
      </c>
      <c r="AH333" s="94">
        <v>20</v>
      </c>
      <c r="AI333" s="17">
        <v>1</v>
      </c>
      <c r="AJ333" s="17" t="s">
        <v>660</v>
      </c>
      <c r="AK333" s="17" t="s">
        <v>745</v>
      </c>
      <c r="AL333" s="17"/>
      <c r="AM333" s="61"/>
      <c r="AN333" s="61"/>
      <c r="AO333" s="61"/>
      <c r="AP333" s="61"/>
      <c r="AQ333" s="61"/>
      <c r="AR333" s="61"/>
      <c r="AS333" s="64"/>
      <c r="AT333" s="64"/>
      <c r="AU333" s="64"/>
      <c r="AV333" s="132"/>
      <c r="AW333" s="132"/>
      <c r="AX333" s="132"/>
      <c r="AY333" s="28" t="s">
        <v>662</v>
      </c>
      <c r="AZ333" s="28"/>
      <c r="BA333" s="28"/>
      <c r="BB333" s="28"/>
      <c r="BC333" s="28"/>
      <c r="BD333" s="28"/>
      <c r="BE333" s="28"/>
      <c r="BF333" s="28"/>
      <c r="BG333" s="28"/>
      <c r="BH333" s="106"/>
      <c r="BI333" s="106"/>
      <c r="BJ333" s="106"/>
      <c r="BK333" s="106"/>
      <c r="BL333" s="137"/>
      <c r="BM333" s="123"/>
      <c r="BN333" s="139">
        <v>0</v>
      </c>
      <c r="BO333" s="94"/>
      <c r="BP333" s="94"/>
      <c r="BQ333" s="94"/>
      <c r="BR333" s="94"/>
      <c r="BS333" s="94"/>
      <c r="BT333" s="94"/>
      <c r="BU333" s="28">
        <f t="shared" si="271"/>
        <v>0</v>
      </c>
      <c r="BV333" s="28"/>
      <c r="BW333" s="28"/>
      <c r="BX333" s="28"/>
      <c r="BY333" s="28"/>
      <c r="BZ333" s="28"/>
      <c r="CA333" s="28"/>
      <c r="CB333" s="185">
        <v>15</v>
      </c>
      <c r="CC333" s="99">
        <v>15</v>
      </c>
      <c r="CD333" s="99">
        <v>30</v>
      </c>
      <c r="CE333" s="99">
        <v>30</v>
      </c>
      <c r="CF333" s="99">
        <v>30</v>
      </c>
      <c r="CG333" s="99">
        <v>30</v>
      </c>
      <c r="CH333" s="99">
        <v>30</v>
      </c>
      <c r="CI333" s="175"/>
      <c r="CJ333" s="175"/>
      <c r="CK333" s="175"/>
      <c r="CL333" s="175"/>
      <c r="CM333" s="175"/>
      <c r="CN333" s="175"/>
      <c r="CO333" s="175"/>
      <c r="CP333" s="176"/>
      <c r="CQ333" s="176"/>
      <c r="CR333" s="176"/>
      <c r="CS333" s="176"/>
      <c r="CT333" s="176"/>
      <c r="CU333" s="176"/>
      <c r="CV333" s="176"/>
      <c r="CW333" s="167"/>
      <c r="CX333" s="168"/>
      <c r="CY333" s="168"/>
      <c r="CZ333" s="168"/>
      <c r="DA333" s="168"/>
      <c r="DB333" s="168"/>
      <c r="DC333" s="168"/>
      <c r="DD333" s="172"/>
      <c r="DE333" s="172"/>
      <c r="DF333" s="172"/>
      <c r="DG333" s="172"/>
      <c r="DH333" s="172"/>
      <c r="DI333" s="172"/>
      <c r="DJ333" s="172"/>
      <c r="DK333" s="80"/>
      <c r="DL333" s="129"/>
      <c r="DM333" s="129"/>
      <c r="DN333" s="129"/>
      <c r="DO333" s="129"/>
      <c r="DP333" s="129"/>
      <c r="DQ333" s="129"/>
      <c r="DR333" s="129"/>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5" t="s">
        <v>1466</v>
      </c>
      <c r="B334" s="5" t="s">
        <v>740</v>
      </c>
      <c r="C334" s="5" t="s">
        <v>788</v>
      </c>
      <c r="D334" s="5" t="s">
        <v>741</v>
      </c>
      <c r="E334" s="5" t="s">
        <v>459</v>
      </c>
      <c r="F334" s="5" t="s">
        <v>466</v>
      </c>
      <c r="G334" s="47" t="s">
        <v>1467</v>
      </c>
      <c r="H334" s="47" t="s">
        <v>659</v>
      </c>
      <c r="I334" s="101">
        <v>35</v>
      </c>
      <c r="J334" s="101">
        <v>35</v>
      </c>
      <c r="K334" s="101">
        <v>35</v>
      </c>
      <c r="L334" s="101">
        <v>35</v>
      </c>
      <c r="M334" s="101">
        <v>35</v>
      </c>
      <c r="N334" s="101">
        <v>35</v>
      </c>
      <c r="O334" s="101">
        <v>35</v>
      </c>
      <c r="P334" s="93">
        <v>0</v>
      </c>
      <c r="Q334" s="101">
        <v>1.05</v>
      </c>
      <c r="R334" s="101">
        <v>1.05</v>
      </c>
      <c r="S334" s="101">
        <v>1.05</v>
      </c>
      <c r="T334" s="101">
        <v>1.05</v>
      </c>
      <c r="U334" s="101">
        <v>1.05</v>
      </c>
      <c r="V334" s="101">
        <v>1.05</v>
      </c>
      <c r="W334" s="101">
        <v>1.05</v>
      </c>
      <c r="X334" s="101">
        <v>0</v>
      </c>
      <c r="Y334" s="101">
        <v>0</v>
      </c>
      <c r="Z334" s="101">
        <v>0</v>
      </c>
      <c r="AA334" s="101">
        <v>0</v>
      </c>
      <c r="AB334" s="101">
        <v>0</v>
      </c>
      <c r="AC334" s="101">
        <v>0</v>
      </c>
      <c r="AD334" s="101">
        <v>0</v>
      </c>
      <c r="AE334" s="186">
        <v>0.08</v>
      </c>
      <c r="AF334" s="93">
        <v>0</v>
      </c>
      <c r="AG334" s="93">
        <v>20</v>
      </c>
      <c r="AH334" s="93">
        <v>20</v>
      </c>
      <c r="AI334" s="16">
        <v>1</v>
      </c>
      <c r="AJ334" s="16" t="s">
        <v>660</v>
      </c>
      <c r="AK334" s="16" t="s">
        <v>745</v>
      </c>
      <c r="AL334" s="16"/>
      <c r="AM334" s="60"/>
      <c r="AN334" s="60"/>
      <c r="AO334" s="60"/>
      <c r="AP334" s="60"/>
      <c r="AQ334" s="60"/>
      <c r="AR334" s="60"/>
      <c r="AS334" s="63"/>
      <c r="AT334" s="63"/>
      <c r="AU334" s="63"/>
      <c r="AV334" s="131"/>
      <c r="AW334" s="131"/>
      <c r="AX334" s="131"/>
      <c r="AY334" s="27" t="s">
        <v>662</v>
      </c>
      <c r="AZ334" s="27"/>
      <c r="BA334" s="27"/>
      <c r="BB334" s="30"/>
      <c r="BC334" s="30"/>
      <c r="BD334" s="30"/>
      <c r="BE334" s="30"/>
      <c r="BF334" s="30"/>
      <c r="BG334" s="30"/>
      <c r="BH334" s="107"/>
      <c r="BI334" s="107"/>
      <c r="BJ334" s="107"/>
      <c r="BK334" s="107"/>
      <c r="BL334" s="136"/>
      <c r="BM334" s="122"/>
      <c r="BN334" s="138">
        <v>0</v>
      </c>
      <c r="BO334" s="93"/>
      <c r="BP334" s="93"/>
      <c r="BQ334" s="93"/>
      <c r="BR334" s="93"/>
      <c r="BS334" s="93"/>
      <c r="BT334" s="93"/>
      <c r="BU334" s="27">
        <f t="shared" si="271"/>
        <v>0</v>
      </c>
      <c r="BV334" s="27"/>
      <c r="BW334" s="27"/>
      <c r="BX334" s="27"/>
      <c r="BY334" s="27"/>
      <c r="BZ334" s="27"/>
      <c r="CA334" s="27"/>
      <c r="CB334" s="97"/>
      <c r="CC334" s="97">
        <v>15</v>
      </c>
      <c r="CD334" s="97">
        <v>30</v>
      </c>
      <c r="CE334" s="97">
        <v>30</v>
      </c>
      <c r="CF334" s="97">
        <v>30</v>
      </c>
      <c r="CG334" s="97">
        <v>30</v>
      </c>
      <c r="CH334" s="97">
        <v>30</v>
      </c>
      <c r="CI334" s="173"/>
      <c r="CJ334" s="173"/>
      <c r="CK334" s="173"/>
      <c r="CL334" s="173"/>
      <c r="CM334" s="173"/>
      <c r="CN334" s="173"/>
      <c r="CO334" s="173"/>
      <c r="CP334" s="174"/>
      <c r="CQ334" s="174"/>
      <c r="CR334" s="174"/>
      <c r="CS334" s="174"/>
      <c r="CT334" s="174"/>
      <c r="CU334" s="174"/>
      <c r="CV334" s="174"/>
      <c r="CW334" s="165"/>
      <c r="CX334" s="166"/>
      <c r="CY334" s="166"/>
      <c r="CZ334" s="166"/>
      <c r="DA334" s="166"/>
      <c r="DB334" s="166"/>
      <c r="DC334" s="166"/>
      <c r="DD334" s="171"/>
      <c r="DE334" s="171"/>
      <c r="DF334" s="171"/>
      <c r="DG334" s="171"/>
      <c r="DH334" s="171"/>
      <c r="DI334" s="171"/>
      <c r="DJ334" s="171"/>
      <c r="DK334" s="79"/>
      <c r="DL334" s="128"/>
      <c r="DM334" s="128"/>
      <c r="DN334" s="128"/>
      <c r="DO334" s="128"/>
      <c r="DP334" s="128"/>
      <c r="DQ334" s="128"/>
      <c r="DR334" s="128"/>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225" t="s">
        <v>1468</v>
      </c>
      <c r="B335" s="225" t="s">
        <v>740</v>
      </c>
      <c r="C335" s="225" t="s">
        <v>817</v>
      </c>
      <c r="D335" s="225" t="s">
        <v>1469</v>
      </c>
      <c r="E335" s="225" t="s">
        <v>1470</v>
      </c>
      <c r="F335" s="225" t="s">
        <v>470</v>
      </c>
      <c r="G335" s="229" t="s">
        <v>1471</v>
      </c>
      <c r="H335" s="226" t="s">
        <v>659</v>
      </c>
      <c r="I335" s="102">
        <v>0</v>
      </c>
      <c r="J335" s="102">
        <v>0</v>
      </c>
      <c r="K335" s="102">
        <v>0</v>
      </c>
      <c r="L335" s="102">
        <v>0</v>
      </c>
      <c r="M335" s="102">
        <v>0</v>
      </c>
      <c r="N335" s="102">
        <v>0</v>
      </c>
      <c r="O335" s="102">
        <v>0</v>
      </c>
      <c r="P335" s="94">
        <v>0</v>
      </c>
      <c r="Q335" s="102">
        <v>0</v>
      </c>
      <c r="R335" s="102">
        <v>0</v>
      </c>
      <c r="S335" s="102">
        <v>0</v>
      </c>
      <c r="T335" s="102">
        <v>0</v>
      </c>
      <c r="U335" s="102">
        <v>0</v>
      </c>
      <c r="V335" s="102">
        <v>0</v>
      </c>
      <c r="W335" s="102">
        <v>0</v>
      </c>
      <c r="X335" s="254">
        <v>23.181827346496107</v>
      </c>
      <c r="Y335" s="254">
        <v>21.523009715156622</v>
      </c>
      <c r="Z335" s="254">
        <v>19.870137725568085</v>
      </c>
      <c r="AA335" s="254">
        <v>19.870137725568085</v>
      </c>
      <c r="AB335" s="254">
        <v>14.902603294176066</v>
      </c>
      <c r="AC335" s="254">
        <v>14.317137598067553</v>
      </c>
      <c r="AD335" s="254">
        <v>13.719857000987489</v>
      </c>
      <c r="AE335" s="186">
        <v>0.08</v>
      </c>
      <c r="AF335" s="94">
        <v>0</v>
      </c>
      <c r="AG335" s="94">
        <v>1</v>
      </c>
      <c r="AH335" s="94">
        <v>1</v>
      </c>
      <c r="AI335" s="17">
        <v>1</v>
      </c>
      <c r="AJ335" s="17" t="s">
        <v>660</v>
      </c>
      <c r="AK335" s="17" t="s">
        <v>745</v>
      </c>
      <c r="AL335" s="17"/>
      <c r="AM335" s="61"/>
      <c r="AN335" s="61"/>
      <c r="AO335" s="61"/>
      <c r="AP335" s="61"/>
      <c r="AQ335" s="61"/>
      <c r="AR335" s="61"/>
      <c r="AS335" s="64"/>
      <c r="AT335" s="64"/>
      <c r="AU335" s="64"/>
      <c r="AV335" s="132"/>
      <c r="AW335" s="132"/>
      <c r="AX335" s="132"/>
      <c r="AY335" s="28" t="s">
        <v>662</v>
      </c>
      <c r="AZ335" s="28"/>
      <c r="BA335" s="28"/>
      <c r="BB335" s="28"/>
      <c r="BC335" s="28"/>
      <c r="BD335" s="28"/>
      <c r="BE335" s="28"/>
      <c r="BF335" s="28"/>
      <c r="BG335" s="28"/>
      <c r="BH335" s="106"/>
      <c r="BI335" s="106"/>
      <c r="BJ335" s="106"/>
      <c r="BK335" s="106"/>
      <c r="BL335" s="137"/>
      <c r="BM335" s="123"/>
      <c r="BN335" s="139"/>
      <c r="BO335" s="94"/>
      <c r="BP335" s="94"/>
      <c r="BQ335" s="94"/>
      <c r="BR335" s="94"/>
      <c r="BS335" s="94"/>
      <c r="BT335" s="94"/>
      <c r="BU335" s="28">
        <f t="shared" si="271"/>
        <v>0</v>
      </c>
      <c r="BV335" s="28"/>
      <c r="BW335" s="28"/>
      <c r="BX335" s="28"/>
      <c r="BY335" s="28"/>
      <c r="BZ335" s="28"/>
      <c r="CA335" s="28"/>
      <c r="CB335" s="99">
        <v>300</v>
      </c>
      <c r="CC335" s="99">
        <v>300</v>
      </c>
      <c r="CD335" s="99">
        <v>300</v>
      </c>
      <c r="CE335" s="99">
        <v>300</v>
      </c>
      <c r="CF335" s="99">
        <v>300</v>
      </c>
      <c r="CG335" s="99">
        <v>300</v>
      </c>
      <c r="CH335" s="99">
        <v>300</v>
      </c>
      <c r="CI335" s="175"/>
      <c r="CJ335" s="175"/>
      <c r="CK335" s="175"/>
      <c r="CL335" s="175"/>
      <c r="CM335" s="175"/>
      <c r="CN335" s="175"/>
      <c r="CO335" s="175"/>
      <c r="CP335" s="176"/>
      <c r="CQ335" s="176"/>
      <c r="CR335" s="176"/>
      <c r="CS335" s="176"/>
      <c r="CT335" s="176"/>
      <c r="CU335" s="176"/>
      <c r="CV335" s="176"/>
      <c r="CW335" s="167"/>
      <c r="CX335" s="168"/>
      <c r="CY335" s="168"/>
      <c r="CZ335" s="168"/>
      <c r="DA335" s="168"/>
      <c r="DB335" s="168"/>
      <c r="DC335" s="168"/>
      <c r="DD335" s="172"/>
      <c r="DE335" s="172"/>
      <c r="DF335" s="172"/>
      <c r="DG335" s="172"/>
      <c r="DH335" s="172"/>
      <c r="DI335" s="172"/>
      <c r="DJ335" s="172"/>
      <c r="DK335" s="80" t="s">
        <v>415</v>
      </c>
      <c r="DL335" s="129">
        <v>300</v>
      </c>
      <c r="DM335" s="129">
        <v>300</v>
      </c>
      <c r="DN335" s="129">
        <v>300</v>
      </c>
      <c r="DO335" s="129">
        <v>300</v>
      </c>
      <c r="DP335" s="129">
        <v>300</v>
      </c>
      <c r="DQ335" s="129">
        <v>300</v>
      </c>
      <c r="DR335" s="129">
        <v>300</v>
      </c>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3" t="s">
        <v>1472</v>
      </c>
      <c r="B336" s="223" t="s">
        <v>740</v>
      </c>
      <c r="C336" s="223" t="s">
        <v>817</v>
      </c>
      <c r="D336" s="223" t="s">
        <v>1469</v>
      </c>
      <c r="E336" s="223" t="s">
        <v>1470</v>
      </c>
      <c r="F336" s="223" t="s">
        <v>472</v>
      </c>
      <c r="G336" s="229" t="s">
        <v>1473</v>
      </c>
      <c r="H336" s="224" t="s">
        <v>659</v>
      </c>
      <c r="I336" s="101">
        <v>0</v>
      </c>
      <c r="J336" s="101">
        <v>0</v>
      </c>
      <c r="K336" s="101">
        <v>0</v>
      </c>
      <c r="L336" s="101">
        <v>0</v>
      </c>
      <c r="M336" s="101">
        <v>0</v>
      </c>
      <c r="N336" s="101">
        <v>0</v>
      </c>
      <c r="O336" s="101">
        <v>0</v>
      </c>
      <c r="P336" s="93">
        <v>0</v>
      </c>
      <c r="Q336" s="101">
        <v>0</v>
      </c>
      <c r="R336" s="101">
        <v>0</v>
      </c>
      <c r="S336" s="101">
        <v>0</v>
      </c>
      <c r="T336" s="101">
        <v>0</v>
      </c>
      <c r="U336" s="101">
        <v>0</v>
      </c>
      <c r="V336" s="101">
        <v>0</v>
      </c>
      <c r="W336" s="101">
        <v>0</v>
      </c>
      <c r="X336" s="254">
        <v>15.208573393610196</v>
      </c>
      <c r="Y336" s="254">
        <v>14.120296386118188</v>
      </c>
      <c r="Z336" s="254">
        <v>13.035920051665881</v>
      </c>
      <c r="AA336" s="254">
        <v>13.035920051665881</v>
      </c>
      <c r="AB336" s="254">
        <v>9.7769400387494105</v>
      </c>
      <c r="AC336" s="254">
        <v>9.3928418451247726</v>
      </c>
      <c r="AD336" s="254">
        <v>9.0009924166264419</v>
      </c>
      <c r="AE336" s="186">
        <v>0.08</v>
      </c>
      <c r="AF336" s="93">
        <v>0</v>
      </c>
      <c r="AG336" s="93">
        <v>1</v>
      </c>
      <c r="AH336" s="93">
        <v>1</v>
      </c>
      <c r="AI336" s="16">
        <v>1</v>
      </c>
      <c r="AJ336" s="16" t="s">
        <v>660</v>
      </c>
      <c r="AK336" s="16" t="s">
        <v>745</v>
      </c>
      <c r="AL336" s="16"/>
      <c r="AM336" s="60"/>
      <c r="AN336" s="60"/>
      <c r="AO336" s="60"/>
      <c r="AP336" s="60"/>
      <c r="AQ336" s="60"/>
      <c r="AR336" s="60"/>
      <c r="AS336" s="63"/>
      <c r="AT336" s="63"/>
      <c r="AU336" s="63"/>
      <c r="AV336" s="131"/>
      <c r="AW336" s="131"/>
      <c r="AX336" s="131"/>
      <c r="AY336" s="27" t="s">
        <v>662</v>
      </c>
      <c r="AZ336" s="27"/>
      <c r="BA336" s="27"/>
      <c r="BB336" s="30"/>
      <c r="BC336" s="30"/>
      <c r="BD336" s="30"/>
      <c r="BE336" s="30"/>
      <c r="BF336" s="30"/>
      <c r="BG336" s="30"/>
      <c r="BH336" s="107"/>
      <c r="BI336" s="107"/>
      <c r="BJ336" s="107"/>
      <c r="BK336" s="107"/>
      <c r="BL336" s="136"/>
      <c r="BM336" s="122"/>
      <c r="BN336" s="138"/>
      <c r="BO336" s="93"/>
      <c r="BP336" s="93"/>
      <c r="BQ336" s="93"/>
      <c r="BR336" s="93"/>
      <c r="BS336" s="93"/>
      <c r="BT336" s="93"/>
      <c r="BU336" s="27">
        <f t="shared" si="271"/>
        <v>0</v>
      </c>
      <c r="BV336" s="27"/>
      <c r="BW336" s="27"/>
      <c r="BX336" s="27"/>
      <c r="BY336" s="27"/>
      <c r="BZ336" s="27"/>
      <c r="CA336" s="27"/>
      <c r="CB336" s="185">
        <v>779</v>
      </c>
      <c r="CC336" s="185">
        <v>779</v>
      </c>
      <c r="CD336" s="97">
        <v>100</v>
      </c>
      <c r="CE336" s="97">
        <v>100</v>
      </c>
      <c r="CF336" s="97">
        <v>100</v>
      </c>
      <c r="CG336" s="97">
        <v>100</v>
      </c>
      <c r="CH336" s="97">
        <v>100</v>
      </c>
      <c r="CI336" s="173"/>
      <c r="CJ336" s="173"/>
      <c r="CK336" s="173"/>
      <c r="CL336" s="173"/>
      <c r="CM336" s="173"/>
      <c r="CN336" s="173"/>
      <c r="CO336" s="173"/>
      <c r="CP336" s="174"/>
      <c r="CQ336" s="174"/>
      <c r="CR336" s="174"/>
      <c r="CS336" s="174"/>
      <c r="CT336" s="174"/>
      <c r="CU336" s="174"/>
      <c r="CV336" s="174"/>
      <c r="CW336" s="165"/>
      <c r="CX336" s="166"/>
      <c r="CY336" s="166"/>
      <c r="CZ336" s="166"/>
      <c r="DA336" s="166"/>
      <c r="DB336" s="166"/>
      <c r="DC336" s="166"/>
      <c r="DD336" s="171"/>
      <c r="DE336" s="171"/>
      <c r="DF336" s="171"/>
      <c r="DG336" s="171"/>
      <c r="DH336" s="171"/>
      <c r="DI336" s="171"/>
      <c r="DJ336" s="171"/>
      <c r="DK336" s="79" t="s">
        <v>415</v>
      </c>
      <c r="DL336" s="128">
        <v>2000</v>
      </c>
      <c r="DM336" s="128">
        <v>2000</v>
      </c>
      <c r="DN336" s="128">
        <v>2000</v>
      </c>
      <c r="DO336" s="128">
        <v>2000</v>
      </c>
      <c r="DP336" s="128">
        <v>2000</v>
      </c>
      <c r="DQ336" s="128">
        <v>2000</v>
      </c>
      <c r="DR336" s="128">
        <v>2000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6" t="s">
        <v>1474</v>
      </c>
      <c r="B337" s="6" t="s">
        <v>740</v>
      </c>
      <c r="C337" s="6" t="s">
        <v>788</v>
      </c>
      <c r="D337" s="6" t="s">
        <v>1213</v>
      </c>
      <c r="E337" s="6" t="s">
        <v>1475</v>
      </c>
      <c r="F337" s="6" t="s">
        <v>473</v>
      </c>
      <c r="G337" s="48" t="s">
        <v>1476</v>
      </c>
      <c r="H337" s="48" t="s">
        <v>659</v>
      </c>
      <c r="I337" s="102">
        <v>33</v>
      </c>
      <c r="J337" s="102">
        <v>33</v>
      </c>
      <c r="K337" s="102">
        <v>33</v>
      </c>
      <c r="L337" s="102">
        <v>33</v>
      </c>
      <c r="M337" s="102">
        <v>33</v>
      </c>
      <c r="N337" s="102">
        <v>33</v>
      </c>
      <c r="O337" s="102">
        <v>33</v>
      </c>
      <c r="P337" s="94">
        <v>0</v>
      </c>
      <c r="Q337" s="102">
        <v>0.8</v>
      </c>
      <c r="R337" s="102">
        <v>0.8</v>
      </c>
      <c r="S337" s="102">
        <v>0.8</v>
      </c>
      <c r="T337" s="102">
        <v>0.8</v>
      </c>
      <c r="U337" s="102">
        <v>0.8</v>
      </c>
      <c r="V337" s="102">
        <v>0.8</v>
      </c>
      <c r="W337" s="102">
        <v>0.8</v>
      </c>
      <c r="X337" s="102">
        <v>0</v>
      </c>
      <c r="Y337" s="102">
        <v>0</v>
      </c>
      <c r="Z337" s="102">
        <v>0</v>
      </c>
      <c r="AA337" s="102">
        <v>0</v>
      </c>
      <c r="AB337" s="102">
        <v>0</v>
      </c>
      <c r="AC337" s="102">
        <v>0</v>
      </c>
      <c r="AD337" s="102">
        <v>0</v>
      </c>
      <c r="AE337" s="186">
        <v>0.08</v>
      </c>
      <c r="AF337" s="94">
        <v>0</v>
      </c>
      <c r="AG337" s="94">
        <v>30</v>
      </c>
      <c r="AH337" s="94">
        <v>30</v>
      </c>
      <c r="AI337" s="17">
        <v>1</v>
      </c>
      <c r="AJ337" s="17" t="s">
        <v>660</v>
      </c>
      <c r="AK337" s="17" t="s">
        <v>745</v>
      </c>
      <c r="AL337" s="17"/>
      <c r="AM337" s="61"/>
      <c r="AN337" s="61"/>
      <c r="AO337" s="61"/>
      <c r="AP337" s="61"/>
      <c r="AQ337" s="61"/>
      <c r="AR337" s="61"/>
      <c r="AS337" s="64"/>
      <c r="AT337" s="64"/>
      <c r="AU337" s="64"/>
      <c r="AV337" s="132"/>
      <c r="AW337" s="132"/>
      <c r="AX337" s="132"/>
      <c r="AY337" s="28" t="s">
        <v>662</v>
      </c>
      <c r="AZ337" s="28"/>
      <c r="BA337" s="28"/>
      <c r="BB337" s="28"/>
      <c r="BC337" s="28"/>
      <c r="BD337" s="28"/>
      <c r="BE337" s="28"/>
      <c r="BF337" s="28"/>
      <c r="BG337" s="28"/>
      <c r="BH337" s="106"/>
      <c r="BI337" s="106"/>
      <c r="BJ337" s="106"/>
      <c r="BK337" s="106"/>
      <c r="BL337" s="137"/>
      <c r="BM337" s="123"/>
      <c r="BN337" s="139">
        <v>450</v>
      </c>
      <c r="BO337" s="94"/>
      <c r="BP337" s="94">
        <v>90</v>
      </c>
      <c r="BQ337" s="94"/>
      <c r="BR337" s="94"/>
      <c r="BS337" s="94"/>
      <c r="BT337" s="94"/>
      <c r="BU337" s="28">
        <f t="shared" si="271"/>
        <v>0</v>
      </c>
      <c r="BV337" s="28"/>
      <c r="BW337" s="28"/>
      <c r="BX337" s="28"/>
      <c r="BY337" s="28"/>
      <c r="BZ337" s="28"/>
      <c r="CA337" s="28"/>
      <c r="CB337" s="99">
        <v>450</v>
      </c>
      <c r="CC337" s="99">
        <v>450</v>
      </c>
      <c r="CD337" s="99">
        <v>450</v>
      </c>
      <c r="CE337" s="99">
        <v>450</v>
      </c>
      <c r="CF337" s="99">
        <v>450</v>
      </c>
      <c r="CG337" s="99">
        <v>450</v>
      </c>
      <c r="CH337" s="99">
        <v>450</v>
      </c>
      <c r="CI337" s="175"/>
      <c r="CJ337" s="175"/>
      <c r="CK337" s="175"/>
      <c r="CL337" s="175"/>
      <c r="CM337" s="175"/>
      <c r="CN337" s="175"/>
      <c r="CO337" s="175"/>
      <c r="CP337" s="176"/>
      <c r="CQ337" s="176"/>
      <c r="CR337" s="176"/>
      <c r="CS337" s="176"/>
      <c r="CT337" s="176"/>
      <c r="CU337" s="176"/>
      <c r="CV337" s="176"/>
      <c r="CW337" s="167"/>
      <c r="CX337" s="168"/>
      <c r="CY337" s="168"/>
      <c r="CZ337" s="168"/>
      <c r="DA337" s="168"/>
      <c r="DB337" s="168"/>
      <c r="DC337" s="168"/>
      <c r="DD337" s="172"/>
      <c r="DE337" s="172"/>
      <c r="DF337" s="172"/>
      <c r="DG337" s="172"/>
      <c r="DH337" s="172"/>
      <c r="DI337" s="172"/>
      <c r="DJ337" s="172"/>
      <c r="DK337" s="80" t="s">
        <v>415</v>
      </c>
      <c r="DL337" s="129">
        <v>2000</v>
      </c>
      <c r="DM337" s="129">
        <v>2000</v>
      </c>
      <c r="DN337" s="129">
        <v>2000</v>
      </c>
      <c r="DO337" s="129">
        <v>2000</v>
      </c>
      <c r="DP337" s="129">
        <v>2000</v>
      </c>
      <c r="DQ337" s="129">
        <v>2000</v>
      </c>
      <c r="DR337" s="129">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5" t="s">
        <v>1477</v>
      </c>
      <c r="B338" s="5" t="s">
        <v>740</v>
      </c>
      <c r="C338" s="5" t="s">
        <v>788</v>
      </c>
      <c r="D338" s="5" t="s">
        <v>1213</v>
      </c>
      <c r="E338" s="5" t="s">
        <v>1475</v>
      </c>
      <c r="F338" s="5" t="s">
        <v>473</v>
      </c>
      <c r="G338" s="47" t="s">
        <v>1478</v>
      </c>
      <c r="H338" s="47" t="s">
        <v>659</v>
      </c>
      <c r="I338" s="101">
        <v>35</v>
      </c>
      <c r="J338" s="101">
        <v>35</v>
      </c>
      <c r="K338" s="101">
        <v>35</v>
      </c>
      <c r="L338" s="101">
        <v>35</v>
      </c>
      <c r="M338" s="101">
        <v>35</v>
      </c>
      <c r="N338" s="101">
        <v>35</v>
      </c>
      <c r="O338" s="101">
        <v>35</v>
      </c>
      <c r="P338" s="93">
        <v>0</v>
      </c>
      <c r="Q338" s="101">
        <v>0.95</v>
      </c>
      <c r="R338" s="101">
        <v>0.95</v>
      </c>
      <c r="S338" s="101">
        <v>0.95</v>
      </c>
      <c r="T338" s="101">
        <v>0.95</v>
      </c>
      <c r="U338" s="101">
        <v>0.95</v>
      </c>
      <c r="V338" s="101">
        <v>0.95</v>
      </c>
      <c r="W338" s="101">
        <v>0.95</v>
      </c>
      <c r="X338" s="101">
        <v>0</v>
      </c>
      <c r="Y338" s="101">
        <v>0</v>
      </c>
      <c r="Z338" s="101">
        <v>0</v>
      </c>
      <c r="AA338" s="101">
        <v>0</v>
      </c>
      <c r="AB338" s="101">
        <v>0</v>
      </c>
      <c r="AC338" s="101">
        <v>0</v>
      </c>
      <c r="AD338" s="101">
        <v>0</v>
      </c>
      <c r="AE338" s="186">
        <v>0.08</v>
      </c>
      <c r="AF338" s="93">
        <v>0</v>
      </c>
      <c r="AG338" s="93">
        <v>30</v>
      </c>
      <c r="AH338" s="93">
        <v>30</v>
      </c>
      <c r="AI338" s="16">
        <v>1</v>
      </c>
      <c r="AJ338" s="16" t="s">
        <v>660</v>
      </c>
      <c r="AK338" s="16" t="s">
        <v>745</v>
      </c>
      <c r="AL338" s="16"/>
      <c r="AM338" s="60"/>
      <c r="AN338" s="60"/>
      <c r="AO338" s="60"/>
      <c r="AP338" s="60"/>
      <c r="AQ338" s="60"/>
      <c r="AR338" s="60"/>
      <c r="AS338" s="63"/>
      <c r="AT338" s="63"/>
      <c r="AU338" s="63"/>
      <c r="AV338" s="131"/>
      <c r="AW338" s="131"/>
      <c r="AX338" s="131"/>
      <c r="AY338" s="27" t="s">
        <v>662</v>
      </c>
      <c r="AZ338" s="27"/>
      <c r="BA338" s="27"/>
      <c r="BB338" s="30"/>
      <c r="BC338" s="30"/>
      <c r="BD338" s="30"/>
      <c r="BE338" s="30"/>
      <c r="BF338" s="30"/>
      <c r="BG338" s="30"/>
      <c r="BH338" s="107"/>
      <c r="BI338" s="107"/>
      <c r="BJ338" s="107"/>
      <c r="BK338" s="107"/>
      <c r="BL338" s="136"/>
      <c r="BM338" s="122"/>
      <c r="BN338" s="138">
        <v>0</v>
      </c>
      <c r="BO338" s="93"/>
      <c r="BP338" s="93"/>
      <c r="BQ338" s="93"/>
      <c r="BR338" s="93"/>
      <c r="BS338" s="93"/>
      <c r="BT338" s="93"/>
      <c r="BU338" s="27">
        <f t="shared" si="271"/>
        <v>0</v>
      </c>
      <c r="BV338" s="27"/>
      <c r="BW338" s="27"/>
      <c r="BX338" s="27"/>
      <c r="BY338" s="27"/>
      <c r="BZ338" s="27"/>
      <c r="CA338" s="27"/>
      <c r="CB338" s="97">
        <v>0</v>
      </c>
      <c r="CC338" s="97"/>
      <c r="CD338" s="97">
        <v>450</v>
      </c>
      <c r="CE338" s="97">
        <v>500</v>
      </c>
      <c r="CF338" s="97">
        <v>500</v>
      </c>
      <c r="CG338" s="97">
        <v>500</v>
      </c>
      <c r="CH338" s="97">
        <v>500</v>
      </c>
      <c r="CI338" s="173"/>
      <c r="CJ338" s="173"/>
      <c r="CK338" s="173"/>
      <c r="CL338" s="173"/>
      <c r="CM338" s="173"/>
      <c r="CN338" s="173"/>
      <c r="CO338" s="173"/>
      <c r="CP338" s="174"/>
      <c r="CQ338" s="174"/>
      <c r="CR338" s="174"/>
      <c r="CS338" s="174"/>
      <c r="CT338" s="174"/>
      <c r="CU338" s="174"/>
      <c r="CV338" s="174"/>
      <c r="CW338" s="165"/>
      <c r="CX338" s="166"/>
      <c r="CY338" s="166"/>
      <c r="CZ338" s="166"/>
      <c r="DA338" s="166"/>
      <c r="DB338" s="166"/>
      <c r="DC338" s="166"/>
      <c r="DD338" s="171"/>
      <c r="DE338" s="171"/>
      <c r="DF338" s="171"/>
      <c r="DG338" s="171"/>
      <c r="DH338" s="171"/>
      <c r="DI338" s="171"/>
      <c r="DJ338" s="171"/>
      <c r="DK338" s="79" t="s">
        <v>415</v>
      </c>
      <c r="DL338" s="128">
        <v>2000</v>
      </c>
      <c r="DM338" s="128">
        <v>2000</v>
      </c>
      <c r="DN338" s="128">
        <v>2000</v>
      </c>
      <c r="DO338" s="128">
        <v>2000</v>
      </c>
      <c r="DP338" s="128">
        <v>2000</v>
      </c>
      <c r="DQ338" s="128">
        <v>2000</v>
      </c>
      <c r="DR338" s="128">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6" t="s">
        <v>1479</v>
      </c>
      <c r="B339" s="6" t="s">
        <v>740</v>
      </c>
      <c r="C339" s="6" t="s">
        <v>788</v>
      </c>
      <c r="D339" s="6" t="s">
        <v>1213</v>
      </c>
      <c r="E339" s="6" t="s">
        <v>1475</v>
      </c>
      <c r="F339" s="6" t="s">
        <v>473</v>
      </c>
      <c r="G339" s="48" t="s">
        <v>1480</v>
      </c>
      <c r="H339" s="48" t="s">
        <v>659</v>
      </c>
      <c r="I339" s="102">
        <v>33</v>
      </c>
      <c r="J339" s="102">
        <v>33</v>
      </c>
      <c r="K339" s="102">
        <v>33</v>
      </c>
      <c r="L339" s="102">
        <v>33</v>
      </c>
      <c r="M339" s="102">
        <v>33</v>
      </c>
      <c r="N339" s="102">
        <v>33</v>
      </c>
      <c r="O339" s="102">
        <v>33</v>
      </c>
      <c r="P339" s="94">
        <v>0</v>
      </c>
      <c r="Q339" s="102">
        <v>0.75</v>
      </c>
      <c r="R339" s="102">
        <v>0.75</v>
      </c>
      <c r="S339" s="102">
        <v>0.75</v>
      </c>
      <c r="T339" s="102">
        <v>0.75</v>
      </c>
      <c r="U339" s="102">
        <v>0.75</v>
      </c>
      <c r="V339" s="102">
        <v>0.75</v>
      </c>
      <c r="W339" s="102">
        <v>0.75</v>
      </c>
      <c r="X339" s="102">
        <v>0</v>
      </c>
      <c r="Y339" s="102">
        <v>0</v>
      </c>
      <c r="Z339" s="102">
        <v>0</v>
      </c>
      <c r="AA339" s="102">
        <v>0</v>
      </c>
      <c r="AB339" s="102">
        <v>0</v>
      </c>
      <c r="AC339" s="102">
        <v>0</v>
      </c>
      <c r="AD339" s="102">
        <v>0</v>
      </c>
      <c r="AE339" s="186">
        <v>0.08</v>
      </c>
      <c r="AF339" s="94">
        <v>0</v>
      </c>
      <c r="AG339" s="94">
        <v>30</v>
      </c>
      <c r="AH339" s="94">
        <v>30</v>
      </c>
      <c r="AI339" s="17">
        <v>1</v>
      </c>
      <c r="AJ339" s="17" t="s">
        <v>660</v>
      </c>
      <c r="AK339" s="17" t="s">
        <v>745</v>
      </c>
      <c r="AL339" s="17"/>
      <c r="AM339" s="61"/>
      <c r="AN339" s="61"/>
      <c r="AO339" s="61"/>
      <c r="AP339" s="61"/>
      <c r="AQ339" s="61"/>
      <c r="AR339" s="61"/>
      <c r="AS339" s="64"/>
      <c r="AT339" s="64"/>
      <c r="AU339" s="64"/>
      <c r="AV339" s="132"/>
      <c r="AW339" s="132"/>
      <c r="AX339" s="132"/>
      <c r="AY339" s="28" t="s">
        <v>662</v>
      </c>
      <c r="AZ339" s="28"/>
      <c r="BA339" s="28"/>
      <c r="BB339" s="28"/>
      <c r="BC339" s="28"/>
      <c r="BD339" s="28"/>
      <c r="BE339" s="28"/>
      <c r="BF339" s="28"/>
      <c r="BG339" s="28"/>
      <c r="BH339" s="106"/>
      <c r="BI339" s="106"/>
      <c r="BJ339" s="106"/>
      <c r="BK339" s="106"/>
      <c r="BL339" s="137"/>
      <c r="BM339" s="123"/>
      <c r="BN339" s="139">
        <v>550</v>
      </c>
      <c r="BO339" s="94"/>
      <c r="BP339" s="94">
        <v>110</v>
      </c>
      <c r="BQ339" s="94"/>
      <c r="BR339" s="94"/>
      <c r="BS339" s="94"/>
      <c r="BT339" s="94"/>
      <c r="BU339" s="28">
        <f t="shared" si="271"/>
        <v>0</v>
      </c>
      <c r="BV339" s="28"/>
      <c r="BW339" s="28"/>
      <c r="BX339" s="28"/>
      <c r="BY339" s="28"/>
      <c r="BZ339" s="28"/>
      <c r="CA339" s="28"/>
      <c r="CB339" s="99">
        <v>550</v>
      </c>
      <c r="CC339" s="99">
        <v>550</v>
      </c>
      <c r="CD339" s="99">
        <v>550</v>
      </c>
      <c r="CE339" s="99">
        <v>550</v>
      </c>
      <c r="CF339" s="99">
        <v>550</v>
      </c>
      <c r="CG339" s="99">
        <v>550</v>
      </c>
      <c r="CH339" s="99">
        <v>550</v>
      </c>
      <c r="CI339" s="175"/>
      <c r="CJ339" s="175"/>
      <c r="CK339" s="175"/>
      <c r="CL339" s="175"/>
      <c r="CM339" s="175"/>
      <c r="CN339" s="175"/>
      <c r="CO339" s="175"/>
      <c r="CP339" s="176"/>
      <c r="CQ339" s="176"/>
      <c r="CR339" s="176"/>
      <c r="CS339" s="176"/>
      <c r="CT339" s="176"/>
      <c r="CU339" s="176"/>
      <c r="CV339" s="176"/>
      <c r="CW339" s="167"/>
      <c r="CX339" s="168"/>
      <c r="CY339" s="168"/>
      <c r="CZ339" s="168"/>
      <c r="DA339" s="168"/>
      <c r="DB339" s="168"/>
      <c r="DC339" s="168"/>
      <c r="DD339" s="172"/>
      <c r="DE339" s="172"/>
      <c r="DF339" s="172"/>
      <c r="DG339" s="172"/>
      <c r="DH339" s="172"/>
      <c r="DI339" s="172"/>
      <c r="DJ339" s="172"/>
      <c r="DK339" s="80" t="s">
        <v>415</v>
      </c>
      <c r="DL339" s="129">
        <v>2000</v>
      </c>
      <c r="DM339" s="129">
        <v>2000</v>
      </c>
      <c r="DN339" s="129">
        <v>2000</v>
      </c>
      <c r="DO339" s="129">
        <v>2000</v>
      </c>
      <c r="DP339" s="129">
        <v>2000</v>
      </c>
      <c r="DQ339" s="129">
        <v>2000</v>
      </c>
      <c r="DR339" s="129">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5" t="s">
        <v>1481</v>
      </c>
      <c r="B340" s="5" t="s">
        <v>740</v>
      </c>
      <c r="C340" s="5" t="s">
        <v>788</v>
      </c>
      <c r="D340" s="5" t="s">
        <v>1213</v>
      </c>
      <c r="E340" s="5" t="s">
        <v>1475</v>
      </c>
      <c r="F340" s="5" t="s">
        <v>473</v>
      </c>
      <c r="G340" s="47" t="s">
        <v>1482</v>
      </c>
      <c r="H340" s="47" t="s">
        <v>659</v>
      </c>
      <c r="I340" s="101">
        <v>35</v>
      </c>
      <c r="J340" s="101">
        <v>35</v>
      </c>
      <c r="K340" s="101">
        <v>35</v>
      </c>
      <c r="L340" s="101">
        <v>35</v>
      </c>
      <c r="M340" s="101">
        <v>35</v>
      </c>
      <c r="N340" s="101">
        <v>35</v>
      </c>
      <c r="O340" s="101">
        <v>35</v>
      </c>
      <c r="P340" s="93">
        <v>0</v>
      </c>
      <c r="Q340" s="101">
        <v>0.9</v>
      </c>
      <c r="R340" s="101">
        <v>0.9</v>
      </c>
      <c r="S340" s="101">
        <v>0.9</v>
      </c>
      <c r="T340" s="101">
        <v>0.9</v>
      </c>
      <c r="U340" s="101">
        <v>0.9</v>
      </c>
      <c r="V340" s="101">
        <v>0.9</v>
      </c>
      <c r="W340" s="101">
        <v>0.9</v>
      </c>
      <c r="X340" s="101">
        <v>0</v>
      </c>
      <c r="Y340" s="101">
        <v>0</v>
      </c>
      <c r="Z340" s="101">
        <v>0</v>
      </c>
      <c r="AA340" s="101">
        <v>0</v>
      </c>
      <c r="AB340" s="101">
        <v>0</v>
      </c>
      <c r="AC340" s="101">
        <v>0</v>
      </c>
      <c r="AD340" s="101">
        <v>0</v>
      </c>
      <c r="AE340" s="186">
        <v>0.08</v>
      </c>
      <c r="AF340" s="93">
        <v>0</v>
      </c>
      <c r="AG340" s="93">
        <v>30</v>
      </c>
      <c r="AH340" s="93">
        <v>30</v>
      </c>
      <c r="AI340" s="16">
        <v>1</v>
      </c>
      <c r="AJ340" s="16" t="s">
        <v>660</v>
      </c>
      <c r="AK340" s="16" t="s">
        <v>745</v>
      </c>
      <c r="AL340" s="16"/>
      <c r="AM340" s="60"/>
      <c r="AN340" s="60"/>
      <c r="AO340" s="60"/>
      <c r="AP340" s="60"/>
      <c r="AQ340" s="60"/>
      <c r="AR340" s="60"/>
      <c r="AS340" s="63"/>
      <c r="AT340" s="63"/>
      <c r="AU340" s="63"/>
      <c r="AV340" s="131"/>
      <c r="AW340" s="131"/>
      <c r="AX340" s="131"/>
      <c r="AY340" s="27" t="s">
        <v>662</v>
      </c>
      <c r="AZ340" s="27"/>
      <c r="BA340" s="27"/>
      <c r="BB340" s="30"/>
      <c r="BC340" s="30"/>
      <c r="BD340" s="30"/>
      <c r="BE340" s="30"/>
      <c r="BF340" s="30"/>
      <c r="BG340" s="30"/>
      <c r="BH340" s="107"/>
      <c r="BI340" s="107"/>
      <c r="BJ340" s="107"/>
      <c r="BK340" s="107"/>
      <c r="BL340" s="136"/>
      <c r="BM340" s="122"/>
      <c r="BN340" s="138">
        <v>0</v>
      </c>
      <c r="BO340" s="93"/>
      <c r="BP340" s="93"/>
      <c r="BQ340" s="93"/>
      <c r="BR340" s="93"/>
      <c r="BS340" s="93"/>
      <c r="BT340" s="93"/>
      <c r="BU340" s="27">
        <f t="shared" si="271"/>
        <v>0</v>
      </c>
      <c r="BV340" s="27"/>
      <c r="BW340" s="27"/>
      <c r="BX340" s="27"/>
      <c r="BY340" s="27"/>
      <c r="BZ340" s="27"/>
      <c r="CA340" s="27"/>
      <c r="CB340" s="97"/>
      <c r="CC340" s="97"/>
      <c r="CD340" s="97">
        <v>550</v>
      </c>
      <c r="CE340" s="97">
        <v>550</v>
      </c>
      <c r="CF340" s="97">
        <v>550</v>
      </c>
      <c r="CG340" s="97">
        <v>550</v>
      </c>
      <c r="CH340" s="97">
        <v>550</v>
      </c>
      <c r="CI340" s="173"/>
      <c r="CJ340" s="173"/>
      <c r="CK340" s="173"/>
      <c r="CL340" s="173"/>
      <c r="CM340" s="173"/>
      <c r="CN340" s="173"/>
      <c r="CO340" s="173"/>
      <c r="CP340" s="174"/>
      <c r="CQ340" s="174"/>
      <c r="CR340" s="174"/>
      <c r="CS340" s="174"/>
      <c r="CT340" s="174"/>
      <c r="CU340" s="174"/>
      <c r="CV340" s="174"/>
      <c r="CW340" s="165"/>
      <c r="CX340" s="166"/>
      <c r="CY340" s="166"/>
      <c r="CZ340" s="166"/>
      <c r="DA340" s="166"/>
      <c r="DB340" s="166"/>
      <c r="DC340" s="166"/>
      <c r="DD340" s="171"/>
      <c r="DE340" s="171"/>
      <c r="DF340" s="171"/>
      <c r="DG340" s="171"/>
      <c r="DH340" s="171"/>
      <c r="DI340" s="171"/>
      <c r="DJ340" s="171"/>
      <c r="DK340" s="79" t="s">
        <v>415</v>
      </c>
      <c r="DL340" s="128">
        <v>2000</v>
      </c>
      <c r="DM340" s="128">
        <v>2000</v>
      </c>
      <c r="DN340" s="128">
        <v>2000</v>
      </c>
      <c r="DO340" s="128">
        <v>2000</v>
      </c>
      <c r="DP340" s="128">
        <v>2000</v>
      </c>
      <c r="DQ340" s="128">
        <v>2000</v>
      </c>
      <c r="DR340" s="128">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6" t="s">
        <v>1483</v>
      </c>
      <c r="B341" s="6" t="s">
        <v>740</v>
      </c>
      <c r="C341" s="6" t="s">
        <v>788</v>
      </c>
      <c r="D341" s="6" t="s">
        <v>1213</v>
      </c>
      <c r="E341" s="6" t="s">
        <v>1475</v>
      </c>
      <c r="F341" s="6" t="s">
        <v>473</v>
      </c>
      <c r="G341" s="48" t="s">
        <v>1484</v>
      </c>
      <c r="H341" s="48" t="s">
        <v>659</v>
      </c>
      <c r="I341" s="102">
        <v>55</v>
      </c>
      <c r="J341" s="102">
        <v>55</v>
      </c>
      <c r="K341" s="102">
        <v>55</v>
      </c>
      <c r="L341" s="102">
        <v>55</v>
      </c>
      <c r="M341" s="102">
        <v>55</v>
      </c>
      <c r="N341" s="102">
        <v>55</v>
      </c>
      <c r="O341" s="102">
        <v>55</v>
      </c>
      <c r="P341" s="94">
        <v>0</v>
      </c>
      <c r="Q341" s="102">
        <v>1.5</v>
      </c>
      <c r="R341" s="102">
        <v>1.5</v>
      </c>
      <c r="S341" s="102">
        <v>1.5</v>
      </c>
      <c r="T341" s="102">
        <v>1.5</v>
      </c>
      <c r="U341" s="102">
        <v>1.5</v>
      </c>
      <c r="V341" s="102">
        <v>1.5</v>
      </c>
      <c r="W341" s="102">
        <v>1.5</v>
      </c>
      <c r="X341" s="102">
        <v>0</v>
      </c>
      <c r="Y341" s="102">
        <v>0</v>
      </c>
      <c r="Z341" s="102">
        <v>0</v>
      </c>
      <c r="AA341" s="102">
        <v>0</v>
      </c>
      <c r="AB341" s="102">
        <v>0</v>
      </c>
      <c r="AC341" s="102">
        <v>0</v>
      </c>
      <c r="AD341" s="102">
        <v>0</v>
      </c>
      <c r="AE341" s="186">
        <v>0.08</v>
      </c>
      <c r="AF341" s="94">
        <v>0</v>
      </c>
      <c r="AG341" s="94">
        <v>30</v>
      </c>
      <c r="AH341" s="94">
        <v>30</v>
      </c>
      <c r="AI341" s="17">
        <v>1</v>
      </c>
      <c r="AJ341" s="17" t="s">
        <v>660</v>
      </c>
      <c r="AK341" s="17" t="s">
        <v>745</v>
      </c>
      <c r="AL341" s="17"/>
      <c r="AM341" s="61"/>
      <c r="AN341" s="61"/>
      <c r="AO341" s="61"/>
      <c r="AP341" s="61"/>
      <c r="AQ341" s="61"/>
      <c r="AR341" s="61"/>
      <c r="AS341" s="64"/>
      <c r="AT341" s="64"/>
      <c r="AU341" s="64"/>
      <c r="AV341" s="132"/>
      <c r="AW341" s="132"/>
      <c r="AX341" s="132"/>
      <c r="AY341" s="28" t="s">
        <v>662</v>
      </c>
      <c r="AZ341" s="28"/>
      <c r="BA341" s="28"/>
      <c r="BB341" s="28"/>
      <c r="BC341" s="28"/>
      <c r="BD341" s="28"/>
      <c r="BE341" s="28"/>
      <c r="BF341" s="28"/>
      <c r="BG341" s="28"/>
      <c r="BH341" s="106"/>
      <c r="BI341" s="106"/>
      <c r="BJ341" s="106"/>
      <c r="BK341" s="106"/>
      <c r="BL341" s="137"/>
      <c r="BM341" s="123"/>
      <c r="BN341" s="139">
        <v>20</v>
      </c>
      <c r="BO341" s="94"/>
      <c r="BP341" s="94">
        <v>5</v>
      </c>
      <c r="BQ341" s="94"/>
      <c r="BR341" s="94"/>
      <c r="BS341" s="94"/>
      <c r="BT341" s="94"/>
      <c r="BU341" s="28">
        <f t="shared" si="271"/>
        <v>0</v>
      </c>
      <c r="BV341" s="28"/>
      <c r="BW341" s="28"/>
      <c r="BX341" s="28"/>
      <c r="BY341" s="28"/>
      <c r="BZ341" s="28"/>
      <c r="CA341" s="28"/>
      <c r="CB341" s="99">
        <v>20</v>
      </c>
      <c r="CC341" s="99">
        <v>20</v>
      </c>
      <c r="CD341" s="99">
        <v>20</v>
      </c>
      <c r="CE341" s="99">
        <v>20</v>
      </c>
      <c r="CF341" s="99">
        <v>20</v>
      </c>
      <c r="CG341" s="99">
        <v>20</v>
      </c>
      <c r="CH341" s="99">
        <v>20</v>
      </c>
      <c r="CI341" s="175"/>
      <c r="CJ341" s="175"/>
      <c r="CK341" s="175"/>
      <c r="CL341" s="175"/>
      <c r="CM341" s="175"/>
      <c r="CN341" s="175"/>
      <c r="CO341" s="175"/>
      <c r="CP341" s="176"/>
      <c r="CQ341" s="176"/>
      <c r="CR341" s="176"/>
      <c r="CS341" s="176"/>
      <c r="CT341" s="176"/>
      <c r="CU341" s="176"/>
      <c r="CV341" s="176"/>
      <c r="CW341" s="167"/>
      <c r="CX341" s="168"/>
      <c r="CY341" s="168"/>
      <c r="CZ341" s="168"/>
      <c r="DA341" s="168"/>
      <c r="DB341" s="168"/>
      <c r="DC341" s="168"/>
      <c r="DD341" s="172"/>
      <c r="DE341" s="172"/>
      <c r="DF341" s="172"/>
      <c r="DG341" s="172"/>
      <c r="DH341" s="172"/>
      <c r="DI341" s="172"/>
      <c r="DJ341" s="172"/>
      <c r="DK341" s="80" t="s">
        <v>415</v>
      </c>
      <c r="DL341" s="129">
        <v>2000</v>
      </c>
      <c r="DM341" s="129">
        <v>2000</v>
      </c>
      <c r="DN341" s="129">
        <v>2000</v>
      </c>
      <c r="DO341" s="129">
        <v>2000</v>
      </c>
      <c r="DP341" s="129">
        <v>2000</v>
      </c>
      <c r="DQ341" s="129">
        <v>2000</v>
      </c>
      <c r="DR341" s="129">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5" t="s">
        <v>1485</v>
      </c>
      <c r="B342" s="5" t="s">
        <v>740</v>
      </c>
      <c r="C342" s="5" t="s">
        <v>788</v>
      </c>
      <c r="D342" s="5" t="s">
        <v>1213</v>
      </c>
      <c r="E342" s="5" t="s">
        <v>1475</v>
      </c>
      <c r="F342" s="5" t="s">
        <v>473</v>
      </c>
      <c r="G342" s="47" t="s">
        <v>1486</v>
      </c>
      <c r="H342" s="47" t="s">
        <v>659</v>
      </c>
      <c r="I342" s="101">
        <v>60</v>
      </c>
      <c r="J342" s="101">
        <v>60</v>
      </c>
      <c r="K342" s="101">
        <v>60</v>
      </c>
      <c r="L342" s="101">
        <v>60</v>
      </c>
      <c r="M342" s="101">
        <v>60</v>
      </c>
      <c r="N342" s="101">
        <v>60</v>
      </c>
      <c r="O342" s="101">
        <v>60</v>
      </c>
      <c r="P342" s="93">
        <v>0</v>
      </c>
      <c r="Q342" s="101">
        <v>1.8</v>
      </c>
      <c r="R342" s="101">
        <v>1.8</v>
      </c>
      <c r="S342" s="101">
        <v>1.8</v>
      </c>
      <c r="T342" s="101">
        <v>1.8</v>
      </c>
      <c r="U342" s="101">
        <v>1.8</v>
      </c>
      <c r="V342" s="101">
        <v>1.8</v>
      </c>
      <c r="W342" s="101">
        <v>1.8</v>
      </c>
      <c r="X342" s="101">
        <v>0</v>
      </c>
      <c r="Y342" s="101">
        <v>0</v>
      </c>
      <c r="Z342" s="101">
        <v>0</v>
      </c>
      <c r="AA342" s="101">
        <v>0</v>
      </c>
      <c r="AB342" s="101">
        <v>0</v>
      </c>
      <c r="AC342" s="101">
        <v>0</v>
      </c>
      <c r="AD342" s="101">
        <v>0</v>
      </c>
      <c r="AE342" s="186">
        <v>0.08</v>
      </c>
      <c r="AF342" s="93">
        <v>0</v>
      </c>
      <c r="AG342" s="93">
        <v>30</v>
      </c>
      <c r="AH342" s="93">
        <v>30</v>
      </c>
      <c r="AI342" s="16">
        <v>1</v>
      </c>
      <c r="AJ342" s="16" t="s">
        <v>660</v>
      </c>
      <c r="AK342" s="16" t="s">
        <v>745</v>
      </c>
      <c r="AL342" s="16"/>
      <c r="AM342" s="60"/>
      <c r="AN342" s="60"/>
      <c r="AO342" s="60"/>
      <c r="AP342" s="60"/>
      <c r="AQ342" s="60"/>
      <c r="AR342" s="60"/>
      <c r="AS342" s="63"/>
      <c r="AT342" s="63"/>
      <c r="AU342" s="63"/>
      <c r="AV342" s="131"/>
      <c r="AW342" s="131"/>
      <c r="AX342" s="131"/>
      <c r="AY342" s="27" t="s">
        <v>662</v>
      </c>
      <c r="AZ342" s="27"/>
      <c r="BA342" s="27"/>
      <c r="BB342" s="30"/>
      <c r="BC342" s="30"/>
      <c r="BD342" s="30"/>
      <c r="BE342" s="30"/>
      <c r="BF342" s="30"/>
      <c r="BG342" s="30"/>
      <c r="BH342" s="107"/>
      <c r="BI342" s="107"/>
      <c r="BJ342" s="107"/>
      <c r="BK342" s="107"/>
      <c r="BL342" s="136"/>
      <c r="BM342" s="122"/>
      <c r="BN342" s="138">
        <v>0</v>
      </c>
      <c r="BO342" s="93"/>
      <c r="BP342" s="93"/>
      <c r="BQ342" s="93"/>
      <c r="BR342" s="93"/>
      <c r="BS342" s="93"/>
      <c r="BT342" s="93"/>
      <c r="BU342" s="27">
        <f t="shared" si="271"/>
        <v>0</v>
      </c>
      <c r="BV342" s="27"/>
      <c r="BW342" s="27"/>
      <c r="BX342" s="27"/>
      <c r="BY342" s="27"/>
      <c r="BZ342" s="27"/>
      <c r="CA342" s="27"/>
      <c r="CB342" s="97">
        <v>0</v>
      </c>
      <c r="CC342" s="97"/>
      <c r="CD342" s="97">
        <v>20</v>
      </c>
      <c r="CE342" s="97">
        <v>20</v>
      </c>
      <c r="CF342" s="97">
        <v>20</v>
      </c>
      <c r="CG342" s="97">
        <v>20</v>
      </c>
      <c r="CH342" s="97">
        <v>20</v>
      </c>
      <c r="CI342" s="173"/>
      <c r="CJ342" s="173"/>
      <c r="CK342" s="173"/>
      <c r="CL342" s="173"/>
      <c r="CM342" s="173"/>
      <c r="CN342" s="173"/>
      <c r="CO342" s="173"/>
      <c r="CP342" s="174"/>
      <c r="CQ342" s="174"/>
      <c r="CR342" s="174"/>
      <c r="CS342" s="174"/>
      <c r="CT342" s="174"/>
      <c r="CU342" s="174"/>
      <c r="CV342" s="174"/>
      <c r="CW342" s="165"/>
      <c r="CX342" s="166"/>
      <c r="CY342" s="166"/>
      <c r="CZ342" s="166"/>
      <c r="DA342" s="166"/>
      <c r="DB342" s="166"/>
      <c r="DC342" s="166"/>
      <c r="DD342" s="171"/>
      <c r="DE342" s="171"/>
      <c r="DF342" s="171"/>
      <c r="DG342" s="171"/>
      <c r="DH342" s="171"/>
      <c r="DI342" s="171"/>
      <c r="DJ342" s="171"/>
      <c r="DK342" s="79" t="s">
        <v>415</v>
      </c>
      <c r="DL342" s="128">
        <v>2000</v>
      </c>
      <c r="DM342" s="128">
        <v>2000</v>
      </c>
      <c r="DN342" s="128">
        <v>2000</v>
      </c>
      <c r="DO342" s="128">
        <v>2000</v>
      </c>
      <c r="DP342" s="128">
        <v>2000</v>
      </c>
      <c r="DQ342" s="128">
        <v>2000</v>
      </c>
      <c r="DR342" s="128">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223" t="s">
        <v>1487</v>
      </c>
      <c r="B343" s="223" t="s">
        <v>740</v>
      </c>
      <c r="C343" s="223" t="s">
        <v>817</v>
      </c>
      <c r="D343" s="223" t="s">
        <v>1469</v>
      </c>
      <c r="E343" s="223" t="s">
        <v>1470</v>
      </c>
      <c r="F343" s="223" t="s">
        <v>473</v>
      </c>
      <c r="G343" s="229" t="s">
        <v>1488</v>
      </c>
      <c r="H343" s="224" t="s">
        <v>659</v>
      </c>
      <c r="I343" s="101">
        <v>0</v>
      </c>
      <c r="J343" s="101">
        <v>0</v>
      </c>
      <c r="K343" s="101">
        <v>0</v>
      </c>
      <c r="L343" s="101">
        <v>0</v>
      </c>
      <c r="M343" s="101">
        <v>0</v>
      </c>
      <c r="N343" s="101">
        <v>0</v>
      </c>
      <c r="O343" s="101">
        <v>0</v>
      </c>
      <c r="P343" s="93">
        <v>0</v>
      </c>
      <c r="Q343" s="101">
        <v>0</v>
      </c>
      <c r="R343" s="101">
        <v>0</v>
      </c>
      <c r="S343" s="101">
        <v>0</v>
      </c>
      <c r="T343" s="101">
        <v>0</v>
      </c>
      <c r="U343" s="101">
        <v>0</v>
      </c>
      <c r="V343" s="101">
        <v>0</v>
      </c>
      <c r="W343" s="101">
        <v>0</v>
      </c>
      <c r="X343" s="101">
        <v>28.849345423849826</v>
      </c>
      <c r="Y343" s="101">
        <v>26.784978274255014</v>
      </c>
      <c r="Z343" s="101">
        <v>24.728010363299841</v>
      </c>
      <c r="AA343" s="101">
        <v>24.728010363299841</v>
      </c>
      <c r="AB343" s="101">
        <v>18.546007772474884</v>
      </c>
      <c r="AC343" s="101">
        <v>17.817406793423846</v>
      </c>
      <c r="AD343" s="101">
        <v>17.074102393707037</v>
      </c>
      <c r="AE343" s="186">
        <v>0.08</v>
      </c>
      <c r="AF343" s="93">
        <v>0</v>
      </c>
      <c r="AG343" s="93">
        <v>1</v>
      </c>
      <c r="AH343" s="93">
        <v>1</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c r="BO343" s="93"/>
      <c r="BP343" s="93"/>
      <c r="BQ343" s="93"/>
      <c r="BR343" s="93"/>
      <c r="BS343" s="93"/>
      <c r="BT343" s="93"/>
      <c r="BU343" s="27">
        <f t="shared" ref="BU343:BU414" si="283">IF(BL343=1,BN343,0)</f>
        <v>0</v>
      </c>
      <c r="BV343" s="27"/>
      <c r="BW343" s="27"/>
      <c r="BX343" s="27"/>
      <c r="BY343" s="27"/>
      <c r="BZ343" s="27"/>
      <c r="CA343" s="27"/>
      <c r="CB343" s="185">
        <v>1000</v>
      </c>
      <c r="CC343" s="185">
        <v>1000</v>
      </c>
      <c r="CD343" s="185">
        <v>1000</v>
      </c>
      <c r="CE343" s="185">
        <v>1000</v>
      </c>
      <c r="CF343" s="185">
        <v>1000</v>
      </c>
      <c r="CG343" s="185">
        <v>1000</v>
      </c>
      <c r="CH343" s="185">
        <v>1000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2300</v>
      </c>
      <c r="DM343" s="128">
        <v>2300</v>
      </c>
      <c r="DN343" s="128">
        <v>2300</v>
      </c>
      <c r="DO343" s="128">
        <v>2300</v>
      </c>
      <c r="DP343" s="128">
        <v>2300</v>
      </c>
      <c r="DQ343" s="128">
        <v>2300</v>
      </c>
      <c r="DR343" s="128">
        <v>2300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5" t="s">
        <v>1489</v>
      </c>
      <c r="B344" s="225" t="s">
        <v>740</v>
      </c>
      <c r="C344" s="225" t="s">
        <v>817</v>
      </c>
      <c r="D344" s="225" t="s">
        <v>1469</v>
      </c>
      <c r="E344" s="225" t="s">
        <v>1470</v>
      </c>
      <c r="F344" s="225" t="s">
        <v>474</v>
      </c>
      <c r="G344" s="229" t="s">
        <v>1490</v>
      </c>
      <c r="H344" s="226" t="s">
        <v>659</v>
      </c>
      <c r="I344" s="102">
        <v>0</v>
      </c>
      <c r="J344" s="102">
        <v>0</v>
      </c>
      <c r="K344" s="102">
        <v>0</v>
      </c>
      <c r="L344" s="102">
        <v>0</v>
      </c>
      <c r="M344" s="102">
        <v>0</v>
      </c>
      <c r="N344" s="102">
        <v>0</v>
      </c>
      <c r="O344" s="102">
        <v>0</v>
      </c>
      <c r="P344" s="94">
        <v>0</v>
      </c>
      <c r="Q344" s="102">
        <v>0</v>
      </c>
      <c r="R344" s="102">
        <v>0</v>
      </c>
      <c r="S344" s="102">
        <v>0</v>
      </c>
      <c r="T344" s="102">
        <v>0</v>
      </c>
      <c r="U344" s="102">
        <v>0</v>
      </c>
      <c r="V344" s="102">
        <v>0</v>
      </c>
      <c r="W344" s="102">
        <v>0</v>
      </c>
      <c r="X344" s="101">
        <v>27.795977605943776</v>
      </c>
      <c r="Y344" s="101">
        <v>25.806986097902616</v>
      </c>
      <c r="Z344" s="101">
        <v>23.825123662237516</v>
      </c>
      <c r="AA344" s="101">
        <v>23.825123662237516</v>
      </c>
      <c r="AB344" s="101">
        <v>17.868842746678137</v>
      </c>
      <c r="AC344" s="101">
        <v>17.166844964758663</v>
      </c>
      <c r="AD344" s="101">
        <v>16.450680623925905</v>
      </c>
      <c r="AE344" s="186">
        <v>0.08</v>
      </c>
      <c r="AF344" s="94">
        <v>0</v>
      </c>
      <c r="AG344" s="94">
        <v>1</v>
      </c>
      <c r="AH344" s="94">
        <v>1</v>
      </c>
      <c r="AI344" s="17">
        <v>1</v>
      </c>
      <c r="AJ344" s="17" t="s">
        <v>660</v>
      </c>
      <c r="AK344" s="17" t="s">
        <v>745</v>
      </c>
      <c r="AL344" s="17"/>
      <c r="AM344" s="61"/>
      <c r="AN344" s="61"/>
      <c r="AO344" s="61"/>
      <c r="AP344" s="61"/>
      <c r="AQ344" s="61"/>
      <c r="AR344" s="61"/>
      <c r="AS344" s="64"/>
      <c r="AT344" s="64"/>
      <c r="AU344" s="64"/>
      <c r="AV344" s="132"/>
      <c r="AW344" s="132"/>
      <c r="AX344" s="132"/>
      <c r="AY344" s="28" t="s">
        <v>662</v>
      </c>
      <c r="AZ344" s="28"/>
      <c r="BA344" s="28"/>
      <c r="BB344" s="28"/>
      <c r="BC344" s="28"/>
      <c r="BD344" s="28"/>
      <c r="BE344" s="28"/>
      <c r="BF344" s="28"/>
      <c r="BG344" s="28"/>
      <c r="BH344" s="106"/>
      <c r="BI344" s="106"/>
      <c r="BJ344" s="106"/>
      <c r="BK344" s="106"/>
      <c r="BL344" s="137"/>
      <c r="BM344" s="123"/>
      <c r="BN344" s="139"/>
      <c r="BO344" s="94"/>
      <c r="BP344" s="94"/>
      <c r="BQ344" s="94"/>
      <c r="BR344" s="94"/>
      <c r="BS344" s="94"/>
      <c r="BT344" s="94"/>
      <c r="BU344" s="28">
        <f t="shared" si="283"/>
        <v>0</v>
      </c>
      <c r="BV344" s="28"/>
      <c r="BW344" s="28"/>
      <c r="BX344" s="28"/>
      <c r="BY344" s="28"/>
      <c r="BZ344" s="28"/>
      <c r="CA344" s="28"/>
      <c r="CB344" s="99">
        <v>2000</v>
      </c>
      <c r="CC344" s="99">
        <v>1000</v>
      </c>
      <c r="CD344" s="185">
        <v>1000</v>
      </c>
      <c r="CE344" s="185">
        <v>1000</v>
      </c>
      <c r="CF344" s="185">
        <v>1000</v>
      </c>
      <c r="CG344" s="185">
        <v>1000</v>
      </c>
      <c r="CH344" s="185">
        <v>1000</v>
      </c>
      <c r="CI344" s="175"/>
      <c r="CJ344" s="175"/>
      <c r="CK344" s="175"/>
      <c r="CL344" s="175"/>
      <c r="CM344" s="175"/>
      <c r="CN344" s="175"/>
      <c r="CO344" s="175"/>
      <c r="CP344" s="176"/>
      <c r="CQ344" s="176"/>
      <c r="CR344" s="176"/>
      <c r="CS344" s="176"/>
      <c r="CT344" s="176"/>
      <c r="CU344" s="176"/>
      <c r="CV344" s="176"/>
      <c r="CW344" s="167"/>
      <c r="CX344" s="168"/>
      <c r="CY344" s="168"/>
      <c r="CZ344" s="168"/>
      <c r="DA344" s="168"/>
      <c r="DB344" s="168"/>
      <c r="DC344" s="168"/>
      <c r="DD344" s="172"/>
      <c r="DE344" s="172"/>
      <c r="DF344" s="172"/>
      <c r="DG344" s="172"/>
      <c r="DH344" s="172"/>
      <c r="DI344" s="172"/>
      <c r="DJ344" s="172"/>
      <c r="DK344" s="80" t="s">
        <v>415</v>
      </c>
      <c r="DL344" s="129">
        <v>1000</v>
      </c>
      <c r="DM344" s="129">
        <v>1000</v>
      </c>
      <c r="DN344" s="129">
        <v>1000</v>
      </c>
      <c r="DO344" s="129">
        <v>1000</v>
      </c>
      <c r="DP344" s="129">
        <v>1000</v>
      </c>
      <c r="DQ344" s="129">
        <v>1000</v>
      </c>
      <c r="DR344" s="129">
        <v>1000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3" t="s">
        <v>1491</v>
      </c>
      <c r="B345" s="223" t="s">
        <v>740</v>
      </c>
      <c r="C345" s="223" t="s">
        <v>817</v>
      </c>
      <c r="D345" s="223" t="s">
        <v>1469</v>
      </c>
      <c r="E345" s="223" t="s">
        <v>1470</v>
      </c>
      <c r="F345" s="223" t="s">
        <v>475</v>
      </c>
      <c r="G345" s="229" t="s">
        <v>1492</v>
      </c>
      <c r="H345" s="224" t="s">
        <v>659</v>
      </c>
      <c r="I345" s="101">
        <v>0</v>
      </c>
      <c r="J345" s="101">
        <v>0</v>
      </c>
      <c r="K345" s="101">
        <v>0</v>
      </c>
      <c r="L345" s="101">
        <v>0</v>
      </c>
      <c r="M345" s="101">
        <v>0</v>
      </c>
      <c r="N345" s="101">
        <v>0</v>
      </c>
      <c r="O345" s="101">
        <v>0</v>
      </c>
      <c r="P345" s="93">
        <v>0</v>
      </c>
      <c r="Q345" s="101">
        <v>0</v>
      </c>
      <c r="R345" s="101">
        <v>0</v>
      </c>
      <c r="S345" s="101">
        <v>0</v>
      </c>
      <c r="T345" s="101">
        <v>0</v>
      </c>
      <c r="U345" s="101">
        <v>0</v>
      </c>
      <c r="V345" s="101">
        <v>0</v>
      </c>
      <c r="W345" s="101">
        <v>0</v>
      </c>
      <c r="X345" s="101">
        <v>16.130884549869052</v>
      </c>
      <c r="Y345" s="101">
        <v>14.976609897553132</v>
      </c>
      <c r="Z345" s="101">
        <v>13.826472471316325</v>
      </c>
      <c r="AA345" s="101">
        <v>13.826472471316325</v>
      </c>
      <c r="AB345" s="101">
        <v>10.369854353487245</v>
      </c>
      <c r="AC345" s="101">
        <v>9.9624628476031081</v>
      </c>
      <c r="AD345" s="101">
        <v>9.5468500397184179</v>
      </c>
      <c r="AE345" s="186">
        <v>0.08</v>
      </c>
      <c r="AF345" s="93">
        <v>0</v>
      </c>
      <c r="AG345" s="93">
        <v>1</v>
      </c>
      <c r="AH345" s="93">
        <v>1</v>
      </c>
      <c r="AI345" s="16">
        <v>1</v>
      </c>
      <c r="AJ345" s="16" t="s">
        <v>660</v>
      </c>
      <c r="AK345" s="16" t="s">
        <v>745</v>
      </c>
      <c r="AL345" s="16"/>
      <c r="AM345" s="60"/>
      <c r="AN345" s="60"/>
      <c r="AO345" s="60"/>
      <c r="AP345" s="60"/>
      <c r="AQ345" s="60"/>
      <c r="AR345" s="60"/>
      <c r="AS345" s="63"/>
      <c r="AT345" s="63"/>
      <c r="AU345" s="63"/>
      <c r="AV345" s="131"/>
      <c r="AW345" s="131"/>
      <c r="AX345" s="131"/>
      <c r="AY345" s="27" t="s">
        <v>662</v>
      </c>
      <c r="AZ345" s="27"/>
      <c r="BA345" s="27"/>
      <c r="BB345" s="30"/>
      <c r="BC345" s="30"/>
      <c r="BD345" s="30"/>
      <c r="BE345" s="30"/>
      <c r="BF345" s="30"/>
      <c r="BG345" s="30"/>
      <c r="BH345" s="107"/>
      <c r="BI345" s="107"/>
      <c r="BJ345" s="107"/>
      <c r="BK345" s="107"/>
      <c r="BL345" s="136"/>
      <c r="BM345" s="122"/>
      <c r="BN345" s="138"/>
      <c r="BO345" s="93"/>
      <c r="BP345" s="93"/>
      <c r="BQ345" s="93"/>
      <c r="BR345" s="93"/>
      <c r="BS345" s="93"/>
      <c r="BT345" s="93"/>
      <c r="BU345" s="27">
        <f t="shared" si="283"/>
        <v>0</v>
      </c>
      <c r="BV345" s="27"/>
      <c r="BW345" s="27"/>
      <c r="BX345" s="27"/>
      <c r="BY345" s="27"/>
      <c r="BZ345" s="27"/>
      <c r="CA345" s="27"/>
      <c r="CB345" s="185">
        <v>2000</v>
      </c>
      <c r="CC345" s="185">
        <v>2000</v>
      </c>
      <c r="CD345" s="185">
        <v>2000</v>
      </c>
      <c r="CE345" s="185">
        <v>2000</v>
      </c>
      <c r="CF345" s="185">
        <v>2000</v>
      </c>
      <c r="CG345" s="185">
        <v>2000</v>
      </c>
      <c r="CH345" s="185">
        <v>2000</v>
      </c>
      <c r="CI345" s="173"/>
      <c r="CJ345" s="173"/>
      <c r="CK345" s="173"/>
      <c r="CL345" s="173"/>
      <c r="CM345" s="173"/>
      <c r="CN345" s="173"/>
      <c r="CO345" s="173"/>
      <c r="CP345" s="174"/>
      <c r="CQ345" s="174"/>
      <c r="CR345" s="174"/>
      <c r="CS345" s="174"/>
      <c r="CT345" s="174"/>
      <c r="CU345" s="174"/>
      <c r="CV345" s="174"/>
      <c r="CW345" s="165"/>
      <c r="CX345" s="166"/>
      <c r="CY345" s="166"/>
      <c r="CZ345" s="166"/>
      <c r="DA345" s="166"/>
      <c r="DB345" s="166"/>
      <c r="DC345" s="166"/>
      <c r="DD345" s="171"/>
      <c r="DE345" s="171"/>
      <c r="DF345" s="171"/>
      <c r="DG345" s="171"/>
      <c r="DH345" s="171"/>
      <c r="DI345" s="171"/>
      <c r="DJ345" s="171"/>
      <c r="DK345" s="79" t="s">
        <v>415</v>
      </c>
      <c r="DL345" s="128">
        <v>2000</v>
      </c>
      <c r="DM345" s="128">
        <v>2000</v>
      </c>
      <c r="DN345" s="128">
        <v>2000</v>
      </c>
      <c r="DO345" s="128">
        <v>2000</v>
      </c>
      <c r="DP345" s="128">
        <v>2000</v>
      </c>
      <c r="DQ345" s="128">
        <v>2000</v>
      </c>
      <c r="DR345" s="128">
        <v>2000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5" t="s">
        <v>1493</v>
      </c>
      <c r="B346" s="225" t="s">
        <v>740</v>
      </c>
      <c r="C346" s="225" t="s">
        <v>817</v>
      </c>
      <c r="D346" s="225" t="s">
        <v>1469</v>
      </c>
      <c r="E346" s="225" t="s">
        <v>1470</v>
      </c>
      <c r="F346" s="225" t="s">
        <v>476</v>
      </c>
      <c r="G346" s="229" t="s">
        <v>1494</v>
      </c>
      <c r="H346" s="226" t="s">
        <v>659</v>
      </c>
      <c r="I346" s="102">
        <v>0</v>
      </c>
      <c r="J346" s="102">
        <v>0</v>
      </c>
      <c r="K346" s="102">
        <v>0</v>
      </c>
      <c r="L346" s="102">
        <v>0</v>
      </c>
      <c r="M346" s="102">
        <v>0</v>
      </c>
      <c r="N346" s="102">
        <v>0</v>
      </c>
      <c r="O346" s="102">
        <v>0</v>
      </c>
      <c r="P346" s="94">
        <v>0</v>
      </c>
      <c r="Q346" s="102">
        <v>0</v>
      </c>
      <c r="R346" s="102">
        <v>0</v>
      </c>
      <c r="S346" s="102">
        <v>0</v>
      </c>
      <c r="T346" s="102">
        <v>0</v>
      </c>
      <c r="U346" s="102">
        <v>0</v>
      </c>
      <c r="V346" s="102">
        <v>0</v>
      </c>
      <c r="W346" s="102">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4">
        <v>0</v>
      </c>
      <c r="AG346" s="94">
        <v>1</v>
      </c>
      <c r="AH346" s="94">
        <v>1</v>
      </c>
      <c r="AI346" s="17">
        <v>1</v>
      </c>
      <c r="AJ346" s="17" t="s">
        <v>660</v>
      </c>
      <c r="AK346" s="17" t="s">
        <v>745</v>
      </c>
      <c r="AL346" s="17"/>
      <c r="AM346" s="61"/>
      <c r="AN346" s="61"/>
      <c r="AO346" s="61"/>
      <c r="AP346" s="61"/>
      <c r="AQ346" s="61"/>
      <c r="AR346" s="61"/>
      <c r="AS346" s="64"/>
      <c r="AT346" s="64"/>
      <c r="AU346" s="64"/>
      <c r="AV346" s="132"/>
      <c r="AW346" s="132"/>
      <c r="AX346" s="132"/>
      <c r="AY346" s="28" t="s">
        <v>662</v>
      </c>
      <c r="AZ346" s="28"/>
      <c r="BA346" s="28"/>
      <c r="BB346" s="28"/>
      <c r="BC346" s="28"/>
      <c r="BD346" s="28"/>
      <c r="BE346" s="28"/>
      <c r="BF346" s="28"/>
      <c r="BG346" s="28"/>
      <c r="BH346" s="106"/>
      <c r="BI346" s="106"/>
      <c r="BJ346" s="106"/>
      <c r="BK346" s="106"/>
      <c r="BL346" s="137"/>
      <c r="BM346" s="123"/>
      <c r="BN346" s="139"/>
      <c r="BO346" s="94"/>
      <c r="BP346" s="94"/>
      <c r="BQ346" s="94"/>
      <c r="BR346" s="94"/>
      <c r="BS346" s="94"/>
      <c r="BT346" s="94"/>
      <c r="BU346" s="28">
        <f t="shared" si="283"/>
        <v>0</v>
      </c>
      <c r="BV346" s="28"/>
      <c r="BW346" s="28"/>
      <c r="BX346" s="28"/>
      <c r="BY346" s="28"/>
      <c r="BZ346" s="28"/>
      <c r="CA346" s="28"/>
      <c r="CB346" s="185">
        <v>500</v>
      </c>
      <c r="CC346" s="185">
        <v>500</v>
      </c>
      <c r="CD346" s="185">
        <v>500</v>
      </c>
      <c r="CE346" s="185">
        <v>500</v>
      </c>
      <c r="CF346" s="185">
        <v>500</v>
      </c>
      <c r="CG346" s="185">
        <v>500</v>
      </c>
      <c r="CH346" s="185">
        <v>500</v>
      </c>
      <c r="CI346" s="175"/>
      <c r="CJ346" s="175"/>
      <c r="CK346" s="175"/>
      <c r="CL346" s="175"/>
      <c r="CM346" s="175"/>
      <c r="CN346" s="175"/>
      <c r="CO346" s="175"/>
      <c r="CP346" s="176"/>
      <c r="CQ346" s="176"/>
      <c r="CR346" s="176"/>
      <c r="CS346" s="176"/>
      <c r="CT346" s="176"/>
      <c r="CU346" s="176"/>
      <c r="CV346" s="176"/>
      <c r="CW346" s="167"/>
      <c r="CX346" s="168"/>
      <c r="CY346" s="168"/>
      <c r="CZ346" s="168"/>
      <c r="DA346" s="168"/>
      <c r="DB346" s="168"/>
      <c r="DC346" s="168"/>
      <c r="DD346" s="172"/>
      <c r="DE346" s="172"/>
      <c r="DF346" s="172"/>
      <c r="DG346" s="172"/>
      <c r="DH346" s="172"/>
      <c r="DI346" s="172"/>
      <c r="DJ346" s="172"/>
      <c r="DK346" s="80" t="s">
        <v>415</v>
      </c>
      <c r="DL346" s="129">
        <v>2000</v>
      </c>
      <c r="DM346" s="129">
        <v>2000</v>
      </c>
      <c r="DN346" s="129">
        <v>2000</v>
      </c>
      <c r="DO346" s="129">
        <v>2000</v>
      </c>
      <c r="DP346" s="129">
        <v>2000</v>
      </c>
      <c r="DQ346" s="129">
        <v>2000</v>
      </c>
      <c r="DR346" s="129">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3" t="s">
        <v>1495</v>
      </c>
      <c r="B347" s="223" t="s">
        <v>740</v>
      </c>
      <c r="C347" s="223" t="s">
        <v>817</v>
      </c>
      <c r="D347" s="223" t="s">
        <v>1496</v>
      </c>
      <c r="E347" s="223" t="s">
        <v>1497</v>
      </c>
      <c r="F347" s="223" t="s">
        <v>477</v>
      </c>
      <c r="G347" s="229" t="s">
        <v>1498</v>
      </c>
      <c r="H347" s="47" t="s">
        <v>659</v>
      </c>
      <c r="I347" s="101">
        <v>0</v>
      </c>
      <c r="J347" s="101">
        <v>0</v>
      </c>
      <c r="K347" s="101">
        <v>0</v>
      </c>
      <c r="L347" s="101">
        <v>0</v>
      </c>
      <c r="M347" s="101">
        <v>0</v>
      </c>
      <c r="N347" s="101">
        <v>0</v>
      </c>
      <c r="O347" s="101">
        <v>0</v>
      </c>
      <c r="P347" s="93">
        <v>0</v>
      </c>
      <c r="Q347" s="101">
        <v>0</v>
      </c>
      <c r="R347" s="101">
        <v>0</v>
      </c>
      <c r="S347" s="101">
        <v>0</v>
      </c>
      <c r="T347" s="101">
        <v>0</v>
      </c>
      <c r="U347" s="101">
        <v>0</v>
      </c>
      <c r="V347" s="101">
        <v>0</v>
      </c>
      <c r="W347" s="101">
        <v>0</v>
      </c>
      <c r="X347" s="101">
        <v>30.417146787220393</v>
      </c>
      <c r="Y347" s="101">
        <v>29.113554782053804</v>
      </c>
      <c r="Z347" s="101">
        <v>26.940901440109492</v>
      </c>
      <c r="AA347" s="101">
        <v>24.768248098165177</v>
      </c>
      <c r="AB347" s="101">
        <v>22.595594756220866</v>
      </c>
      <c r="AC347" s="101">
        <v>20.422941414276554</v>
      </c>
      <c r="AD347" s="101">
        <v>18.250288072332236</v>
      </c>
      <c r="AE347" s="186">
        <v>0.08</v>
      </c>
      <c r="AF347" s="93">
        <v>0</v>
      </c>
      <c r="AG347" s="93">
        <v>1</v>
      </c>
      <c r="AH347" s="93">
        <v>1</v>
      </c>
      <c r="AI347" s="16">
        <v>1</v>
      </c>
      <c r="AJ347" s="16" t="s">
        <v>660</v>
      </c>
      <c r="AK347" s="16" t="s">
        <v>745</v>
      </c>
      <c r="AL347" s="16"/>
      <c r="AM347" s="60"/>
      <c r="AN347" s="60"/>
      <c r="AO347" s="60"/>
      <c r="AP347" s="60"/>
      <c r="AQ347" s="60"/>
      <c r="AR347" s="60"/>
      <c r="AS347" s="63"/>
      <c r="AT347" s="63"/>
      <c r="AU347" s="63"/>
      <c r="AV347" s="131"/>
      <c r="AW347" s="131"/>
      <c r="AX347" s="131"/>
      <c r="AY347" s="27" t="s">
        <v>662</v>
      </c>
      <c r="AZ347" s="27"/>
      <c r="BA347" s="27"/>
      <c r="BB347" s="30"/>
      <c r="BC347" s="30"/>
      <c r="BD347" s="30"/>
      <c r="BE347" s="30"/>
      <c r="BF347" s="30"/>
      <c r="BG347" s="30"/>
      <c r="BH347" s="107"/>
      <c r="BI347" s="107"/>
      <c r="BJ347" s="107"/>
      <c r="BK347" s="107"/>
      <c r="BL347" s="136"/>
      <c r="BM347" s="122"/>
      <c r="BN347" s="138"/>
      <c r="BO347" s="93"/>
      <c r="BP347" s="93"/>
      <c r="BQ347" s="93"/>
      <c r="BR347" s="93"/>
      <c r="BS347" s="93"/>
      <c r="BT347" s="93"/>
      <c r="BU347" s="27">
        <f t="shared" ref="BU347" si="284">IF(BL347=1,BN347,0)</f>
        <v>0</v>
      </c>
      <c r="BV347" s="27"/>
      <c r="BW347" s="27"/>
      <c r="BX347" s="27"/>
      <c r="BY347" s="27"/>
      <c r="BZ347" s="27"/>
      <c r="CA347" s="27"/>
      <c r="CB347" s="244">
        <v>0</v>
      </c>
      <c r="CC347" s="244">
        <v>0</v>
      </c>
      <c r="CD347" s="244">
        <v>0</v>
      </c>
      <c r="CE347" s="244">
        <v>0</v>
      </c>
      <c r="CF347" s="244">
        <v>0</v>
      </c>
      <c r="CG347" s="244">
        <v>0</v>
      </c>
      <c r="CH347" s="244">
        <v>0</v>
      </c>
      <c r="CI347" s="173"/>
      <c r="CJ347" s="173"/>
      <c r="CK347" s="173"/>
      <c r="CL347" s="173"/>
      <c r="CM347" s="173"/>
      <c r="CN347" s="173"/>
      <c r="CO347" s="173"/>
      <c r="CP347" s="174"/>
      <c r="CQ347" s="174"/>
      <c r="CR347" s="174"/>
      <c r="CS347" s="174"/>
      <c r="CT347" s="174"/>
      <c r="CU347" s="174"/>
      <c r="CV347" s="174"/>
      <c r="CW347" s="165"/>
      <c r="CX347" s="166"/>
      <c r="CY347" s="166"/>
      <c r="CZ347" s="166"/>
      <c r="DA347" s="166"/>
      <c r="DB347" s="166"/>
      <c r="DC347" s="166"/>
      <c r="DD347" s="171"/>
      <c r="DE347" s="171"/>
      <c r="DF347" s="171"/>
      <c r="DG347" s="171"/>
      <c r="DH347" s="171"/>
      <c r="DI347" s="171"/>
      <c r="DJ347" s="171"/>
      <c r="DK347" s="79" t="s">
        <v>415</v>
      </c>
      <c r="DL347" s="128">
        <v>200</v>
      </c>
      <c r="DM347" s="128">
        <v>200</v>
      </c>
      <c r="DN347" s="128">
        <v>200</v>
      </c>
      <c r="DO347" s="128">
        <v>200</v>
      </c>
      <c r="DP347" s="128">
        <v>200</v>
      </c>
      <c r="DQ347" s="128">
        <v>200</v>
      </c>
      <c r="DR347" s="128">
        <v>200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6" t="s">
        <v>1499</v>
      </c>
      <c r="B348" s="6" t="s">
        <v>740</v>
      </c>
      <c r="C348" s="6" t="s">
        <v>788</v>
      </c>
      <c r="D348" s="6" t="s">
        <v>1213</v>
      </c>
      <c r="E348" s="6" t="s">
        <v>1500</v>
      </c>
      <c r="F348" s="6" t="s">
        <v>479</v>
      </c>
      <c r="G348" s="48" t="s">
        <v>1501</v>
      </c>
      <c r="H348" s="48" t="s">
        <v>659</v>
      </c>
      <c r="I348" s="102">
        <v>32.049999999999997</v>
      </c>
      <c r="J348" s="102">
        <v>32.049999999999997</v>
      </c>
      <c r="K348" s="102">
        <v>32.049999999999997</v>
      </c>
      <c r="L348" s="102">
        <v>32.049999999999997</v>
      </c>
      <c r="M348" s="102">
        <v>32.049999999999997</v>
      </c>
      <c r="N348" s="102">
        <v>32.049999999999997</v>
      </c>
      <c r="O348" s="102">
        <v>32.049999999999997</v>
      </c>
      <c r="P348" s="94">
        <v>0</v>
      </c>
      <c r="Q348" s="102">
        <v>3.94</v>
      </c>
      <c r="R348" s="102">
        <v>3.94</v>
      </c>
      <c r="S348" s="102">
        <v>3.94</v>
      </c>
      <c r="T348" s="102">
        <v>3.94</v>
      </c>
      <c r="U348" s="102">
        <v>3.94</v>
      </c>
      <c r="V348" s="102">
        <v>3.94</v>
      </c>
      <c r="W348" s="102">
        <v>3.94</v>
      </c>
      <c r="X348" s="102">
        <v>39.487493296149303</v>
      </c>
      <c r="Y348" s="102">
        <v>39.487493296149303</v>
      </c>
      <c r="Z348" s="102">
        <v>39.487493296149303</v>
      </c>
      <c r="AA348" s="102">
        <v>63.83</v>
      </c>
      <c r="AB348" s="102">
        <v>88.18</v>
      </c>
      <c r="AC348" s="102">
        <v>112.53</v>
      </c>
      <c r="AD348" s="102">
        <v>136.88230183417355</v>
      </c>
      <c r="AE348" s="186">
        <v>0.08</v>
      </c>
      <c r="AF348" s="94">
        <v>0</v>
      </c>
      <c r="AG348" s="94">
        <v>30</v>
      </c>
      <c r="AH348" s="94">
        <v>30</v>
      </c>
      <c r="AI348" s="17">
        <v>1</v>
      </c>
      <c r="AJ348" s="17" t="s">
        <v>660</v>
      </c>
      <c r="AK348" s="17" t="s">
        <v>745</v>
      </c>
      <c r="AL348" s="17"/>
      <c r="AM348" s="61"/>
      <c r="AN348" s="61"/>
      <c r="AO348" s="61"/>
      <c r="AP348" s="61"/>
      <c r="AQ348" s="61"/>
      <c r="AR348" s="61"/>
      <c r="AS348" s="64"/>
      <c r="AT348" s="64"/>
      <c r="AU348" s="64"/>
      <c r="AV348" s="132"/>
      <c r="AW348" s="132"/>
      <c r="AX348" s="132"/>
      <c r="AY348" s="28" t="s">
        <v>662</v>
      </c>
      <c r="AZ348" s="28"/>
      <c r="BA348" s="28"/>
      <c r="BB348" s="28"/>
      <c r="BC348" s="28"/>
      <c r="BD348" s="28"/>
      <c r="BE348" s="28"/>
      <c r="BF348" s="28"/>
      <c r="BG348" s="28"/>
      <c r="BH348" s="106"/>
      <c r="BI348" s="106"/>
      <c r="BJ348" s="106"/>
      <c r="BK348" s="106"/>
      <c r="BL348" s="137">
        <v>1</v>
      </c>
      <c r="BM348" s="123"/>
      <c r="BN348" s="196">
        <v>2.5</v>
      </c>
      <c r="BO348" s="94"/>
      <c r="BP348" s="94"/>
      <c r="BQ348" s="94"/>
      <c r="BR348" s="94">
        <v>2.5</v>
      </c>
      <c r="BS348" s="94"/>
      <c r="BT348" s="94"/>
      <c r="BU348" s="28">
        <f t="shared" si="283"/>
        <v>2.5</v>
      </c>
      <c r="BV348" s="28"/>
      <c r="BW348" s="28"/>
      <c r="BX348" s="28"/>
      <c r="BY348" s="28"/>
      <c r="BZ348" s="28"/>
      <c r="CA348" s="28"/>
      <c r="CB348" s="185">
        <v>2.5</v>
      </c>
      <c r="CC348" s="99">
        <v>50</v>
      </c>
      <c r="CD348" s="99">
        <v>500</v>
      </c>
      <c r="CE348" s="99">
        <v>500</v>
      </c>
      <c r="CF348" s="99">
        <v>500</v>
      </c>
      <c r="CG348" s="99">
        <v>500</v>
      </c>
      <c r="CH348" s="99">
        <v>500</v>
      </c>
      <c r="CI348" s="175"/>
      <c r="CJ348" s="175"/>
      <c r="CK348" s="175"/>
      <c r="CL348" s="175"/>
      <c r="CM348" s="175"/>
      <c r="CN348" s="175"/>
      <c r="CO348" s="175"/>
      <c r="CP348" s="176"/>
      <c r="CQ348" s="176"/>
      <c r="CR348" s="176"/>
      <c r="CS348" s="176"/>
      <c r="CT348" s="176"/>
      <c r="CU348" s="176"/>
      <c r="CV348" s="176"/>
      <c r="CW348" s="167"/>
      <c r="CX348" s="168"/>
      <c r="CY348" s="168"/>
      <c r="CZ348" s="168"/>
      <c r="DA348" s="168"/>
      <c r="DB348" s="168"/>
      <c r="DC348" s="168"/>
      <c r="DD348" s="172"/>
      <c r="DE348" s="172"/>
      <c r="DF348" s="172"/>
      <c r="DG348" s="172"/>
      <c r="DH348" s="172"/>
      <c r="DI348" s="172"/>
      <c r="DJ348" s="172"/>
      <c r="DK348" s="80" t="s">
        <v>415</v>
      </c>
      <c r="DL348" s="129">
        <v>500</v>
      </c>
      <c r="DM348" s="129">
        <v>500</v>
      </c>
      <c r="DN348" s="129">
        <v>500</v>
      </c>
      <c r="DO348" s="129">
        <v>500</v>
      </c>
      <c r="DP348" s="129">
        <v>500</v>
      </c>
      <c r="DQ348" s="129">
        <v>500</v>
      </c>
      <c r="DR348" s="129">
        <v>500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5" t="s">
        <v>1502</v>
      </c>
      <c r="B349" s="5" t="s">
        <v>740</v>
      </c>
      <c r="C349" s="5" t="s">
        <v>788</v>
      </c>
      <c r="D349" s="5" t="s">
        <v>1213</v>
      </c>
      <c r="E349" s="5" t="s">
        <v>1500</v>
      </c>
      <c r="F349" s="5" t="s">
        <v>479</v>
      </c>
      <c r="G349" s="47" t="s">
        <v>1503</v>
      </c>
      <c r="H349" s="47" t="s">
        <v>659</v>
      </c>
      <c r="I349" s="101">
        <v>43.33</v>
      </c>
      <c r="J349" s="101">
        <v>43.33</v>
      </c>
      <c r="K349" s="101">
        <v>43.33</v>
      </c>
      <c r="L349" s="101">
        <v>43.33</v>
      </c>
      <c r="M349" s="101">
        <v>43.33</v>
      </c>
      <c r="N349" s="101">
        <v>43.33</v>
      </c>
      <c r="O349" s="101">
        <v>43.33</v>
      </c>
      <c r="P349" s="93">
        <v>0</v>
      </c>
      <c r="Q349" s="101">
        <v>4.49</v>
      </c>
      <c r="R349" s="101">
        <v>4.49</v>
      </c>
      <c r="S349" s="101">
        <v>4.49</v>
      </c>
      <c r="T349" s="101">
        <v>4.49</v>
      </c>
      <c r="U349" s="101">
        <v>4.49</v>
      </c>
      <c r="V349" s="101">
        <v>4.49</v>
      </c>
      <c r="W349" s="101">
        <v>4.49</v>
      </c>
      <c r="X349" s="101">
        <v>17.627039693926342</v>
      </c>
      <c r="Y349" s="101">
        <v>23.335913177066974</v>
      </c>
      <c r="Z349" s="101">
        <v>29.047375270272983</v>
      </c>
      <c r="AA349" s="101">
        <v>29.046874676630328</v>
      </c>
      <c r="AB349" s="101">
        <v>29.046874676630328</v>
      </c>
      <c r="AC349" s="101">
        <v>29.046874676630328</v>
      </c>
      <c r="AD349" s="101">
        <v>29.047375270272983</v>
      </c>
      <c r="AE349" s="186">
        <v>0.08</v>
      </c>
      <c r="AF349" s="93">
        <v>0</v>
      </c>
      <c r="AG349" s="93">
        <v>30</v>
      </c>
      <c r="AH349" s="93">
        <v>30</v>
      </c>
      <c r="AI349" s="16">
        <v>1</v>
      </c>
      <c r="AJ349" s="16" t="s">
        <v>660</v>
      </c>
      <c r="AK349" s="16" t="s">
        <v>745</v>
      </c>
      <c r="AL349" s="16"/>
      <c r="AM349" s="60"/>
      <c r="AN349" s="60"/>
      <c r="AO349" s="60"/>
      <c r="AP349" s="60"/>
      <c r="AQ349" s="60"/>
      <c r="AR349" s="60"/>
      <c r="AS349" s="63"/>
      <c r="AT349" s="63"/>
      <c r="AU349" s="63"/>
      <c r="AV349" s="131"/>
      <c r="AW349" s="131"/>
      <c r="AX349" s="131"/>
      <c r="AY349" s="27" t="s">
        <v>662</v>
      </c>
      <c r="AZ349" s="27"/>
      <c r="BA349" s="27"/>
      <c r="BB349" s="30"/>
      <c r="BC349" s="30"/>
      <c r="BD349" s="30"/>
      <c r="BE349" s="30"/>
      <c r="BF349" s="30"/>
      <c r="BG349" s="30"/>
      <c r="BH349" s="107"/>
      <c r="BI349" s="107"/>
      <c r="BJ349" s="107"/>
      <c r="BK349" s="107"/>
      <c r="BL349" s="136"/>
      <c r="BM349" s="122"/>
      <c r="BN349" s="138">
        <v>0</v>
      </c>
      <c r="BO349" s="93"/>
      <c r="BP349" s="93"/>
      <c r="BQ349" s="93"/>
      <c r="BR349" s="93"/>
      <c r="BS349" s="93"/>
      <c r="BT349" s="93"/>
      <c r="BU349" s="27">
        <f t="shared" si="283"/>
        <v>0</v>
      </c>
      <c r="BV349" s="27"/>
      <c r="BW349" s="27"/>
      <c r="BX349" s="27"/>
      <c r="BY349" s="27"/>
      <c r="BZ349" s="27"/>
      <c r="CA349" s="27"/>
      <c r="CB349" s="97">
        <v>0</v>
      </c>
      <c r="CC349" s="97">
        <v>50</v>
      </c>
      <c r="CD349" s="97">
        <v>500</v>
      </c>
      <c r="CE349" s="97">
        <v>500</v>
      </c>
      <c r="CF349" s="97">
        <v>500</v>
      </c>
      <c r="CG349" s="97">
        <v>500</v>
      </c>
      <c r="CH349" s="97">
        <v>500</v>
      </c>
      <c r="CI349" s="173"/>
      <c r="CJ349" s="173"/>
      <c r="CK349" s="173"/>
      <c r="CL349" s="173"/>
      <c r="CM349" s="173"/>
      <c r="CN349" s="173"/>
      <c r="CO349" s="173"/>
      <c r="CP349" s="174"/>
      <c r="CQ349" s="174"/>
      <c r="CR349" s="174"/>
      <c r="CS349" s="174"/>
      <c r="CT349" s="174"/>
      <c r="CU349" s="174"/>
      <c r="CV349" s="174"/>
      <c r="CW349" s="165"/>
      <c r="CX349" s="166"/>
      <c r="CY349" s="166"/>
      <c r="CZ349" s="166"/>
      <c r="DA349" s="166"/>
      <c r="DB349" s="166"/>
      <c r="DC349" s="166"/>
      <c r="DD349" s="171"/>
      <c r="DE349" s="171"/>
      <c r="DF349" s="171"/>
      <c r="DG349" s="171"/>
      <c r="DH349" s="171"/>
      <c r="DI349" s="171"/>
      <c r="DJ349" s="171"/>
      <c r="DK349" s="79" t="s">
        <v>415</v>
      </c>
      <c r="DL349" s="128">
        <v>500</v>
      </c>
      <c r="DM349" s="128">
        <v>500</v>
      </c>
      <c r="DN349" s="128">
        <v>500</v>
      </c>
      <c r="DO349" s="128">
        <v>500</v>
      </c>
      <c r="DP349" s="128">
        <v>500</v>
      </c>
      <c r="DQ349" s="128">
        <v>500</v>
      </c>
      <c r="DR349" s="128">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6" t="s">
        <v>1504</v>
      </c>
      <c r="B350" s="6" t="s">
        <v>740</v>
      </c>
      <c r="C350" s="6" t="s">
        <v>788</v>
      </c>
      <c r="D350" s="6" t="s">
        <v>1213</v>
      </c>
      <c r="E350" s="6" t="s">
        <v>1500</v>
      </c>
      <c r="F350" s="6" t="s">
        <v>479</v>
      </c>
      <c r="G350" s="48" t="s">
        <v>1505</v>
      </c>
      <c r="H350" s="48" t="s">
        <v>659</v>
      </c>
      <c r="I350" s="102">
        <v>76.650000000000006</v>
      </c>
      <c r="J350" s="102">
        <v>70.900000000000006</v>
      </c>
      <c r="K350" s="102">
        <v>65.150000000000006</v>
      </c>
      <c r="L350" s="102">
        <v>63.49</v>
      </c>
      <c r="M350" s="102">
        <v>61.83</v>
      </c>
      <c r="N350" s="102">
        <v>60.54</v>
      </c>
      <c r="O350" s="102">
        <v>59.24</v>
      </c>
      <c r="P350" s="94">
        <v>0</v>
      </c>
      <c r="Q350" s="102">
        <v>11.19</v>
      </c>
      <c r="R350" s="102">
        <v>11.19</v>
      </c>
      <c r="S350" s="102">
        <v>11.19</v>
      </c>
      <c r="T350" s="102">
        <v>11.19</v>
      </c>
      <c r="U350" s="102">
        <v>11.19</v>
      </c>
      <c r="V350" s="102">
        <v>11.19</v>
      </c>
      <c r="W350" s="102">
        <v>11.19</v>
      </c>
      <c r="X350" s="102">
        <v>38.911873860345374</v>
      </c>
      <c r="Y350" s="102">
        <v>38.911873860345374</v>
      </c>
      <c r="Z350" s="102">
        <v>38.911873860345374</v>
      </c>
      <c r="AA350" s="102">
        <v>42.37</v>
      </c>
      <c r="AB350" s="102">
        <v>45.82</v>
      </c>
      <c r="AC350" s="102">
        <v>49.27</v>
      </c>
      <c r="AD350" s="102">
        <v>52.726740319639589</v>
      </c>
      <c r="AE350" s="186">
        <v>0.08</v>
      </c>
      <c r="AF350" s="94">
        <v>0</v>
      </c>
      <c r="AG350" s="94">
        <v>30</v>
      </c>
      <c r="AH350" s="94">
        <v>30</v>
      </c>
      <c r="AI350" s="17">
        <v>1</v>
      </c>
      <c r="AJ350" s="17" t="s">
        <v>660</v>
      </c>
      <c r="AK350" s="17" t="s">
        <v>745</v>
      </c>
      <c r="AL350" s="17"/>
      <c r="AM350" s="61"/>
      <c r="AN350" s="61"/>
      <c r="AO350" s="61"/>
      <c r="AP350" s="61"/>
      <c r="AQ350" s="61"/>
      <c r="AR350" s="61"/>
      <c r="AS350" s="64"/>
      <c r="AT350" s="64"/>
      <c r="AU350" s="64"/>
      <c r="AV350" s="132"/>
      <c r="AW350" s="132"/>
      <c r="AX350" s="132"/>
      <c r="AY350" s="28" t="s">
        <v>662</v>
      </c>
      <c r="AZ350" s="28"/>
      <c r="BA350" s="28"/>
      <c r="BB350" s="28"/>
      <c r="BC350" s="28"/>
      <c r="BD350" s="28"/>
      <c r="BE350" s="28"/>
      <c r="BF350" s="28"/>
      <c r="BG350" s="28"/>
      <c r="BH350" s="106"/>
      <c r="BI350" s="106"/>
      <c r="BJ350" s="106"/>
      <c r="BK350" s="106"/>
      <c r="BL350" s="137">
        <v>1</v>
      </c>
      <c r="BM350" s="123"/>
      <c r="BN350" s="196">
        <v>5</v>
      </c>
      <c r="BO350" s="94"/>
      <c r="BP350" s="94"/>
      <c r="BQ350" s="94"/>
      <c r="BR350" s="94">
        <v>5</v>
      </c>
      <c r="BS350" s="94"/>
      <c r="BT350" s="94"/>
      <c r="BU350" s="28">
        <f t="shared" si="283"/>
        <v>5</v>
      </c>
      <c r="BV350" s="28"/>
      <c r="BW350" s="28"/>
      <c r="BX350" s="28"/>
      <c r="BY350" s="28"/>
      <c r="BZ350" s="28"/>
      <c r="CA350" s="28"/>
      <c r="CB350" s="185">
        <v>5</v>
      </c>
      <c r="CC350" s="99">
        <v>50</v>
      </c>
      <c r="CD350" s="99">
        <v>1000</v>
      </c>
      <c r="CE350" s="99">
        <v>1000</v>
      </c>
      <c r="CF350" s="99">
        <v>1000</v>
      </c>
      <c r="CG350" s="99">
        <v>1000</v>
      </c>
      <c r="CH350" s="99">
        <v>1000</v>
      </c>
      <c r="CI350" s="175"/>
      <c r="CJ350" s="175"/>
      <c r="CK350" s="175"/>
      <c r="CL350" s="175"/>
      <c r="CM350" s="175"/>
      <c r="CN350" s="175"/>
      <c r="CO350" s="175"/>
      <c r="CP350" s="176"/>
      <c r="CQ350" s="176"/>
      <c r="CR350" s="176"/>
      <c r="CS350" s="176"/>
      <c r="CT350" s="176"/>
      <c r="CU350" s="176"/>
      <c r="CV350" s="176"/>
      <c r="CW350" s="167"/>
      <c r="CX350" s="168"/>
      <c r="CY350" s="168"/>
      <c r="CZ350" s="168"/>
      <c r="DA350" s="168"/>
      <c r="DB350" s="168"/>
      <c r="DC350" s="168"/>
      <c r="DD350" s="172"/>
      <c r="DE350" s="172"/>
      <c r="DF350" s="172"/>
      <c r="DG350" s="172"/>
      <c r="DH350" s="172"/>
      <c r="DI350" s="172"/>
      <c r="DJ350" s="172"/>
      <c r="DK350" s="80" t="s">
        <v>415</v>
      </c>
      <c r="DL350" s="129">
        <v>500</v>
      </c>
      <c r="DM350" s="129">
        <v>500</v>
      </c>
      <c r="DN350" s="129">
        <v>500</v>
      </c>
      <c r="DO350" s="129">
        <v>500</v>
      </c>
      <c r="DP350" s="129">
        <v>500</v>
      </c>
      <c r="DQ350" s="129">
        <v>500</v>
      </c>
      <c r="DR350" s="129">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223" t="s">
        <v>1506</v>
      </c>
      <c r="B351" s="223" t="s">
        <v>740</v>
      </c>
      <c r="C351" s="223" t="s">
        <v>817</v>
      </c>
      <c r="D351" s="223" t="s">
        <v>1496</v>
      </c>
      <c r="E351" s="223" t="s">
        <v>1497</v>
      </c>
      <c r="F351" s="223" t="s">
        <v>479</v>
      </c>
      <c r="G351" s="229" t="s">
        <v>1507</v>
      </c>
      <c r="H351" s="224" t="s">
        <v>659</v>
      </c>
      <c r="I351" s="101">
        <v>0</v>
      </c>
      <c r="J351" s="101">
        <v>0</v>
      </c>
      <c r="K351" s="101">
        <v>0</v>
      </c>
      <c r="L351" s="101">
        <v>0</v>
      </c>
      <c r="M351" s="101">
        <v>0</v>
      </c>
      <c r="N351" s="101">
        <v>0</v>
      </c>
      <c r="O351" s="101">
        <v>0</v>
      </c>
      <c r="P351" s="93">
        <v>0</v>
      </c>
      <c r="Q351" s="101">
        <v>0</v>
      </c>
      <c r="R351" s="101">
        <v>0</v>
      </c>
      <c r="S351" s="101">
        <v>0</v>
      </c>
      <c r="T351" s="101">
        <v>0</v>
      </c>
      <c r="U351" s="101">
        <v>0</v>
      </c>
      <c r="V351" s="101">
        <v>0</v>
      </c>
      <c r="W351" s="101">
        <v>0</v>
      </c>
      <c r="X351" s="101">
        <v>38.232089986761537</v>
      </c>
      <c r="Y351" s="101">
        <v>34.811225193328987</v>
      </c>
      <c r="Z351" s="101">
        <v>31.38867045560421</v>
      </c>
      <c r="AA351" s="101">
        <v>31.38867045560421</v>
      </c>
      <c r="AB351" s="101">
        <v>31.38867045560421</v>
      </c>
      <c r="AC351" s="101">
        <v>31.38867045560421</v>
      </c>
      <c r="AD351" s="101">
        <v>31.38867045560421</v>
      </c>
      <c r="AE351" s="186">
        <v>0.08</v>
      </c>
      <c r="AF351" s="93">
        <v>0</v>
      </c>
      <c r="AG351" s="93">
        <v>1</v>
      </c>
      <c r="AH351" s="93">
        <v>1</v>
      </c>
      <c r="AI351" s="16">
        <v>1</v>
      </c>
      <c r="AJ351" s="16" t="s">
        <v>660</v>
      </c>
      <c r="AK351" s="16" t="s">
        <v>745</v>
      </c>
      <c r="AL351" s="16"/>
      <c r="AM351" s="60"/>
      <c r="AN351" s="60"/>
      <c r="AO351" s="60"/>
      <c r="AP351" s="60"/>
      <c r="AQ351" s="60"/>
      <c r="AR351" s="60"/>
      <c r="AS351" s="63"/>
      <c r="AT351" s="63"/>
      <c r="AU351" s="63"/>
      <c r="AV351" s="131"/>
      <c r="AW351" s="131"/>
      <c r="AX351" s="131"/>
      <c r="AY351" s="27" t="s">
        <v>662</v>
      </c>
      <c r="AZ351" s="27"/>
      <c r="BA351" s="27"/>
      <c r="BB351" s="30"/>
      <c r="BC351" s="30"/>
      <c r="BD351" s="30"/>
      <c r="BE351" s="30"/>
      <c r="BF351" s="30"/>
      <c r="BG351" s="30"/>
      <c r="BH351" s="107"/>
      <c r="BI351" s="107"/>
      <c r="BJ351" s="107"/>
      <c r="BK351" s="107"/>
      <c r="BL351" s="136"/>
      <c r="BM351" s="122"/>
      <c r="BN351" s="138"/>
      <c r="BO351" s="93"/>
      <c r="BP351" s="93"/>
      <c r="BQ351" s="93"/>
      <c r="BR351" s="93"/>
      <c r="BS351" s="93"/>
      <c r="BT351" s="93"/>
      <c r="BU351" s="27">
        <f t="shared" si="283"/>
        <v>0</v>
      </c>
      <c r="BV351" s="27"/>
      <c r="BW351" s="27"/>
      <c r="BX351" s="27"/>
      <c r="BY351" s="27"/>
      <c r="BZ351" s="27"/>
      <c r="CA351" s="27"/>
      <c r="CB351" s="244">
        <v>0</v>
      </c>
      <c r="CC351" s="244">
        <v>0</v>
      </c>
      <c r="CD351" s="244">
        <v>0</v>
      </c>
      <c r="CE351" s="244">
        <v>0</v>
      </c>
      <c r="CF351" s="244">
        <v>0</v>
      </c>
      <c r="CG351" s="244">
        <v>0</v>
      </c>
      <c r="CH351" s="244">
        <v>0</v>
      </c>
      <c r="CI351" s="173"/>
      <c r="CJ351" s="173"/>
      <c r="CK351" s="173"/>
      <c r="CL351" s="173"/>
      <c r="CM351" s="173"/>
      <c r="CN351" s="173"/>
      <c r="CO351" s="173"/>
      <c r="CP351" s="174"/>
      <c r="CQ351" s="174"/>
      <c r="CR351" s="174"/>
      <c r="CS351" s="174"/>
      <c r="CT351" s="174"/>
      <c r="CU351" s="174"/>
      <c r="CV351" s="174"/>
      <c r="CW351" s="165"/>
      <c r="CX351" s="166"/>
      <c r="CY351" s="166"/>
      <c r="CZ351" s="166"/>
      <c r="DA351" s="166"/>
      <c r="DB351" s="166"/>
      <c r="DC351" s="166"/>
      <c r="DD351" s="171"/>
      <c r="DE351" s="171"/>
      <c r="DF351" s="171"/>
      <c r="DG351" s="171"/>
      <c r="DH351" s="171"/>
      <c r="DI351" s="171"/>
      <c r="DJ351" s="171"/>
      <c r="DK351" s="79" t="s">
        <v>415</v>
      </c>
      <c r="DL351" s="128">
        <v>200</v>
      </c>
      <c r="DM351" s="128">
        <v>200</v>
      </c>
      <c r="DN351" s="128">
        <v>200</v>
      </c>
      <c r="DO351" s="128">
        <v>200</v>
      </c>
      <c r="DP351" s="128">
        <v>200</v>
      </c>
      <c r="DQ351" s="128">
        <v>200</v>
      </c>
      <c r="DR351" s="128">
        <v>200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6" t="s">
        <v>1508</v>
      </c>
      <c r="B352" s="6" t="s">
        <v>740</v>
      </c>
      <c r="C352" s="6" t="s">
        <v>788</v>
      </c>
      <c r="D352" s="6" t="s">
        <v>1213</v>
      </c>
      <c r="E352" s="6" t="s">
        <v>1500</v>
      </c>
      <c r="F352" s="6" t="s">
        <v>480</v>
      </c>
      <c r="G352" s="48" t="s">
        <v>1509</v>
      </c>
      <c r="H352" s="48" t="s">
        <v>659</v>
      </c>
      <c r="I352" s="102">
        <v>63</v>
      </c>
      <c r="J352" s="102">
        <v>63</v>
      </c>
      <c r="K352" s="102">
        <v>63</v>
      </c>
      <c r="L352" s="102">
        <v>63</v>
      </c>
      <c r="M352" s="102">
        <v>63</v>
      </c>
      <c r="N352" s="102">
        <v>63</v>
      </c>
      <c r="O352" s="102">
        <v>63</v>
      </c>
      <c r="P352" s="94">
        <v>0</v>
      </c>
      <c r="Q352" s="102">
        <v>1.45</v>
      </c>
      <c r="R352" s="102">
        <v>1.45</v>
      </c>
      <c r="S352" s="102">
        <v>1.45</v>
      </c>
      <c r="T352" s="102">
        <v>1.45</v>
      </c>
      <c r="U352" s="102">
        <v>1.45</v>
      </c>
      <c r="V352" s="102">
        <v>1.45</v>
      </c>
      <c r="W352" s="102">
        <v>1.45</v>
      </c>
      <c r="X352" s="102">
        <v>0</v>
      </c>
      <c r="Y352" s="102">
        <v>0</v>
      </c>
      <c r="Z352" s="102">
        <v>0</v>
      </c>
      <c r="AA352" s="102">
        <v>0</v>
      </c>
      <c r="AB352" s="102">
        <v>0</v>
      </c>
      <c r="AC352" s="102">
        <v>0</v>
      </c>
      <c r="AD352" s="102">
        <v>0</v>
      </c>
      <c r="AE352" s="186">
        <v>0.08</v>
      </c>
      <c r="AF352" s="94">
        <v>0</v>
      </c>
      <c r="AG352" s="94">
        <v>30</v>
      </c>
      <c r="AH352" s="94">
        <v>30</v>
      </c>
      <c r="AI352" s="17">
        <v>1</v>
      </c>
      <c r="AJ352" s="17" t="s">
        <v>660</v>
      </c>
      <c r="AK352" s="17" t="s">
        <v>745</v>
      </c>
      <c r="AL352" s="17"/>
      <c r="AM352" s="61"/>
      <c r="AN352" s="61"/>
      <c r="AO352" s="61"/>
      <c r="AP352" s="61"/>
      <c r="AQ352" s="61"/>
      <c r="AR352" s="61"/>
      <c r="AS352" s="64"/>
      <c r="AT352" s="64"/>
      <c r="AU352" s="64"/>
      <c r="AV352" s="132"/>
      <c r="AW352" s="132"/>
      <c r="AX352" s="132"/>
      <c r="AY352" s="28" t="s">
        <v>662</v>
      </c>
      <c r="AZ352" s="28"/>
      <c r="BA352" s="28"/>
      <c r="BB352" s="28"/>
      <c r="BC352" s="28"/>
      <c r="BD352" s="28"/>
      <c r="BE352" s="28"/>
      <c r="BF352" s="28"/>
      <c r="BG352" s="28"/>
      <c r="BH352" s="106"/>
      <c r="BI352" s="106"/>
      <c r="BJ352" s="106"/>
      <c r="BK352" s="106"/>
      <c r="BL352" s="137"/>
      <c r="BM352" s="123"/>
      <c r="BN352" s="139">
        <v>0</v>
      </c>
      <c r="BO352" s="94"/>
      <c r="BP352" s="94"/>
      <c r="BQ352" s="94"/>
      <c r="BR352" s="94"/>
      <c r="BS352" s="94"/>
      <c r="BT352" s="94"/>
      <c r="BU352" s="28">
        <f t="shared" si="283"/>
        <v>0</v>
      </c>
      <c r="BV352" s="28"/>
      <c r="BW352" s="28"/>
      <c r="BX352" s="28"/>
      <c r="BY352" s="28"/>
      <c r="BZ352" s="28"/>
      <c r="CA352" s="28"/>
      <c r="CB352" s="99">
        <v>0</v>
      </c>
      <c r="CC352" s="99">
        <v>50</v>
      </c>
      <c r="CD352" s="99">
        <v>1000</v>
      </c>
      <c r="CE352" s="99">
        <v>1000</v>
      </c>
      <c r="CF352" s="99">
        <v>1000</v>
      </c>
      <c r="CG352" s="99">
        <v>1000</v>
      </c>
      <c r="CH352" s="99">
        <v>1000</v>
      </c>
      <c r="CI352" s="175"/>
      <c r="CJ352" s="175"/>
      <c r="CK352" s="175"/>
      <c r="CL352" s="175"/>
      <c r="CM352" s="175"/>
      <c r="CN352" s="175"/>
      <c r="CO352" s="175"/>
      <c r="CP352" s="176"/>
      <c r="CQ352" s="176"/>
      <c r="CR352" s="176"/>
      <c r="CS352" s="176"/>
      <c r="CT352" s="176"/>
      <c r="CU352" s="176"/>
      <c r="CV352" s="176"/>
      <c r="CW352" s="167"/>
      <c r="CX352" s="168"/>
      <c r="CY352" s="168"/>
      <c r="CZ352" s="168"/>
      <c r="DA352" s="168"/>
      <c r="DB352" s="168"/>
      <c r="DC352" s="168"/>
      <c r="DD352" s="172"/>
      <c r="DE352" s="172"/>
      <c r="DF352" s="172"/>
      <c r="DG352" s="172"/>
      <c r="DH352" s="172"/>
      <c r="DI352" s="172"/>
      <c r="DJ352" s="172"/>
      <c r="DK352" s="80" t="s">
        <v>415</v>
      </c>
      <c r="DL352" s="129">
        <v>500</v>
      </c>
      <c r="DM352" s="129">
        <v>500</v>
      </c>
      <c r="DN352" s="129">
        <v>500</v>
      </c>
      <c r="DO352" s="129">
        <v>500</v>
      </c>
      <c r="DP352" s="129">
        <v>500</v>
      </c>
      <c r="DQ352" s="129">
        <v>500</v>
      </c>
      <c r="DR352" s="129">
        <v>500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5" t="s">
        <v>1510</v>
      </c>
      <c r="B353" s="5" t="s">
        <v>740</v>
      </c>
      <c r="C353" s="5" t="s">
        <v>788</v>
      </c>
      <c r="D353" s="5" t="s">
        <v>1213</v>
      </c>
      <c r="E353" s="5" t="s">
        <v>1500</v>
      </c>
      <c r="F353" s="5" t="s">
        <v>480</v>
      </c>
      <c r="G353" s="47" t="s">
        <v>1511</v>
      </c>
      <c r="H353" s="47" t="s">
        <v>659</v>
      </c>
      <c r="I353" s="101">
        <v>70</v>
      </c>
      <c r="J353" s="101">
        <v>68</v>
      </c>
      <c r="K353" s="101">
        <v>65</v>
      </c>
      <c r="L353" s="101">
        <v>62.5</v>
      </c>
      <c r="M353" s="101">
        <v>60</v>
      </c>
      <c r="N353" s="101">
        <v>55</v>
      </c>
      <c r="O353" s="101">
        <v>50</v>
      </c>
      <c r="P353" s="93">
        <v>0</v>
      </c>
      <c r="Q353" s="101">
        <v>3</v>
      </c>
      <c r="R353" s="101">
        <v>3</v>
      </c>
      <c r="S353" s="101">
        <v>3</v>
      </c>
      <c r="T353" s="101">
        <v>3</v>
      </c>
      <c r="U353" s="101">
        <v>2.5</v>
      </c>
      <c r="V353" s="101">
        <v>2.5</v>
      </c>
      <c r="W353" s="101">
        <v>2.5</v>
      </c>
      <c r="X353" s="101">
        <v>0</v>
      </c>
      <c r="Y353" s="101">
        <v>0</v>
      </c>
      <c r="Z353" s="101">
        <v>0</v>
      </c>
      <c r="AA353" s="101">
        <v>0</v>
      </c>
      <c r="AB353" s="101">
        <v>0</v>
      </c>
      <c r="AC353" s="101">
        <v>0</v>
      </c>
      <c r="AD353" s="101">
        <v>0</v>
      </c>
      <c r="AE353" s="186">
        <v>0.08</v>
      </c>
      <c r="AF353" s="93">
        <v>0</v>
      </c>
      <c r="AG353" s="93">
        <v>30</v>
      </c>
      <c r="AH353" s="93">
        <v>30</v>
      </c>
      <c r="AI353" s="16">
        <v>1</v>
      </c>
      <c r="AJ353" s="16" t="s">
        <v>660</v>
      </c>
      <c r="AK353" s="16" t="s">
        <v>745</v>
      </c>
      <c r="AL353" s="16"/>
      <c r="AM353" s="60"/>
      <c r="AN353" s="60"/>
      <c r="AO353" s="60"/>
      <c r="AP353" s="60"/>
      <c r="AQ353" s="60"/>
      <c r="AR353" s="60"/>
      <c r="AS353" s="63"/>
      <c r="AT353" s="63"/>
      <c r="AU353" s="63"/>
      <c r="AV353" s="131"/>
      <c r="AW353" s="131"/>
      <c r="AX353" s="131"/>
      <c r="AY353" s="27" t="s">
        <v>662</v>
      </c>
      <c r="AZ353" s="27"/>
      <c r="BA353" s="27"/>
      <c r="BB353" s="30"/>
      <c r="BC353" s="30"/>
      <c r="BD353" s="30"/>
      <c r="BE353" s="30"/>
      <c r="BF353" s="30"/>
      <c r="BG353" s="30"/>
      <c r="BH353" s="107"/>
      <c r="BI353" s="107"/>
      <c r="BJ353" s="107"/>
      <c r="BK353" s="107"/>
      <c r="BL353" s="136"/>
      <c r="BM353" s="122"/>
      <c r="BN353" s="138">
        <v>0</v>
      </c>
      <c r="BO353" s="93"/>
      <c r="BP353" s="93"/>
      <c r="BQ353" s="93"/>
      <c r="BR353" s="93"/>
      <c r="BS353" s="93"/>
      <c r="BT353" s="93"/>
      <c r="BU353" s="27">
        <f t="shared" si="283"/>
        <v>0</v>
      </c>
      <c r="BV353" s="27"/>
      <c r="BW353" s="27"/>
      <c r="BX353" s="27"/>
      <c r="BY353" s="27"/>
      <c r="BZ353" s="27"/>
      <c r="CA353" s="27"/>
      <c r="CB353" s="97"/>
      <c r="CC353" s="97">
        <v>50</v>
      </c>
      <c r="CD353" s="97">
        <v>1000</v>
      </c>
      <c r="CE353" s="97">
        <v>1000</v>
      </c>
      <c r="CF353" s="97">
        <v>1000</v>
      </c>
      <c r="CG353" s="97">
        <v>1000</v>
      </c>
      <c r="CH353" s="97">
        <v>1000</v>
      </c>
      <c r="CI353" s="173"/>
      <c r="CJ353" s="173"/>
      <c r="CK353" s="173"/>
      <c r="CL353" s="173"/>
      <c r="CM353" s="173"/>
      <c r="CN353" s="173"/>
      <c r="CO353" s="173"/>
      <c r="CP353" s="174"/>
      <c r="CQ353" s="174"/>
      <c r="CR353" s="174"/>
      <c r="CS353" s="174"/>
      <c r="CT353" s="174"/>
      <c r="CU353" s="174"/>
      <c r="CV353" s="174"/>
      <c r="CW353" s="165"/>
      <c r="CX353" s="166"/>
      <c r="CY353" s="166"/>
      <c r="CZ353" s="166"/>
      <c r="DA353" s="166"/>
      <c r="DB353" s="166"/>
      <c r="DC353" s="166"/>
      <c r="DD353" s="171"/>
      <c r="DE353" s="171"/>
      <c r="DF353" s="171"/>
      <c r="DG353" s="171"/>
      <c r="DH353" s="171"/>
      <c r="DI353" s="171"/>
      <c r="DJ353" s="171"/>
      <c r="DK353" s="79" t="s">
        <v>1512</v>
      </c>
      <c r="DL353" s="128"/>
      <c r="DM353" s="128"/>
      <c r="DN353" s="128"/>
      <c r="DO353" s="128"/>
      <c r="DP353" s="128"/>
      <c r="DQ353" s="128"/>
      <c r="DR353" s="128"/>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225" t="s">
        <v>1513</v>
      </c>
      <c r="B354" s="225" t="s">
        <v>740</v>
      </c>
      <c r="C354" s="225" t="s">
        <v>817</v>
      </c>
      <c r="D354" s="225" t="s">
        <v>1496</v>
      </c>
      <c r="E354" s="225" t="s">
        <v>1497</v>
      </c>
      <c r="F354" s="225" t="s">
        <v>480</v>
      </c>
      <c r="G354" s="229" t="s">
        <v>1514</v>
      </c>
      <c r="H354" s="226" t="s">
        <v>659</v>
      </c>
      <c r="I354" s="102">
        <v>0</v>
      </c>
      <c r="J354" s="102">
        <v>0</v>
      </c>
      <c r="K354" s="102">
        <v>0</v>
      </c>
      <c r="L354" s="102">
        <v>0</v>
      </c>
      <c r="M354" s="102">
        <v>0</v>
      </c>
      <c r="N354" s="102">
        <v>0</v>
      </c>
      <c r="O354" s="102">
        <v>0</v>
      </c>
      <c r="P354" s="94">
        <v>0</v>
      </c>
      <c r="Q354" s="102">
        <v>0</v>
      </c>
      <c r="R354" s="102">
        <v>0</v>
      </c>
      <c r="S354" s="102">
        <v>0</v>
      </c>
      <c r="T354" s="102">
        <v>0</v>
      </c>
      <c r="U354" s="102">
        <v>0</v>
      </c>
      <c r="V354" s="102">
        <v>0</v>
      </c>
      <c r="W354" s="102">
        <v>0</v>
      </c>
      <c r="X354" s="363">
        <v>57.698690847699652</v>
      </c>
      <c r="Y354" s="363">
        <v>55.225889811369662</v>
      </c>
      <c r="Z354" s="363">
        <v>51.104554750819688</v>
      </c>
      <c r="AA354" s="363">
        <v>46.983219690269713</v>
      </c>
      <c r="AB354" s="363">
        <v>42.861884629719732</v>
      </c>
      <c r="AC354" s="363">
        <v>38.740549569169758</v>
      </c>
      <c r="AD354" s="363">
        <v>34.619214508619791</v>
      </c>
      <c r="AE354" s="186">
        <v>0.08</v>
      </c>
      <c r="AF354" s="94">
        <v>0</v>
      </c>
      <c r="AG354" s="94">
        <v>1</v>
      </c>
      <c r="AH354" s="94">
        <v>1</v>
      </c>
      <c r="AI354" s="17">
        <v>1</v>
      </c>
      <c r="AJ354" s="17" t="s">
        <v>660</v>
      </c>
      <c r="AK354" s="17" t="s">
        <v>745</v>
      </c>
      <c r="AL354" s="17"/>
      <c r="AM354" s="61"/>
      <c r="AN354" s="61"/>
      <c r="AO354" s="61"/>
      <c r="AP354" s="61"/>
      <c r="AQ354" s="61"/>
      <c r="AR354" s="61"/>
      <c r="AS354" s="64"/>
      <c r="AT354" s="64"/>
      <c r="AU354" s="64"/>
      <c r="AV354" s="132"/>
      <c r="AW354" s="132"/>
      <c r="AX354" s="132"/>
      <c r="AY354" s="28" t="s">
        <v>662</v>
      </c>
      <c r="AZ354" s="28"/>
      <c r="BA354" s="28"/>
      <c r="BB354" s="28"/>
      <c r="BC354" s="28"/>
      <c r="BD354" s="28"/>
      <c r="BE354" s="28"/>
      <c r="BF354" s="28"/>
      <c r="BG354" s="28"/>
      <c r="BH354" s="106"/>
      <c r="BI354" s="106"/>
      <c r="BJ354" s="106"/>
      <c r="BK354" s="106"/>
      <c r="BL354" s="137"/>
      <c r="BM354" s="123"/>
      <c r="BN354" s="139"/>
      <c r="BO354" s="94"/>
      <c r="BP354" s="94"/>
      <c r="BQ354" s="94"/>
      <c r="BR354" s="94"/>
      <c r="BS354" s="94"/>
      <c r="BT354" s="94"/>
      <c r="BU354" s="28">
        <f t="shared" si="283"/>
        <v>0</v>
      </c>
      <c r="BV354" s="28"/>
      <c r="BW354" s="28"/>
      <c r="BX354" s="28"/>
      <c r="BY354" s="28"/>
      <c r="BZ354" s="28"/>
      <c r="CA354" s="28"/>
      <c r="CB354" s="244">
        <v>0</v>
      </c>
      <c r="CC354" s="244">
        <v>0</v>
      </c>
      <c r="CD354" s="244">
        <v>0</v>
      </c>
      <c r="CE354" s="244">
        <v>0</v>
      </c>
      <c r="CF354" s="244">
        <v>0</v>
      </c>
      <c r="CG354" s="244">
        <v>0</v>
      </c>
      <c r="CH354" s="244">
        <v>0</v>
      </c>
      <c r="CI354" s="175"/>
      <c r="CJ354" s="175"/>
      <c r="CK354" s="175"/>
      <c r="CL354" s="175"/>
      <c r="CM354" s="175"/>
      <c r="CN354" s="175"/>
      <c r="CO354" s="175"/>
      <c r="CP354" s="176"/>
      <c r="CQ354" s="176"/>
      <c r="CR354" s="176"/>
      <c r="CS354" s="176"/>
      <c r="CT354" s="176"/>
      <c r="CU354" s="176"/>
      <c r="CV354" s="176"/>
      <c r="CW354" s="167"/>
      <c r="CX354" s="168"/>
      <c r="CY354" s="168"/>
      <c r="CZ354" s="168"/>
      <c r="DA354" s="168"/>
      <c r="DB354" s="168"/>
      <c r="DC354" s="168"/>
      <c r="DD354" s="172"/>
      <c r="DE354" s="172"/>
      <c r="DF354" s="172"/>
      <c r="DG354" s="172"/>
      <c r="DH354" s="172"/>
      <c r="DI354" s="172"/>
      <c r="DJ354" s="172"/>
      <c r="DK354" s="80" t="s">
        <v>415</v>
      </c>
      <c r="DL354" s="129">
        <v>200</v>
      </c>
      <c r="DM354" s="129">
        <v>200</v>
      </c>
      <c r="DN354" s="129">
        <v>200</v>
      </c>
      <c r="DO354" s="129">
        <v>200</v>
      </c>
      <c r="DP354" s="129">
        <v>200</v>
      </c>
      <c r="DQ354" s="129">
        <v>200</v>
      </c>
      <c r="DR354" s="129">
        <v>200</v>
      </c>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5" t="s">
        <v>1515</v>
      </c>
      <c r="B355" s="5" t="s">
        <v>740</v>
      </c>
      <c r="C355" s="5" t="s">
        <v>788</v>
      </c>
      <c r="D355" s="5" t="s">
        <v>1213</v>
      </c>
      <c r="E355" s="5" t="s">
        <v>1500</v>
      </c>
      <c r="F355" s="5" t="s">
        <v>481</v>
      </c>
      <c r="G355" s="47" t="s">
        <v>1516</v>
      </c>
      <c r="H355" s="47" t="s">
        <v>659</v>
      </c>
      <c r="I355" s="101">
        <v>70</v>
      </c>
      <c r="J355" s="101">
        <v>68</v>
      </c>
      <c r="K355" s="101">
        <v>65</v>
      </c>
      <c r="L355" s="101">
        <v>62.5</v>
      </c>
      <c r="M355" s="101">
        <v>60</v>
      </c>
      <c r="N355" s="101">
        <v>55</v>
      </c>
      <c r="O355" s="101">
        <v>50</v>
      </c>
      <c r="P355" s="93">
        <v>0</v>
      </c>
      <c r="Q355" s="101">
        <v>3</v>
      </c>
      <c r="R355" s="101">
        <v>3</v>
      </c>
      <c r="S355" s="101">
        <v>3</v>
      </c>
      <c r="T355" s="101">
        <v>3</v>
      </c>
      <c r="U355" s="101">
        <v>2.5</v>
      </c>
      <c r="V355" s="101">
        <v>2.5</v>
      </c>
      <c r="W355" s="101">
        <v>2.5</v>
      </c>
      <c r="X355" s="101">
        <v>0</v>
      </c>
      <c r="Y355" s="101">
        <v>0</v>
      </c>
      <c r="Z355" s="101">
        <v>0</v>
      </c>
      <c r="AA355" s="101">
        <v>0</v>
      </c>
      <c r="AB355" s="101">
        <v>0</v>
      </c>
      <c r="AC355" s="101">
        <v>0</v>
      </c>
      <c r="AD355" s="101">
        <v>0</v>
      </c>
      <c r="AE355" s="186">
        <v>0.08</v>
      </c>
      <c r="AF355" s="93">
        <v>0</v>
      </c>
      <c r="AG355" s="93">
        <v>30</v>
      </c>
      <c r="AH355" s="93">
        <v>30</v>
      </c>
      <c r="AI355" s="16">
        <v>1</v>
      </c>
      <c r="AJ355" s="16" t="s">
        <v>660</v>
      </c>
      <c r="AK355" s="16" t="s">
        <v>745</v>
      </c>
      <c r="AL355" s="16"/>
      <c r="AM355" s="60"/>
      <c r="AN355" s="60"/>
      <c r="AO355" s="60"/>
      <c r="AP355" s="60"/>
      <c r="AQ355" s="60"/>
      <c r="AR355" s="60"/>
      <c r="AS355" s="63"/>
      <c r="AT355" s="63"/>
      <c r="AU355" s="63"/>
      <c r="AV355" s="131"/>
      <c r="AW355" s="131"/>
      <c r="AX355" s="131"/>
      <c r="AY355" s="27" t="s">
        <v>662</v>
      </c>
      <c r="AZ355" s="27"/>
      <c r="BA355" s="27"/>
      <c r="BB355" s="30"/>
      <c r="BC355" s="30"/>
      <c r="BD355" s="30"/>
      <c r="BE355" s="30"/>
      <c r="BF355" s="30"/>
      <c r="BG355" s="30"/>
      <c r="BH355" s="107"/>
      <c r="BI355" s="107"/>
      <c r="BJ355" s="107"/>
      <c r="BK355" s="107"/>
      <c r="BL355" s="136"/>
      <c r="BM355" s="122"/>
      <c r="BN355" s="138">
        <v>0</v>
      </c>
      <c r="BO355" s="93"/>
      <c r="BP355" s="93"/>
      <c r="BQ355" s="93"/>
      <c r="BR355" s="93"/>
      <c r="BS355" s="93"/>
      <c r="BT355" s="93"/>
      <c r="BU355" s="27">
        <f t="shared" si="283"/>
        <v>0</v>
      </c>
      <c r="BV355" s="27"/>
      <c r="BW355" s="27"/>
      <c r="BX355" s="27"/>
      <c r="BY355" s="27"/>
      <c r="BZ355" s="27"/>
      <c r="CA355" s="27"/>
      <c r="CB355" s="97"/>
      <c r="CC355" s="97">
        <v>50</v>
      </c>
      <c r="CD355" s="97">
        <v>1000</v>
      </c>
      <c r="CE355" s="97">
        <v>1000</v>
      </c>
      <c r="CF355" s="97">
        <v>1000</v>
      </c>
      <c r="CG355" s="97">
        <v>1000</v>
      </c>
      <c r="CH355" s="97">
        <v>1000</v>
      </c>
      <c r="CI355" s="173"/>
      <c r="CJ355" s="173"/>
      <c r="CK355" s="173"/>
      <c r="CL355" s="173"/>
      <c r="CM355" s="173"/>
      <c r="CN355" s="173"/>
      <c r="CO355" s="173"/>
      <c r="CP355" s="174"/>
      <c r="CQ355" s="174"/>
      <c r="CR355" s="174"/>
      <c r="CS355" s="174"/>
      <c r="CT355" s="174"/>
      <c r="CU355" s="174"/>
      <c r="CV355" s="174"/>
      <c r="CW355" s="165"/>
      <c r="CX355" s="166"/>
      <c r="CY355" s="166"/>
      <c r="CZ355" s="166"/>
      <c r="DA355" s="166"/>
      <c r="DB355" s="166"/>
      <c r="DC355" s="166"/>
      <c r="DD355" s="171"/>
      <c r="DE355" s="171"/>
      <c r="DF355" s="171"/>
      <c r="DG355" s="171"/>
      <c r="DH355" s="171"/>
      <c r="DI355" s="171"/>
      <c r="DJ355" s="171"/>
      <c r="DK355" s="79" t="s">
        <v>1512</v>
      </c>
      <c r="DL355" s="128"/>
      <c r="DM355" s="128"/>
      <c r="DN355" s="128"/>
      <c r="DO355" s="128"/>
      <c r="DP355" s="128"/>
      <c r="DQ355" s="128"/>
      <c r="DR355" s="128"/>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225" t="s">
        <v>1517</v>
      </c>
      <c r="B356" s="225" t="s">
        <v>740</v>
      </c>
      <c r="C356" s="225" t="s">
        <v>817</v>
      </c>
      <c r="D356" s="225" t="s">
        <v>1496</v>
      </c>
      <c r="E356" s="225" t="s">
        <v>1497</v>
      </c>
      <c r="F356" s="225" t="s">
        <v>481</v>
      </c>
      <c r="G356" s="229" t="s">
        <v>1518</v>
      </c>
      <c r="H356" s="226" t="s">
        <v>659</v>
      </c>
      <c r="I356" s="102">
        <v>0</v>
      </c>
      <c r="J356" s="102">
        <v>0</v>
      </c>
      <c r="K356" s="102">
        <v>0</v>
      </c>
      <c r="L356" s="102">
        <v>0</v>
      </c>
      <c r="M356" s="102">
        <v>0</v>
      </c>
      <c r="N356" s="102">
        <v>0</v>
      </c>
      <c r="O356" s="102">
        <v>0</v>
      </c>
      <c r="P356" s="94">
        <v>0</v>
      </c>
      <c r="Q356" s="102">
        <v>0</v>
      </c>
      <c r="R356" s="102">
        <v>0</v>
      </c>
      <c r="S356" s="102">
        <v>0</v>
      </c>
      <c r="T356" s="102">
        <v>0</v>
      </c>
      <c r="U356" s="102">
        <v>0</v>
      </c>
      <c r="V356" s="102">
        <v>0</v>
      </c>
      <c r="W356" s="102">
        <v>0</v>
      </c>
      <c r="X356" s="102">
        <v>55.591955211887552</v>
      </c>
      <c r="Y356" s="102">
        <v>53.209442845663801</v>
      </c>
      <c r="Z356" s="102">
        <v>49.238588901957549</v>
      </c>
      <c r="AA356" s="102">
        <v>45.267734958251296</v>
      </c>
      <c r="AB356" s="102">
        <v>41.296881014545043</v>
      </c>
      <c r="AC356" s="102">
        <v>37.326027070838791</v>
      </c>
      <c r="AD356" s="102">
        <v>33.355173127132531</v>
      </c>
      <c r="AE356" s="186">
        <v>0.08</v>
      </c>
      <c r="AF356" s="94">
        <v>0</v>
      </c>
      <c r="AG356" s="94">
        <v>1</v>
      </c>
      <c r="AH356" s="94">
        <v>1</v>
      </c>
      <c r="AI356" s="17">
        <v>1</v>
      </c>
      <c r="AJ356" s="17" t="s">
        <v>660</v>
      </c>
      <c r="AK356" s="17" t="s">
        <v>745</v>
      </c>
      <c r="AL356" s="17"/>
      <c r="AM356" s="61"/>
      <c r="AN356" s="61"/>
      <c r="AO356" s="61"/>
      <c r="AP356" s="61"/>
      <c r="AQ356" s="61"/>
      <c r="AR356" s="61"/>
      <c r="AS356" s="64"/>
      <c r="AT356" s="64"/>
      <c r="AU356" s="64"/>
      <c r="AV356" s="132"/>
      <c r="AW356" s="132"/>
      <c r="AX356" s="132"/>
      <c r="AY356" s="28" t="s">
        <v>662</v>
      </c>
      <c r="AZ356" s="28"/>
      <c r="BA356" s="28"/>
      <c r="BB356" s="28"/>
      <c r="BC356" s="28"/>
      <c r="BD356" s="28"/>
      <c r="BE356" s="28"/>
      <c r="BF356" s="28"/>
      <c r="BG356" s="28"/>
      <c r="BH356" s="106"/>
      <c r="BI356" s="106"/>
      <c r="BJ356" s="106"/>
      <c r="BK356" s="106"/>
      <c r="BL356" s="137"/>
      <c r="BM356" s="123"/>
      <c r="BN356" s="139"/>
      <c r="BO356" s="94"/>
      <c r="BP356" s="94"/>
      <c r="BQ356" s="94"/>
      <c r="BR356" s="94"/>
      <c r="BS356" s="94"/>
      <c r="BT356" s="94"/>
      <c r="BU356" s="28">
        <f t="shared" si="283"/>
        <v>0</v>
      </c>
      <c r="BV356" s="28"/>
      <c r="BW356" s="28"/>
      <c r="BX356" s="28"/>
      <c r="BY356" s="28"/>
      <c r="BZ356" s="28"/>
      <c r="CA356" s="28"/>
      <c r="CB356" s="244">
        <v>100</v>
      </c>
      <c r="CC356" s="244">
        <v>0</v>
      </c>
      <c r="CD356" s="244">
        <v>0</v>
      </c>
      <c r="CE356" s="244">
        <v>0</v>
      </c>
      <c r="CF356" s="244">
        <v>0</v>
      </c>
      <c r="CG356" s="244">
        <v>0</v>
      </c>
      <c r="CH356" s="244">
        <v>0</v>
      </c>
      <c r="CI356" s="175"/>
      <c r="CJ356" s="175"/>
      <c r="CK356" s="175"/>
      <c r="CL356" s="175"/>
      <c r="CM356" s="175"/>
      <c r="CN356" s="175"/>
      <c r="CO356" s="175"/>
      <c r="CP356" s="176"/>
      <c r="CQ356" s="176"/>
      <c r="CR356" s="176"/>
      <c r="CS356" s="176"/>
      <c r="CT356" s="176"/>
      <c r="CU356" s="176"/>
      <c r="CV356" s="176"/>
      <c r="CW356" s="167"/>
      <c r="CX356" s="168"/>
      <c r="CY356" s="168"/>
      <c r="CZ356" s="168"/>
      <c r="DA356" s="168"/>
      <c r="DB356" s="168"/>
      <c r="DC356" s="168"/>
      <c r="DD356" s="172"/>
      <c r="DE356" s="172"/>
      <c r="DF356" s="172"/>
      <c r="DG356" s="172"/>
      <c r="DH356" s="172"/>
      <c r="DI356" s="172"/>
      <c r="DJ356" s="172"/>
      <c r="DK356" s="80" t="s">
        <v>1519</v>
      </c>
      <c r="DL356" s="129">
        <v>130</v>
      </c>
      <c r="DM356" s="129">
        <v>130</v>
      </c>
      <c r="DN356" s="129">
        <v>130</v>
      </c>
      <c r="DO356" s="129">
        <v>130</v>
      </c>
      <c r="DP356" s="129">
        <v>130</v>
      </c>
      <c r="DQ356" s="129">
        <v>130</v>
      </c>
      <c r="DR356" s="129">
        <v>130</v>
      </c>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s="261" customFormat="1" x14ac:dyDescent="0.35">
      <c r="A357" s="256" t="s">
        <v>1520</v>
      </c>
      <c r="B357" s="256" t="s">
        <v>740</v>
      </c>
      <c r="C357" s="256" t="s">
        <v>788</v>
      </c>
      <c r="D357" s="256" t="s">
        <v>1213</v>
      </c>
      <c r="E357" s="256" t="s">
        <v>1500</v>
      </c>
      <c r="F357" s="256" t="s">
        <v>481</v>
      </c>
      <c r="G357" s="268" t="s">
        <v>1521</v>
      </c>
      <c r="H357" s="268" t="s">
        <v>659</v>
      </c>
      <c r="I357" s="253">
        <v>45</v>
      </c>
      <c r="J357" s="253">
        <f>ROUND($I$357+($O$357-$I$357)/($O$4-$I$4)*($J$4-$I$4),2)</f>
        <v>42.64</v>
      </c>
      <c r="K357" s="253">
        <f>ROUND($I$357+($O$357-$I$357)/($O$4-$I$4)*($K$4-$I$4),2)</f>
        <v>38.71</v>
      </c>
      <c r="L357" s="253">
        <f>ROUND($I$357+($O$357-$I$357)/($O$4-$I$4)*($L$4-$I$4),2)</f>
        <v>34.79</v>
      </c>
      <c r="M357" s="253">
        <f>ROUND($I$357+($O$357-$I$357)/($O$4-$I$4)*($M$4-$I$4),2)</f>
        <v>30.86</v>
      </c>
      <c r="N357" s="253">
        <f>ROUND($I$357+($O$357-$I$357)/($O$4-$I$4)*($N$4-$I$4),2)</f>
        <v>26.93</v>
      </c>
      <c r="O357" s="253">
        <v>23</v>
      </c>
      <c r="P357" s="269">
        <v>0</v>
      </c>
      <c r="Q357" s="253">
        <f>ROUND(I357*0.04,2)</f>
        <v>1.8</v>
      </c>
      <c r="R357" s="253">
        <f t="shared" ref="R357:W364" si="285">ROUND(J357*0.04,2)</f>
        <v>1.71</v>
      </c>
      <c r="S357" s="253">
        <f t="shared" si="285"/>
        <v>1.55</v>
      </c>
      <c r="T357" s="253">
        <f t="shared" si="285"/>
        <v>1.39</v>
      </c>
      <c r="U357" s="253">
        <f t="shared" si="285"/>
        <v>1.23</v>
      </c>
      <c r="V357" s="253">
        <f t="shared" si="285"/>
        <v>1.08</v>
      </c>
      <c r="W357" s="253">
        <f t="shared" si="285"/>
        <v>0.92</v>
      </c>
      <c r="X357" s="253"/>
      <c r="Y357" s="253"/>
      <c r="Z357" s="253"/>
      <c r="AA357" s="253"/>
      <c r="AB357" s="253"/>
      <c r="AC357" s="253"/>
      <c r="AD357" s="253"/>
      <c r="AE357" s="186">
        <v>0.08</v>
      </c>
      <c r="AF357" s="269"/>
      <c r="AG357" s="269">
        <v>30</v>
      </c>
      <c r="AH357" s="269">
        <v>30</v>
      </c>
      <c r="AI357" s="270">
        <v>1</v>
      </c>
      <c r="AJ357" s="270" t="s">
        <v>660</v>
      </c>
      <c r="AK357" s="270" t="s">
        <v>745</v>
      </c>
      <c r="AL357" s="270"/>
      <c r="AM357" s="271"/>
      <c r="AN357" s="271"/>
      <c r="AO357" s="271"/>
      <c r="AP357" s="271"/>
      <c r="AQ357" s="271"/>
      <c r="AR357" s="271"/>
      <c r="AS357" s="272"/>
      <c r="AT357" s="272"/>
      <c r="AU357" s="272"/>
      <c r="AV357" s="273"/>
      <c r="AW357" s="273"/>
      <c r="AX357" s="273"/>
      <c r="AY357" s="257" t="s">
        <v>662</v>
      </c>
      <c r="AZ357" s="257"/>
      <c r="BA357" s="257"/>
      <c r="BB357" s="257"/>
      <c r="BC357" s="257"/>
      <c r="BD357" s="257"/>
      <c r="BE357" s="257"/>
      <c r="BF357" s="257"/>
      <c r="BG357" s="257"/>
      <c r="BH357" s="274"/>
      <c r="BI357" s="274"/>
      <c r="BJ357" s="274"/>
      <c r="BK357" s="274"/>
      <c r="BL357" s="275"/>
      <c r="BM357" s="276"/>
      <c r="BN357" s="277">
        <v>10.5</v>
      </c>
      <c r="BO357" s="269"/>
      <c r="BP357" s="269"/>
      <c r="BQ357" s="269"/>
      <c r="BR357" s="269"/>
      <c r="BS357" s="269"/>
      <c r="BT357" s="269"/>
      <c r="BU357" s="257">
        <f t="shared" si="283"/>
        <v>0</v>
      </c>
      <c r="BV357" s="257"/>
      <c r="BW357" s="257"/>
      <c r="BX357" s="257"/>
      <c r="BY357" s="257"/>
      <c r="BZ357" s="257"/>
      <c r="CA357" s="257"/>
      <c r="CB357" s="244">
        <v>10.5</v>
      </c>
      <c r="CC357" s="244">
        <v>50</v>
      </c>
      <c r="CD357" s="244">
        <v>500</v>
      </c>
      <c r="CE357" s="244">
        <v>500</v>
      </c>
      <c r="CF357" s="244">
        <v>1000</v>
      </c>
      <c r="CG357" s="244">
        <v>1000</v>
      </c>
      <c r="CH357" s="244">
        <v>1000</v>
      </c>
      <c r="CI357" s="257"/>
      <c r="CJ357" s="257"/>
      <c r="CK357" s="257"/>
      <c r="CL357" s="257"/>
      <c r="CM357" s="257"/>
      <c r="CN357" s="257"/>
      <c r="CO357" s="257"/>
      <c r="CP357" s="258"/>
      <c r="CQ357" s="258"/>
      <c r="CR357" s="258"/>
      <c r="CS357" s="258"/>
      <c r="CT357" s="258"/>
      <c r="CU357" s="258"/>
      <c r="CV357" s="258"/>
      <c r="CW357" s="278"/>
      <c r="CX357" s="279"/>
      <c r="CY357" s="279"/>
      <c r="CZ357" s="279"/>
      <c r="DA357" s="279"/>
      <c r="DB357" s="279"/>
      <c r="DC357" s="279"/>
      <c r="DD357" s="279"/>
      <c r="DE357" s="279"/>
      <c r="DF357" s="279"/>
      <c r="DG357" s="279"/>
      <c r="DH357" s="279"/>
      <c r="DI357" s="279"/>
      <c r="DJ357" s="279"/>
      <c r="DK357" s="265"/>
      <c r="DL357" s="278">
        <v>500</v>
      </c>
      <c r="DM357" s="278">
        <v>500</v>
      </c>
      <c r="DN357" s="278">
        <v>500</v>
      </c>
      <c r="DO357" s="278">
        <v>500</v>
      </c>
      <c r="DP357" s="278">
        <v>500</v>
      </c>
      <c r="DQ357" s="278">
        <v>500</v>
      </c>
      <c r="DR357" s="278">
        <v>500</v>
      </c>
      <c r="DS357" s="280"/>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row>
    <row r="358" spans="1:244" s="261" customFormat="1" x14ac:dyDescent="0.35">
      <c r="A358" s="256" t="s">
        <v>1522</v>
      </c>
      <c r="B358" s="256" t="s">
        <v>740</v>
      </c>
      <c r="C358" s="256" t="s">
        <v>817</v>
      </c>
      <c r="D358" s="256" t="s">
        <v>1496</v>
      </c>
      <c r="E358" s="256" t="s">
        <v>1497</v>
      </c>
      <c r="F358" s="256" t="s">
        <v>482</v>
      </c>
      <c r="G358" s="229" t="s">
        <v>1523</v>
      </c>
      <c r="H358" s="268" t="s">
        <v>659</v>
      </c>
      <c r="I358" s="102">
        <v>0</v>
      </c>
      <c r="J358" s="102">
        <v>0</v>
      </c>
      <c r="K358" s="102">
        <v>0</v>
      </c>
      <c r="L358" s="102">
        <v>0</v>
      </c>
      <c r="M358" s="102">
        <v>0</v>
      </c>
      <c r="N358" s="102">
        <v>0</v>
      </c>
      <c r="O358" s="102">
        <v>0</v>
      </c>
      <c r="P358" s="94">
        <v>0</v>
      </c>
      <c r="Q358" s="102">
        <v>0</v>
      </c>
      <c r="R358" s="102">
        <v>0</v>
      </c>
      <c r="S358" s="102">
        <v>0</v>
      </c>
      <c r="T358" s="102">
        <v>0</v>
      </c>
      <c r="U358" s="102">
        <v>0</v>
      </c>
      <c r="V358" s="102">
        <v>0</v>
      </c>
      <c r="W358" s="102">
        <v>0</v>
      </c>
      <c r="X358" s="102">
        <v>46.363654692992213</v>
      </c>
      <c r="Y358" s="102">
        <v>44.376640920435399</v>
      </c>
      <c r="Z358" s="102">
        <v>41.064951299507385</v>
      </c>
      <c r="AA358" s="102">
        <v>37.753261678579378</v>
      </c>
      <c r="AB358" s="102">
        <v>34.441572057651364</v>
      </c>
      <c r="AC358" s="102">
        <v>31.129882436723346</v>
      </c>
      <c r="AD358" s="102">
        <v>27.818192815795328</v>
      </c>
      <c r="AE358" s="186">
        <v>0.08</v>
      </c>
      <c r="AF358" s="94">
        <v>0</v>
      </c>
      <c r="AG358" s="94">
        <v>1</v>
      </c>
      <c r="AH358" s="94">
        <v>1</v>
      </c>
      <c r="AI358" s="17">
        <v>1</v>
      </c>
      <c r="AJ358" s="17" t="s">
        <v>660</v>
      </c>
      <c r="AK358" s="17" t="s">
        <v>745</v>
      </c>
      <c r="AL358" s="17"/>
      <c r="AM358" s="61"/>
      <c r="AN358" s="61"/>
      <c r="AO358" s="61"/>
      <c r="AP358" s="61"/>
      <c r="AQ358" s="61"/>
      <c r="AR358" s="61"/>
      <c r="AS358" s="64"/>
      <c r="AT358" s="64"/>
      <c r="AU358" s="64"/>
      <c r="AV358" s="132"/>
      <c r="AW358" s="132"/>
      <c r="AX358" s="132"/>
      <c r="AY358" s="28" t="s">
        <v>662</v>
      </c>
      <c r="AZ358" s="28"/>
      <c r="BA358" s="28"/>
      <c r="BB358" s="28"/>
      <c r="BC358" s="28"/>
      <c r="BD358" s="28"/>
      <c r="BE358" s="28"/>
      <c r="BF358" s="28"/>
      <c r="BG358" s="28"/>
      <c r="BH358" s="106"/>
      <c r="BI358" s="106"/>
      <c r="BJ358" s="106"/>
      <c r="BK358" s="106"/>
      <c r="BL358" s="137"/>
      <c r="BM358" s="123"/>
      <c r="BN358" s="139"/>
      <c r="BO358" s="94"/>
      <c r="BP358" s="94"/>
      <c r="BQ358" s="94"/>
      <c r="BR358" s="94"/>
      <c r="BS358" s="94"/>
      <c r="BT358" s="94"/>
      <c r="BU358" s="28">
        <f t="shared" ref="BU358" si="286">IF(BL358=1,BN358,0)</f>
        <v>0</v>
      </c>
      <c r="BV358" s="28"/>
      <c r="BW358" s="28"/>
      <c r="BX358" s="28"/>
      <c r="BY358" s="28"/>
      <c r="BZ358" s="28"/>
      <c r="CA358" s="28"/>
      <c r="CB358" s="244">
        <v>0</v>
      </c>
      <c r="CC358" s="99">
        <v>300</v>
      </c>
      <c r="CD358" s="99">
        <v>300</v>
      </c>
      <c r="CE358" s="99">
        <v>300</v>
      </c>
      <c r="CF358" s="99">
        <v>300</v>
      </c>
      <c r="CG358" s="99">
        <v>300</v>
      </c>
      <c r="CH358" s="99">
        <v>300</v>
      </c>
      <c r="CI358" s="175"/>
      <c r="CJ358" s="175"/>
      <c r="CK358" s="175"/>
      <c r="CL358" s="175"/>
      <c r="CM358" s="175"/>
      <c r="CN358" s="175"/>
      <c r="CO358" s="175"/>
      <c r="CP358" s="176"/>
      <c r="CQ358" s="176"/>
      <c r="CR358" s="176"/>
      <c r="CS358" s="176"/>
      <c r="CT358" s="176"/>
      <c r="CU358" s="176"/>
      <c r="CV358" s="176"/>
      <c r="CW358" s="167"/>
      <c r="CX358" s="168"/>
      <c r="CY358" s="168"/>
      <c r="CZ358" s="168"/>
      <c r="DA358" s="168"/>
      <c r="DB358" s="168"/>
      <c r="DC358" s="168"/>
      <c r="DD358" s="172"/>
      <c r="DE358" s="172"/>
      <c r="DF358" s="172"/>
      <c r="DG358" s="172"/>
      <c r="DH358" s="172"/>
      <c r="DI358" s="172"/>
      <c r="DJ358" s="172"/>
      <c r="DK358" s="80" t="s">
        <v>1519</v>
      </c>
      <c r="DL358" s="129">
        <v>130</v>
      </c>
      <c r="DM358" s="129">
        <v>130</v>
      </c>
      <c r="DN358" s="129">
        <v>130</v>
      </c>
      <c r="DO358" s="129">
        <v>130</v>
      </c>
      <c r="DP358" s="129">
        <v>130</v>
      </c>
      <c r="DQ358" s="129">
        <v>130</v>
      </c>
      <c r="DR358" s="129">
        <v>130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x14ac:dyDescent="0.35">
      <c r="A359" s="5" t="s">
        <v>1524</v>
      </c>
      <c r="B359" s="5" t="s">
        <v>740</v>
      </c>
      <c r="C359" s="5" t="s">
        <v>788</v>
      </c>
      <c r="D359" s="5" t="s">
        <v>1213</v>
      </c>
      <c r="E359" s="5" t="s">
        <v>1525</v>
      </c>
      <c r="F359" s="5" t="s">
        <v>486</v>
      </c>
      <c r="G359" s="47" t="s">
        <v>1526</v>
      </c>
      <c r="H359" s="47" t="s">
        <v>659</v>
      </c>
      <c r="I359" s="253">
        <f>ROUND(23*1.333,2)</f>
        <v>30.66</v>
      </c>
      <c r="J359" s="253">
        <f>ROUND($I$359+($O$359-$I$359)/($O$4-$I$4)*($J$4-$I$4),2)</f>
        <v>29.45</v>
      </c>
      <c r="K359" s="253">
        <f>ROUND($I$359+($O$359-$I$359)/($O$4-$I$4)*($K$4-$I$4),2)</f>
        <v>27.42</v>
      </c>
      <c r="L359" s="253">
        <f>ROUND($I$359+($O$359-$I$359)/($O$4-$I$4)*($L$4-$I$4),2)</f>
        <v>25.4</v>
      </c>
      <c r="M359" s="253">
        <f>ROUND($I$359+($O$359-$I$359)/($O$4-$I$4)*($M$4-$I$4),2)</f>
        <v>23.37</v>
      </c>
      <c r="N359" s="253">
        <f>ROUND($I$359+($O$359-$I$359)/($O$4-$I$4)*($N$4-$I$4),2)</f>
        <v>21.35</v>
      </c>
      <c r="O359" s="253">
        <f t="shared" ref="O359:O364" si="287">ROUND(I359*0.63,2)</f>
        <v>19.32</v>
      </c>
      <c r="P359" s="93">
        <v>0</v>
      </c>
      <c r="Q359" s="253">
        <f t="shared" ref="Q359:Q364" si="288">ROUND(I359*0.04,2)</f>
        <v>1.23</v>
      </c>
      <c r="R359" s="253">
        <f t="shared" si="285"/>
        <v>1.18</v>
      </c>
      <c r="S359" s="253">
        <f t="shared" si="285"/>
        <v>1.1000000000000001</v>
      </c>
      <c r="T359" s="253">
        <f t="shared" si="285"/>
        <v>1.02</v>
      </c>
      <c r="U359" s="253">
        <f t="shared" si="285"/>
        <v>0.93</v>
      </c>
      <c r="V359" s="253">
        <f t="shared" si="285"/>
        <v>0.85</v>
      </c>
      <c r="W359" s="253">
        <f t="shared" si="285"/>
        <v>0.77</v>
      </c>
      <c r="X359" s="101">
        <v>0</v>
      </c>
      <c r="Y359" s="101">
        <v>0</v>
      </c>
      <c r="Z359" s="101">
        <v>0</v>
      </c>
      <c r="AA359" s="101">
        <v>0</v>
      </c>
      <c r="AB359" s="101">
        <v>0</v>
      </c>
      <c r="AC359" s="101">
        <v>0</v>
      </c>
      <c r="AD359" s="101">
        <v>0</v>
      </c>
      <c r="AE359" s="186">
        <v>0.08</v>
      </c>
      <c r="AF359" s="93"/>
      <c r="AG359" s="93">
        <v>30</v>
      </c>
      <c r="AH359" s="93">
        <v>30</v>
      </c>
      <c r="AI359" s="16">
        <v>1</v>
      </c>
      <c r="AJ359" s="16" t="s">
        <v>660</v>
      </c>
      <c r="AK359" s="16" t="s">
        <v>745</v>
      </c>
      <c r="AL359" s="16"/>
      <c r="AM359" s="60"/>
      <c r="AN359" s="60"/>
      <c r="AO359" s="60"/>
      <c r="AP359" s="60"/>
      <c r="AQ359" s="60"/>
      <c r="AR359" s="60"/>
      <c r="AS359" s="63"/>
      <c r="AT359" s="63"/>
      <c r="AU359" s="63"/>
      <c r="AV359" s="131"/>
      <c r="AW359" s="131"/>
      <c r="AX359" s="131"/>
      <c r="AY359" s="27" t="s">
        <v>662</v>
      </c>
      <c r="AZ359" s="27"/>
      <c r="BA359" s="27"/>
      <c r="BB359" s="30"/>
      <c r="BC359" s="30"/>
      <c r="BD359" s="30"/>
      <c r="BE359" s="30"/>
      <c r="BF359" s="30"/>
      <c r="BG359" s="30"/>
      <c r="BH359" s="107"/>
      <c r="BI359" s="107"/>
      <c r="BJ359" s="107"/>
      <c r="BK359" s="107"/>
      <c r="BL359" s="136"/>
      <c r="BM359" s="122"/>
      <c r="BN359" s="138">
        <v>0</v>
      </c>
      <c r="BO359" s="93"/>
      <c r="BP359" s="93"/>
      <c r="BQ359" s="93"/>
      <c r="BR359" s="93"/>
      <c r="BS359" s="93"/>
      <c r="BT359" s="93"/>
      <c r="BU359" s="27">
        <f t="shared" si="283"/>
        <v>0</v>
      </c>
      <c r="BV359" s="27"/>
      <c r="BW359" s="27"/>
      <c r="BX359" s="27"/>
      <c r="BY359" s="27"/>
      <c r="BZ359" s="27"/>
      <c r="CA359" s="27"/>
      <c r="CB359" s="97"/>
      <c r="CC359" s="97">
        <v>50</v>
      </c>
      <c r="CD359" s="97">
        <v>1000</v>
      </c>
      <c r="CE359" s="97">
        <v>1000</v>
      </c>
      <c r="CF359" s="97">
        <v>1000</v>
      </c>
      <c r="CG359" s="97">
        <v>1000</v>
      </c>
      <c r="CH359" s="97">
        <v>1000</v>
      </c>
      <c r="CI359" s="173"/>
      <c r="CJ359" s="173"/>
      <c r="CK359" s="173"/>
      <c r="CL359" s="173"/>
      <c r="CM359" s="173"/>
      <c r="CN359" s="173"/>
      <c r="CO359" s="173"/>
      <c r="CP359" s="174"/>
      <c r="CQ359" s="174"/>
      <c r="CR359" s="174"/>
      <c r="CS359" s="174"/>
      <c r="CT359" s="174"/>
      <c r="CU359" s="174"/>
      <c r="CV359" s="174"/>
      <c r="CW359" s="165"/>
      <c r="CX359" s="166"/>
      <c r="CY359" s="166"/>
      <c r="CZ359" s="166"/>
      <c r="DA359" s="166"/>
      <c r="DB359" s="166"/>
      <c r="DC359" s="166"/>
      <c r="DD359" s="171"/>
      <c r="DE359" s="171"/>
      <c r="DF359" s="171"/>
      <c r="DG359" s="171"/>
      <c r="DH359" s="171"/>
      <c r="DI359" s="171"/>
      <c r="DJ359" s="171"/>
      <c r="DK359" s="79" t="s">
        <v>1527</v>
      </c>
      <c r="DL359" s="128">
        <v>2000</v>
      </c>
      <c r="DM359" s="128">
        <v>2000</v>
      </c>
      <c r="DN359" s="128">
        <v>2000</v>
      </c>
      <c r="DO359" s="128">
        <v>2000</v>
      </c>
      <c r="DP359" s="128">
        <v>2000</v>
      </c>
      <c r="DQ359" s="128">
        <v>2000</v>
      </c>
      <c r="DR359" s="128">
        <v>2000</v>
      </c>
      <c r="DS359" s="218"/>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row>
    <row r="360" spans="1:244" x14ac:dyDescent="0.35">
      <c r="A360" s="6" t="s">
        <v>1528</v>
      </c>
      <c r="B360" s="6" t="s">
        <v>740</v>
      </c>
      <c r="C360" s="6" t="s">
        <v>788</v>
      </c>
      <c r="D360" s="6" t="s">
        <v>1213</v>
      </c>
      <c r="E360" s="6" t="s">
        <v>1525</v>
      </c>
      <c r="F360" s="6" t="s">
        <v>486</v>
      </c>
      <c r="G360" s="48" t="s">
        <v>1529</v>
      </c>
      <c r="H360" s="48" t="s">
        <v>659</v>
      </c>
      <c r="I360" s="253">
        <f>ROUND(24.8*1.333,2)</f>
        <v>33.06</v>
      </c>
      <c r="J360" s="253">
        <f>ROUND($I$360+($O$360-$I$360)/($O$4-$I$4)*($J$4-$I$4),2)</f>
        <v>31.75</v>
      </c>
      <c r="K360" s="253">
        <f>ROUND($I$360+($O$360-$I$360)/($O$4-$I$4)*($K$4-$I$4),2)</f>
        <v>29.57</v>
      </c>
      <c r="L360" s="253">
        <f>ROUND($I$360+($O$360-$I$360)/($O$4-$I$4)*($L$4-$I$4),2)</f>
        <v>27.38</v>
      </c>
      <c r="M360" s="253">
        <f>ROUND($I$360+($O$360-$I$360)/($O$4-$I$4)*($M$4-$I$4),2)</f>
        <v>25.2</v>
      </c>
      <c r="N360" s="253">
        <f>ROUND($I$360+($O$360-$I$360)/($O$4-$I$4)*($N$4-$I$4),2)</f>
        <v>23.01</v>
      </c>
      <c r="O360" s="253">
        <f t="shared" si="287"/>
        <v>20.83</v>
      </c>
      <c r="P360" s="94">
        <v>0</v>
      </c>
      <c r="Q360" s="253">
        <f t="shared" si="288"/>
        <v>1.32</v>
      </c>
      <c r="R360" s="253">
        <f t="shared" si="285"/>
        <v>1.27</v>
      </c>
      <c r="S360" s="253">
        <f t="shared" si="285"/>
        <v>1.18</v>
      </c>
      <c r="T360" s="253">
        <f t="shared" si="285"/>
        <v>1.1000000000000001</v>
      </c>
      <c r="U360" s="253">
        <f t="shared" si="285"/>
        <v>1.01</v>
      </c>
      <c r="V360" s="253">
        <f t="shared" si="285"/>
        <v>0.92</v>
      </c>
      <c r="W360" s="253">
        <f t="shared" si="285"/>
        <v>0.83</v>
      </c>
      <c r="X360" s="102"/>
      <c r="Y360" s="102"/>
      <c r="Z360" s="102"/>
      <c r="AA360" s="102"/>
      <c r="AB360" s="102"/>
      <c r="AC360" s="102"/>
      <c r="AD360" s="102"/>
      <c r="AE360" s="186">
        <v>0.08</v>
      </c>
      <c r="AF360" s="94"/>
      <c r="AG360" s="94">
        <v>30</v>
      </c>
      <c r="AH360" s="94">
        <v>30</v>
      </c>
      <c r="AI360" s="17">
        <v>1</v>
      </c>
      <c r="AJ360" s="17" t="s">
        <v>660</v>
      </c>
      <c r="AK360" s="17" t="s">
        <v>745</v>
      </c>
      <c r="AL360" s="17"/>
      <c r="AM360" s="61"/>
      <c r="AN360" s="61"/>
      <c r="AO360" s="61"/>
      <c r="AP360" s="61"/>
      <c r="AQ360" s="61"/>
      <c r="AR360" s="61"/>
      <c r="AS360" s="64"/>
      <c r="AT360" s="64"/>
      <c r="AU360" s="64"/>
      <c r="AV360" s="132"/>
      <c r="AW360" s="132"/>
      <c r="AX360" s="132"/>
      <c r="AY360" s="28" t="s">
        <v>662</v>
      </c>
      <c r="AZ360" s="28"/>
      <c r="BA360" s="28"/>
      <c r="BB360" s="28"/>
      <c r="BC360" s="28"/>
      <c r="BD360" s="28"/>
      <c r="BE360" s="28"/>
      <c r="BF360" s="28"/>
      <c r="BG360" s="28"/>
      <c r="BH360" s="106"/>
      <c r="BI360" s="106"/>
      <c r="BJ360" s="106"/>
      <c r="BK360" s="106"/>
      <c r="BL360" s="137"/>
      <c r="BM360" s="123"/>
      <c r="BN360" s="139">
        <v>0</v>
      </c>
      <c r="BO360" s="94"/>
      <c r="BP360" s="94"/>
      <c r="BQ360" s="94"/>
      <c r="BR360" s="94"/>
      <c r="BS360" s="94"/>
      <c r="BT360" s="94"/>
      <c r="BU360" s="28">
        <f t="shared" si="283"/>
        <v>0</v>
      </c>
      <c r="BV360" s="28"/>
      <c r="BW360" s="28"/>
      <c r="BX360" s="28"/>
      <c r="BY360" s="28"/>
      <c r="BZ360" s="28"/>
      <c r="CA360" s="28"/>
      <c r="CB360" s="99"/>
      <c r="CC360" s="99">
        <v>50</v>
      </c>
      <c r="CD360" s="99">
        <v>1000</v>
      </c>
      <c r="CE360" s="99">
        <v>1000</v>
      </c>
      <c r="CF360" s="99">
        <v>1000</v>
      </c>
      <c r="CG360" s="99">
        <v>1000</v>
      </c>
      <c r="CH360" s="99">
        <v>1000</v>
      </c>
      <c r="CI360" s="175"/>
      <c r="CJ360" s="175"/>
      <c r="CK360" s="175"/>
      <c r="CL360" s="175"/>
      <c r="CM360" s="175"/>
      <c r="CN360" s="175"/>
      <c r="CO360" s="175"/>
      <c r="CP360" s="176"/>
      <c r="CQ360" s="176"/>
      <c r="CR360" s="176"/>
      <c r="CS360" s="176"/>
      <c r="CT360" s="176"/>
      <c r="CU360" s="176"/>
      <c r="CV360" s="176"/>
      <c r="CW360" s="167"/>
      <c r="CX360" s="168"/>
      <c r="CY360" s="168"/>
      <c r="CZ360" s="168"/>
      <c r="DA360" s="168"/>
      <c r="DB360" s="168"/>
      <c r="DC360" s="168"/>
      <c r="DD360" s="172"/>
      <c r="DE360" s="172"/>
      <c r="DF360" s="172"/>
      <c r="DG360" s="172"/>
      <c r="DH360" s="172"/>
      <c r="DI360" s="172"/>
      <c r="DJ360" s="172"/>
      <c r="DK360" s="80" t="s">
        <v>1530</v>
      </c>
      <c r="DL360" s="129"/>
      <c r="DM360" s="129"/>
      <c r="DN360" s="129"/>
      <c r="DO360" s="129"/>
      <c r="DP360" s="129"/>
      <c r="DQ360" s="129"/>
      <c r="DR360" s="129"/>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5" t="s">
        <v>1531</v>
      </c>
      <c r="B361" s="5" t="s">
        <v>740</v>
      </c>
      <c r="C361" s="5" t="s">
        <v>788</v>
      </c>
      <c r="D361" s="5" t="s">
        <v>1213</v>
      </c>
      <c r="E361" s="5" t="s">
        <v>1525</v>
      </c>
      <c r="F361" s="5" t="s">
        <v>487</v>
      </c>
      <c r="G361" s="47" t="s">
        <v>1532</v>
      </c>
      <c r="H361" s="47" t="s">
        <v>659</v>
      </c>
      <c r="I361" s="253">
        <f>ROUND(23*1.333,2)</f>
        <v>30.66</v>
      </c>
      <c r="J361" s="253">
        <f>ROUND($I$361+($O$361-$I$361)/($O$4-$I$4)*($J$4-$I$4),2)</f>
        <v>29.45</v>
      </c>
      <c r="K361" s="253">
        <f>ROUND($I$361+($O$361-$I$361)/($O$4-$I$4)*($K$4-$I$4),2)</f>
        <v>27.42</v>
      </c>
      <c r="L361" s="253">
        <f>ROUND($I$361+($O$361-$I$361)/($O$4-$I$4)*($L$4-$I$4),2)</f>
        <v>25.4</v>
      </c>
      <c r="M361" s="253">
        <f>ROUND($I$361+($O$361-$I$361)/($O$4-$I$4)*($M$4-$I$4),2)</f>
        <v>23.37</v>
      </c>
      <c r="N361" s="253">
        <f>ROUND($I$361+($O$361-$I$361)/($O$4-$I$4)*($N$4-$I$4),2)</f>
        <v>21.35</v>
      </c>
      <c r="O361" s="253">
        <f t="shared" si="287"/>
        <v>19.32</v>
      </c>
      <c r="P361" s="93">
        <v>0</v>
      </c>
      <c r="Q361" s="253">
        <f t="shared" si="288"/>
        <v>1.23</v>
      </c>
      <c r="R361" s="253">
        <f t="shared" si="285"/>
        <v>1.18</v>
      </c>
      <c r="S361" s="253">
        <f t="shared" si="285"/>
        <v>1.1000000000000001</v>
      </c>
      <c r="T361" s="253">
        <f t="shared" si="285"/>
        <v>1.02</v>
      </c>
      <c r="U361" s="253">
        <f t="shared" si="285"/>
        <v>0.93</v>
      </c>
      <c r="V361" s="253">
        <f t="shared" si="285"/>
        <v>0.85</v>
      </c>
      <c r="W361" s="253">
        <f t="shared" si="285"/>
        <v>0.77</v>
      </c>
      <c r="X361" s="101">
        <v>0</v>
      </c>
      <c r="Y361" s="101">
        <v>0</v>
      </c>
      <c r="Z361" s="101">
        <v>0</v>
      </c>
      <c r="AA361" s="101">
        <v>0</v>
      </c>
      <c r="AB361" s="101">
        <v>0</v>
      </c>
      <c r="AC361" s="101">
        <v>0</v>
      </c>
      <c r="AD361" s="101">
        <v>0</v>
      </c>
      <c r="AE361" s="186">
        <v>0.08</v>
      </c>
      <c r="AF361" s="93"/>
      <c r="AG361" s="93">
        <v>30</v>
      </c>
      <c r="AH361" s="93">
        <v>30</v>
      </c>
      <c r="AI361" s="16">
        <v>1</v>
      </c>
      <c r="AJ361" s="16" t="s">
        <v>660</v>
      </c>
      <c r="AK361" s="16" t="s">
        <v>745</v>
      </c>
      <c r="AL361" s="16"/>
      <c r="AM361" s="60"/>
      <c r="AN361" s="60"/>
      <c r="AO361" s="60"/>
      <c r="AP361" s="60"/>
      <c r="AQ361" s="60"/>
      <c r="AR361" s="60"/>
      <c r="AS361" s="63"/>
      <c r="AT361" s="63"/>
      <c r="AU361" s="63"/>
      <c r="AV361" s="131"/>
      <c r="AW361" s="131"/>
      <c r="AX361" s="131"/>
      <c r="AY361" s="27" t="s">
        <v>662</v>
      </c>
      <c r="AZ361" s="27"/>
      <c r="BA361" s="27"/>
      <c r="BB361" s="30"/>
      <c r="BC361" s="30"/>
      <c r="BD361" s="30"/>
      <c r="BE361" s="30"/>
      <c r="BF361" s="30"/>
      <c r="BG361" s="30"/>
      <c r="BH361" s="107"/>
      <c r="BI361" s="107"/>
      <c r="BJ361" s="107"/>
      <c r="BK361" s="107"/>
      <c r="BL361" s="136"/>
      <c r="BM361" s="122"/>
      <c r="BN361" s="138">
        <v>0</v>
      </c>
      <c r="BO361" s="93"/>
      <c r="BP361" s="93"/>
      <c r="BQ361" s="93"/>
      <c r="BR361" s="93"/>
      <c r="BS361" s="93"/>
      <c r="BT361" s="93"/>
      <c r="BU361" s="27">
        <f t="shared" si="283"/>
        <v>0</v>
      </c>
      <c r="BV361" s="27"/>
      <c r="BW361" s="27"/>
      <c r="BX361" s="27"/>
      <c r="BY361" s="27"/>
      <c r="BZ361" s="27"/>
      <c r="CA361" s="27"/>
      <c r="CB361" s="97"/>
      <c r="CC361" s="97">
        <v>50</v>
      </c>
      <c r="CD361" s="97">
        <v>1000</v>
      </c>
      <c r="CE361" s="97">
        <v>1000</v>
      </c>
      <c r="CF361" s="97">
        <v>1000</v>
      </c>
      <c r="CG361" s="97">
        <v>1000</v>
      </c>
      <c r="CH361" s="97">
        <v>1000</v>
      </c>
      <c r="CI361" s="173"/>
      <c r="CJ361" s="173"/>
      <c r="CK361" s="173"/>
      <c r="CL361" s="173"/>
      <c r="CM361" s="173"/>
      <c r="CN361" s="173"/>
      <c r="CO361" s="173"/>
      <c r="CP361" s="174"/>
      <c r="CQ361" s="174"/>
      <c r="CR361" s="174"/>
      <c r="CS361" s="174"/>
      <c r="CT361" s="174"/>
      <c r="CU361" s="174"/>
      <c r="CV361" s="174"/>
      <c r="CW361" s="165"/>
      <c r="CX361" s="166"/>
      <c r="CY361" s="166"/>
      <c r="CZ361" s="166"/>
      <c r="DA361" s="166"/>
      <c r="DB361" s="166"/>
      <c r="DC361" s="166"/>
      <c r="DD361" s="171"/>
      <c r="DE361" s="171"/>
      <c r="DF361" s="171"/>
      <c r="DG361" s="171"/>
      <c r="DH361" s="171"/>
      <c r="DI361" s="171"/>
      <c r="DJ361" s="171"/>
      <c r="DK361" s="79" t="s">
        <v>1527</v>
      </c>
      <c r="DL361" s="128"/>
      <c r="DM361" s="128"/>
      <c r="DN361" s="128"/>
      <c r="DO361" s="128"/>
      <c r="DP361" s="128"/>
      <c r="DQ361" s="128"/>
      <c r="DR361" s="128"/>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6" t="s">
        <v>1533</v>
      </c>
      <c r="B362" s="6" t="s">
        <v>740</v>
      </c>
      <c r="C362" s="6" t="s">
        <v>788</v>
      </c>
      <c r="D362" s="6" t="s">
        <v>1213</v>
      </c>
      <c r="E362" s="6" t="s">
        <v>1525</v>
      </c>
      <c r="F362" s="6" t="s">
        <v>487</v>
      </c>
      <c r="G362" s="48" t="s">
        <v>1534</v>
      </c>
      <c r="H362" s="48" t="s">
        <v>659</v>
      </c>
      <c r="I362" s="253">
        <f>ROUND(24.8*1.333,2)</f>
        <v>33.06</v>
      </c>
      <c r="J362" s="253">
        <f>ROUND($I$362+($O$362-$I$362)/($O$4-$I$4)*($J$4-$I$4),2)</f>
        <v>31.75</v>
      </c>
      <c r="K362" s="253">
        <f>ROUND($I$362+($O$362-$I$362)/($O$4-$I$4)*($K$4-$I$4),2)</f>
        <v>29.57</v>
      </c>
      <c r="L362" s="253">
        <f>ROUND($I$362+($O$362-$I$362)/($O$4-$I$4)*($L$4-$I$4),2)</f>
        <v>27.38</v>
      </c>
      <c r="M362" s="253">
        <f>ROUND($I$362+($O$362-$I$362)/($O$4-$I$4)*($M$4-$I$4),2)</f>
        <v>25.2</v>
      </c>
      <c r="N362" s="253">
        <f>ROUND($I$362+($O$362-$I$362)/($O$4-$I$4)*($N$4-$I$4),2)</f>
        <v>23.01</v>
      </c>
      <c r="O362" s="253">
        <f t="shared" si="287"/>
        <v>20.83</v>
      </c>
      <c r="P362" s="94">
        <v>0</v>
      </c>
      <c r="Q362" s="253">
        <f t="shared" si="288"/>
        <v>1.32</v>
      </c>
      <c r="R362" s="253">
        <f t="shared" si="285"/>
        <v>1.27</v>
      </c>
      <c r="S362" s="253">
        <f t="shared" si="285"/>
        <v>1.18</v>
      </c>
      <c r="T362" s="253">
        <f t="shared" si="285"/>
        <v>1.1000000000000001</v>
      </c>
      <c r="U362" s="253">
        <f t="shared" si="285"/>
        <v>1.01</v>
      </c>
      <c r="V362" s="253">
        <f t="shared" si="285"/>
        <v>0.92</v>
      </c>
      <c r="W362" s="253">
        <f t="shared" si="285"/>
        <v>0.83</v>
      </c>
      <c r="X362" s="102"/>
      <c r="Y362" s="102"/>
      <c r="Z362" s="102"/>
      <c r="AA362" s="102"/>
      <c r="AB362" s="102"/>
      <c r="AC362" s="102"/>
      <c r="AD362" s="102"/>
      <c r="AE362" s="186">
        <v>0.08</v>
      </c>
      <c r="AF362" s="94"/>
      <c r="AG362" s="94">
        <v>30</v>
      </c>
      <c r="AH362" s="94">
        <v>30</v>
      </c>
      <c r="AI362" s="17">
        <v>1</v>
      </c>
      <c r="AJ362" s="17" t="s">
        <v>660</v>
      </c>
      <c r="AK362" s="17" t="s">
        <v>745</v>
      </c>
      <c r="AL362" s="17"/>
      <c r="AM362" s="61"/>
      <c r="AN362" s="61"/>
      <c r="AO362" s="61"/>
      <c r="AP362" s="61"/>
      <c r="AQ362" s="61"/>
      <c r="AR362" s="61"/>
      <c r="AS362" s="64"/>
      <c r="AT362" s="64"/>
      <c r="AU362" s="64"/>
      <c r="AV362" s="132"/>
      <c r="AW362" s="132"/>
      <c r="AX362" s="132"/>
      <c r="AY362" s="28" t="s">
        <v>662</v>
      </c>
      <c r="AZ362" s="28"/>
      <c r="BA362" s="28"/>
      <c r="BB362" s="28"/>
      <c r="BC362" s="28"/>
      <c r="BD362" s="28"/>
      <c r="BE362" s="28"/>
      <c r="BF362" s="28"/>
      <c r="BG362" s="28"/>
      <c r="BH362" s="106"/>
      <c r="BI362" s="106"/>
      <c r="BJ362" s="106"/>
      <c r="BK362" s="106"/>
      <c r="BL362" s="137"/>
      <c r="BM362" s="123"/>
      <c r="BN362" s="139">
        <v>0</v>
      </c>
      <c r="BO362" s="94"/>
      <c r="BP362" s="94"/>
      <c r="BQ362" s="94"/>
      <c r="BR362" s="94"/>
      <c r="BS362" s="94"/>
      <c r="BT362" s="94"/>
      <c r="BU362" s="28">
        <f t="shared" si="283"/>
        <v>0</v>
      </c>
      <c r="BV362" s="28"/>
      <c r="BW362" s="28"/>
      <c r="BX362" s="28"/>
      <c r="BY362" s="28"/>
      <c r="BZ362" s="28"/>
      <c r="CA362" s="28"/>
      <c r="CB362" s="99"/>
      <c r="CC362" s="99">
        <v>50</v>
      </c>
      <c r="CD362" s="99">
        <v>1000</v>
      </c>
      <c r="CE362" s="99">
        <v>1000</v>
      </c>
      <c r="CF362" s="99">
        <v>1000</v>
      </c>
      <c r="CG362" s="99">
        <v>1000</v>
      </c>
      <c r="CH362" s="99">
        <v>1000</v>
      </c>
      <c r="CI362" s="175"/>
      <c r="CJ362" s="175"/>
      <c r="CK362" s="175"/>
      <c r="CL362" s="175"/>
      <c r="CM362" s="175"/>
      <c r="CN362" s="175"/>
      <c r="CO362" s="175"/>
      <c r="CP362" s="176"/>
      <c r="CQ362" s="176"/>
      <c r="CR362" s="176"/>
      <c r="CS362" s="176"/>
      <c r="CT362" s="176"/>
      <c r="CU362" s="176"/>
      <c r="CV362" s="176"/>
      <c r="CW362" s="167"/>
      <c r="CX362" s="168"/>
      <c r="CY362" s="168"/>
      <c r="CZ362" s="168"/>
      <c r="DA362" s="168"/>
      <c r="DB362" s="168"/>
      <c r="DC362" s="168"/>
      <c r="DD362" s="172"/>
      <c r="DE362" s="172"/>
      <c r="DF362" s="172"/>
      <c r="DG362" s="172"/>
      <c r="DH362" s="172"/>
      <c r="DI362" s="172"/>
      <c r="DJ362" s="172"/>
      <c r="DK362" s="80" t="s">
        <v>1530</v>
      </c>
      <c r="DL362" s="129"/>
      <c r="DM362" s="129"/>
      <c r="DN362" s="129"/>
      <c r="DO362" s="129"/>
      <c r="DP362" s="129"/>
      <c r="DQ362" s="129"/>
      <c r="DR362" s="129"/>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s="261" customFormat="1" x14ac:dyDescent="0.35">
      <c r="A363" s="256" t="s">
        <v>1535</v>
      </c>
      <c r="B363" s="256" t="s">
        <v>740</v>
      </c>
      <c r="C363" s="256" t="s">
        <v>788</v>
      </c>
      <c r="D363" s="256" t="s">
        <v>1213</v>
      </c>
      <c r="E363" s="256" t="s">
        <v>1525</v>
      </c>
      <c r="F363" s="256" t="s">
        <v>488</v>
      </c>
      <c r="G363" s="268" t="s">
        <v>1536</v>
      </c>
      <c r="H363" s="268" t="s">
        <v>659</v>
      </c>
      <c r="I363" s="253">
        <f>ROUND(23*1.333+(I367*-EnergyBalance!EG361),2)</f>
        <v>54.9</v>
      </c>
      <c r="J363" s="253">
        <f>ROUND($I363+($O363-$I363)/($O$4-$I$4)*($J$4-$I$4),2)</f>
        <v>52.72</v>
      </c>
      <c r="K363" s="253">
        <f>ROUND($I363+($O363-$I363)/($O$4-$I$4)*($K$4-$I$4),2)</f>
        <v>49.1</v>
      </c>
      <c r="L363" s="253">
        <f>ROUND($I363+($O363-$I363)/($O$4-$I$4)*($L$4-$I$4),2)</f>
        <v>45.47</v>
      </c>
      <c r="M363" s="253">
        <f>ROUND($I363+($O363-$I363)/($O$4-$I$4)*($M$4-$I$4),2)</f>
        <v>41.84</v>
      </c>
      <c r="N363" s="253">
        <f>ROUND($I363+($O363-$I363)/($O$4-$I$4)*($N$4-$I$4),2)</f>
        <v>38.22</v>
      </c>
      <c r="O363" s="253">
        <f t="shared" si="287"/>
        <v>34.590000000000003</v>
      </c>
      <c r="P363" s="269">
        <v>0</v>
      </c>
      <c r="Q363" s="253">
        <f t="shared" si="288"/>
        <v>2.2000000000000002</v>
      </c>
      <c r="R363" s="253">
        <f t="shared" si="285"/>
        <v>2.11</v>
      </c>
      <c r="S363" s="253">
        <f t="shared" si="285"/>
        <v>1.96</v>
      </c>
      <c r="T363" s="253">
        <f t="shared" si="285"/>
        <v>1.82</v>
      </c>
      <c r="U363" s="253">
        <f t="shared" si="285"/>
        <v>1.67</v>
      </c>
      <c r="V363" s="253">
        <f t="shared" si="285"/>
        <v>1.53</v>
      </c>
      <c r="W363" s="253">
        <f t="shared" si="285"/>
        <v>1.38</v>
      </c>
      <c r="X363" s="253">
        <v>0</v>
      </c>
      <c r="Y363" s="253">
        <v>0</v>
      </c>
      <c r="Z363" s="253">
        <v>0</v>
      </c>
      <c r="AA363" s="253">
        <v>0</v>
      </c>
      <c r="AB363" s="253">
        <v>0</v>
      </c>
      <c r="AC363" s="253">
        <v>0</v>
      </c>
      <c r="AD363" s="253">
        <v>0</v>
      </c>
      <c r="AE363" s="186">
        <v>0.08</v>
      </c>
      <c r="AF363" s="269"/>
      <c r="AG363" s="269">
        <v>30</v>
      </c>
      <c r="AH363" s="269">
        <v>30</v>
      </c>
      <c r="AI363" s="270">
        <v>1</v>
      </c>
      <c r="AJ363" s="270" t="s">
        <v>660</v>
      </c>
      <c r="AK363" s="270" t="s">
        <v>745</v>
      </c>
      <c r="AL363" s="270"/>
      <c r="AM363" s="271"/>
      <c r="AN363" s="271"/>
      <c r="AO363" s="271"/>
      <c r="AP363" s="271"/>
      <c r="AQ363" s="271"/>
      <c r="AR363" s="271"/>
      <c r="AS363" s="272"/>
      <c r="AT363" s="272"/>
      <c r="AU363" s="272"/>
      <c r="AV363" s="273"/>
      <c r="AW363" s="273"/>
      <c r="AX363" s="273"/>
      <c r="AY363" s="257" t="s">
        <v>662</v>
      </c>
      <c r="AZ363" s="257"/>
      <c r="BA363" s="257"/>
      <c r="BB363" s="287"/>
      <c r="BC363" s="287"/>
      <c r="BD363" s="287"/>
      <c r="BE363" s="287"/>
      <c r="BF363" s="287"/>
      <c r="BG363" s="287"/>
      <c r="BH363" s="288"/>
      <c r="BI363" s="288"/>
      <c r="BJ363" s="288"/>
      <c r="BK363" s="288"/>
      <c r="BL363" s="275"/>
      <c r="BM363" s="276"/>
      <c r="BN363" s="277">
        <v>0</v>
      </c>
      <c r="BO363" s="269"/>
      <c r="BP363" s="269"/>
      <c r="BQ363" s="269"/>
      <c r="BR363" s="269"/>
      <c r="BS363" s="269"/>
      <c r="BT363" s="269"/>
      <c r="BU363" s="257">
        <f t="shared" ref="BU363:BU366" si="289">IF(BL363=1,BN363,0)</f>
        <v>0</v>
      </c>
      <c r="BV363" s="257"/>
      <c r="BW363" s="257"/>
      <c r="BX363" s="257"/>
      <c r="BY363" s="257"/>
      <c r="BZ363" s="257"/>
      <c r="CA363" s="257"/>
      <c r="CB363" s="244"/>
      <c r="CC363" s="97"/>
      <c r="CD363" s="97"/>
      <c r="CE363" s="97"/>
      <c r="CF363" s="97"/>
      <c r="CG363" s="97"/>
      <c r="CH363" s="97"/>
      <c r="CI363" s="257"/>
      <c r="CJ363" s="257"/>
      <c r="CK363" s="257"/>
      <c r="CL363" s="257"/>
      <c r="CM363" s="257"/>
      <c r="CN363" s="257"/>
      <c r="CO363" s="257"/>
      <c r="CP363" s="258"/>
      <c r="CQ363" s="258"/>
      <c r="CR363" s="258"/>
      <c r="CS363" s="258"/>
      <c r="CT363" s="258"/>
      <c r="CU363" s="258"/>
      <c r="CV363" s="258"/>
      <c r="CW363" s="278"/>
      <c r="CX363" s="279"/>
      <c r="CY363" s="279"/>
      <c r="CZ363" s="279"/>
      <c r="DA363" s="279"/>
      <c r="DB363" s="279"/>
      <c r="DC363" s="279"/>
      <c r="DD363" s="279"/>
      <c r="DE363" s="279"/>
      <c r="DF363" s="279"/>
      <c r="DG363" s="279"/>
      <c r="DH363" s="279"/>
      <c r="DI363" s="279"/>
      <c r="DJ363" s="279"/>
      <c r="DK363" s="265" t="s">
        <v>1527</v>
      </c>
      <c r="DL363" s="278"/>
      <c r="DM363" s="278"/>
      <c r="DN363" s="278"/>
      <c r="DO363" s="278"/>
      <c r="DP363" s="278"/>
      <c r="DQ363" s="278"/>
      <c r="DR363" s="278"/>
      <c r="DS363" s="280"/>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row>
    <row r="364" spans="1:244" s="261" customFormat="1" x14ac:dyDescent="0.35">
      <c r="A364" s="256" t="s">
        <v>1537</v>
      </c>
      <c r="B364" s="256" t="s">
        <v>740</v>
      </c>
      <c r="C364" s="256" t="s">
        <v>788</v>
      </c>
      <c r="D364" s="256" t="s">
        <v>1213</v>
      </c>
      <c r="E364" s="256" t="s">
        <v>1525</v>
      </c>
      <c r="F364" s="256" t="s">
        <v>488</v>
      </c>
      <c r="G364" s="268" t="s">
        <v>1538</v>
      </c>
      <c r="H364" s="268" t="s">
        <v>659</v>
      </c>
      <c r="I364" s="253">
        <f>ROUND(24.8*1.333+(I372*-EnergyBalance!EI362),2)</f>
        <v>52.76</v>
      </c>
      <c r="J364" s="253">
        <f>ROUND($I364+($O364-$I364)/($O$4-$I$4)*($J$4-$I$4),2)</f>
        <v>50.67</v>
      </c>
      <c r="K364" s="253">
        <f>ROUND($I364+($O364-$I364)/($O$4-$I$4)*($K$4-$I$4),2)</f>
        <v>47.18</v>
      </c>
      <c r="L364" s="253">
        <f>ROUND($I364+($O364-$I364)/($O$4-$I$4)*($L$4-$I$4),2)</f>
        <v>43.7</v>
      </c>
      <c r="M364" s="253">
        <f>ROUND($I364+($O364-$I364)/($O$4-$I$4)*($M$4-$I$4),2)</f>
        <v>40.21</v>
      </c>
      <c r="N364" s="253">
        <f>ROUND($I364+($O364-$I364)/($O$4-$I$4)*($N$4-$I$4),2)</f>
        <v>36.729999999999997</v>
      </c>
      <c r="O364" s="253">
        <f t="shared" si="287"/>
        <v>33.24</v>
      </c>
      <c r="P364" s="269">
        <v>0</v>
      </c>
      <c r="Q364" s="253">
        <f t="shared" si="288"/>
        <v>2.11</v>
      </c>
      <c r="R364" s="253">
        <f t="shared" si="285"/>
        <v>2.0299999999999998</v>
      </c>
      <c r="S364" s="253">
        <f t="shared" si="285"/>
        <v>1.89</v>
      </c>
      <c r="T364" s="253">
        <f t="shared" si="285"/>
        <v>1.75</v>
      </c>
      <c r="U364" s="253">
        <f t="shared" si="285"/>
        <v>1.61</v>
      </c>
      <c r="V364" s="253">
        <f t="shared" si="285"/>
        <v>1.47</v>
      </c>
      <c r="W364" s="253">
        <f t="shared" si="285"/>
        <v>1.33</v>
      </c>
      <c r="X364" s="253"/>
      <c r="Y364" s="253"/>
      <c r="Z364" s="253"/>
      <c r="AA364" s="253"/>
      <c r="AB364" s="253"/>
      <c r="AC364" s="253"/>
      <c r="AD364" s="253"/>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57"/>
      <c r="BC364" s="257"/>
      <c r="BD364" s="257"/>
      <c r="BE364" s="257"/>
      <c r="BF364" s="257"/>
      <c r="BG364" s="257"/>
      <c r="BH364" s="274"/>
      <c r="BI364" s="274"/>
      <c r="BJ364" s="274"/>
      <c r="BK364" s="274"/>
      <c r="BL364" s="275"/>
      <c r="BM364" s="276"/>
      <c r="BN364" s="277">
        <v>0</v>
      </c>
      <c r="BO364" s="269"/>
      <c r="BP364" s="269"/>
      <c r="BQ364" s="269"/>
      <c r="BR364" s="269"/>
      <c r="BS364" s="269"/>
      <c r="BT364" s="269"/>
      <c r="BU364" s="257">
        <f t="shared" si="289"/>
        <v>0</v>
      </c>
      <c r="BV364" s="257"/>
      <c r="BW364" s="257"/>
      <c r="BX364" s="257"/>
      <c r="BY364" s="257"/>
      <c r="BZ364" s="257"/>
      <c r="CA364" s="257"/>
      <c r="CB364" s="244"/>
      <c r="CC364" s="99"/>
      <c r="CD364" s="99"/>
      <c r="CE364" s="99"/>
      <c r="CF364" s="99"/>
      <c r="CG364" s="99"/>
      <c r="CH364" s="99"/>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1530</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x14ac:dyDescent="0.35">
      <c r="A365" s="5" t="s">
        <v>1539</v>
      </c>
      <c r="B365" s="5" t="s">
        <v>740</v>
      </c>
      <c r="C365" s="5" t="s">
        <v>788</v>
      </c>
      <c r="D365" s="5" t="s">
        <v>1213</v>
      </c>
      <c r="E365" s="5" t="s">
        <v>1500</v>
      </c>
      <c r="F365" s="5" t="s">
        <v>489</v>
      </c>
      <c r="G365" s="47" t="s">
        <v>1540</v>
      </c>
      <c r="H365" s="47" t="s">
        <v>659</v>
      </c>
      <c r="I365" s="253">
        <v>61.176390923174552</v>
      </c>
      <c r="J365" s="253">
        <v>61.176390923174552</v>
      </c>
      <c r="K365" s="253">
        <v>61.176390923174552</v>
      </c>
      <c r="L365" s="253">
        <v>61.176390923174552</v>
      </c>
      <c r="M365" s="253">
        <v>61.176390923174552</v>
      </c>
      <c r="N365" s="253">
        <v>61.176390923174552</v>
      </c>
      <c r="O365" s="253">
        <v>61.176390923174552</v>
      </c>
      <c r="P365" s="93">
        <v>0</v>
      </c>
      <c r="Q365" s="253">
        <f>ROUND(I365*0.03,2)</f>
        <v>1.84</v>
      </c>
      <c r="R365" s="253">
        <f t="shared" ref="R365:W366" si="290">ROUND(J365*0.03,2)</f>
        <v>1.84</v>
      </c>
      <c r="S365" s="253">
        <f t="shared" si="290"/>
        <v>1.84</v>
      </c>
      <c r="T365" s="253">
        <f t="shared" si="290"/>
        <v>1.84</v>
      </c>
      <c r="U365" s="253">
        <f t="shared" si="290"/>
        <v>1.84</v>
      </c>
      <c r="V365" s="253">
        <f t="shared" si="290"/>
        <v>1.84</v>
      </c>
      <c r="W365" s="253">
        <f t="shared" si="290"/>
        <v>1.84</v>
      </c>
      <c r="X365" s="101">
        <v>0</v>
      </c>
      <c r="Y365" s="101">
        <v>0</v>
      </c>
      <c r="Z365" s="101">
        <v>0</v>
      </c>
      <c r="AA365" s="101">
        <v>0</v>
      </c>
      <c r="AB365" s="101">
        <v>0</v>
      </c>
      <c r="AC365" s="101">
        <v>0</v>
      </c>
      <c r="AD365" s="101">
        <v>0</v>
      </c>
      <c r="AE365" s="186">
        <v>0.08</v>
      </c>
      <c r="AF365" s="93"/>
      <c r="AG365" s="93">
        <v>30</v>
      </c>
      <c r="AH365" s="93">
        <v>30</v>
      </c>
      <c r="AI365" s="16">
        <v>1</v>
      </c>
      <c r="AJ365" s="16" t="s">
        <v>660</v>
      </c>
      <c r="AK365" s="16" t="s">
        <v>745</v>
      </c>
      <c r="AL365" s="16"/>
      <c r="AM365" s="60"/>
      <c r="AN365" s="60"/>
      <c r="AO365" s="60"/>
      <c r="AP365" s="60"/>
      <c r="AQ365" s="60"/>
      <c r="AR365" s="60"/>
      <c r="AS365" s="63"/>
      <c r="AT365" s="63"/>
      <c r="AU365" s="63"/>
      <c r="AV365" s="131"/>
      <c r="AW365" s="131"/>
      <c r="AX365" s="131"/>
      <c r="AY365" s="27" t="s">
        <v>662</v>
      </c>
      <c r="AZ365" s="27"/>
      <c r="BA365" s="27"/>
      <c r="BB365" s="30"/>
      <c r="BC365" s="30"/>
      <c r="BD365" s="30"/>
      <c r="BE365" s="30"/>
      <c r="BF365" s="30"/>
      <c r="BG365" s="30"/>
      <c r="BH365" s="107"/>
      <c r="BI365" s="107"/>
      <c r="BJ365" s="107"/>
      <c r="BK365" s="107"/>
      <c r="BL365" s="136"/>
      <c r="BM365" s="122"/>
      <c r="BN365" s="138">
        <v>0</v>
      </c>
      <c r="BO365" s="93"/>
      <c r="BP365" s="93"/>
      <c r="BQ365" s="93"/>
      <c r="BR365" s="93"/>
      <c r="BS365" s="93"/>
      <c r="BT365" s="93"/>
      <c r="BU365" s="27">
        <f t="shared" si="289"/>
        <v>0</v>
      </c>
      <c r="BV365" s="27"/>
      <c r="BW365" s="27"/>
      <c r="BX365" s="27"/>
      <c r="BY365" s="27"/>
      <c r="BZ365" s="27"/>
      <c r="CA365" s="27"/>
      <c r="CB365" s="97"/>
      <c r="CC365" s="97">
        <v>50</v>
      </c>
      <c r="CD365" s="97">
        <v>100</v>
      </c>
      <c r="CE365" s="97">
        <v>100</v>
      </c>
      <c r="CF365" s="97">
        <v>200</v>
      </c>
      <c r="CG365" s="97">
        <v>200</v>
      </c>
      <c r="CH365" s="97">
        <v>200</v>
      </c>
      <c r="CI365" s="173"/>
      <c r="CJ365" s="173"/>
      <c r="CK365" s="173"/>
      <c r="CL365" s="173"/>
      <c r="CM365" s="173"/>
      <c r="CN365" s="173"/>
      <c r="CO365" s="173"/>
      <c r="CP365" s="174"/>
      <c r="CQ365" s="174"/>
      <c r="CR365" s="174"/>
      <c r="CS365" s="174"/>
      <c r="CT365" s="174"/>
      <c r="CU365" s="174"/>
      <c r="CV365" s="174"/>
      <c r="CW365" s="165"/>
      <c r="CX365" s="166"/>
      <c r="CY365" s="166"/>
      <c r="CZ365" s="166"/>
      <c r="DA365" s="166"/>
      <c r="DB365" s="166"/>
      <c r="DC365" s="166"/>
      <c r="DD365" s="171"/>
      <c r="DE365" s="171"/>
      <c r="DF365" s="171"/>
      <c r="DG365" s="171"/>
      <c r="DH365" s="171"/>
      <c r="DI365" s="171"/>
      <c r="DJ365" s="171"/>
      <c r="DK365" s="79" t="s">
        <v>1541</v>
      </c>
      <c r="DL365" s="128"/>
      <c r="DM365" s="128"/>
      <c r="DN365" s="128"/>
      <c r="DO365" s="128"/>
      <c r="DP365" s="128"/>
      <c r="DQ365" s="128"/>
      <c r="DR365" s="128"/>
      <c r="DS365" s="218"/>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row>
    <row r="366" spans="1:244" s="347" customFormat="1" x14ac:dyDescent="0.35">
      <c r="A366" s="327" t="s">
        <v>1542</v>
      </c>
      <c r="B366" s="327" t="s">
        <v>740</v>
      </c>
      <c r="C366" s="327" t="s">
        <v>788</v>
      </c>
      <c r="D366" s="327" t="s">
        <v>1213</v>
      </c>
      <c r="E366" s="327" t="s">
        <v>1500</v>
      </c>
      <c r="F366" s="327" t="s">
        <v>489</v>
      </c>
      <c r="G366" s="328" t="s">
        <v>1543</v>
      </c>
      <c r="H366" s="328" t="s">
        <v>659</v>
      </c>
      <c r="I366" s="329">
        <v>74.124183794860471</v>
      </c>
      <c r="J366" s="329">
        <v>74.124183794860471</v>
      </c>
      <c r="K366" s="329">
        <v>74.124183794860471</v>
      </c>
      <c r="L366" s="329">
        <v>74.124183794860471</v>
      </c>
      <c r="M366" s="329">
        <v>74.124183794860471</v>
      </c>
      <c r="N366" s="329">
        <v>74.124183794860471</v>
      </c>
      <c r="O366" s="329">
        <v>74.124183794860471</v>
      </c>
      <c r="P366" s="330"/>
      <c r="Q366" s="329">
        <f>ROUND(I366*0.03,2)</f>
        <v>2.2200000000000002</v>
      </c>
      <c r="R366" s="329">
        <f t="shared" si="290"/>
        <v>2.2200000000000002</v>
      </c>
      <c r="S366" s="329">
        <f t="shared" si="290"/>
        <v>2.2200000000000002</v>
      </c>
      <c r="T366" s="329">
        <f t="shared" si="290"/>
        <v>2.2200000000000002</v>
      </c>
      <c r="U366" s="329">
        <f t="shared" si="290"/>
        <v>2.2200000000000002</v>
      </c>
      <c r="V366" s="329">
        <f t="shared" si="290"/>
        <v>2.2200000000000002</v>
      </c>
      <c r="W366" s="329">
        <f t="shared" si="290"/>
        <v>2.2200000000000002</v>
      </c>
      <c r="X366" s="329">
        <v>0</v>
      </c>
      <c r="Y366" s="329">
        <v>0</v>
      </c>
      <c r="Z366" s="329">
        <v>0</v>
      </c>
      <c r="AA366" s="329">
        <v>0</v>
      </c>
      <c r="AB366" s="329">
        <v>0</v>
      </c>
      <c r="AC366" s="329">
        <v>0</v>
      </c>
      <c r="AD366" s="329">
        <v>0</v>
      </c>
      <c r="AE366" s="186">
        <v>0.08</v>
      </c>
      <c r="AF366" s="330"/>
      <c r="AG366" s="330">
        <v>30</v>
      </c>
      <c r="AH366" s="330">
        <v>30</v>
      </c>
      <c r="AI366" s="331">
        <v>1</v>
      </c>
      <c r="AJ366" s="331" t="s">
        <v>660</v>
      </c>
      <c r="AK366" s="331" t="s">
        <v>745</v>
      </c>
      <c r="AL366" s="331"/>
      <c r="AM366" s="332"/>
      <c r="AN366" s="332"/>
      <c r="AO366" s="332"/>
      <c r="AP366" s="332"/>
      <c r="AQ366" s="332"/>
      <c r="AR366" s="332"/>
      <c r="AS366" s="333"/>
      <c r="AT366" s="333"/>
      <c r="AU366" s="333"/>
      <c r="AV366" s="334"/>
      <c r="AW366" s="334"/>
      <c r="AX366" s="334"/>
      <c r="AY366" s="335" t="s">
        <v>662</v>
      </c>
      <c r="AZ366" s="335"/>
      <c r="BA366" s="336"/>
      <c r="BB366" s="337"/>
      <c r="BC366" s="337"/>
      <c r="BD366" s="337"/>
      <c r="BE366" s="337"/>
      <c r="BF366" s="337"/>
      <c r="BG366" s="337"/>
      <c r="BH366" s="338"/>
      <c r="BI366" s="338"/>
      <c r="BJ366" s="338"/>
      <c r="BK366" s="338"/>
      <c r="BL366" s="339"/>
      <c r="BM366" s="340"/>
      <c r="BN366" s="341">
        <v>0</v>
      </c>
      <c r="BO366" s="330"/>
      <c r="BP366" s="330"/>
      <c r="BQ366" s="330"/>
      <c r="BR366" s="330"/>
      <c r="BS366" s="330"/>
      <c r="BT366" s="330"/>
      <c r="BU366" s="335">
        <f t="shared" si="289"/>
        <v>0</v>
      </c>
      <c r="BV366" s="335"/>
      <c r="BW366" s="335"/>
      <c r="BX366" s="335"/>
      <c r="BY366" s="335"/>
      <c r="BZ366" s="335"/>
      <c r="CA366" s="335"/>
      <c r="CB366" s="342"/>
      <c r="CC366" s="342">
        <v>50</v>
      </c>
      <c r="CD366" s="97">
        <v>100</v>
      </c>
      <c r="CE366" s="97">
        <v>100</v>
      </c>
      <c r="CF366" s="97">
        <v>200</v>
      </c>
      <c r="CG366" s="97">
        <v>200</v>
      </c>
      <c r="CH366" s="97">
        <v>200</v>
      </c>
      <c r="CI366" s="335"/>
      <c r="CJ366" s="335"/>
      <c r="CK366" s="335"/>
      <c r="CL366" s="335"/>
      <c r="CM366" s="335"/>
      <c r="CN366" s="335"/>
      <c r="CO366" s="335"/>
      <c r="CP366" s="343"/>
      <c r="CQ366" s="343"/>
      <c r="CR366" s="343"/>
      <c r="CS366" s="343"/>
      <c r="CT366" s="343"/>
      <c r="CU366" s="343"/>
      <c r="CV366" s="343"/>
      <c r="CW366" s="344"/>
      <c r="CX366" s="345"/>
      <c r="CY366" s="345"/>
      <c r="CZ366" s="345"/>
      <c r="DA366" s="345"/>
      <c r="DB366" s="345"/>
      <c r="DC366" s="345"/>
      <c r="DD366" s="345"/>
      <c r="DE366" s="345"/>
      <c r="DF366" s="345"/>
      <c r="DG366" s="345"/>
      <c r="DH366" s="345"/>
      <c r="DI366" s="345"/>
      <c r="DJ366" s="345"/>
      <c r="DK366" s="79" t="s">
        <v>1541</v>
      </c>
      <c r="DL366" s="344"/>
      <c r="DM366" s="344"/>
      <c r="DN366" s="344"/>
      <c r="DO366" s="344"/>
      <c r="DP366" s="344"/>
      <c r="DQ366" s="344"/>
      <c r="DR366" s="344"/>
      <c r="DS366" s="346"/>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row>
    <row r="367" spans="1:244" x14ac:dyDescent="0.35">
      <c r="A367" s="6" t="s">
        <v>1544</v>
      </c>
      <c r="B367" s="6" t="s">
        <v>740</v>
      </c>
      <c r="C367" s="6" t="s">
        <v>788</v>
      </c>
      <c r="D367" s="6" t="s">
        <v>1213</v>
      </c>
      <c r="E367" s="6" t="s">
        <v>1525</v>
      </c>
      <c r="F367" s="6" t="s">
        <v>489</v>
      </c>
      <c r="G367" s="48" t="s">
        <v>1545</v>
      </c>
      <c r="H367" s="48" t="s">
        <v>659</v>
      </c>
      <c r="I367" s="253">
        <v>15.147669221572489</v>
      </c>
      <c r="J367" s="253">
        <v>15.147669221572489</v>
      </c>
      <c r="K367" s="253">
        <v>15.147669221572489</v>
      </c>
      <c r="L367" s="253">
        <v>15.147669221572489</v>
      </c>
      <c r="M367" s="253">
        <v>15.147669221572489</v>
      </c>
      <c r="N367" s="253">
        <v>15.147669221572489</v>
      </c>
      <c r="O367" s="253">
        <v>15.147669221572489</v>
      </c>
      <c r="P367" s="283">
        <v>0</v>
      </c>
      <c r="Q367" s="253">
        <v>0.37869173053931227</v>
      </c>
      <c r="R367" s="253">
        <v>0.37869173053931227</v>
      </c>
      <c r="S367" s="253">
        <v>0.37869173053931227</v>
      </c>
      <c r="T367" s="253">
        <v>0.37869173053931227</v>
      </c>
      <c r="U367" s="253">
        <v>0.37869173053931227</v>
      </c>
      <c r="V367" s="253">
        <v>0.37869173053931227</v>
      </c>
      <c r="W367" s="253">
        <v>0.37869173053931227</v>
      </c>
      <c r="X367" s="102">
        <v>0</v>
      </c>
      <c r="Y367" s="102">
        <v>0</v>
      </c>
      <c r="Z367" s="102">
        <v>0</v>
      </c>
      <c r="AA367" s="102">
        <v>0</v>
      </c>
      <c r="AB367" s="102">
        <v>0</v>
      </c>
      <c r="AC367" s="102">
        <v>0</v>
      </c>
      <c r="AD367" s="102">
        <v>0</v>
      </c>
      <c r="AE367" s="186">
        <v>0.08</v>
      </c>
      <c r="AF367" s="94">
        <v>0</v>
      </c>
      <c r="AG367" s="94">
        <v>25</v>
      </c>
      <c r="AH367" s="94">
        <v>25</v>
      </c>
      <c r="AI367" s="17">
        <v>1</v>
      </c>
      <c r="AJ367" s="17" t="s">
        <v>660</v>
      </c>
      <c r="AK367" s="17" t="s">
        <v>745</v>
      </c>
      <c r="AL367" s="17"/>
      <c r="AM367" s="61"/>
      <c r="AN367" s="61"/>
      <c r="AO367" s="61"/>
      <c r="AP367" s="61"/>
      <c r="AQ367" s="61"/>
      <c r="AR367" s="61"/>
      <c r="AS367" s="64"/>
      <c r="AT367" s="64"/>
      <c r="AU367" s="64"/>
      <c r="AV367" s="132"/>
      <c r="AW367" s="132"/>
      <c r="AX367" s="132"/>
      <c r="AY367" s="28" t="s">
        <v>662</v>
      </c>
      <c r="AZ367" s="28"/>
      <c r="BA367" s="28"/>
      <c r="BB367" s="28"/>
      <c r="BC367" s="28"/>
      <c r="BD367" s="28"/>
      <c r="BE367" s="28"/>
      <c r="BF367" s="28"/>
      <c r="BG367" s="28"/>
      <c r="BH367" s="106"/>
      <c r="BI367" s="106"/>
      <c r="BJ367" s="106"/>
      <c r="BK367" s="106"/>
      <c r="BL367" s="137"/>
      <c r="BM367" s="123"/>
      <c r="BN367" s="139">
        <v>0</v>
      </c>
      <c r="BO367" s="94"/>
      <c r="BP367" s="94"/>
      <c r="BQ367" s="94"/>
      <c r="BR367" s="94"/>
      <c r="BS367" s="94"/>
      <c r="BT367" s="94"/>
      <c r="BU367" s="28">
        <f t="shared" si="283"/>
        <v>0</v>
      </c>
      <c r="BV367" s="28"/>
      <c r="BW367" s="28"/>
      <c r="BX367" s="28"/>
      <c r="BY367" s="28"/>
      <c r="BZ367" s="28"/>
      <c r="CA367" s="28"/>
      <c r="CB367" s="99">
        <v>0</v>
      </c>
      <c r="CC367" s="99">
        <v>50</v>
      </c>
      <c r="CD367" s="99">
        <v>1000</v>
      </c>
      <c r="CE367" s="99">
        <v>1000</v>
      </c>
      <c r="CF367" s="99">
        <v>1000</v>
      </c>
      <c r="CG367" s="99">
        <v>1000</v>
      </c>
      <c r="CH367" s="99">
        <v>1000</v>
      </c>
      <c r="CI367" s="175"/>
      <c r="CJ367" s="175"/>
      <c r="CK367" s="175"/>
      <c r="CL367" s="175"/>
      <c r="CM367" s="175"/>
      <c r="CN367" s="175"/>
      <c r="CO367" s="175"/>
      <c r="CP367" s="176"/>
      <c r="CQ367" s="176"/>
      <c r="CR367" s="176"/>
      <c r="CS367" s="176"/>
      <c r="CT367" s="176"/>
      <c r="CU367" s="176"/>
      <c r="CV367" s="176"/>
      <c r="CW367" s="167"/>
      <c r="CX367" s="168"/>
      <c r="CY367" s="168"/>
      <c r="CZ367" s="168"/>
      <c r="DA367" s="168"/>
      <c r="DB367" s="168"/>
      <c r="DC367" s="168"/>
      <c r="DD367" s="172"/>
      <c r="DE367" s="172"/>
      <c r="DF367" s="172"/>
      <c r="DG367" s="172"/>
      <c r="DH367" s="172"/>
      <c r="DI367" s="172"/>
      <c r="DJ367" s="172"/>
      <c r="DK367" s="80" t="s">
        <v>792</v>
      </c>
      <c r="DL367" s="129">
        <v>1000</v>
      </c>
      <c r="DM367" s="129">
        <v>1000</v>
      </c>
      <c r="DN367" s="129">
        <v>1000</v>
      </c>
      <c r="DO367" s="129">
        <v>1000</v>
      </c>
      <c r="DP367" s="129">
        <v>1000</v>
      </c>
      <c r="DQ367" s="129">
        <v>1000</v>
      </c>
      <c r="DR367" s="129">
        <v>1000</v>
      </c>
      <c r="DS367" s="218"/>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row>
    <row r="368" spans="1:244" x14ac:dyDescent="0.35">
      <c r="A368" s="5" t="s">
        <v>1546</v>
      </c>
      <c r="B368" s="5" t="s">
        <v>740</v>
      </c>
      <c r="C368" s="5" t="s">
        <v>788</v>
      </c>
      <c r="D368" s="5" t="s">
        <v>1213</v>
      </c>
      <c r="E368" s="5" t="s">
        <v>1525</v>
      </c>
      <c r="F368" s="5" t="s">
        <v>489</v>
      </c>
      <c r="G368" s="47" t="s">
        <v>1547</v>
      </c>
      <c r="H368" s="47" t="s">
        <v>659</v>
      </c>
      <c r="I368" s="101">
        <v>8</v>
      </c>
      <c r="J368" s="101">
        <v>7</v>
      </c>
      <c r="K368" s="101">
        <v>5</v>
      </c>
      <c r="L368" s="101">
        <v>4</v>
      </c>
      <c r="M368" s="101">
        <v>2</v>
      </c>
      <c r="N368" s="101">
        <v>1.5</v>
      </c>
      <c r="O368" s="101">
        <v>1</v>
      </c>
      <c r="P368" s="93">
        <v>0</v>
      </c>
      <c r="Q368" s="101">
        <v>0.15</v>
      </c>
      <c r="R368" s="101">
        <v>0.14000000000000001</v>
      </c>
      <c r="S368" s="101">
        <v>0.12</v>
      </c>
      <c r="T368" s="101">
        <v>0.1</v>
      </c>
      <c r="U368" s="101">
        <v>0.05</v>
      </c>
      <c r="V368" s="101">
        <v>0.04</v>
      </c>
      <c r="W368" s="101">
        <v>0.03</v>
      </c>
      <c r="X368" s="101">
        <v>0</v>
      </c>
      <c r="Y368" s="101">
        <v>0</v>
      </c>
      <c r="Z368" s="101">
        <v>0</v>
      </c>
      <c r="AA368" s="101">
        <v>0</v>
      </c>
      <c r="AB368" s="101">
        <v>0</v>
      </c>
      <c r="AC368" s="101">
        <v>0</v>
      </c>
      <c r="AD368" s="101">
        <v>0</v>
      </c>
      <c r="AE368" s="186">
        <v>0.08</v>
      </c>
      <c r="AF368" s="93"/>
      <c r="AG368" s="93">
        <v>30</v>
      </c>
      <c r="AH368" s="93">
        <v>30</v>
      </c>
      <c r="AI368" s="16">
        <v>1</v>
      </c>
      <c r="AJ368" s="16" t="s">
        <v>765</v>
      </c>
      <c r="AK368" s="16" t="s">
        <v>745</v>
      </c>
      <c r="AL368" s="16"/>
      <c r="AM368" s="60"/>
      <c r="AN368" s="60"/>
      <c r="AO368" s="60"/>
      <c r="AP368" s="60"/>
      <c r="AQ368" s="60"/>
      <c r="AR368" s="60"/>
      <c r="AS368" s="63">
        <v>0.2</v>
      </c>
      <c r="AT368" s="63"/>
      <c r="AU368" s="63" t="s">
        <v>766</v>
      </c>
      <c r="AV368" s="131"/>
      <c r="AW368" s="131"/>
      <c r="AX368" s="131"/>
      <c r="AY368" s="27" t="s">
        <v>662</v>
      </c>
      <c r="AZ368" s="27"/>
      <c r="BA368" s="27"/>
      <c r="BB368" s="30"/>
      <c r="BC368" s="30"/>
      <c r="BD368" s="30"/>
      <c r="BE368" s="30"/>
      <c r="BF368" s="30"/>
      <c r="BG368" s="30"/>
      <c r="BH368" s="107"/>
      <c r="BI368" s="107"/>
      <c r="BJ368" s="107"/>
      <c r="BK368" s="107"/>
      <c r="BL368" s="136"/>
      <c r="BM368" s="122"/>
      <c r="BN368" s="138">
        <v>0</v>
      </c>
      <c r="BO368" s="93"/>
      <c r="BP368" s="93"/>
      <c r="BQ368" s="93"/>
      <c r="BR368" s="93"/>
      <c r="BS368" s="93"/>
      <c r="BT368" s="93"/>
      <c r="BU368" s="27">
        <f t="shared" si="283"/>
        <v>0</v>
      </c>
      <c r="BV368" s="27"/>
      <c r="BW368" s="27"/>
      <c r="BX368" s="27"/>
      <c r="BY368" s="27"/>
      <c r="BZ368" s="27"/>
      <c r="CA368" s="27"/>
      <c r="CB368" s="97"/>
      <c r="CC368" s="97"/>
      <c r="CD368" s="97">
        <v>0</v>
      </c>
      <c r="CE368" s="97">
        <v>0</v>
      </c>
      <c r="CF368" s="97">
        <v>0</v>
      </c>
      <c r="CG368" s="97">
        <v>0</v>
      </c>
      <c r="CH368" s="97">
        <v>0</v>
      </c>
      <c r="CI368" s="173"/>
      <c r="CJ368" s="173"/>
      <c r="CK368" s="173"/>
      <c r="CL368" s="173"/>
      <c r="CM368" s="173"/>
      <c r="CN368" s="173"/>
      <c r="CO368" s="173"/>
      <c r="CP368" s="174"/>
      <c r="CQ368" s="174"/>
      <c r="CR368" s="174"/>
      <c r="CS368" s="174"/>
      <c r="CT368" s="174"/>
      <c r="CU368" s="174"/>
      <c r="CV368" s="174"/>
      <c r="CW368" s="165"/>
      <c r="CX368" s="166"/>
      <c r="CY368" s="166"/>
      <c r="CZ368" s="166"/>
      <c r="DA368" s="166"/>
      <c r="DB368" s="166"/>
      <c r="DC368" s="166"/>
      <c r="DD368" s="171"/>
      <c r="DE368" s="171"/>
      <c r="DF368" s="171"/>
      <c r="DG368" s="171"/>
      <c r="DH368" s="171"/>
      <c r="DI368" s="171"/>
      <c r="DJ368" s="171"/>
      <c r="DK368" s="79" t="s">
        <v>1548</v>
      </c>
      <c r="DL368" s="128">
        <v>500</v>
      </c>
      <c r="DM368" s="128">
        <v>500</v>
      </c>
      <c r="DN368" s="128">
        <v>500</v>
      </c>
      <c r="DO368" s="128">
        <v>500</v>
      </c>
      <c r="DP368" s="128">
        <v>500</v>
      </c>
      <c r="DQ368" s="128">
        <v>500</v>
      </c>
      <c r="DR368" s="128">
        <v>500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s="261" customFormat="1" x14ac:dyDescent="0.35">
      <c r="A369" s="256" t="s">
        <v>1549</v>
      </c>
      <c r="B369" s="256" t="s">
        <v>740</v>
      </c>
      <c r="C369" s="256" t="s">
        <v>788</v>
      </c>
      <c r="D369" s="256" t="s">
        <v>1213</v>
      </c>
      <c r="E369" s="256" t="s">
        <v>1475</v>
      </c>
      <c r="F369" s="256" t="s">
        <v>489</v>
      </c>
      <c r="G369" s="392" t="s">
        <v>1550</v>
      </c>
      <c r="H369" s="268" t="s">
        <v>659</v>
      </c>
      <c r="I369" s="282">
        <f>(80.99/3.6)*1.337</f>
        <v>30.078786111111107</v>
      </c>
      <c r="J369" s="282">
        <f t="shared" ref="J369:O369" si="291">(80.99/3.6)*1.337</f>
        <v>30.078786111111107</v>
      </c>
      <c r="K369" s="282">
        <f t="shared" si="291"/>
        <v>30.078786111111107</v>
      </c>
      <c r="L369" s="282">
        <f t="shared" si="291"/>
        <v>30.078786111111107</v>
      </c>
      <c r="M369" s="282">
        <f t="shared" si="291"/>
        <v>30.078786111111107</v>
      </c>
      <c r="N369" s="282">
        <f t="shared" si="291"/>
        <v>30.078786111111107</v>
      </c>
      <c r="O369" s="282">
        <f t="shared" si="291"/>
        <v>30.078786111111107</v>
      </c>
      <c r="P369" s="269">
        <v>0</v>
      </c>
      <c r="Q369" s="253">
        <f>ROUND(I369*0.04,2)</f>
        <v>1.2</v>
      </c>
      <c r="R369" s="253">
        <f t="shared" ref="R369:W369" si="292">ROUND(J369*0.04,2)</f>
        <v>1.2</v>
      </c>
      <c r="S369" s="253">
        <f t="shared" si="292"/>
        <v>1.2</v>
      </c>
      <c r="T369" s="253">
        <f t="shared" si="292"/>
        <v>1.2</v>
      </c>
      <c r="U369" s="253">
        <f t="shared" si="292"/>
        <v>1.2</v>
      </c>
      <c r="V369" s="253">
        <f t="shared" si="292"/>
        <v>1.2</v>
      </c>
      <c r="W369" s="253">
        <f t="shared" si="292"/>
        <v>1.2</v>
      </c>
      <c r="X369" s="253">
        <v>0</v>
      </c>
      <c r="Y369" s="253">
        <v>0</v>
      </c>
      <c r="Z369" s="253">
        <v>0</v>
      </c>
      <c r="AA369" s="253">
        <v>0</v>
      </c>
      <c r="AB369" s="253">
        <v>0</v>
      </c>
      <c r="AC369" s="253">
        <v>0</v>
      </c>
      <c r="AD369" s="253">
        <v>0</v>
      </c>
      <c r="AE369" s="186">
        <v>0.08</v>
      </c>
      <c r="AF369" s="269">
        <v>0</v>
      </c>
      <c r="AG369" s="269">
        <v>30</v>
      </c>
      <c r="AH369" s="269">
        <v>30</v>
      </c>
      <c r="AI369" s="270">
        <v>1</v>
      </c>
      <c r="AJ369" s="270" t="s">
        <v>660</v>
      </c>
      <c r="AK369" s="270" t="s">
        <v>745</v>
      </c>
      <c r="AL369" s="270"/>
      <c r="AM369" s="271"/>
      <c r="AN369" s="271"/>
      <c r="AO369" s="271"/>
      <c r="AP369" s="271"/>
      <c r="AQ369" s="271"/>
      <c r="AR369" s="271"/>
      <c r="AS369" s="272"/>
      <c r="AT369" s="272"/>
      <c r="AU369" s="272"/>
      <c r="AV369" s="273"/>
      <c r="AW369" s="273"/>
      <c r="AX369" s="273"/>
      <c r="AY369" s="257" t="s">
        <v>662</v>
      </c>
      <c r="AZ369" s="257"/>
      <c r="BA369" s="257"/>
      <c r="BB369" s="257"/>
      <c r="BC369" s="257"/>
      <c r="BD369" s="257"/>
      <c r="BE369" s="257"/>
      <c r="BF369" s="257"/>
      <c r="BG369" s="257"/>
      <c r="BH369" s="274"/>
      <c r="BI369" s="274"/>
      <c r="BJ369" s="274"/>
      <c r="BK369" s="274"/>
      <c r="BL369" s="275"/>
      <c r="BM369" s="276"/>
      <c r="BN369" s="277">
        <v>0</v>
      </c>
      <c r="BO369" s="269"/>
      <c r="BP369" s="269"/>
      <c r="BQ369" s="269"/>
      <c r="BR369" s="269"/>
      <c r="BS369" s="269"/>
      <c r="BT369" s="269"/>
      <c r="BU369" s="257">
        <f t="shared" ref="BU369" si="293">IF(BL369=1,BN369,0)</f>
        <v>0</v>
      </c>
      <c r="BV369" s="257"/>
      <c r="BW369" s="257"/>
      <c r="BX369" s="257"/>
      <c r="BY369" s="257"/>
      <c r="BZ369" s="257"/>
      <c r="CA369" s="257"/>
      <c r="CB369" s="244">
        <v>10</v>
      </c>
      <c r="CC369" s="244">
        <v>200</v>
      </c>
      <c r="CD369" s="389">
        <v>1000</v>
      </c>
      <c r="CE369" s="389">
        <v>1000</v>
      </c>
      <c r="CF369" s="389">
        <v>1000</v>
      </c>
      <c r="CG369" s="389">
        <v>1000</v>
      </c>
      <c r="CH369" s="389">
        <v>1000</v>
      </c>
      <c r="CI369" s="257"/>
      <c r="CJ369" s="257"/>
      <c r="CK369" s="257"/>
      <c r="CL369" s="257"/>
      <c r="CM369" s="257"/>
      <c r="CN369" s="257"/>
      <c r="CO369" s="257"/>
      <c r="CP369" s="258"/>
      <c r="CQ369" s="258"/>
      <c r="CR369" s="258"/>
      <c r="CS369" s="258"/>
      <c r="CT369" s="258"/>
      <c r="CU369" s="258"/>
      <c r="CV369" s="258"/>
      <c r="CW369" s="278"/>
      <c r="CX369" s="279"/>
      <c r="CY369" s="279"/>
      <c r="CZ369" s="279"/>
      <c r="DA369" s="279"/>
      <c r="DB369" s="279"/>
      <c r="DC369" s="279"/>
      <c r="DD369" s="279"/>
      <c r="DE369" s="279"/>
      <c r="DF369" s="279"/>
      <c r="DG369" s="279"/>
      <c r="DH369" s="279"/>
      <c r="DI369" s="279"/>
      <c r="DJ369" s="279"/>
      <c r="DK369" s="265" t="s">
        <v>1551</v>
      </c>
      <c r="DL369" s="278">
        <v>1000</v>
      </c>
      <c r="DM369" s="278">
        <v>1000</v>
      </c>
      <c r="DN369" s="278">
        <v>1000</v>
      </c>
      <c r="DO369" s="278">
        <v>1000</v>
      </c>
      <c r="DP369" s="278">
        <v>1000</v>
      </c>
      <c r="DQ369" s="278">
        <v>1000</v>
      </c>
      <c r="DR369" s="278">
        <v>1000</v>
      </c>
      <c r="DS369" s="280"/>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row>
    <row r="370" spans="1:244" x14ac:dyDescent="0.35">
      <c r="A370" s="6" t="s">
        <v>1552</v>
      </c>
      <c r="B370" s="6" t="s">
        <v>740</v>
      </c>
      <c r="C370" s="6" t="s">
        <v>788</v>
      </c>
      <c r="D370" s="6" t="s">
        <v>1213</v>
      </c>
      <c r="E370" s="6" t="s">
        <v>1525</v>
      </c>
      <c r="F370" s="6" t="s">
        <v>490</v>
      </c>
      <c r="G370" s="48" t="s">
        <v>1553</v>
      </c>
      <c r="H370" s="48" t="s">
        <v>659</v>
      </c>
      <c r="I370" s="253">
        <v>11.589384376846876</v>
      </c>
      <c r="J370" s="253">
        <v>11.589384376846876</v>
      </c>
      <c r="K370" s="253">
        <v>11.589384376846876</v>
      </c>
      <c r="L370" s="253">
        <v>11.589384376846876</v>
      </c>
      <c r="M370" s="253">
        <v>11.589384376846876</v>
      </c>
      <c r="N370" s="253">
        <v>11.589384376846876</v>
      </c>
      <c r="O370" s="253">
        <v>11.589384376846876</v>
      </c>
      <c r="P370" s="94">
        <v>0</v>
      </c>
      <c r="Q370" s="253">
        <v>0.28973460942117191</v>
      </c>
      <c r="R370" s="253">
        <v>0.28973460942117191</v>
      </c>
      <c r="S370" s="253">
        <v>0.28973460942117191</v>
      </c>
      <c r="T370" s="253">
        <v>0.28973460942117191</v>
      </c>
      <c r="U370" s="253">
        <v>0.28973460942117191</v>
      </c>
      <c r="V370" s="253">
        <v>0.28973460942117191</v>
      </c>
      <c r="W370" s="253">
        <v>0.28973460942117191</v>
      </c>
      <c r="X370" s="102"/>
      <c r="Y370" s="102"/>
      <c r="Z370" s="102"/>
      <c r="AA370" s="102"/>
      <c r="AB370" s="102"/>
      <c r="AC370" s="102"/>
      <c r="AD370" s="102"/>
      <c r="AE370" s="186">
        <v>0.08</v>
      </c>
      <c r="AF370" s="94"/>
      <c r="AG370" s="94">
        <v>25</v>
      </c>
      <c r="AH370" s="94">
        <v>25</v>
      </c>
      <c r="AI370" s="17">
        <v>1</v>
      </c>
      <c r="AJ370" s="17" t="s">
        <v>660</v>
      </c>
      <c r="AK370" s="17" t="s">
        <v>745</v>
      </c>
      <c r="AL370" s="17"/>
      <c r="AM370" s="61"/>
      <c r="AN370" s="61"/>
      <c r="AO370" s="61"/>
      <c r="AP370" s="61"/>
      <c r="AQ370" s="61"/>
      <c r="AR370" s="61"/>
      <c r="AS370" s="64"/>
      <c r="AT370" s="64"/>
      <c r="AU370" s="64"/>
      <c r="AV370" s="132"/>
      <c r="AW370" s="132"/>
      <c r="AX370" s="132"/>
      <c r="AY370" s="28" t="s">
        <v>662</v>
      </c>
      <c r="AZ370" s="28"/>
      <c r="BA370" s="28"/>
      <c r="BB370" s="28"/>
      <c r="BC370" s="28"/>
      <c r="BD370" s="28"/>
      <c r="BE370" s="28"/>
      <c r="BF370" s="28"/>
      <c r="BG370" s="28"/>
      <c r="BH370" s="106"/>
      <c r="BI370" s="106"/>
      <c r="BJ370" s="106"/>
      <c r="BK370" s="106"/>
      <c r="BL370" s="137"/>
      <c r="BM370" s="123"/>
      <c r="BN370" s="139">
        <v>8.9600000000000009</v>
      </c>
      <c r="BO370" s="94"/>
      <c r="BP370" s="94"/>
      <c r="BQ370" s="94"/>
      <c r="BR370" s="94"/>
      <c r="BS370" s="94"/>
      <c r="BT370" s="94"/>
      <c r="BU370" s="28">
        <f t="shared" si="283"/>
        <v>0</v>
      </c>
      <c r="BV370" s="28"/>
      <c r="BW370" s="28"/>
      <c r="BX370" s="28"/>
      <c r="BY370" s="28"/>
      <c r="BZ370" s="28"/>
      <c r="CA370" s="28"/>
      <c r="CB370" s="244">
        <v>10</v>
      </c>
      <c r="CC370" s="244">
        <v>50</v>
      </c>
      <c r="CD370" s="244">
        <v>250</v>
      </c>
      <c r="CE370" s="244">
        <v>500</v>
      </c>
      <c r="CF370" s="244">
        <v>1000</v>
      </c>
      <c r="CG370" s="244">
        <v>1000</v>
      </c>
      <c r="CH370" s="244">
        <v>1000</v>
      </c>
      <c r="CI370" s="257"/>
      <c r="CJ370" s="175"/>
      <c r="CK370" s="175"/>
      <c r="CL370" s="175"/>
      <c r="CM370" s="175"/>
      <c r="CN370" s="175"/>
      <c r="CO370" s="175"/>
      <c r="CP370" s="176"/>
      <c r="CQ370" s="176"/>
      <c r="CR370" s="176"/>
      <c r="CS370" s="176"/>
      <c r="CT370" s="176"/>
      <c r="CU370" s="176"/>
      <c r="CV370" s="176"/>
      <c r="CW370" s="167"/>
      <c r="CX370" s="168"/>
      <c r="CY370" s="168"/>
      <c r="CZ370" s="168"/>
      <c r="DA370" s="168"/>
      <c r="DB370" s="168"/>
      <c r="DC370" s="168"/>
      <c r="DD370" s="172"/>
      <c r="DE370" s="172"/>
      <c r="DF370" s="172"/>
      <c r="DG370" s="172"/>
      <c r="DH370" s="172"/>
      <c r="DI370" s="172"/>
      <c r="DJ370" s="172"/>
      <c r="DK370" s="80" t="s">
        <v>1554</v>
      </c>
      <c r="DL370" s="129">
        <v>1000</v>
      </c>
      <c r="DM370" s="129">
        <v>1000</v>
      </c>
      <c r="DN370" s="129">
        <v>1000</v>
      </c>
      <c r="DO370" s="129">
        <v>1000</v>
      </c>
      <c r="DP370" s="129">
        <v>1000</v>
      </c>
      <c r="DQ370" s="129">
        <v>1000</v>
      </c>
      <c r="DR370" s="129">
        <v>1000</v>
      </c>
      <c r="DS370" s="218"/>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row>
    <row r="371" spans="1:244" x14ac:dyDescent="0.35">
      <c r="A371" s="5" t="s">
        <v>1555</v>
      </c>
      <c r="B371" s="5" t="s">
        <v>740</v>
      </c>
      <c r="C371" s="5" t="s">
        <v>788</v>
      </c>
      <c r="D371" s="5" t="s">
        <v>1213</v>
      </c>
      <c r="E371" s="5" t="s">
        <v>1525</v>
      </c>
      <c r="F371" s="5" t="s">
        <v>490</v>
      </c>
      <c r="G371" s="47" t="s">
        <v>1556</v>
      </c>
      <c r="H371" s="47" t="s">
        <v>659</v>
      </c>
      <c r="I371" s="253">
        <f>23/'Data Sources'!I9</f>
        <v>23.985197520584698</v>
      </c>
      <c r="J371" s="253">
        <f>I371</f>
        <v>23.985197520584698</v>
      </c>
      <c r="K371" s="253">
        <f t="shared" ref="K371:O371" si="294">J371</f>
        <v>23.985197520584698</v>
      </c>
      <c r="L371" s="253">
        <f t="shared" si="294"/>
        <v>23.985197520584698</v>
      </c>
      <c r="M371" s="253">
        <f t="shared" si="294"/>
        <v>23.985197520584698</v>
      </c>
      <c r="N371" s="253">
        <f t="shared" si="294"/>
        <v>23.985197520584698</v>
      </c>
      <c r="O371" s="253">
        <f t="shared" si="294"/>
        <v>23.985197520584698</v>
      </c>
      <c r="P371" s="93">
        <v>0</v>
      </c>
      <c r="Q371" s="253">
        <f t="shared" ref="Q371" si="295">ROUND(I371*0.04,2)</f>
        <v>0.96</v>
      </c>
      <c r="R371" s="253">
        <f t="shared" ref="R371" si="296">ROUND(J371*0.04,2)</f>
        <v>0.96</v>
      </c>
      <c r="S371" s="253">
        <f t="shared" ref="S371" si="297">ROUND(K371*0.04,2)</f>
        <v>0.96</v>
      </c>
      <c r="T371" s="253">
        <f t="shared" ref="T371" si="298">ROUND(L371*0.04,2)</f>
        <v>0.96</v>
      </c>
      <c r="U371" s="253">
        <f t="shared" ref="U371" si="299">ROUND(M371*0.04,2)</f>
        <v>0.96</v>
      </c>
      <c r="V371" s="253">
        <f t="shared" ref="V371" si="300">ROUND(N371*0.04,2)</f>
        <v>0.96</v>
      </c>
      <c r="W371" s="253">
        <f t="shared" ref="W371" si="301">ROUND(O371*0.04,2)</f>
        <v>0.96</v>
      </c>
      <c r="X371" s="101">
        <v>0</v>
      </c>
      <c r="Y371" s="101">
        <v>0</v>
      </c>
      <c r="Z371" s="101">
        <v>0</v>
      </c>
      <c r="AA371" s="101">
        <v>0</v>
      </c>
      <c r="AB371" s="101">
        <v>0</v>
      </c>
      <c r="AC371" s="101">
        <v>0</v>
      </c>
      <c r="AD371" s="101">
        <v>0</v>
      </c>
      <c r="AE371" s="186">
        <v>0.08</v>
      </c>
      <c r="AF371" s="93">
        <v>0</v>
      </c>
      <c r="AG371" s="93">
        <v>30</v>
      </c>
      <c r="AH371" s="93">
        <v>30</v>
      </c>
      <c r="AI371" s="16">
        <v>1</v>
      </c>
      <c r="AJ371" s="16" t="s">
        <v>660</v>
      </c>
      <c r="AK371" s="16" t="s">
        <v>745</v>
      </c>
      <c r="AL371" s="16"/>
      <c r="AM371" s="60"/>
      <c r="AN371" s="60"/>
      <c r="AO371" s="60"/>
      <c r="AP371" s="60"/>
      <c r="AQ371" s="60"/>
      <c r="AR371" s="60"/>
      <c r="AS371" s="63"/>
      <c r="AT371" s="63"/>
      <c r="AU371" s="63"/>
      <c r="AV371" s="131"/>
      <c r="AW371" s="131"/>
      <c r="AX371" s="131"/>
      <c r="AY371" s="27" t="s">
        <v>662</v>
      </c>
      <c r="AZ371" s="27"/>
      <c r="BA371" s="27"/>
      <c r="BB371" s="30"/>
      <c r="BC371" s="30"/>
      <c r="BD371" s="30"/>
      <c r="BE371" s="30"/>
      <c r="BF371" s="30"/>
      <c r="BG371" s="30"/>
      <c r="BH371" s="107"/>
      <c r="BI371" s="107"/>
      <c r="BJ371" s="107"/>
      <c r="BK371" s="107"/>
      <c r="BL371" s="136"/>
      <c r="BM371" s="122"/>
      <c r="BN371" s="138">
        <v>0</v>
      </c>
      <c r="BO371" s="93"/>
      <c r="BP371" s="93"/>
      <c r="BQ371" s="93"/>
      <c r="BR371" s="93"/>
      <c r="BS371" s="93"/>
      <c r="BT371" s="93"/>
      <c r="BU371" s="27">
        <f t="shared" si="283"/>
        <v>0</v>
      </c>
      <c r="BV371" s="27"/>
      <c r="BW371" s="27"/>
      <c r="BX371" s="27"/>
      <c r="BY371" s="27"/>
      <c r="BZ371" s="27"/>
      <c r="CA371" s="27"/>
      <c r="CB371" s="97">
        <v>0</v>
      </c>
      <c r="CC371" s="97">
        <v>0</v>
      </c>
      <c r="CD371" s="97"/>
      <c r="CE371" s="97"/>
      <c r="CF371" s="97">
        <v>250</v>
      </c>
      <c r="CG371" s="97">
        <v>500</v>
      </c>
      <c r="CH371" s="97">
        <v>1000</v>
      </c>
      <c r="CI371" s="173"/>
      <c r="CJ371" s="173"/>
      <c r="CK371" s="173"/>
      <c r="CL371" s="173"/>
      <c r="CM371" s="173"/>
      <c r="CN371" s="173"/>
      <c r="CO371" s="173"/>
      <c r="CP371" s="174"/>
      <c r="CQ371" s="174"/>
      <c r="CR371" s="174"/>
      <c r="CS371" s="174"/>
      <c r="CT371" s="174"/>
      <c r="CU371" s="174"/>
      <c r="CV371" s="174"/>
      <c r="CW371" s="165"/>
      <c r="CX371" s="166"/>
      <c r="CY371" s="166"/>
      <c r="CZ371" s="166"/>
      <c r="DA371" s="166"/>
      <c r="DB371" s="166"/>
      <c r="DC371" s="166"/>
      <c r="DD371" s="171"/>
      <c r="DE371" s="171"/>
      <c r="DF371" s="171"/>
      <c r="DG371" s="171"/>
      <c r="DH371" s="171"/>
      <c r="DI371" s="171"/>
      <c r="DJ371" s="171"/>
      <c r="DK371" s="79" t="s">
        <v>1557</v>
      </c>
      <c r="DL371" s="128">
        <v>500</v>
      </c>
      <c r="DM371" s="128">
        <v>500</v>
      </c>
      <c r="DN371" s="128">
        <v>500</v>
      </c>
      <c r="DO371" s="128">
        <v>500</v>
      </c>
      <c r="DP371" s="128">
        <v>500</v>
      </c>
      <c r="DQ371" s="128">
        <v>500</v>
      </c>
      <c r="DR371" s="128">
        <v>500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s="310" customFormat="1" x14ac:dyDescent="0.35">
      <c r="A372" s="290" t="s">
        <v>1558</v>
      </c>
      <c r="B372" s="290" t="s">
        <v>740</v>
      </c>
      <c r="C372" s="290" t="s">
        <v>788</v>
      </c>
      <c r="D372" s="290" t="s">
        <v>1213</v>
      </c>
      <c r="E372" s="290" t="s">
        <v>1525</v>
      </c>
      <c r="F372" s="290" t="s">
        <v>490</v>
      </c>
      <c r="G372" s="291" t="s">
        <v>1559</v>
      </c>
      <c r="H372" s="291" t="s">
        <v>659</v>
      </c>
      <c r="I372" s="292">
        <f>ROUND(11*1.054,2)</f>
        <v>11.59</v>
      </c>
      <c r="J372" s="292">
        <f>ROUND($I$371+($O$371-$I$371)/($O$4-$I$4)*($J$4-$I$4),2)</f>
        <v>23.99</v>
      </c>
      <c r="K372" s="292">
        <f>ROUND($I$371+($O$371-$I$371)/($O$4-$I$4)*($K$4-$I$4),2)</f>
        <v>23.99</v>
      </c>
      <c r="L372" s="292">
        <f>ROUND($I$371+($O$371-$I$371)/($O$4-$I$4)*($L$4-$I$4),2)</f>
        <v>23.99</v>
      </c>
      <c r="M372" s="292">
        <f>ROUND($I$371+($O$371-$I$371)/($O$4-$I$4)*($M$4-$I$4),2)</f>
        <v>23.99</v>
      </c>
      <c r="N372" s="292">
        <f>ROUND($I$371+($O$371-$I$371)/($O$4-$I$4)*($N$4-$I$4),2)</f>
        <v>23.99</v>
      </c>
      <c r="O372" s="292">
        <f>ROUND(7*1.054,2)</f>
        <v>7.38</v>
      </c>
      <c r="P372" s="293">
        <v>0</v>
      </c>
      <c r="Q372" s="292">
        <f t="shared" ref="Q372" si="302">ROUND(I372*0.04,2)</f>
        <v>0.46</v>
      </c>
      <c r="R372" s="292">
        <f t="shared" ref="R372" si="303">ROUND(J372*0.04,2)</f>
        <v>0.96</v>
      </c>
      <c r="S372" s="292">
        <f t="shared" ref="S372" si="304">ROUND(K372*0.04,2)</f>
        <v>0.96</v>
      </c>
      <c r="T372" s="292">
        <f t="shared" ref="T372" si="305">ROUND(L372*0.04,2)</f>
        <v>0.96</v>
      </c>
      <c r="U372" s="292">
        <f t="shared" ref="U372" si="306">ROUND(M372*0.04,2)</f>
        <v>0.96</v>
      </c>
      <c r="V372" s="292">
        <f t="shared" ref="V372" si="307">ROUND(N372*0.04,2)</f>
        <v>0.96</v>
      </c>
      <c r="W372" s="292">
        <f t="shared" ref="W372" si="308">ROUND(O372*0.04,2)</f>
        <v>0.3</v>
      </c>
      <c r="X372" s="292">
        <v>0</v>
      </c>
      <c r="Y372" s="292">
        <v>0</v>
      </c>
      <c r="Z372" s="292">
        <v>0</v>
      </c>
      <c r="AA372" s="292">
        <v>0</v>
      </c>
      <c r="AB372" s="292">
        <v>0</v>
      </c>
      <c r="AC372" s="292">
        <v>0</v>
      </c>
      <c r="AD372" s="292">
        <v>0</v>
      </c>
      <c r="AE372" s="186">
        <v>0.08</v>
      </c>
      <c r="AF372" s="293">
        <v>0</v>
      </c>
      <c r="AG372" s="293">
        <v>30</v>
      </c>
      <c r="AH372" s="293">
        <v>30</v>
      </c>
      <c r="AI372" s="294">
        <v>1</v>
      </c>
      <c r="AJ372" s="294" t="s">
        <v>660</v>
      </c>
      <c r="AK372" s="294" t="s">
        <v>745</v>
      </c>
      <c r="AL372" s="294"/>
      <c r="AM372" s="295"/>
      <c r="AN372" s="295"/>
      <c r="AO372" s="295"/>
      <c r="AP372" s="295"/>
      <c r="AQ372" s="295"/>
      <c r="AR372" s="295"/>
      <c r="AS372" s="296"/>
      <c r="AT372" s="296"/>
      <c r="AU372" s="296"/>
      <c r="AV372" s="297"/>
      <c r="AW372" s="297"/>
      <c r="AX372" s="297"/>
      <c r="AY372" s="298" t="s">
        <v>662</v>
      </c>
      <c r="AZ372" s="298"/>
      <c r="BA372" s="298"/>
      <c r="BB372" s="299"/>
      <c r="BC372" s="299"/>
      <c r="BD372" s="299"/>
      <c r="BE372" s="299"/>
      <c r="BF372" s="299"/>
      <c r="BG372" s="299"/>
      <c r="BH372" s="300"/>
      <c r="BI372" s="300"/>
      <c r="BJ372" s="300"/>
      <c r="BK372" s="300"/>
      <c r="BL372" s="301"/>
      <c r="BM372" s="302"/>
      <c r="BN372" s="303">
        <v>0</v>
      </c>
      <c r="BO372" s="293"/>
      <c r="BP372" s="293"/>
      <c r="BQ372" s="293"/>
      <c r="BR372" s="293"/>
      <c r="BS372" s="293"/>
      <c r="BT372" s="293"/>
      <c r="BU372" s="298">
        <f t="shared" ref="BU372" si="309">IF(BL372=1,BN372,0)</f>
        <v>0</v>
      </c>
      <c r="BV372" s="298"/>
      <c r="BW372" s="298"/>
      <c r="BX372" s="298"/>
      <c r="BY372" s="298"/>
      <c r="BZ372" s="298"/>
      <c r="CA372" s="298"/>
      <c r="CB372" s="304">
        <v>0</v>
      </c>
      <c r="CC372" s="244">
        <v>0</v>
      </c>
      <c r="CD372" s="244">
        <v>0</v>
      </c>
      <c r="CE372" s="244">
        <v>0</v>
      </c>
      <c r="CF372" s="244">
        <v>0</v>
      </c>
      <c r="CG372" s="244">
        <v>0</v>
      </c>
      <c r="CH372" s="244">
        <v>0</v>
      </c>
      <c r="CI372" s="298"/>
      <c r="CJ372" s="298"/>
      <c r="CK372" s="298"/>
      <c r="CL372" s="298"/>
      <c r="CM372" s="298"/>
      <c r="CN372" s="298"/>
      <c r="CO372" s="298"/>
      <c r="CP372" s="305"/>
      <c r="CQ372" s="305"/>
      <c r="CR372" s="305"/>
      <c r="CS372" s="305"/>
      <c r="CT372" s="305"/>
      <c r="CU372" s="305"/>
      <c r="CV372" s="305"/>
      <c r="CW372" s="306"/>
      <c r="CX372" s="307"/>
      <c r="CY372" s="307"/>
      <c r="CZ372" s="307"/>
      <c r="DA372" s="307"/>
      <c r="DB372" s="307"/>
      <c r="DC372" s="307"/>
      <c r="DD372" s="307"/>
      <c r="DE372" s="307"/>
      <c r="DF372" s="307"/>
      <c r="DG372" s="307"/>
      <c r="DH372" s="307"/>
      <c r="DI372" s="307"/>
      <c r="DJ372" s="307"/>
      <c r="DK372" s="308" t="s">
        <v>1557</v>
      </c>
      <c r="DL372" s="306">
        <v>500</v>
      </c>
      <c r="DM372" s="306">
        <v>500</v>
      </c>
      <c r="DN372" s="306">
        <v>500</v>
      </c>
      <c r="DO372" s="306">
        <v>500</v>
      </c>
      <c r="DP372" s="306">
        <v>500</v>
      </c>
      <c r="DQ372" s="306">
        <v>500</v>
      </c>
      <c r="DR372" s="306">
        <v>500</v>
      </c>
      <c r="DS372" s="309"/>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row>
    <row r="373" spans="1:244" x14ac:dyDescent="0.35">
      <c r="A373" s="6" t="s">
        <v>1560</v>
      </c>
      <c r="B373" s="6" t="s">
        <v>740</v>
      </c>
      <c r="C373" s="6" t="s">
        <v>788</v>
      </c>
      <c r="D373" s="6" t="s">
        <v>1561</v>
      </c>
      <c r="E373" s="6" t="s">
        <v>1475</v>
      </c>
      <c r="F373" s="6" t="s">
        <v>491</v>
      </c>
      <c r="G373" s="48" t="s">
        <v>1562</v>
      </c>
      <c r="H373" s="48" t="s">
        <v>1563</v>
      </c>
      <c r="I373" s="102">
        <v>2.95</v>
      </c>
      <c r="J373" s="102">
        <v>2.95</v>
      </c>
      <c r="K373" s="102">
        <v>2.95</v>
      </c>
      <c r="L373" s="102">
        <v>2.95</v>
      </c>
      <c r="M373" s="102">
        <v>2.95</v>
      </c>
      <c r="N373" s="102">
        <v>2.95</v>
      </c>
      <c r="O373" s="102">
        <v>2.95</v>
      </c>
      <c r="P373" s="94">
        <v>0</v>
      </c>
      <c r="Q373" s="102">
        <v>0.28999999999999998</v>
      </c>
      <c r="R373" s="102">
        <v>0.28999999999999998</v>
      </c>
      <c r="S373" s="102">
        <v>0.28999999999999998</v>
      </c>
      <c r="T373" s="102">
        <v>0.28999999999999998</v>
      </c>
      <c r="U373" s="102">
        <v>0.28999999999999998</v>
      </c>
      <c r="V373" s="102">
        <v>0.28999999999999998</v>
      </c>
      <c r="W373" s="102">
        <v>0.28999999999999998</v>
      </c>
      <c r="X373" s="102">
        <v>0</v>
      </c>
      <c r="Y373" s="102">
        <v>0</v>
      </c>
      <c r="Z373" s="102">
        <v>0</v>
      </c>
      <c r="AA373" s="102">
        <v>0</v>
      </c>
      <c r="AB373" s="102">
        <v>0</v>
      </c>
      <c r="AC373" s="102">
        <v>0</v>
      </c>
      <c r="AD373" s="102">
        <v>0</v>
      </c>
      <c r="AE373" s="186">
        <v>0.08</v>
      </c>
      <c r="AF373" s="94">
        <v>0</v>
      </c>
      <c r="AG373" s="94">
        <v>25</v>
      </c>
      <c r="AH373" s="94">
        <v>25</v>
      </c>
      <c r="AI373" s="17">
        <v>1.3140000000000001</v>
      </c>
      <c r="AJ373" s="17" t="s">
        <v>660</v>
      </c>
      <c r="AK373" s="17" t="s">
        <v>745</v>
      </c>
      <c r="AL373" s="17"/>
      <c r="AM373" s="61"/>
      <c r="AN373" s="61"/>
      <c r="AO373" s="61"/>
      <c r="AP373" s="61"/>
      <c r="AQ373" s="61"/>
      <c r="AR373" s="61"/>
      <c r="AS373" s="64"/>
      <c r="AT373" s="64"/>
      <c r="AU373" s="64"/>
      <c r="AV373" s="132"/>
      <c r="AW373" s="132"/>
      <c r="AX373" s="132"/>
      <c r="AY373" s="28" t="s">
        <v>662</v>
      </c>
      <c r="AZ373" s="28"/>
      <c r="BA373" s="28"/>
      <c r="BB373" s="28"/>
      <c r="BC373" s="28"/>
      <c r="BD373" s="28"/>
      <c r="BE373" s="28"/>
      <c r="BF373" s="28"/>
      <c r="BG373" s="28"/>
      <c r="BH373" s="106"/>
      <c r="BI373" s="106"/>
      <c r="BJ373" s="106"/>
      <c r="BK373" s="106"/>
      <c r="BL373" s="137">
        <v>1</v>
      </c>
      <c r="BM373" s="123"/>
      <c r="BN373" s="139">
        <v>940</v>
      </c>
      <c r="BO373" s="94">
        <v>540</v>
      </c>
      <c r="BP373" s="94">
        <v>200</v>
      </c>
      <c r="BQ373" s="94">
        <v>200</v>
      </c>
      <c r="BR373" s="94"/>
      <c r="BS373" s="94"/>
      <c r="BT373" s="94"/>
      <c r="BU373" s="28">
        <f t="shared" si="283"/>
        <v>940</v>
      </c>
      <c r="BV373" s="28"/>
      <c r="BW373" s="28"/>
      <c r="BX373" s="28"/>
      <c r="BY373" s="28"/>
      <c r="BZ373" s="28"/>
      <c r="CA373" s="28"/>
      <c r="CB373" s="99">
        <v>940</v>
      </c>
      <c r="CC373" s="99">
        <f>CB373-BO373</f>
        <v>400</v>
      </c>
      <c r="CD373" s="99">
        <f t="shared" ref="CD373:CE373" si="310">CC373-BP373</f>
        <v>200</v>
      </c>
      <c r="CE373" s="99">
        <f t="shared" si="310"/>
        <v>0</v>
      </c>
      <c r="CF373" s="99">
        <v>0</v>
      </c>
      <c r="CG373" s="99">
        <v>0</v>
      </c>
      <c r="CH373" s="99"/>
      <c r="CI373" s="175"/>
      <c r="CJ373" s="175"/>
      <c r="CK373" s="175"/>
      <c r="CL373" s="175"/>
      <c r="CM373" s="175"/>
      <c r="CN373" s="175"/>
      <c r="CO373" s="175"/>
      <c r="CP373" s="176"/>
      <c r="CQ373" s="176"/>
      <c r="CR373" s="176"/>
      <c r="CS373" s="176"/>
      <c r="CT373" s="176"/>
      <c r="CU373" s="176"/>
      <c r="CV373" s="176"/>
      <c r="CW373" s="167"/>
      <c r="CX373" s="168"/>
      <c r="CY373" s="168"/>
      <c r="CZ373" s="168"/>
      <c r="DA373" s="168"/>
      <c r="DB373" s="168"/>
      <c r="DC373" s="168"/>
      <c r="DD373" s="172"/>
      <c r="DE373" s="172"/>
      <c r="DF373" s="172"/>
      <c r="DG373" s="172"/>
      <c r="DH373" s="172"/>
      <c r="DI373" s="172"/>
      <c r="DJ373" s="172"/>
      <c r="DK373" s="80" t="s">
        <v>415</v>
      </c>
      <c r="DL373" s="129">
        <v>400</v>
      </c>
      <c r="DM373" s="129">
        <v>400</v>
      </c>
      <c r="DN373" s="129">
        <v>400</v>
      </c>
      <c r="DO373" s="129">
        <v>400</v>
      </c>
      <c r="DP373" s="129">
        <v>400</v>
      </c>
      <c r="DQ373" s="129">
        <v>400</v>
      </c>
      <c r="DR373" s="129">
        <v>400</v>
      </c>
      <c r="DS373" s="218"/>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row>
    <row r="374" spans="1:244" x14ac:dyDescent="0.35">
      <c r="A374" s="5" t="s">
        <v>1564</v>
      </c>
      <c r="B374" s="5" t="s">
        <v>740</v>
      </c>
      <c r="C374" s="5" t="s">
        <v>788</v>
      </c>
      <c r="D374" s="5" t="s">
        <v>1561</v>
      </c>
      <c r="E374" s="5" t="s">
        <v>1525</v>
      </c>
      <c r="F374" s="5" t="s">
        <v>491</v>
      </c>
      <c r="G374" s="47" t="s">
        <v>1565</v>
      </c>
      <c r="H374" s="47" t="s">
        <v>659</v>
      </c>
      <c r="I374" s="101">
        <v>139.96</v>
      </c>
      <c r="J374" s="101">
        <v>125.96</v>
      </c>
      <c r="K374" s="101">
        <v>111.97</v>
      </c>
      <c r="L374" s="101">
        <v>108.09</v>
      </c>
      <c r="M374" s="101">
        <v>104.2</v>
      </c>
      <c r="N374" s="101">
        <v>101.23</v>
      </c>
      <c r="O374" s="101">
        <v>98.26</v>
      </c>
      <c r="P374" s="93">
        <v>0</v>
      </c>
      <c r="Q374" s="101">
        <v>0.77</v>
      </c>
      <c r="R374" s="101">
        <v>0.68</v>
      </c>
      <c r="S374" s="101">
        <v>0.59</v>
      </c>
      <c r="T374" s="101">
        <v>0.59</v>
      </c>
      <c r="U374" s="101">
        <v>0.59</v>
      </c>
      <c r="V374" s="101">
        <v>0.59</v>
      </c>
      <c r="W374" s="101">
        <v>0.59</v>
      </c>
      <c r="X374" s="101">
        <v>0</v>
      </c>
      <c r="Y374" s="101">
        <v>0</v>
      </c>
      <c r="Z374" s="101">
        <v>0</v>
      </c>
      <c r="AA374" s="101">
        <v>0</v>
      </c>
      <c r="AB374" s="101">
        <v>0</v>
      </c>
      <c r="AC374" s="101">
        <v>0</v>
      </c>
      <c r="AD374" s="101">
        <v>0</v>
      </c>
      <c r="AE374" s="186">
        <v>0.08</v>
      </c>
      <c r="AF374" s="93">
        <v>0</v>
      </c>
      <c r="AG374" s="93">
        <v>20</v>
      </c>
      <c r="AH374" s="93">
        <v>20</v>
      </c>
      <c r="AI374" s="16">
        <v>1</v>
      </c>
      <c r="AJ374" s="16" t="s">
        <v>660</v>
      </c>
      <c r="AK374" s="16" t="s">
        <v>745</v>
      </c>
      <c r="AL374" s="16"/>
      <c r="AM374" s="60"/>
      <c r="AN374" s="60"/>
      <c r="AO374" s="60"/>
      <c r="AP374" s="60"/>
      <c r="AQ374" s="60"/>
      <c r="AR374" s="60"/>
      <c r="AS374" s="63"/>
      <c r="AT374" s="63"/>
      <c r="AU374" s="63"/>
      <c r="AV374" s="131"/>
      <c r="AW374" s="131"/>
      <c r="AX374" s="131"/>
      <c r="AY374" s="27" t="s">
        <v>662</v>
      </c>
      <c r="AZ374" s="27"/>
      <c r="BA374" s="27"/>
      <c r="BB374" s="30"/>
      <c r="BC374" s="30"/>
      <c r="BD374" s="30"/>
      <c r="BE374" s="30"/>
      <c r="BF374" s="30"/>
      <c r="BG374" s="30"/>
      <c r="BH374" s="107"/>
      <c r="BI374" s="107"/>
      <c r="BJ374" s="107"/>
      <c r="BK374" s="107"/>
      <c r="BL374" s="136"/>
      <c r="BM374" s="122"/>
      <c r="BN374" s="138">
        <v>0</v>
      </c>
      <c r="BO374" s="93"/>
      <c r="BP374" s="93"/>
      <c r="BQ374" s="93"/>
      <c r="BR374" s="93"/>
      <c r="BS374" s="93"/>
      <c r="BT374" s="93"/>
      <c r="BU374" s="27">
        <f>IF(BL374=1,BN374,0)</f>
        <v>0</v>
      </c>
      <c r="BV374" s="27"/>
      <c r="BW374" s="27"/>
      <c r="BX374" s="27"/>
      <c r="BY374" s="27"/>
      <c r="BZ374" s="27"/>
      <c r="CA374" s="27"/>
      <c r="CB374" s="185">
        <v>100</v>
      </c>
      <c r="CC374" s="97">
        <v>1000</v>
      </c>
      <c r="CD374" s="97">
        <v>1000</v>
      </c>
      <c r="CE374" s="97">
        <v>1000</v>
      </c>
      <c r="CF374" s="97">
        <v>1000</v>
      </c>
      <c r="CG374" s="97">
        <v>1000</v>
      </c>
      <c r="CH374" s="97">
        <v>1000</v>
      </c>
      <c r="CI374" s="173"/>
      <c r="CJ374" s="173"/>
      <c r="CK374" s="173"/>
      <c r="CL374" s="173"/>
      <c r="CM374" s="173"/>
      <c r="CN374" s="173"/>
      <c r="CO374" s="173"/>
      <c r="CP374" s="174"/>
      <c r="CQ374" s="174"/>
      <c r="CR374" s="174"/>
      <c r="CS374" s="174"/>
      <c r="CT374" s="174"/>
      <c r="CU374" s="174"/>
      <c r="CV374" s="174"/>
      <c r="CW374" s="165"/>
      <c r="CX374" s="166"/>
      <c r="CY374" s="166"/>
      <c r="CZ374" s="166"/>
      <c r="DA374" s="166"/>
      <c r="DB374" s="166"/>
      <c r="DC374" s="166"/>
      <c r="DD374" s="171"/>
      <c r="DE374" s="171"/>
      <c r="DF374" s="171"/>
      <c r="DG374" s="171"/>
      <c r="DH374" s="171"/>
      <c r="DI374" s="171"/>
      <c r="DJ374" s="171"/>
      <c r="DK374" s="79" t="s">
        <v>415</v>
      </c>
      <c r="DL374" s="128">
        <v>1000</v>
      </c>
      <c r="DM374" s="128">
        <v>1000</v>
      </c>
      <c r="DN374" s="128">
        <v>1000</v>
      </c>
      <c r="DO374" s="128">
        <v>1000</v>
      </c>
      <c r="DP374" s="128">
        <v>1000</v>
      </c>
      <c r="DQ374" s="128">
        <v>1000</v>
      </c>
      <c r="DR374" s="128">
        <v>1000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225" t="s">
        <v>1566</v>
      </c>
      <c r="B375" s="225" t="s">
        <v>740</v>
      </c>
      <c r="C375" s="225" t="s">
        <v>817</v>
      </c>
      <c r="D375" s="225" t="s">
        <v>1469</v>
      </c>
      <c r="E375" s="225" t="s">
        <v>1567</v>
      </c>
      <c r="F375" s="225" t="s">
        <v>491</v>
      </c>
      <c r="G375" s="229" t="s">
        <v>1568</v>
      </c>
      <c r="H375" s="226" t="s">
        <v>659</v>
      </c>
      <c r="I375" s="102">
        <v>0</v>
      </c>
      <c r="J375" s="102">
        <v>0</v>
      </c>
      <c r="K375" s="102">
        <v>0</v>
      </c>
      <c r="L375" s="102">
        <v>0</v>
      </c>
      <c r="M375" s="102">
        <v>0</v>
      </c>
      <c r="N375" s="102">
        <v>0</v>
      </c>
      <c r="O375" s="102">
        <v>0</v>
      </c>
      <c r="P375" s="94">
        <v>0</v>
      </c>
      <c r="Q375" s="102">
        <v>0</v>
      </c>
      <c r="R375" s="102">
        <v>0</v>
      </c>
      <c r="S375" s="102">
        <v>0</v>
      </c>
      <c r="T375" s="102">
        <v>0</v>
      </c>
      <c r="U375" s="102">
        <v>0</v>
      </c>
      <c r="V375" s="102">
        <v>0</v>
      </c>
      <c r="W375" s="102">
        <v>0</v>
      </c>
      <c r="X375" s="102">
        <v>24.59696857763559</v>
      </c>
      <c r="Y375" s="102">
        <v>14.211581844856118</v>
      </c>
      <c r="Z375" s="102">
        <v>6.2858919698402076</v>
      </c>
      <c r="AA375" s="102">
        <v>5.444973446380323</v>
      </c>
      <c r="AB375" s="102">
        <v>4.6020714112945607</v>
      </c>
      <c r="AC375" s="102">
        <v>4.6030615857635331</v>
      </c>
      <c r="AD375" s="102">
        <v>4.6020714112945607</v>
      </c>
      <c r="AE375" s="186">
        <v>0.08</v>
      </c>
      <c r="AF375" s="94">
        <v>0</v>
      </c>
      <c r="AG375" s="94">
        <v>1</v>
      </c>
      <c r="AH375" s="94">
        <v>1</v>
      </c>
      <c r="AI375" s="17">
        <v>1</v>
      </c>
      <c r="AJ375" s="17" t="s">
        <v>1569</v>
      </c>
      <c r="AK375" s="17" t="s">
        <v>745</v>
      </c>
      <c r="AL375" s="17"/>
      <c r="AM375" s="61"/>
      <c r="AN375" s="61"/>
      <c r="AO375" s="61"/>
      <c r="AP375" s="61"/>
      <c r="AQ375" s="61"/>
      <c r="AR375" s="61"/>
      <c r="AS375" s="64"/>
      <c r="AT375" s="64"/>
      <c r="AU375" s="64"/>
      <c r="AV375" s="132"/>
      <c r="AW375" s="132"/>
      <c r="AX375" s="132"/>
      <c r="AY375" s="28" t="s">
        <v>662</v>
      </c>
      <c r="AZ375" s="28"/>
      <c r="BA375" s="28"/>
      <c r="BB375" s="28"/>
      <c r="BC375" s="28"/>
      <c r="BD375" s="28"/>
      <c r="BE375" s="28"/>
      <c r="BF375" s="28"/>
      <c r="BG375" s="28"/>
      <c r="BH375" s="106"/>
      <c r="BI375" s="106"/>
      <c r="BJ375" s="106"/>
      <c r="BK375" s="106"/>
      <c r="BL375" s="137"/>
      <c r="BM375" s="123"/>
      <c r="BN375" s="139">
        <f>CB375</f>
        <v>2000</v>
      </c>
      <c r="BO375" s="94"/>
      <c r="BP375" s="94"/>
      <c r="BQ375" s="94"/>
      <c r="BR375" s="94"/>
      <c r="BS375" s="94"/>
      <c r="BT375" s="94"/>
      <c r="BU375" s="28">
        <f t="shared" si="283"/>
        <v>0</v>
      </c>
      <c r="BV375" s="28"/>
      <c r="BW375" s="28"/>
      <c r="BX375" s="28"/>
      <c r="BY375" s="28"/>
      <c r="BZ375" s="28"/>
      <c r="CA375" s="28"/>
      <c r="CB375" s="185">
        <v>2000</v>
      </c>
      <c r="CC375" s="185">
        <v>1500</v>
      </c>
      <c r="CD375" s="185">
        <v>1500</v>
      </c>
      <c r="CE375" s="185">
        <v>1500</v>
      </c>
      <c r="CF375" s="185">
        <v>1500</v>
      </c>
      <c r="CG375" s="185">
        <v>1500</v>
      </c>
      <c r="CH375" s="185">
        <v>1500</v>
      </c>
      <c r="CI375" s="175"/>
      <c r="CJ375" s="175"/>
      <c r="CK375" s="175"/>
      <c r="CL375" s="175"/>
      <c r="CM375" s="175"/>
      <c r="CN375" s="175"/>
      <c r="CO375" s="175"/>
      <c r="CP375" s="176"/>
      <c r="CQ375" s="176"/>
      <c r="CR375" s="176"/>
      <c r="CS375" s="176"/>
      <c r="CT375" s="176"/>
      <c r="CU375" s="176"/>
      <c r="CV375" s="176"/>
      <c r="CW375" s="167"/>
      <c r="CX375" s="168"/>
      <c r="CY375" s="168"/>
      <c r="CZ375" s="168"/>
      <c r="DA375" s="168"/>
      <c r="DB375" s="168"/>
      <c r="DC375" s="168"/>
      <c r="DD375" s="172"/>
      <c r="DE375" s="172"/>
      <c r="DF375" s="172"/>
      <c r="DG375" s="172"/>
      <c r="DH375" s="172"/>
      <c r="DI375" s="172"/>
      <c r="DJ375" s="172"/>
      <c r="DK375" s="80" t="s">
        <v>1570</v>
      </c>
      <c r="DL375" s="129">
        <v>2000</v>
      </c>
      <c r="DM375" s="129">
        <v>2000</v>
      </c>
      <c r="DN375" s="129">
        <v>2000</v>
      </c>
      <c r="DO375" s="129">
        <v>2000</v>
      </c>
      <c r="DP375" s="129">
        <v>2000</v>
      </c>
      <c r="DQ375" s="129">
        <v>2000</v>
      </c>
      <c r="DR375" s="129">
        <v>2000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5" t="s">
        <v>1571</v>
      </c>
      <c r="B376" s="5" t="s">
        <v>740</v>
      </c>
      <c r="C376" s="5" t="s">
        <v>788</v>
      </c>
      <c r="D376" s="5" t="s">
        <v>1561</v>
      </c>
      <c r="E376" s="5" t="s">
        <v>1475</v>
      </c>
      <c r="F376" s="5" t="s">
        <v>491</v>
      </c>
      <c r="G376" s="47" t="s">
        <v>1572</v>
      </c>
      <c r="H376" s="47" t="s">
        <v>1563</v>
      </c>
      <c r="I376" s="101">
        <v>5.9</v>
      </c>
      <c r="J376" s="101">
        <v>5.9</v>
      </c>
      <c r="K376" s="101">
        <v>5.9</v>
      </c>
      <c r="L376" s="101">
        <v>5.9</v>
      </c>
      <c r="M376" s="101">
        <v>5.9</v>
      </c>
      <c r="N376" s="101">
        <v>5.9</v>
      </c>
      <c r="O376" s="101">
        <v>5.9</v>
      </c>
      <c r="P376" s="93">
        <v>0</v>
      </c>
      <c r="Q376" s="101">
        <v>0.56999999999999995</v>
      </c>
      <c r="R376" s="101">
        <v>0.56999999999999995</v>
      </c>
      <c r="S376" s="101">
        <v>0.56999999999999995</v>
      </c>
      <c r="T376" s="101">
        <v>0.56999999999999995</v>
      </c>
      <c r="U376" s="101">
        <v>0.56999999999999995</v>
      </c>
      <c r="V376" s="101">
        <v>0.56999999999999995</v>
      </c>
      <c r="W376" s="101">
        <v>0.56999999999999995</v>
      </c>
      <c r="X376" s="101">
        <v>1.01</v>
      </c>
      <c r="Y376" s="101">
        <v>1.01</v>
      </c>
      <c r="Z376" s="101">
        <v>1.01</v>
      </c>
      <c r="AA376" s="101">
        <v>1.01</v>
      </c>
      <c r="AB376" s="101">
        <v>1.01</v>
      </c>
      <c r="AC376" s="101">
        <v>1.01</v>
      </c>
      <c r="AD376" s="101">
        <v>1.01</v>
      </c>
      <c r="AE376" s="186">
        <v>0.08</v>
      </c>
      <c r="AF376" s="93">
        <v>0</v>
      </c>
      <c r="AG376" s="93">
        <v>10</v>
      </c>
      <c r="AH376" s="93">
        <v>10</v>
      </c>
      <c r="AI376" s="16">
        <v>1.3140000000000001</v>
      </c>
      <c r="AJ376" s="16" t="s">
        <v>1569</v>
      </c>
      <c r="AK376" s="16" t="s">
        <v>745</v>
      </c>
      <c r="AL376" s="16"/>
      <c r="AM376" s="60"/>
      <c r="AN376" s="60"/>
      <c r="AO376" s="60"/>
      <c r="AP376" s="60"/>
      <c r="AQ376" s="60"/>
      <c r="AR376" s="60"/>
      <c r="AS376" s="63"/>
      <c r="AT376" s="63"/>
      <c r="AU376" s="63"/>
      <c r="AV376" s="131"/>
      <c r="AW376" s="131"/>
      <c r="AX376" s="131"/>
      <c r="AY376" s="27" t="s">
        <v>662</v>
      </c>
      <c r="AZ376" s="27"/>
      <c r="BA376" s="27"/>
      <c r="BB376" s="30"/>
      <c r="BC376" s="30"/>
      <c r="BD376" s="30"/>
      <c r="BE376" s="30"/>
      <c r="BF376" s="30"/>
      <c r="BG376" s="30"/>
      <c r="BH376" s="107"/>
      <c r="BI376" s="107"/>
      <c r="BJ376" s="107"/>
      <c r="BK376" s="107"/>
      <c r="BL376" s="136">
        <v>1</v>
      </c>
      <c r="BM376" s="122"/>
      <c r="BN376" s="138">
        <v>390</v>
      </c>
      <c r="BO376" s="93">
        <v>195</v>
      </c>
      <c r="BP376" s="93">
        <v>195</v>
      </c>
      <c r="BQ376" s="93"/>
      <c r="BR376" s="93"/>
      <c r="BS376" s="93"/>
      <c r="BT376" s="93"/>
      <c r="BU376" s="27">
        <f t="shared" si="283"/>
        <v>390</v>
      </c>
      <c r="BV376" s="27"/>
      <c r="BW376" s="27"/>
      <c r="BX376" s="27"/>
      <c r="BY376" s="27"/>
      <c r="BZ376" s="27"/>
      <c r="CA376" s="27"/>
      <c r="CB376" s="97">
        <v>390</v>
      </c>
      <c r="CC376" s="97">
        <v>2000</v>
      </c>
      <c r="CD376" s="97">
        <v>2000</v>
      </c>
      <c r="CE376" s="97">
        <v>2000</v>
      </c>
      <c r="CF376" s="97">
        <v>2000</v>
      </c>
      <c r="CG376" s="97">
        <v>2000</v>
      </c>
      <c r="CH376" s="97">
        <v>2000</v>
      </c>
      <c r="CI376" s="173"/>
      <c r="CJ376" s="173"/>
      <c r="CK376" s="173"/>
      <c r="CL376" s="173"/>
      <c r="CM376" s="173"/>
      <c r="CN376" s="173"/>
      <c r="CO376" s="173"/>
      <c r="CP376" s="174"/>
      <c r="CQ376" s="174"/>
      <c r="CR376" s="174"/>
      <c r="CS376" s="174"/>
      <c r="CT376" s="174"/>
      <c r="CU376" s="174"/>
      <c r="CV376" s="174"/>
      <c r="CW376" s="165"/>
      <c r="CX376" s="166"/>
      <c r="CY376" s="166"/>
      <c r="CZ376" s="166"/>
      <c r="DA376" s="166"/>
      <c r="DB376" s="166"/>
      <c r="DC376" s="166"/>
      <c r="DD376" s="171"/>
      <c r="DE376" s="171"/>
      <c r="DF376" s="171"/>
      <c r="DG376" s="171"/>
      <c r="DH376" s="171"/>
      <c r="DI376" s="171"/>
      <c r="DJ376" s="171"/>
      <c r="DK376" s="79" t="s">
        <v>415</v>
      </c>
      <c r="DL376" s="128">
        <v>2000</v>
      </c>
      <c r="DM376" s="128">
        <v>2000</v>
      </c>
      <c r="DN376" s="128">
        <v>2000</v>
      </c>
      <c r="DO376" s="128">
        <v>2000</v>
      </c>
      <c r="DP376" s="128">
        <v>2000</v>
      </c>
      <c r="DQ376" s="128">
        <v>2000</v>
      </c>
      <c r="DR376" s="128">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6" t="s">
        <v>1573</v>
      </c>
      <c r="B377" s="6" t="s">
        <v>740</v>
      </c>
      <c r="C377" s="6" t="s">
        <v>788</v>
      </c>
      <c r="D377" s="6" t="s">
        <v>1561</v>
      </c>
      <c r="E377" s="6" t="s">
        <v>1309</v>
      </c>
      <c r="F377" s="6" t="s">
        <v>491</v>
      </c>
      <c r="G377" s="48" t="s">
        <v>1574</v>
      </c>
      <c r="H377" s="48" t="s">
        <v>1563</v>
      </c>
      <c r="I377" s="102">
        <v>1.17</v>
      </c>
      <c r="J377" s="102">
        <v>1.17</v>
      </c>
      <c r="K377" s="102">
        <v>1.17</v>
      </c>
      <c r="L377" s="102">
        <v>1.17</v>
      </c>
      <c r="M377" s="102">
        <v>1.17</v>
      </c>
      <c r="N377" s="102">
        <v>1.17</v>
      </c>
      <c r="O377" s="102">
        <v>1.17</v>
      </c>
      <c r="P377" s="94">
        <v>0</v>
      </c>
      <c r="Q377" s="102">
        <v>0.04</v>
      </c>
      <c r="R377" s="102">
        <v>0.04</v>
      </c>
      <c r="S377" s="102">
        <v>0.04</v>
      </c>
      <c r="T377" s="102">
        <v>0.04</v>
      </c>
      <c r="U377" s="102">
        <v>0.04</v>
      </c>
      <c r="V377" s="102">
        <v>0.04</v>
      </c>
      <c r="W377" s="102">
        <v>0.04</v>
      </c>
      <c r="X377" s="102">
        <v>0</v>
      </c>
      <c r="Y377" s="102">
        <v>0</v>
      </c>
      <c r="Z377" s="102">
        <v>0</v>
      </c>
      <c r="AA377" s="102">
        <v>0</v>
      </c>
      <c r="AB377" s="102">
        <v>0</v>
      </c>
      <c r="AC377" s="102">
        <v>0</v>
      </c>
      <c r="AD377" s="102">
        <v>0</v>
      </c>
      <c r="AE377" s="186">
        <v>0.08</v>
      </c>
      <c r="AF377" s="94">
        <v>0</v>
      </c>
      <c r="AG377" s="94">
        <v>40</v>
      </c>
      <c r="AH377" s="94">
        <v>40</v>
      </c>
      <c r="AI377" s="17">
        <v>1.3140000000000001</v>
      </c>
      <c r="AJ377" s="17" t="s">
        <v>1575</v>
      </c>
      <c r="AK377" s="17" t="s">
        <v>745</v>
      </c>
      <c r="AL377" s="17"/>
      <c r="AM377" s="61"/>
      <c r="AN377" s="61"/>
      <c r="AO377" s="61"/>
      <c r="AP377" s="61"/>
      <c r="AQ377" s="61"/>
      <c r="AR377" s="61"/>
      <c r="AS377" s="64"/>
      <c r="AT377" s="64"/>
      <c r="AU377" s="64"/>
      <c r="AV377" s="132"/>
      <c r="AW377" s="132"/>
      <c r="AX377" s="132"/>
      <c r="AY377" s="28" t="s">
        <v>662</v>
      </c>
      <c r="AZ377" s="28"/>
      <c r="BA377" s="28"/>
      <c r="BB377" s="28"/>
      <c r="BC377" s="28"/>
      <c r="BD377" s="28"/>
      <c r="BE377" s="28"/>
      <c r="BF377" s="28"/>
      <c r="BG377" s="28"/>
      <c r="BH377" s="106" t="s">
        <v>491</v>
      </c>
      <c r="BI377" s="106">
        <v>2.7000000000000001E-3</v>
      </c>
      <c r="BJ377" s="106">
        <v>4.4000000000000003E-3</v>
      </c>
      <c r="BK377" s="106">
        <v>12</v>
      </c>
      <c r="BL377" s="137"/>
      <c r="BM377" s="123"/>
      <c r="BN377" s="139">
        <v>340</v>
      </c>
      <c r="BO377" s="94">
        <f>BN377/6</f>
        <v>56.666666666666664</v>
      </c>
      <c r="BP377" s="94">
        <f>BO377</f>
        <v>56.666666666666664</v>
      </c>
      <c r="BQ377" s="94">
        <f t="shared" ref="BQ377:BT377" si="311">BP377</f>
        <v>56.666666666666664</v>
      </c>
      <c r="BR377" s="94">
        <f t="shared" si="311"/>
        <v>56.666666666666664</v>
      </c>
      <c r="BS377" s="94">
        <f t="shared" si="311"/>
        <v>56.666666666666664</v>
      </c>
      <c r="BT377" s="94">
        <f t="shared" si="311"/>
        <v>56.666666666666664</v>
      </c>
      <c r="BU377" s="28">
        <f t="shared" si="283"/>
        <v>0</v>
      </c>
      <c r="BV377" s="28"/>
      <c r="BW377" s="28"/>
      <c r="BX377" s="28"/>
      <c r="BY377" s="28"/>
      <c r="BZ377" s="28"/>
      <c r="CA377" s="28"/>
      <c r="CB377" s="99">
        <v>1000</v>
      </c>
      <c r="CC377" s="99">
        <v>1000</v>
      </c>
      <c r="CD377" s="99">
        <v>1000</v>
      </c>
      <c r="CE377" s="99">
        <v>1000</v>
      </c>
      <c r="CF377" s="99">
        <v>1000</v>
      </c>
      <c r="CG377" s="99">
        <v>1000</v>
      </c>
      <c r="CH377" s="99">
        <v>1000</v>
      </c>
      <c r="CI377" s="175"/>
      <c r="CJ377" s="175"/>
      <c r="CK377" s="175"/>
      <c r="CL377" s="175"/>
      <c r="CM377" s="175"/>
      <c r="CN377" s="175"/>
      <c r="CO377" s="175"/>
      <c r="CP377" s="176"/>
      <c r="CQ377" s="176"/>
      <c r="CR377" s="176"/>
      <c r="CS377" s="176"/>
      <c r="CT377" s="176"/>
      <c r="CU377" s="176"/>
      <c r="CV377" s="176"/>
      <c r="CW377" s="167"/>
      <c r="CX377" s="168"/>
      <c r="CY377" s="168"/>
      <c r="CZ377" s="168"/>
      <c r="DA377" s="168"/>
      <c r="DB377" s="168"/>
      <c r="DC377" s="168"/>
      <c r="DD377" s="172"/>
      <c r="DE377" s="172"/>
      <c r="DF377" s="172"/>
      <c r="DG377" s="172"/>
      <c r="DH377" s="172"/>
      <c r="DI377" s="172"/>
      <c r="DJ377" s="172"/>
      <c r="DK377" s="80" t="s">
        <v>415</v>
      </c>
      <c r="DL377" s="129">
        <v>1000</v>
      </c>
      <c r="DM377" s="129">
        <v>1000</v>
      </c>
      <c r="DN377" s="129">
        <v>1000</v>
      </c>
      <c r="DO377" s="129">
        <v>1000</v>
      </c>
      <c r="DP377" s="129">
        <v>1000</v>
      </c>
      <c r="DQ377" s="129">
        <v>1000</v>
      </c>
      <c r="DR377" s="129">
        <v>1000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5" t="s">
        <v>1576</v>
      </c>
      <c r="B378" s="5" t="s">
        <v>740</v>
      </c>
      <c r="C378" s="5" t="s">
        <v>788</v>
      </c>
      <c r="D378" s="5" t="s">
        <v>1561</v>
      </c>
      <c r="E378" s="5" t="s">
        <v>1309</v>
      </c>
      <c r="F378" s="5" t="s">
        <v>491</v>
      </c>
      <c r="G378" s="47" t="s">
        <v>1577</v>
      </c>
      <c r="H378" s="47" t="s">
        <v>1563</v>
      </c>
      <c r="I378" s="101">
        <v>1.63</v>
      </c>
      <c r="J378" s="101">
        <v>1.63</v>
      </c>
      <c r="K378" s="101">
        <v>1.63</v>
      </c>
      <c r="L378" s="101">
        <v>1.63</v>
      </c>
      <c r="M378" s="101">
        <v>1.63</v>
      </c>
      <c r="N378" s="101">
        <v>1.63</v>
      </c>
      <c r="O378" s="101">
        <v>1.63</v>
      </c>
      <c r="P378" s="93">
        <v>0</v>
      </c>
      <c r="Q378" s="101">
        <v>0.05</v>
      </c>
      <c r="R378" s="101">
        <v>0.05</v>
      </c>
      <c r="S378" s="101">
        <v>0.05</v>
      </c>
      <c r="T378" s="101">
        <v>0.05</v>
      </c>
      <c r="U378" s="101">
        <v>0.05</v>
      </c>
      <c r="V378" s="101">
        <v>0.05</v>
      </c>
      <c r="W378" s="101">
        <v>0.05</v>
      </c>
      <c r="X378" s="101">
        <v>0</v>
      </c>
      <c r="Y378" s="101">
        <v>0</v>
      </c>
      <c r="Z378" s="101">
        <v>0</v>
      </c>
      <c r="AA378" s="101">
        <v>0</v>
      </c>
      <c r="AB378" s="101">
        <v>0</v>
      </c>
      <c r="AC378" s="101">
        <v>0</v>
      </c>
      <c r="AD378" s="101">
        <v>0</v>
      </c>
      <c r="AE378" s="186">
        <v>0.08</v>
      </c>
      <c r="AF378" s="93">
        <v>0</v>
      </c>
      <c r="AG378" s="93">
        <v>40</v>
      </c>
      <c r="AH378" s="93">
        <v>40</v>
      </c>
      <c r="AI378" s="16">
        <v>1.3140000000000001</v>
      </c>
      <c r="AJ378" s="16" t="s">
        <v>1575</v>
      </c>
      <c r="AK378" s="16" t="s">
        <v>745</v>
      </c>
      <c r="AL378" s="16"/>
      <c r="AM378" s="60"/>
      <c r="AN378" s="60"/>
      <c r="AO378" s="60"/>
      <c r="AP378" s="60"/>
      <c r="AQ378" s="60"/>
      <c r="AR378" s="60"/>
      <c r="AS378" s="63"/>
      <c r="AT378" s="63"/>
      <c r="AU378" s="63"/>
      <c r="AV378" s="131"/>
      <c r="AW378" s="131"/>
      <c r="AX378" s="131"/>
      <c r="AY378" s="27" t="s">
        <v>662</v>
      </c>
      <c r="AZ378" s="27"/>
      <c r="BA378" s="27"/>
      <c r="BB378" s="30"/>
      <c r="BC378" s="30"/>
      <c r="BD378" s="30"/>
      <c r="BE378" s="30"/>
      <c r="BF378" s="30"/>
      <c r="BG378" s="30"/>
      <c r="BH378" s="107" t="s">
        <v>491</v>
      </c>
      <c r="BI378" s="107">
        <v>3.0000000000000001E-3</v>
      </c>
      <c r="BJ378" s="107">
        <v>4.0000000000000001E-3</v>
      </c>
      <c r="BK378" s="107">
        <v>100</v>
      </c>
      <c r="BL378" s="136"/>
      <c r="BM378" s="122"/>
      <c r="BN378" s="138">
        <v>550</v>
      </c>
      <c r="BO378" s="93">
        <f>BN378/6</f>
        <v>91.666666666666671</v>
      </c>
      <c r="BP378" s="93">
        <f>BO378</f>
        <v>91.666666666666671</v>
      </c>
      <c r="BQ378" s="93">
        <f t="shared" ref="BQ378:BT378" si="312">BP378</f>
        <v>91.666666666666671</v>
      </c>
      <c r="BR378" s="93">
        <f t="shared" si="312"/>
        <v>91.666666666666671</v>
      </c>
      <c r="BS378" s="93">
        <f t="shared" si="312"/>
        <v>91.666666666666671</v>
      </c>
      <c r="BT378" s="93">
        <f t="shared" si="312"/>
        <v>91.666666666666671</v>
      </c>
      <c r="BU378" s="27">
        <f t="shared" si="283"/>
        <v>0</v>
      </c>
      <c r="BV378" s="27"/>
      <c r="BW378" s="27"/>
      <c r="BX378" s="27"/>
      <c r="BY378" s="27"/>
      <c r="BZ378" s="27"/>
      <c r="CA378" s="27"/>
      <c r="CB378" s="185">
        <v>1000</v>
      </c>
      <c r="CC378" s="185">
        <v>1000</v>
      </c>
      <c r="CD378" s="185">
        <v>1000</v>
      </c>
      <c r="CE378" s="185">
        <v>1000</v>
      </c>
      <c r="CF378" s="185">
        <v>1000</v>
      </c>
      <c r="CG378" s="185">
        <v>1000</v>
      </c>
      <c r="CH378" s="185">
        <v>1000</v>
      </c>
      <c r="CI378" s="173"/>
      <c r="CJ378" s="173"/>
      <c r="CK378" s="173"/>
      <c r="CL378" s="173"/>
      <c r="CM378" s="173"/>
      <c r="CN378" s="173"/>
      <c r="CO378" s="173"/>
      <c r="CP378" s="174"/>
      <c r="CQ378" s="174"/>
      <c r="CR378" s="174"/>
      <c r="CS378" s="174"/>
      <c r="CT378" s="174"/>
      <c r="CU378" s="174"/>
      <c r="CV378" s="174"/>
      <c r="CW378" s="165"/>
      <c r="CX378" s="166"/>
      <c r="CY378" s="166"/>
      <c r="CZ378" s="166"/>
      <c r="DA378" s="166"/>
      <c r="DB378" s="166"/>
      <c r="DC378" s="166"/>
      <c r="DD378" s="171"/>
      <c r="DE378" s="171"/>
      <c r="DF378" s="171"/>
      <c r="DG378" s="171"/>
      <c r="DH378" s="171"/>
      <c r="DI378" s="171"/>
      <c r="DJ378" s="171"/>
      <c r="DK378" s="79" t="s">
        <v>415</v>
      </c>
      <c r="DL378" s="128">
        <v>2000</v>
      </c>
      <c r="DM378" s="128">
        <v>2000</v>
      </c>
      <c r="DN378" s="128">
        <v>2000</v>
      </c>
      <c r="DO378" s="128">
        <v>2000</v>
      </c>
      <c r="DP378" s="128">
        <v>2000</v>
      </c>
      <c r="DQ378" s="128">
        <v>2000</v>
      </c>
      <c r="DR378" s="128">
        <v>2000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6" t="s">
        <v>1578</v>
      </c>
      <c r="B379" s="6" t="s">
        <v>1243</v>
      </c>
      <c r="C379" s="6" t="s">
        <v>788</v>
      </c>
      <c r="D379" s="6" t="s">
        <v>1561</v>
      </c>
      <c r="E379" s="6" t="s">
        <v>1579</v>
      </c>
      <c r="F379" s="6" t="s">
        <v>491</v>
      </c>
      <c r="G379" s="48" t="s">
        <v>1580</v>
      </c>
      <c r="H379" s="48" t="s">
        <v>981</v>
      </c>
      <c r="I379" s="102">
        <v>154.33000000000001</v>
      </c>
      <c r="J379" s="102">
        <v>154.33000000000001</v>
      </c>
      <c r="K379" s="102">
        <v>154.33000000000001</v>
      </c>
      <c r="L379" s="102">
        <v>154.33000000000001</v>
      </c>
      <c r="M379" s="102">
        <v>154.33000000000001</v>
      </c>
      <c r="N379" s="102">
        <v>154.33000000000001</v>
      </c>
      <c r="O379" s="102">
        <v>154.33000000000001</v>
      </c>
      <c r="P379" s="94">
        <v>0</v>
      </c>
      <c r="Q379" s="102">
        <v>4.63</v>
      </c>
      <c r="R379" s="102">
        <v>4.63</v>
      </c>
      <c r="S379" s="102">
        <v>4.63</v>
      </c>
      <c r="T379" s="102">
        <v>4.63</v>
      </c>
      <c r="U379" s="102">
        <v>4.63</v>
      </c>
      <c r="V379" s="102">
        <v>4.63</v>
      </c>
      <c r="W379" s="102">
        <v>4.63</v>
      </c>
      <c r="X379" s="102">
        <v>0</v>
      </c>
      <c r="Y379" s="102">
        <v>0</v>
      </c>
      <c r="Z379" s="102">
        <v>0</v>
      </c>
      <c r="AA379" s="102">
        <v>0</v>
      </c>
      <c r="AB379" s="102">
        <v>0</v>
      </c>
      <c r="AC379" s="102">
        <v>0</v>
      </c>
      <c r="AD379" s="102">
        <v>0</v>
      </c>
      <c r="AE379" s="186">
        <v>0.08</v>
      </c>
      <c r="AF379" s="94">
        <v>0</v>
      </c>
      <c r="AG379" s="94">
        <v>10</v>
      </c>
      <c r="AH379" s="94">
        <v>10</v>
      </c>
      <c r="AI379" s="17">
        <v>31.536000000000001</v>
      </c>
      <c r="AJ379" s="17" t="s">
        <v>1569</v>
      </c>
      <c r="AK379" s="17" t="s">
        <v>745</v>
      </c>
      <c r="AL379" s="17"/>
      <c r="AM379" s="61"/>
      <c r="AN379" s="61"/>
      <c r="AO379" s="61"/>
      <c r="AP379" s="61"/>
      <c r="AQ379" s="61"/>
      <c r="AR379" s="61"/>
      <c r="AS379" s="64"/>
      <c r="AT379" s="64"/>
      <c r="AU379" s="64"/>
      <c r="AV379" s="132"/>
      <c r="AW379" s="132"/>
      <c r="AX379" s="132"/>
      <c r="AY379" s="28" t="s">
        <v>662</v>
      </c>
      <c r="AZ379" s="28"/>
      <c r="BA379" s="28"/>
      <c r="BB379" s="28"/>
      <c r="BC379" s="28"/>
      <c r="BD379" s="28"/>
      <c r="BE379" s="28"/>
      <c r="BF379" s="28"/>
      <c r="BG379" s="28"/>
      <c r="BH379" s="106"/>
      <c r="BI379" s="106"/>
      <c r="BJ379" s="106"/>
      <c r="BK379" s="106"/>
      <c r="BL379" s="137"/>
      <c r="BM379" s="123"/>
      <c r="BN379" s="139">
        <v>0</v>
      </c>
      <c r="BO379" s="94"/>
      <c r="BP379" s="94"/>
      <c r="BQ379" s="94"/>
      <c r="BR379" s="94"/>
      <c r="BS379" s="94"/>
      <c r="BT379" s="94"/>
      <c r="BU379" s="28">
        <f t="shared" si="283"/>
        <v>0</v>
      </c>
      <c r="BV379" s="28"/>
      <c r="BW379" s="28"/>
      <c r="BX379" s="28"/>
      <c r="BY379" s="28"/>
      <c r="BZ379" s="28"/>
      <c r="CA379" s="28"/>
      <c r="CB379" s="185">
        <v>1000</v>
      </c>
      <c r="CC379" s="185">
        <v>1000</v>
      </c>
      <c r="CD379" s="185">
        <v>1000</v>
      </c>
      <c r="CE379" s="185">
        <v>1000</v>
      </c>
      <c r="CF379" s="185">
        <v>1000</v>
      </c>
      <c r="CG379" s="185">
        <v>1000</v>
      </c>
      <c r="CH379" s="185">
        <v>1000</v>
      </c>
      <c r="CI379" s="175"/>
      <c r="CJ379" s="175"/>
      <c r="CK379" s="175"/>
      <c r="CL379" s="175"/>
      <c r="CM379" s="175"/>
      <c r="CN379" s="175"/>
      <c r="CO379" s="175"/>
      <c r="CP379" s="176"/>
      <c r="CQ379" s="176"/>
      <c r="CR379" s="176"/>
      <c r="CS379" s="176"/>
      <c r="CT379" s="176"/>
      <c r="CU379" s="176"/>
      <c r="CV379" s="176"/>
      <c r="CW379" s="167"/>
      <c r="CX379" s="168"/>
      <c r="CY379" s="168"/>
      <c r="CZ379" s="168"/>
      <c r="DA379" s="168"/>
      <c r="DB379" s="168"/>
      <c r="DC379" s="168"/>
      <c r="DD379" s="172"/>
      <c r="DE379" s="172"/>
      <c r="DF379" s="172"/>
      <c r="DG379" s="172"/>
      <c r="DH379" s="172"/>
      <c r="DI379" s="172"/>
      <c r="DJ379" s="172"/>
      <c r="DK379" s="80" t="s">
        <v>415</v>
      </c>
      <c r="DL379" s="129">
        <v>3500</v>
      </c>
      <c r="DM379" s="129">
        <v>3500</v>
      </c>
      <c r="DN379" s="129">
        <v>3500</v>
      </c>
      <c r="DO379" s="129">
        <v>3500</v>
      </c>
      <c r="DP379" s="129">
        <v>3500</v>
      </c>
      <c r="DQ379" s="129">
        <v>3500</v>
      </c>
      <c r="DR379" s="129">
        <v>3500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5" t="s">
        <v>1581</v>
      </c>
      <c r="B380" s="5" t="s">
        <v>740</v>
      </c>
      <c r="C380" s="5" t="s">
        <v>788</v>
      </c>
      <c r="D380" s="5" t="s">
        <v>1561</v>
      </c>
      <c r="E380" s="5" t="s">
        <v>1500</v>
      </c>
      <c r="F380" s="5" t="s">
        <v>494</v>
      </c>
      <c r="G380" s="47" t="s">
        <v>1582</v>
      </c>
      <c r="H380" s="47" t="s">
        <v>659</v>
      </c>
      <c r="I380" s="101">
        <v>234.02</v>
      </c>
      <c r="J380" s="101">
        <v>216.47</v>
      </c>
      <c r="K380" s="101">
        <v>198.92</v>
      </c>
      <c r="L380" s="101">
        <v>193.85</v>
      </c>
      <c r="M380" s="101">
        <v>188.78</v>
      </c>
      <c r="N380" s="101">
        <v>184.83</v>
      </c>
      <c r="O380" s="101">
        <v>180.88</v>
      </c>
      <c r="P380" s="93">
        <v>0</v>
      </c>
      <c r="Q380" s="101">
        <v>19.71</v>
      </c>
      <c r="R380" s="101">
        <v>19.71</v>
      </c>
      <c r="S380" s="101">
        <v>19.71</v>
      </c>
      <c r="T380" s="101">
        <v>19.71</v>
      </c>
      <c r="U380" s="101">
        <v>19.71</v>
      </c>
      <c r="V380" s="101">
        <v>19.71</v>
      </c>
      <c r="W380" s="101">
        <v>19.71</v>
      </c>
      <c r="X380" s="101">
        <v>0</v>
      </c>
      <c r="Y380" s="101">
        <v>0</v>
      </c>
      <c r="Z380" s="101">
        <v>0</v>
      </c>
      <c r="AA380" s="101">
        <v>0</v>
      </c>
      <c r="AB380" s="101">
        <v>0</v>
      </c>
      <c r="AC380" s="101">
        <v>0</v>
      </c>
      <c r="AD380" s="101">
        <v>0</v>
      </c>
      <c r="AE380" s="186">
        <v>0.08</v>
      </c>
      <c r="AF380" s="93">
        <v>0</v>
      </c>
      <c r="AG380" s="93">
        <v>12</v>
      </c>
      <c r="AH380" s="93">
        <v>12</v>
      </c>
      <c r="AI380" s="16">
        <v>1</v>
      </c>
      <c r="AJ380" s="16" t="s">
        <v>660</v>
      </c>
      <c r="AK380" s="16" t="s">
        <v>745</v>
      </c>
      <c r="AL380" s="16"/>
      <c r="AM380" s="60"/>
      <c r="AN380" s="60"/>
      <c r="AO380" s="60"/>
      <c r="AP380" s="60"/>
      <c r="AQ380" s="60"/>
      <c r="AR380" s="60"/>
      <c r="AS380" s="63"/>
      <c r="AT380" s="63"/>
      <c r="AU380" s="63"/>
      <c r="AV380" s="131"/>
      <c r="AW380" s="131"/>
      <c r="AX380" s="131"/>
      <c r="AY380" s="27" t="s">
        <v>662</v>
      </c>
      <c r="AZ380" s="27"/>
      <c r="BA380" s="27"/>
      <c r="BB380" s="30"/>
      <c r="BC380" s="30"/>
      <c r="BD380" s="30"/>
      <c r="BE380" s="30"/>
      <c r="BF380" s="30"/>
      <c r="BG380" s="30"/>
      <c r="BH380" s="107"/>
      <c r="BI380" s="107"/>
      <c r="BJ380" s="107"/>
      <c r="BK380" s="107"/>
      <c r="BL380" s="136">
        <v>1</v>
      </c>
      <c r="BM380" s="122"/>
      <c r="BN380" s="138">
        <v>14.6</v>
      </c>
      <c r="BO380" s="93"/>
      <c r="BP380" s="93">
        <v>14.6</v>
      </c>
      <c r="BQ380" s="93"/>
      <c r="BR380" s="93"/>
      <c r="BS380" s="93"/>
      <c r="BT380" s="93"/>
      <c r="BU380" s="27">
        <f t="shared" si="283"/>
        <v>14.6</v>
      </c>
      <c r="BV380" s="27"/>
      <c r="BW380" s="27"/>
      <c r="BX380" s="27"/>
      <c r="BY380" s="27"/>
      <c r="BZ380" s="27"/>
      <c r="CA380" s="27"/>
      <c r="CB380" s="97">
        <v>14.6</v>
      </c>
      <c r="CC380" s="97">
        <v>1000</v>
      </c>
      <c r="CD380" s="97">
        <v>1000</v>
      </c>
      <c r="CE380" s="97">
        <v>1000</v>
      </c>
      <c r="CF380" s="97">
        <v>1000</v>
      </c>
      <c r="CG380" s="97">
        <v>1000</v>
      </c>
      <c r="CH380" s="97">
        <v>1000</v>
      </c>
      <c r="CI380" s="173"/>
      <c r="CJ380" s="173"/>
      <c r="CK380" s="173"/>
      <c r="CL380" s="173"/>
      <c r="CM380" s="173"/>
      <c r="CN380" s="173"/>
      <c r="CO380" s="173"/>
      <c r="CP380" s="174"/>
      <c r="CQ380" s="174"/>
      <c r="CR380" s="174"/>
      <c r="CS380" s="174"/>
      <c r="CT380" s="174"/>
      <c r="CU380" s="174"/>
      <c r="CV380" s="174"/>
      <c r="CW380" s="165"/>
      <c r="CX380" s="166"/>
      <c r="CY380" s="166"/>
      <c r="CZ380" s="166"/>
      <c r="DA380" s="166"/>
      <c r="DB380" s="166"/>
      <c r="DC380" s="166"/>
      <c r="DD380" s="171"/>
      <c r="DE380" s="171"/>
      <c r="DF380" s="171"/>
      <c r="DG380" s="171"/>
      <c r="DH380" s="171"/>
      <c r="DI380" s="171"/>
      <c r="DJ380" s="171"/>
      <c r="DK380" s="79" t="s">
        <v>415</v>
      </c>
      <c r="DL380" s="128">
        <v>1000</v>
      </c>
      <c r="DM380" s="128">
        <v>1000</v>
      </c>
      <c r="DN380" s="128">
        <v>1000</v>
      </c>
      <c r="DO380" s="128">
        <v>1000</v>
      </c>
      <c r="DP380" s="128">
        <v>1000</v>
      </c>
      <c r="DQ380" s="128">
        <v>1000</v>
      </c>
      <c r="DR380" s="128">
        <v>1000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6" t="s">
        <v>1583</v>
      </c>
      <c r="B381" s="6" t="s">
        <v>740</v>
      </c>
      <c r="C381" s="6" t="s">
        <v>788</v>
      </c>
      <c r="D381" s="6" t="s">
        <v>1561</v>
      </c>
      <c r="E381" s="6" t="s">
        <v>1500</v>
      </c>
      <c r="F381" s="6" t="s">
        <v>494</v>
      </c>
      <c r="G381" s="48" t="s">
        <v>1584</v>
      </c>
      <c r="H381" s="48" t="s">
        <v>659</v>
      </c>
      <c r="I381" s="102">
        <v>44.05</v>
      </c>
      <c r="J381" s="102">
        <v>40.74</v>
      </c>
      <c r="K381" s="102">
        <v>37.44</v>
      </c>
      <c r="L381" s="102">
        <v>36.479999999999997</v>
      </c>
      <c r="M381" s="102">
        <v>35.53</v>
      </c>
      <c r="N381" s="102">
        <v>34.79</v>
      </c>
      <c r="O381" s="102">
        <v>34.04</v>
      </c>
      <c r="P381" s="94">
        <v>0</v>
      </c>
      <c r="Q381" s="102">
        <v>3.66</v>
      </c>
      <c r="R381" s="102">
        <v>3.66</v>
      </c>
      <c r="S381" s="102">
        <v>3.66</v>
      </c>
      <c r="T381" s="102">
        <v>3.66</v>
      </c>
      <c r="U381" s="102">
        <v>3.66</v>
      </c>
      <c r="V381" s="102">
        <v>3.66</v>
      </c>
      <c r="W381" s="102">
        <v>3.66</v>
      </c>
      <c r="X381" s="102">
        <v>0</v>
      </c>
      <c r="Y381" s="102">
        <v>0</v>
      </c>
      <c r="Z381" s="102">
        <v>0</v>
      </c>
      <c r="AA381" s="102">
        <v>0</v>
      </c>
      <c r="AB381" s="102">
        <v>0</v>
      </c>
      <c r="AC381" s="102">
        <v>0</v>
      </c>
      <c r="AD381" s="102">
        <v>0</v>
      </c>
      <c r="AE381" s="186">
        <v>0.08</v>
      </c>
      <c r="AF381" s="94">
        <v>0</v>
      </c>
      <c r="AG381" s="94">
        <v>12</v>
      </c>
      <c r="AH381" s="94">
        <v>12</v>
      </c>
      <c r="AI381" s="17">
        <v>1</v>
      </c>
      <c r="AJ381" s="17" t="s">
        <v>660</v>
      </c>
      <c r="AK381" s="17" t="s">
        <v>745</v>
      </c>
      <c r="AL381" s="17"/>
      <c r="AM381" s="61"/>
      <c r="AN381" s="61"/>
      <c r="AO381" s="61"/>
      <c r="AP381" s="61"/>
      <c r="AQ381" s="61"/>
      <c r="AR381" s="61"/>
      <c r="AS381" s="64"/>
      <c r="AT381" s="64"/>
      <c r="AU381" s="64"/>
      <c r="AV381" s="132"/>
      <c r="AW381" s="132"/>
      <c r="AX381" s="132"/>
      <c r="AY381" s="28" t="s">
        <v>662</v>
      </c>
      <c r="AZ381" s="28"/>
      <c r="BA381" s="28"/>
      <c r="BB381" s="28"/>
      <c r="BC381" s="28"/>
      <c r="BD381" s="28"/>
      <c r="BE381" s="28"/>
      <c r="BF381" s="28"/>
      <c r="BG381" s="28"/>
      <c r="BH381" s="106"/>
      <c r="BI381" s="106"/>
      <c r="BJ381" s="106"/>
      <c r="BK381" s="106"/>
      <c r="BL381" s="137"/>
      <c r="BM381" s="123"/>
      <c r="BN381" s="139">
        <v>0</v>
      </c>
      <c r="BO381" s="94"/>
      <c r="BP381" s="94"/>
      <c r="BQ381" s="94"/>
      <c r="BR381" s="94"/>
      <c r="BS381" s="94"/>
      <c r="BT381" s="94"/>
      <c r="BU381" s="28">
        <f t="shared" si="283"/>
        <v>0</v>
      </c>
      <c r="BV381" s="28"/>
      <c r="BW381" s="28"/>
      <c r="BX381" s="28"/>
      <c r="BY381" s="28"/>
      <c r="BZ381" s="28"/>
      <c r="CA381" s="28"/>
      <c r="CB381" s="99"/>
      <c r="CC381" s="99">
        <v>1000</v>
      </c>
      <c r="CD381" s="99">
        <v>1000</v>
      </c>
      <c r="CE381" s="99">
        <v>1000</v>
      </c>
      <c r="CF381" s="99">
        <v>1000</v>
      </c>
      <c r="CG381" s="99">
        <v>1000</v>
      </c>
      <c r="CH381" s="99">
        <v>1000</v>
      </c>
      <c r="CI381" s="175"/>
      <c r="CJ381" s="175"/>
      <c r="CK381" s="175"/>
      <c r="CL381" s="175"/>
      <c r="CM381" s="175"/>
      <c r="CN381" s="175"/>
      <c r="CO381" s="175"/>
      <c r="CP381" s="176"/>
      <c r="CQ381" s="176"/>
      <c r="CR381" s="176"/>
      <c r="CS381" s="176"/>
      <c r="CT381" s="176"/>
      <c r="CU381" s="176"/>
      <c r="CV381" s="176"/>
      <c r="CW381" s="167"/>
      <c r="CX381" s="168"/>
      <c r="CY381" s="168"/>
      <c r="CZ381" s="168"/>
      <c r="DA381" s="168"/>
      <c r="DB381" s="168"/>
      <c r="DC381" s="168"/>
      <c r="DD381" s="172"/>
      <c r="DE381" s="172"/>
      <c r="DF381" s="172"/>
      <c r="DG381" s="172"/>
      <c r="DH381" s="172"/>
      <c r="DI381" s="172"/>
      <c r="DJ381" s="172"/>
      <c r="DK381" s="80" t="s">
        <v>415</v>
      </c>
      <c r="DL381" s="129">
        <v>1000</v>
      </c>
      <c r="DM381" s="129">
        <v>1000</v>
      </c>
      <c r="DN381" s="129">
        <v>1000</v>
      </c>
      <c r="DO381" s="129">
        <v>1000</v>
      </c>
      <c r="DP381" s="129">
        <v>1000</v>
      </c>
      <c r="DQ381" s="129">
        <v>1000</v>
      </c>
      <c r="DR381" s="129">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5" t="s">
        <v>1585</v>
      </c>
      <c r="B382" s="5" t="s">
        <v>740</v>
      </c>
      <c r="C382" s="5" t="s">
        <v>788</v>
      </c>
      <c r="D382" s="5" t="s">
        <v>1561</v>
      </c>
      <c r="E382" s="5" t="s">
        <v>1500</v>
      </c>
      <c r="F382" s="5" t="s">
        <v>494</v>
      </c>
      <c r="G382" s="47" t="s">
        <v>1586</v>
      </c>
      <c r="H382" s="47" t="s">
        <v>659</v>
      </c>
      <c r="I382" s="101">
        <v>130.63999999999999</v>
      </c>
      <c r="J382" s="101">
        <v>117.57</v>
      </c>
      <c r="K382" s="101">
        <v>104.51</v>
      </c>
      <c r="L382" s="101">
        <v>100.89</v>
      </c>
      <c r="M382" s="101">
        <v>97.27</v>
      </c>
      <c r="N382" s="101">
        <v>94.49</v>
      </c>
      <c r="O382" s="101">
        <v>91.72</v>
      </c>
      <c r="P382" s="93">
        <v>0</v>
      </c>
      <c r="Q382" s="101">
        <v>8.16</v>
      </c>
      <c r="R382" s="101">
        <v>8.16</v>
      </c>
      <c r="S382" s="101">
        <v>8.16</v>
      </c>
      <c r="T382" s="101">
        <v>8.16</v>
      </c>
      <c r="U382" s="101">
        <v>8.16</v>
      </c>
      <c r="V382" s="101">
        <v>8.16</v>
      </c>
      <c r="W382" s="101">
        <v>8.16</v>
      </c>
      <c r="X382" s="101">
        <v>0</v>
      </c>
      <c r="Y382" s="101">
        <v>0</v>
      </c>
      <c r="Z382" s="101">
        <v>0</v>
      </c>
      <c r="AA382" s="101">
        <v>0</v>
      </c>
      <c r="AB382" s="101">
        <v>0</v>
      </c>
      <c r="AC382" s="101">
        <v>0</v>
      </c>
      <c r="AD382" s="101">
        <v>0</v>
      </c>
      <c r="AE382" s="186">
        <v>0.08</v>
      </c>
      <c r="AF382" s="93">
        <v>0</v>
      </c>
      <c r="AG382" s="93">
        <v>12</v>
      </c>
      <c r="AH382" s="93">
        <v>12</v>
      </c>
      <c r="AI382" s="16">
        <v>1</v>
      </c>
      <c r="AJ382" s="16" t="s">
        <v>660</v>
      </c>
      <c r="AK382" s="16" t="s">
        <v>745</v>
      </c>
      <c r="AL382" s="16"/>
      <c r="AM382" s="60"/>
      <c r="AN382" s="60"/>
      <c r="AO382" s="60"/>
      <c r="AP382" s="60"/>
      <c r="AQ382" s="60"/>
      <c r="AR382" s="60"/>
      <c r="AS382" s="63"/>
      <c r="AT382" s="63"/>
      <c r="AU382" s="63"/>
      <c r="AV382" s="131"/>
      <c r="AW382" s="131"/>
      <c r="AX382" s="131"/>
      <c r="AY382" s="27" t="s">
        <v>662</v>
      </c>
      <c r="AZ382" s="27"/>
      <c r="BA382" s="27"/>
      <c r="BB382" s="30"/>
      <c r="BC382" s="30"/>
      <c r="BD382" s="30"/>
      <c r="BE382" s="30"/>
      <c r="BF382" s="30"/>
      <c r="BG382" s="30"/>
      <c r="BH382" s="107"/>
      <c r="BI382" s="107"/>
      <c r="BJ382" s="107"/>
      <c r="BK382" s="107"/>
      <c r="BL382" s="136"/>
      <c r="BM382" s="122"/>
      <c r="BN382" s="138">
        <v>0</v>
      </c>
      <c r="BO382" s="93"/>
      <c r="BP382" s="93"/>
      <c r="BQ382" s="93"/>
      <c r="BR382" s="93"/>
      <c r="BS382" s="93"/>
      <c r="BT382" s="93"/>
      <c r="BU382" s="27">
        <f t="shared" si="283"/>
        <v>0</v>
      </c>
      <c r="BV382" s="27"/>
      <c r="BW382" s="27"/>
      <c r="BX382" s="27"/>
      <c r="BY382" s="27"/>
      <c r="BZ382" s="27"/>
      <c r="CA382" s="27"/>
      <c r="CB382" s="97"/>
      <c r="CC382" s="97">
        <v>1000</v>
      </c>
      <c r="CD382" s="97">
        <v>1000</v>
      </c>
      <c r="CE382" s="97">
        <v>1000</v>
      </c>
      <c r="CF382" s="97">
        <v>1000</v>
      </c>
      <c r="CG382" s="97">
        <v>1000</v>
      </c>
      <c r="CH382" s="97">
        <v>1000</v>
      </c>
      <c r="CI382" s="173"/>
      <c r="CJ382" s="173"/>
      <c r="CK382" s="173"/>
      <c r="CL382" s="173"/>
      <c r="CM382" s="173"/>
      <c r="CN382" s="173"/>
      <c r="CO382" s="173"/>
      <c r="CP382" s="174"/>
      <c r="CQ382" s="174"/>
      <c r="CR382" s="174"/>
      <c r="CS382" s="174"/>
      <c r="CT382" s="174"/>
      <c r="CU382" s="174"/>
      <c r="CV382" s="174"/>
      <c r="CW382" s="165"/>
      <c r="CX382" s="166"/>
      <c r="CY382" s="166"/>
      <c r="CZ382" s="166"/>
      <c r="DA382" s="166"/>
      <c r="DB382" s="166"/>
      <c r="DC382" s="166"/>
      <c r="DD382" s="171"/>
      <c r="DE382" s="171"/>
      <c r="DF382" s="171"/>
      <c r="DG382" s="171"/>
      <c r="DH382" s="171"/>
      <c r="DI382" s="171"/>
      <c r="DJ382" s="171"/>
      <c r="DK382" s="79" t="s">
        <v>415</v>
      </c>
      <c r="DL382" s="128">
        <v>1000</v>
      </c>
      <c r="DM382" s="128">
        <v>1000</v>
      </c>
      <c r="DN382" s="128">
        <v>1000</v>
      </c>
      <c r="DO382" s="128">
        <v>1000</v>
      </c>
      <c r="DP382" s="128">
        <v>1000</v>
      </c>
      <c r="DQ382" s="128">
        <v>1000</v>
      </c>
      <c r="DR382" s="128">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6" t="s">
        <v>1587</v>
      </c>
      <c r="B383" s="6" t="s">
        <v>740</v>
      </c>
      <c r="C383" s="6" t="s">
        <v>788</v>
      </c>
      <c r="D383" s="6" t="s">
        <v>1561</v>
      </c>
      <c r="E383" s="6" t="s">
        <v>1500</v>
      </c>
      <c r="F383" s="6" t="s">
        <v>494</v>
      </c>
      <c r="G383" s="48" t="s">
        <v>1588</v>
      </c>
      <c r="H383" s="48" t="s">
        <v>659</v>
      </c>
      <c r="I383" s="102">
        <v>148.44</v>
      </c>
      <c r="J383" s="102">
        <v>133.78</v>
      </c>
      <c r="K383" s="102">
        <v>119.12</v>
      </c>
      <c r="L383" s="102">
        <v>113.85</v>
      </c>
      <c r="M383" s="102">
        <v>108.57</v>
      </c>
      <c r="N383" s="102">
        <v>105.06</v>
      </c>
      <c r="O383" s="102">
        <v>101.54</v>
      </c>
      <c r="P383" s="94">
        <v>0</v>
      </c>
      <c r="Q383" s="102">
        <v>8.16</v>
      </c>
      <c r="R383" s="102">
        <v>8.16</v>
      </c>
      <c r="S383" s="102">
        <v>8.16</v>
      </c>
      <c r="T383" s="102">
        <v>8.16</v>
      </c>
      <c r="U383" s="102">
        <v>8.16</v>
      </c>
      <c r="V383" s="102">
        <v>8.16</v>
      </c>
      <c r="W383" s="102">
        <v>8.16</v>
      </c>
      <c r="X383" s="102">
        <v>0</v>
      </c>
      <c r="Y383" s="102">
        <v>0</v>
      </c>
      <c r="Z383" s="102">
        <v>0</v>
      </c>
      <c r="AA383" s="102">
        <v>0</v>
      </c>
      <c r="AB383" s="102">
        <v>0</v>
      </c>
      <c r="AC383" s="102">
        <v>0</v>
      </c>
      <c r="AD383" s="102">
        <v>0</v>
      </c>
      <c r="AE383" s="186">
        <v>0.08</v>
      </c>
      <c r="AF383" s="94">
        <v>0</v>
      </c>
      <c r="AG383" s="94">
        <v>12</v>
      </c>
      <c r="AH383" s="94">
        <v>12</v>
      </c>
      <c r="AI383" s="17">
        <v>1</v>
      </c>
      <c r="AJ383" s="17" t="s">
        <v>660</v>
      </c>
      <c r="AK383" s="17" t="s">
        <v>745</v>
      </c>
      <c r="AL383" s="17"/>
      <c r="AM383" s="61"/>
      <c r="AN383" s="61"/>
      <c r="AO383" s="61"/>
      <c r="AP383" s="61"/>
      <c r="AQ383" s="61"/>
      <c r="AR383" s="61"/>
      <c r="AS383" s="64"/>
      <c r="AT383" s="64"/>
      <c r="AU383" s="64"/>
      <c r="AV383" s="132"/>
      <c r="AW383" s="132"/>
      <c r="AX383" s="132"/>
      <c r="AY383" s="28" t="s">
        <v>662</v>
      </c>
      <c r="AZ383" s="28"/>
      <c r="BA383" s="28"/>
      <c r="BB383" s="28"/>
      <c r="BC383" s="28"/>
      <c r="BD383" s="28"/>
      <c r="BE383" s="28"/>
      <c r="BF383" s="28"/>
      <c r="BG383" s="28"/>
      <c r="BH383" s="106"/>
      <c r="BI383" s="106"/>
      <c r="BJ383" s="106"/>
      <c r="BK383" s="106"/>
      <c r="BL383" s="137"/>
      <c r="BM383" s="123"/>
      <c r="BN383" s="139">
        <v>0</v>
      </c>
      <c r="BO383" s="94"/>
      <c r="BP383" s="94"/>
      <c r="BQ383" s="94"/>
      <c r="BR383" s="94"/>
      <c r="BS383" s="94"/>
      <c r="BT383" s="94"/>
      <c r="BU383" s="28">
        <f t="shared" si="283"/>
        <v>0</v>
      </c>
      <c r="BV383" s="28"/>
      <c r="BW383" s="28"/>
      <c r="BX383" s="28"/>
      <c r="BY383" s="28"/>
      <c r="BZ383" s="28"/>
      <c r="CA383" s="28"/>
      <c r="CB383" s="99">
        <v>0</v>
      </c>
      <c r="CC383" s="99">
        <v>250</v>
      </c>
      <c r="CD383" s="99">
        <v>500</v>
      </c>
      <c r="CE383" s="99">
        <v>1000</v>
      </c>
      <c r="CF383" s="99">
        <v>1000</v>
      </c>
      <c r="CG383" s="99">
        <v>1000</v>
      </c>
      <c r="CH383" s="99">
        <v>1000</v>
      </c>
      <c r="CI383" s="175"/>
      <c r="CJ383" s="175"/>
      <c r="CK383" s="175"/>
      <c r="CL383" s="175"/>
      <c r="CM383" s="175"/>
      <c r="CN383" s="175"/>
      <c r="CO383" s="175"/>
      <c r="CP383" s="176"/>
      <c r="CQ383" s="176"/>
      <c r="CR383" s="176"/>
      <c r="CS383" s="176"/>
      <c r="CT383" s="176"/>
      <c r="CU383" s="176"/>
      <c r="CV383" s="176"/>
      <c r="CW383" s="167"/>
      <c r="CX383" s="168"/>
      <c r="CY383" s="168"/>
      <c r="CZ383" s="168"/>
      <c r="DA383" s="168"/>
      <c r="DB383" s="168"/>
      <c r="DC383" s="168"/>
      <c r="DD383" s="172"/>
      <c r="DE383" s="172"/>
      <c r="DF383" s="172"/>
      <c r="DG383" s="172"/>
      <c r="DH383" s="172"/>
      <c r="DI383" s="172"/>
      <c r="DJ383" s="172"/>
      <c r="DK383" s="80" t="s">
        <v>415</v>
      </c>
      <c r="DL383" s="129">
        <v>1000</v>
      </c>
      <c r="DM383" s="129">
        <v>1000</v>
      </c>
      <c r="DN383" s="129">
        <v>1000</v>
      </c>
      <c r="DO383" s="129">
        <v>1000</v>
      </c>
      <c r="DP383" s="129">
        <v>1000</v>
      </c>
      <c r="DQ383" s="129">
        <v>1000</v>
      </c>
      <c r="DR383" s="129">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390" t="s">
        <v>1589</v>
      </c>
      <c r="B384" s="6" t="s">
        <v>740</v>
      </c>
      <c r="C384" s="6" t="s">
        <v>788</v>
      </c>
      <c r="D384" s="6" t="s">
        <v>1561</v>
      </c>
      <c r="E384" s="6" t="s">
        <v>1500</v>
      </c>
      <c r="F384" s="6" t="s">
        <v>494</v>
      </c>
      <c r="G384" s="48" t="s">
        <v>1590</v>
      </c>
      <c r="H384" s="48" t="s">
        <v>659</v>
      </c>
      <c r="I384" s="102">
        <v>0</v>
      </c>
      <c r="J384" s="102">
        <v>0</v>
      </c>
      <c r="K384" s="102">
        <v>0</v>
      </c>
      <c r="L384" s="102">
        <v>0</v>
      </c>
      <c r="M384" s="102">
        <v>0</v>
      </c>
      <c r="N384" s="102">
        <v>0</v>
      </c>
      <c r="O384" s="102">
        <v>0</v>
      </c>
      <c r="P384" s="94"/>
      <c r="Q384" s="102">
        <v>0</v>
      </c>
      <c r="R384" s="102">
        <v>0</v>
      </c>
      <c r="S384" s="102">
        <v>0</v>
      </c>
      <c r="T384" s="102">
        <v>0</v>
      </c>
      <c r="U384" s="102">
        <v>0</v>
      </c>
      <c r="V384" s="102">
        <v>0</v>
      </c>
      <c r="W384" s="102">
        <v>0</v>
      </c>
      <c r="X384" s="391">
        <v>0</v>
      </c>
      <c r="Y384" s="391">
        <v>0</v>
      </c>
      <c r="Z384" s="391">
        <v>0</v>
      </c>
      <c r="AA384" s="391">
        <v>0</v>
      </c>
      <c r="AB384" s="391">
        <v>0</v>
      </c>
      <c r="AC384" s="391">
        <v>0</v>
      </c>
      <c r="AD384" s="391">
        <v>0</v>
      </c>
      <c r="AE384" s="186">
        <v>0.08</v>
      </c>
      <c r="AF384" s="94"/>
      <c r="AG384" s="94">
        <v>1</v>
      </c>
      <c r="AH384" s="94">
        <v>1</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c r="BO384" s="94"/>
      <c r="BP384" s="94"/>
      <c r="BQ384" s="94"/>
      <c r="BR384" s="94"/>
      <c r="BS384" s="94"/>
      <c r="BT384" s="94"/>
      <c r="BU384" s="28">
        <v>0</v>
      </c>
      <c r="BV384" s="28"/>
      <c r="BW384" s="28"/>
      <c r="BX384" s="28"/>
      <c r="BY384" s="28"/>
      <c r="BZ384" s="28"/>
      <c r="CA384" s="28"/>
      <c r="CB384" s="99"/>
      <c r="CC384" s="185">
        <v>1000</v>
      </c>
      <c r="CD384" s="185">
        <v>1000</v>
      </c>
      <c r="CE384" s="185">
        <v>1000</v>
      </c>
      <c r="CF384" s="185">
        <v>1000</v>
      </c>
      <c r="CG384" s="185">
        <v>1000</v>
      </c>
      <c r="CH384" s="185">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c r="DL384" s="129"/>
      <c r="DM384" s="129"/>
      <c r="DN384" s="129"/>
      <c r="DO384" s="129"/>
      <c r="DP384" s="129"/>
      <c r="DQ384" s="129"/>
      <c r="DR384" s="129"/>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5" t="s">
        <v>1591</v>
      </c>
      <c r="B385" s="5" t="s">
        <v>1243</v>
      </c>
      <c r="C385" s="5" t="s">
        <v>788</v>
      </c>
      <c r="D385" s="5" t="s">
        <v>1561</v>
      </c>
      <c r="E385" s="5" t="s">
        <v>1579</v>
      </c>
      <c r="F385" s="5" t="s">
        <v>494</v>
      </c>
      <c r="G385" s="47" t="s">
        <v>1592</v>
      </c>
      <c r="H385" s="47" t="s">
        <v>981</v>
      </c>
      <c r="I385" s="101">
        <v>154.33000000000001</v>
      </c>
      <c r="J385" s="101">
        <v>154.33000000000001</v>
      </c>
      <c r="K385" s="101">
        <v>154.33000000000001</v>
      </c>
      <c r="L385" s="101">
        <v>154.33000000000001</v>
      </c>
      <c r="M385" s="101">
        <v>154.33000000000001</v>
      </c>
      <c r="N385" s="101">
        <v>154.33000000000001</v>
      </c>
      <c r="O385" s="101">
        <v>154.33000000000001</v>
      </c>
      <c r="P385" s="93">
        <v>0</v>
      </c>
      <c r="Q385" s="101">
        <v>4.63</v>
      </c>
      <c r="R385" s="101">
        <v>4.63</v>
      </c>
      <c r="S385" s="101">
        <v>4.63</v>
      </c>
      <c r="T385" s="101">
        <v>4.63</v>
      </c>
      <c r="U385" s="101">
        <v>4.63</v>
      </c>
      <c r="V385" s="101">
        <v>4.63</v>
      </c>
      <c r="W385" s="101">
        <v>4.63</v>
      </c>
      <c r="X385" s="101">
        <v>0</v>
      </c>
      <c r="Y385" s="101">
        <v>0</v>
      </c>
      <c r="Z385" s="101">
        <v>0</v>
      </c>
      <c r="AA385" s="101">
        <v>0</v>
      </c>
      <c r="AB385" s="101">
        <v>0</v>
      </c>
      <c r="AC385" s="101">
        <v>0</v>
      </c>
      <c r="AD385" s="101">
        <v>0</v>
      </c>
      <c r="AE385" s="186">
        <v>0.08</v>
      </c>
      <c r="AF385" s="93">
        <v>0</v>
      </c>
      <c r="AG385" s="93">
        <v>10</v>
      </c>
      <c r="AH385" s="93">
        <v>10</v>
      </c>
      <c r="AI385" s="16">
        <v>31.536000000000001</v>
      </c>
      <c r="AJ385" s="16" t="s">
        <v>1569</v>
      </c>
      <c r="AK385" s="16" t="s">
        <v>745</v>
      </c>
      <c r="AL385" s="16"/>
      <c r="AM385" s="60"/>
      <c r="AN385" s="60"/>
      <c r="AO385" s="60"/>
      <c r="AP385" s="60"/>
      <c r="AQ385" s="60"/>
      <c r="AR385" s="60"/>
      <c r="AS385" s="63"/>
      <c r="AT385" s="63"/>
      <c r="AU385" s="63"/>
      <c r="AV385" s="131"/>
      <c r="AW385" s="131"/>
      <c r="AX385" s="131"/>
      <c r="AY385" s="27" t="s">
        <v>662</v>
      </c>
      <c r="AZ385" s="27"/>
      <c r="BA385" s="27"/>
      <c r="BB385" s="30"/>
      <c r="BC385" s="30"/>
      <c r="BD385" s="30"/>
      <c r="BE385" s="30"/>
      <c r="BF385" s="30"/>
      <c r="BG385" s="30"/>
      <c r="BH385" s="107"/>
      <c r="BI385" s="107"/>
      <c r="BJ385" s="107"/>
      <c r="BK385" s="107"/>
      <c r="BL385" s="136"/>
      <c r="BM385" s="122"/>
      <c r="BN385" s="138">
        <v>60</v>
      </c>
      <c r="BO385" s="93">
        <v>30</v>
      </c>
      <c r="BP385" s="93">
        <v>30</v>
      </c>
      <c r="BQ385" s="93"/>
      <c r="BR385" s="93"/>
      <c r="BS385" s="93"/>
      <c r="BT385" s="93"/>
      <c r="BU385" s="27">
        <f t="shared" si="283"/>
        <v>0</v>
      </c>
      <c r="BV385" s="27"/>
      <c r="BW385" s="27"/>
      <c r="BX385" s="27"/>
      <c r="BY385" s="27"/>
      <c r="BZ385" s="27"/>
      <c r="CA385" s="27"/>
      <c r="CB385" s="185">
        <v>1000</v>
      </c>
      <c r="CC385" s="185">
        <v>1000</v>
      </c>
      <c r="CD385" s="185">
        <v>1000</v>
      </c>
      <c r="CE385" s="185">
        <v>1000</v>
      </c>
      <c r="CF385" s="185">
        <v>1000</v>
      </c>
      <c r="CG385" s="185">
        <v>1000</v>
      </c>
      <c r="CH385" s="185">
        <v>1000</v>
      </c>
      <c r="CI385" s="173"/>
      <c r="CJ385" s="173"/>
      <c r="CK385" s="173"/>
      <c r="CL385" s="173"/>
      <c r="CM385" s="173"/>
      <c r="CN385" s="173"/>
      <c r="CO385" s="173"/>
      <c r="CP385" s="174"/>
      <c r="CQ385" s="174"/>
      <c r="CR385" s="174"/>
      <c r="CS385" s="174"/>
      <c r="CT385" s="174"/>
      <c r="CU385" s="174"/>
      <c r="CV385" s="174"/>
      <c r="CW385" s="165"/>
      <c r="CX385" s="166"/>
      <c r="CY385" s="166"/>
      <c r="CZ385" s="166"/>
      <c r="DA385" s="166"/>
      <c r="DB385" s="166"/>
      <c r="DC385" s="166"/>
      <c r="DD385" s="171"/>
      <c r="DE385" s="171"/>
      <c r="DF385" s="171"/>
      <c r="DG385" s="171"/>
      <c r="DH385" s="171"/>
      <c r="DI385" s="171"/>
      <c r="DJ385" s="171"/>
      <c r="DK385" s="79" t="s">
        <v>415</v>
      </c>
      <c r="DL385" s="128">
        <v>3500</v>
      </c>
      <c r="DM385" s="128">
        <v>3500</v>
      </c>
      <c r="DN385" s="128">
        <v>3500</v>
      </c>
      <c r="DO385" s="128">
        <v>3500</v>
      </c>
      <c r="DP385" s="128">
        <v>3500</v>
      </c>
      <c r="DQ385" s="128">
        <v>3500</v>
      </c>
      <c r="DR385" s="128">
        <v>3500</v>
      </c>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225" t="s">
        <v>1593</v>
      </c>
      <c r="B386" s="225" t="s">
        <v>740</v>
      </c>
      <c r="C386" s="225" t="s">
        <v>817</v>
      </c>
      <c r="D386" s="225" t="s">
        <v>1469</v>
      </c>
      <c r="E386" s="225" t="s">
        <v>1567</v>
      </c>
      <c r="F386" s="225" t="s">
        <v>495</v>
      </c>
      <c r="G386" s="229" t="s">
        <v>1594</v>
      </c>
      <c r="H386" s="226" t="s">
        <v>659</v>
      </c>
      <c r="I386" s="102">
        <v>0</v>
      </c>
      <c r="J386" s="102">
        <v>0</v>
      </c>
      <c r="K386" s="102">
        <v>0</v>
      </c>
      <c r="L386" s="102">
        <v>0</v>
      </c>
      <c r="M386" s="102">
        <v>0</v>
      </c>
      <c r="N386" s="102">
        <v>0</v>
      </c>
      <c r="O386" s="102">
        <v>0</v>
      </c>
      <c r="P386" s="94">
        <v>0</v>
      </c>
      <c r="Q386" s="102">
        <v>0</v>
      </c>
      <c r="R386" s="102">
        <v>0</v>
      </c>
      <c r="S386" s="102">
        <v>0</v>
      </c>
      <c r="T386" s="102">
        <v>0</v>
      </c>
      <c r="U386" s="102">
        <v>0</v>
      </c>
      <c r="V386" s="102">
        <v>0</v>
      </c>
      <c r="W386" s="102">
        <v>0</v>
      </c>
      <c r="X386" s="102">
        <v>24.59696857763559</v>
      </c>
      <c r="Y386" s="102">
        <v>14.211581844856118</v>
      </c>
      <c r="Z386" s="102">
        <v>6.2858919698402076</v>
      </c>
      <c r="AA386" s="102">
        <v>5.444973446380323</v>
      </c>
      <c r="AB386" s="102">
        <v>4.6020714112945607</v>
      </c>
      <c r="AC386" s="102">
        <v>4.6030615857635331</v>
      </c>
      <c r="AD386" s="102">
        <v>4.6020714112945607</v>
      </c>
      <c r="AE386" s="186">
        <v>0.08</v>
      </c>
      <c r="AF386" s="94">
        <v>0</v>
      </c>
      <c r="AG386" s="94">
        <v>1</v>
      </c>
      <c r="AH386" s="94">
        <v>1</v>
      </c>
      <c r="AI386" s="17">
        <v>1</v>
      </c>
      <c r="AJ386" s="17" t="s">
        <v>660</v>
      </c>
      <c r="AK386" s="17" t="s">
        <v>745</v>
      </c>
      <c r="AL386" s="17"/>
      <c r="AM386" s="61"/>
      <c r="AN386" s="61"/>
      <c r="AO386" s="61"/>
      <c r="AP386" s="61"/>
      <c r="AQ386" s="61"/>
      <c r="AR386" s="61"/>
      <c r="AS386" s="64"/>
      <c r="AT386" s="64"/>
      <c r="AU386" s="64"/>
      <c r="AV386" s="132"/>
      <c r="AW386" s="132"/>
      <c r="AX386" s="132"/>
      <c r="AY386" s="28" t="s">
        <v>662</v>
      </c>
      <c r="AZ386" s="28"/>
      <c r="BA386" s="28"/>
      <c r="BB386" s="28"/>
      <c r="BC386" s="28"/>
      <c r="BD386" s="28"/>
      <c r="BE386" s="28"/>
      <c r="BF386" s="28"/>
      <c r="BG386" s="28"/>
      <c r="BH386" s="106"/>
      <c r="BI386" s="106"/>
      <c r="BJ386" s="106"/>
      <c r="BK386" s="106"/>
      <c r="BL386" s="137"/>
      <c r="BM386" s="123"/>
      <c r="BN386" s="139"/>
      <c r="BO386" s="94"/>
      <c r="BP386" s="94"/>
      <c r="BQ386" s="94"/>
      <c r="BR386" s="94"/>
      <c r="BS386" s="94"/>
      <c r="BT386" s="94"/>
      <c r="BU386" s="28">
        <f t="shared" si="283"/>
        <v>0</v>
      </c>
      <c r="BV386" s="28"/>
      <c r="BW386" s="28"/>
      <c r="BX386" s="28"/>
      <c r="BY386" s="28"/>
      <c r="BZ386" s="28"/>
      <c r="CA386" s="28"/>
      <c r="CB386" s="185">
        <v>1000</v>
      </c>
      <c r="CC386" s="185">
        <v>1000</v>
      </c>
      <c r="CD386" s="185">
        <v>1000</v>
      </c>
      <c r="CE386" s="185">
        <v>1000</v>
      </c>
      <c r="CF386" s="185">
        <v>1000</v>
      </c>
      <c r="CG386" s="185">
        <v>1000</v>
      </c>
      <c r="CH386" s="185">
        <v>1000</v>
      </c>
      <c r="CI386" s="175"/>
      <c r="CJ386" s="175"/>
      <c r="CK386" s="175"/>
      <c r="CL386" s="175"/>
      <c r="CM386" s="175"/>
      <c r="CN386" s="175"/>
      <c r="CO386" s="175"/>
      <c r="CP386" s="176"/>
      <c r="CQ386" s="176"/>
      <c r="CR386" s="176"/>
      <c r="CS386" s="176"/>
      <c r="CT386" s="176"/>
      <c r="CU386" s="176"/>
      <c r="CV386" s="176"/>
      <c r="CW386" s="167"/>
      <c r="CX386" s="168"/>
      <c r="CY386" s="168"/>
      <c r="CZ386" s="168"/>
      <c r="DA386" s="168"/>
      <c r="DB386" s="168"/>
      <c r="DC386" s="168"/>
      <c r="DD386" s="172"/>
      <c r="DE386" s="172"/>
      <c r="DF386" s="172"/>
      <c r="DG386" s="172"/>
      <c r="DH386" s="172"/>
      <c r="DI386" s="172"/>
      <c r="DJ386" s="172"/>
      <c r="DK386" s="80" t="s">
        <v>415</v>
      </c>
      <c r="DL386" s="129">
        <v>2000</v>
      </c>
      <c r="DM386" s="129">
        <v>2000</v>
      </c>
      <c r="DN386" s="129">
        <v>2000</v>
      </c>
      <c r="DO386" s="129">
        <v>2000</v>
      </c>
      <c r="DP386" s="129">
        <v>2000</v>
      </c>
      <c r="DQ386" s="129">
        <v>2000</v>
      </c>
      <c r="DR386" s="129">
        <v>2000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5" t="s">
        <v>1595</v>
      </c>
      <c r="B387" s="5" t="s">
        <v>740</v>
      </c>
      <c r="C387" s="5" t="s">
        <v>788</v>
      </c>
      <c r="D387" s="5" t="s">
        <v>497</v>
      </c>
      <c r="E387" s="5" t="s">
        <v>1475</v>
      </c>
      <c r="F387" s="5" t="s">
        <v>496</v>
      </c>
      <c r="G387" s="47" t="s">
        <v>1596</v>
      </c>
      <c r="H387" s="47" t="s">
        <v>659</v>
      </c>
      <c r="I387" s="253">
        <f>19*1.054</f>
        <v>20.026</v>
      </c>
      <c r="J387" s="253">
        <f t="shared" ref="J387:O387" si="313">19*1.054</f>
        <v>20.026</v>
      </c>
      <c r="K387" s="253">
        <f t="shared" si="313"/>
        <v>20.026</v>
      </c>
      <c r="L387" s="253">
        <f t="shared" si="313"/>
        <v>20.026</v>
      </c>
      <c r="M387" s="253">
        <f t="shared" si="313"/>
        <v>20.026</v>
      </c>
      <c r="N387" s="253">
        <f t="shared" si="313"/>
        <v>20.026</v>
      </c>
      <c r="O387" s="253">
        <f t="shared" si="313"/>
        <v>20.026</v>
      </c>
      <c r="P387" s="93">
        <v>0</v>
      </c>
      <c r="Q387" s="101">
        <v>1.35</v>
      </c>
      <c r="R387" s="101">
        <v>1.35</v>
      </c>
      <c r="S387" s="101">
        <v>1.35</v>
      </c>
      <c r="T387" s="101">
        <v>1.35</v>
      </c>
      <c r="U387" s="101">
        <v>1.35</v>
      </c>
      <c r="V387" s="101">
        <v>1.35</v>
      </c>
      <c r="W387" s="101">
        <v>1.35</v>
      </c>
      <c r="X387" s="101">
        <v>0</v>
      </c>
      <c r="Y387" s="101">
        <v>0</v>
      </c>
      <c r="Z387" s="101">
        <v>0</v>
      </c>
      <c r="AA387" s="101">
        <v>0</v>
      </c>
      <c r="AB387" s="101"/>
      <c r="AC387" s="101">
        <v>0</v>
      </c>
      <c r="AD387" s="101">
        <v>0</v>
      </c>
      <c r="AE387" s="186">
        <v>0.08</v>
      </c>
      <c r="AF387" s="93">
        <v>0</v>
      </c>
      <c r="AG387" s="93">
        <v>20</v>
      </c>
      <c r="AH387" s="93">
        <v>20</v>
      </c>
      <c r="AI387" s="16">
        <v>1</v>
      </c>
      <c r="AJ387" s="16" t="s">
        <v>660</v>
      </c>
      <c r="AK387" s="16" t="s">
        <v>745</v>
      </c>
      <c r="AL387" s="16"/>
      <c r="AM387" s="60"/>
      <c r="AN387" s="60"/>
      <c r="AO387" s="60"/>
      <c r="AP387" s="60"/>
      <c r="AQ387" s="60"/>
      <c r="AR387" s="60"/>
      <c r="AS387" s="63"/>
      <c r="AT387" s="63"/>
      <c r="AU387" s="63"/>
      <c r="AV387" s="131"/>
      <c r="AW387" s="131"/>
      <c r="AX387" s="131"/>
      <c r="AY387" s="27" t="s">
        <v>662</v>
      </c>
      <c r="AZ387" s="27"/>
      <c r="BA387" s="27"/>
      <c r="BB387" s="30"/>
      <c r="BC387" s="30"/>
      <c r="BD387" s="30"/>
      <c r="BE387" s="30"/>
      <c r="BF387" s="30"/>
      <c r="BG387" s="30"/>
      <c r="BH387" s="107"/>
      <c r="BI387" s="107"/>
      <c r="BJ387" s="107"/>
      <c r="BK387" s="107"/>
      <c r="BL387" s="136"/>
      <c r="BM387" s="122"/>
      <c r="BN387" s="138">
        <v>0</v>
      </c>
      <c r="BO387" s="93"/>
      <c r="BP387" s="93"/>
      <c r="BQ387" s="93"/>
      <c r="BR387" s="93"/>
      <c r="BS387" s="93"/>
      <c r="BT387" s="93"/>
      <c r="BU387" s="27">
        <f t="shared" si="283"/>
        <v>0</v>
      </c>
      <c r="BV387" s="27"/>
      <c r="BW387" s="27"/>
      <c r="BX387" s="27"/>
      <c r="BY387" s="27"/>
      <c r="BZ387" s="27"/>
      <c r="CA387" s="27"/>
      <c r="CB387" s="97">
        <v>200</v>
      </c>
      <c r="CC387" s="97">
        <v>200</v>
      </c>
      <c r="CD387" s="97">
        <v>200</v>
      </c>
      <c r="CE387" s="97">
        <v>200</v>
      </c>
      <c r="CF387" s="97">
        <v>200</v>
      </c>
      <c r="CG387" s="97">
        <v>200</v>
      </c>
      <c r="CH387" s="97">
        <v>200</v>
      </c>
      <c r="CI387" s="173"/>
      <c r="CJ387" s="173"/>
      <c r="CK387" s="173"/>
      <c r="CL387" s="173"/>
      <c r="CM387" s="173"/>
      <c r="CN387" s="173"/>
      <c r="CO387" s="173"/>
      <c r="CP387" s="174"/>
      <c r="CQ387" s="174"/>
      <c r="CR387" s="174"/>
      <c r="CS387" s="174"/>
      <c r="CT387" s="174"/>
      <c r="CU387" s="174"/>
      <c r="CV387" s="174"/>
      <c r="CW387" s="165"/>
      <c r="CX387" s="166"/>
      <c r="CY387" s="166"/>
      <c r="CZ387" s="166"/>
      <c r="DA387" s="166"/>
      <c r="DB387" s="166"/>
      <c r="DC387" s="166"/>
      <c r="DD387" s="171"/>
      <c r="DE387" s="171"/>
      <c r="DF387" s="171"/>
      <c r="DG387" s="171"/>
      <c r="DH387" s="171"/>
      <c r="DI387" s="171"/>
      <c r="DJ387" s="171"/>
      <c r="DK387" s="79" t="s">
        <v>1597</v>
      </c>
      <c r="DL387" s="128">
        <v>200</v>
      </c>
      <c r="DM387" s="128">
        <v>200</v>
      </c>
      <c r="DN387" s="128">
        <v>200</v>
      </c>
      <c r="DO387" s="128">
        <v>200</v>
      </c>
      <c r="DP387" s="128">
        <v>200</v>
      </c>
      <c r="DQ387" s="128">
        <v>200</v>
      </c>
      <c r="DR387" s="128">
        <v>200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6" t="s">
        <v>1598</v>
      </c>
      <c r="B388" s="6" t="s">
        <v>740</v>
      </c>
      <c r="C388" s="6" t="s">
        <v>788</v>
      </c>
      <c r="D388" s="6" t="s">
        <v>497</v>
      </c>
      <c r="E388" s="6" t="s">
        <v>1475</v>
      </c>
      <c r="F388" s="6" t="s">
        <v>496</v>
      </c>
      <c r="G388" s="48" t="s">
        <v>1599</v>
      </c>
      <c r="H388" s="48" t="s">
        <v>659</v>
      </c>
      <c r="I388" s="253">
        <f>22.4*1.054</f>
        <v>23.6096</v>
      </c>
      <c r="J388" s="253">
        <f t="shared" ref="J388:O388" si="314">22.4*1.054</f>
        <v>23.6096</v>
      </c>
      <c r="K388" s="253">
        <f t="shared" si="314"/>
        <v>23.6096</v>
      </c>
      <c r="L388" s="253">
        <f t="shared" si="314"/>
        <v>23.6096</v>
      </c>
      <c r="M388" s="253">
        <f t="shared" si="314"/>
        <v>23.6096</v>
      </c>
      <c r="N388" s="253">
        <f t="shared" si="314"/>
        <v>23.6096</v>
      </c>
      <c r="O388" s="253">
        <f t="shared" si="314"/>
        <v>23.6096</v>
      </c>
      <c r="P388" s="94">
        <v>0</v>
      </c>
      <c r="Q388" s="102">
        <v>3.61</v>
      </c>
      <c r="R388" s="102">
        <v>3.61</v>
      </c>
      <c r="S388" s="102">
        <v>3.61</v>
      </c>
      <c r="T388" s="102">
        <v>3.61</v>
      </c>
      <c r="U388" s="102">
        <v>3.61</v>
      </c>
      <c r="V388" s="102">
        <v>3.61</v>
      </c>
      <c r="W388" s="102">
        <v>3.61</v>
      </c>
      <c r="X388" s="102">
        <v>0</v>
      </c>
      <c r="Y388" s="102">
        <v>0</v>
      </c>
      <c r="Z388" s="102">
        <v>0</v>
      </c>
      <c r="AA388" s="102">
        <v>0</v>
      </c>
      <c r="AB388" s="102">
        <v>0</v>
      </c>
      <c r="AC388" s="102">
        <v>0</v>
      </c>
      <c r="AD388" s="102">
        <v>0</v>
      </c>
      <c r="AE388" s="186">
        <v>0.08</v>
      </c>
      <c r="AF388" s="94">
        <v>0</v>
      </c>
      <c r="AG388" s="94">
        <v>20</v>
      </c>
      <c r="AH388" s="94">
        <v>20</v>
      </c>
      <c r="AI388" s="17">
        <v>1</v>
      </c>
      <c r="AJ388" s="17" t="s">
        <v>660</v>
      </c>
      <c r="AK388" s="17" t="s">
        <v>745</v>
      </c>
      <c r="AL388" s="17"/>
      <c r="AM388" s="61"/>
      <c r="AN388" s="61"/>
      <c r="AO388" s="61"/>
      <c r="AP388" s="61"/>
      <c r="AQ388" s="61"/>
      <c r="AR388" s="61"/>
      <c r="AS388" s="64"/>
      <c r="AT388" s="64"/>
      <c r="AU388" s="64"/>
      <c r="AV388" s="132"/>
      <c r="AW388" s="132"/>
      <c r="AX388" s="132"/>
      <c r="AY388" s="28" t="s">
        <v>662</v>
      </c>
      <c r="AZ388" s="28"/>
      <c r="BA388" s="28"/>
      <c r="BB388" s="28"/>
      <c r="BC388" s="28"/>
      <c r="BD388" s="28"/>
      <c r="BE388" s="28"/>
      <c r="BF388" s="28"/>
      <c r="BG388" s="28"/>
      <c r="BH388" s="106"/>
      <c r="BI388" s="106"/>
      <c r="BJ388" s="106"/>
      <c r="BK388" s="106"/>
      <c r="BL388" s="137"/>
      <c r="BM388" s="123"/>
      <c r="BN388" s="139">
        <v>0</v>
      </c>
      <c r="BO388" s="94"/>
      <c r="BP388" s="94"/>
      <c r="BQ388" s="94"/>
      <c r="BR388" s="94"/>
      <c r="BS388" s="94"/>
      <c r="BT388" s="94"/>
      <c r="BU388" s="28">
        <f t="shared" si="283"/>
        <v>0</v>
      </c>
      <c r="BV388" s="28"/>
      <c r="BW388" s="28"/>
      <c r="BX388" s="28"/>
      <c r="BY388" s="28"/>
      <c r="BZ388" s="28"/>
      <c r="CA388" s="28"/>
      <c r="CB388" s="99"/>
      <c r="CC388" s="99">
        <v>50</v>
      </c>
      <c r="CD388" s="99">
        <v>100</v>
      </c>
      <c r="CE388" s="99">
        <v>200</v>
      </c>
      <c r="CF388" s="99">
        <v>200</v>
      </c>
      <c r="CG388" s="99">
        <v>200</v>
      </c>
      <c r="CH388" s="99">
        <v>200</v>
      </c>
      <c r="CI388" s="175"/>
      <c r="CJ388" s="175"/>
      <c r="CK388" s="175"/>
      <c r="CL388" s="175"/>
      <c r="CM388" s="175"/>
      <c r="CN388" s="175"/>
      <c r="CO388" s="175"/>
      <c r="CP388" s="176"/>
      <c r="CQ388" s="176"/>
      <c r="CR388" s="176"/>
      <c r="CS388" s="176"/>
      <c r="CT388" s="176"/>
      <c r="CU388" s="176"/>
      <c r="CV388" s="176"/>
      <c r="CW388" s="167"/>
      <c r="CX388" s="168"/>
      <c r="CY388" s="168"/>
      <c r="CZ388" s="168"/>
      <c r="DA388" s="168"/>
      <c r="DB388" s="168"/>
      <c r="DC388" s="168"/>
      <c r="DD388" s="172"/>
      <c r="DE388" s="172"/>
      <c r="DF388" s="172"/>
      <c r="DG388" s="172"/>
      <c r="DH388" s="172"/>
      <c r="DI388" s="172"/>
      <c r="DJ388" s="172"/>
      <c r="DK388" s="80" t="s">
        <v>1597</v>
      </c>
      <c r="DL388" s="129">
        <v>200</v>
      </c>
      <c r="DM388" s="129">
        <v>200</v>
      </c>
      <c r="DN388" s="129">
        <v>200</v>
      </c>
      <c r="DO388" s="129">
        <v>200</v>
      </c>
      <c r="DP388" s="129">
        <v>200</v>
      </c>
      <c r="DQ388" s="129">
        <v>200</v>
      </c>
      <c r="DR388" s="129">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5" t="s">
        <v>1600</v>
      </c>
      <c r="B389" s="5" t="s">
        <v>740</v>
      </c>
      <c r="C389" s="5" t="s">
        <v>788</v>
      </c>
      <c r="D389" s="5" t="s">
        <v>497</v>
      </c>
      <c r="E389" s="5" t="s">
        <v>1601</v>
      </c>
      <c r="F389" s="5" t="s">
        <v>496</v>
      </c>
      <c r="G389" s="47" t="s">
        <v>1602</v>
      </c>
      <c r="H389" s="47" t="s">
        <v>659</v>
      </c>
      <c r="I389" s="101">
        <v>135</v>
      </c>
      <c r="J389" s="101">
        <v>135</v>
      </c>
      <c r="K389" s="101">
        <v>135</v>
      </c>
      <c r="L389" s="101">
        <v>130</v>
      </c>
      <c r="M389" s="101">
        <v>120</v>
      </c>
      <c r="N389" s="101">
        <v>110</v>
      </c>
      <c r="O389" s="101">
        <v>100</v>
      </c>
      <c r="P389" s="93"/>
      <c r="Q389" s="101">
        <v>8</v>
      </c>
      <c r="R389" s="101">
        <v>8</v>
      </c>
      <c r="S389" s="101">
        <v>8</v>
      </c>
      <c r="T389" s="101">
        <v>8</v>
      </c>
      <c r="U389" s="101">
        <v>8</v>
      </c>
      <c r="V389" s="101">
        <v>8</v>
      </c>
      <c r="W389" s="101">
        <v>8</v>
      </c>
      <c r="X389" s="101"/>
      <c r="Y389" s="101"/>
      <c r="Z389" s="101"/>
      <c r="AA389" s="101"/>
      <c r="AB389" s="101"/>
      <c r="AC389" s="101"/>
      <c r="AD389" s="101"/>
      <c r="AE389" s="186">
        <v>0.08</v>
      </c>
      <c r="AF389" s="93">
        <v>0</v>
      </c>
      <c r="AG389" s="93">
        <v>60</v>
      </c>
      <c r="AH389" s="93">
        <v>60</v>
      </c>
      <c r="AI389" s="16">
        <v>1</v>
      </c>
      <c r="AJ389" s="16" t="s">
        <v>660</v>
      </c>
      <c r="AK389" s="16" t="s">
        <v>745</v>
      </c>
      <c r="AL389" s="16"/>
      <c r="AM389" s="60"/>
      <c r="AN389" s="60"/>
      <c r="AO389" s="60"/>
      <c r="AP389" s="60"/>
      <c r="AQ389" s="60"/>
      <c r="AR389" s="60"/>
      <c r="AS389" s="63"/>
      <c r="AT389" s="63"/>
      <c r="AU389" s="63"/>
      <c r="AV389" s="131"/>
      <c r="AW389" s="131"/>
      <c r="AX389" s="131"/>
      <c r="AY389" s="27" t="s">
        <v>662</v>
      </c>
      <c r="AZ389" s="27"/>
      <c r="BA389" s="27"/>
      <c r="BB389" s="30"/>
      <c r="BC389" s="30"/>
      <c r="BD389" s="30"/>
      <c r="BE389" s="30"/>
      <c r="BF389" s="30"/>
      <c r="BG389" s="30"/>
      <c r="BH389" s="107"/>
      <c r="BI389" s="107"/>
      <c r="BJ389" s="107"/>
      <c r="BK389" s="107"/>
      <c r="BL389" s="136"/>
      <c r="BM389" s="122"/>
      <c r="BN389" s="138">
        <v>0</v>
      </c>
      <c r="BO389" s="93"/>
      <c r="BP389" s="93"/>
      <c r="BQ389" s="93"/>
      <c r="BR389" s="93"/>
      <c r="BS389" s="93"/>
      <c r="BT389" s="93"/>
      <c r="BU389" s="27">
        <f t="shared" si="283"/>
        <v>0</v>
      </c>
      <c r="BV389" s="27"/>
      <c r="BW389" s="27"/>
      <c r="BX389" s="27"/>
      <c r="BY389" s="27"/>
      <c r="BZ389" s="27"/>
      <c r="CA389" s="27"/>
      <c r="CB389" s="97"/>
      <c r="CC389" s="97"/>
      <c r="CD389" s="97"/>
      <c r="CE389" s="97"/>
      <c r="CF389" s="97"/>
      <c r="CG389" s="97"/>
      <c r="CH389" s="97"/>
      <c r="CI389" s="173"/>
      <c r="CJ389" s="173"/>
      <c r="CK389" s="173"/>
      <c r="CL389" s="173"/>
      <c r="CM389" s="173"/>
      <c r="CN389" s="173"/>
      <c r="CO389" s="173"/>
      <c r="CP389" s="174"/>
      <c r="CQ389" s="174"/>
      <c r="CR389" s="174"/>
      <c r="CS389" s="174"/>
      <c r="CT389" s="174"/>
      <c r="CU389" s="174"/>
      <c r="CV389" s="174"/>
      <c r="CW389" s="165"/>
      <c r="CX389" s="166"/>
      <c r="CY389" s="166"/>
      <c r="CZ389" s="166"/>
      <c r="DA389" s="166"/>
      <c r="DB389" s="166"/>
      <c r="DC389" s="166"/>
      <c r="DD389" s="171"/>
      <c r="DE389" s="171"/>
      <c r="DF389" s="171"/>
      <c r="DG389" s="171"/>
      <c r="DH389" s="171"/>
      <c r="DI389" s="171"/>
      <c r="DJ389" s="171"/>
      <c r="DK389" s="79" t="s">
        <v>1603</v>
      </c>
      <c r="DL389" s="128"/>
      <c r="DM389" s="128"/>
      <c r="DN389" s="128"/>
      <c r="DO389" s="128"/>
      <c r="DP389" s="128"/>
      <c r="DQ389" s="128"/>
      <c r="DR389" s="128"/>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6" t="s">
        <v>1604</v>
      </c>
      <c r="B390" s="6" t="s">
        <v>740</v>
      </c>
      <c r="C390" s="6" t="s">
        <v>788</v>
      </c>
      <c r="D390" s="6" t="s">
        <v>497</v>
      </c>
      <c r="E390" s="6" t="s">
        <v>1525</v>
      </c>
      <c r="F390" s="6" t="s">
        <v>496</v>
      </c>
      <c r="G390" s="221" t="s">
        <v>1605</v>
      </c>
      <c r="H390" s="48" t="s">
        <v>1606</v>
      </c>
      <c r="I390" s="184">
        <f>1400*107.3/100</f>
        <v>1502.2</v>
      </c>
      <c r="J390" s="102">
        <f>($L$390-$I$390)/($L$4-$I$4)*(J4-I4)+I390</f>
        <v>1284.8671586715868</v>
      </c>
      <c r="K390" s="184">
        <v>560.42435424354244</v>
      </c>
      <c r="L390" s="102">
        <f>($M$390-$K$390)/($M$4-$K$4)*(L4-K4)+K390</f>
        <v>560.42435424354244</v>
      </c>
      <c r="M390" s="184">
        <f>K390</f>
        <v>560.42435424354244</v>
      </c>
      <c r="N390" s="102">
        <f>($O$390-$M$390)/($O$4-$M$4)*(N4-M4)+M390</f>
        <v>560.42435424354244</v>
      </c>
      <c r="O390" s="184">
        <f>K390</f>
        <v>560.42435424354244</v>
      </c>
      <c r="P390" s="94"/>
      <c r="Q390" s="184">
        <f>I390*0.05</f>
        <v>75.11</v>
      </c>
      <c r="R390" s="184">
        <f t="shared" ref="R390" si="315">J390*0.05</f>
        <v>64.243357933579347</v>
      </c>
      <c r="S390" s="184">
        <v>11.20848708487085</v>
      </c>
      <c r="T390" s="184">
        <v>11.20848708487085</v>
      </c>
      <c r="U390" s="184">
        <v>11.20848708487085</v>
      </c>
      <c r="V390" s="184">
        <v>11.20848708487085</v>
      </c>
      <c r="W390" s="184">
        <v>11.20848708487085</v>
      </c>
      <c r="X390" s="184">
        <f>0.23*I390/(0.0036*70000)</f>
        <v>1.3710555555555557</v>
      </c>
      <c r="Y390" s="184">
        <f>0.23*J390/(0.0036*80000)</f>
        <v>1.0261091892168923</v>
      </c>
      <c r="Z390" s="184">
        <f>0.23*K390/(0.0036*92000)</f>
        <v>0.38918357933579334</v>
      </c>
      <c r="AA390" s="184">
        <f>0.23*L390/(0.0036*94500)</f>
        <v>0.37888771744860306</v>
      </c>
      <c r="AB390" s="184">
        <f>0.23*M390/(0.0036*94500)</f>
        <v>0.37888771744860306</v>
      </c>
      <c r="AC390" s="184">
        <f>0.23*N390/(0.0036*101500)</f>
        <v>0.35275753003835458</v>
      </c>
      <c r="AD390" s="184">
        <f>0.23*O390/(0.0036*101500)</f>
        <v>0.35275753003835458</v>
      </c>
      <c r="AE390" s="186">
        <v>0.08</v>
      </c>
      <c r="AF390" s="94">
        <v>0</v>
      </c>
      <c r="AG390" s="94">
        <v>19</v>
      </c>
      <c r="AH390" s="94">
        <v>19</v>
      </c>
      <c r="AI390" s="17">
        <v>31.536000000000001</v>
      </c>
      <c r="AJ390" s="384" t="s">
        <v>765</v>
      </c>
      <c r="AK390" s="384" t="s">
        <v>745</v>
      </c>
      <c r="AL390" s="17"/>
      <c r="AM390" s="61"/>
      <c r="AN390" s="61"/>
      <c r="AO390" s="61"/>
      <c r="AP390" s="61"/>
      <c r="AQ390" s="61"/>
      <c r="AR390" s="61"/>
      <c r="AS390" s="189">
        <v>0.75</v>
      </c>
      <c r="AT390" s="64"/>
      <c r="AU390" s="64" t="s">
        <v>766</v>
      </c>
      <c r="AV390" s="132"/>
      <c r="AW390" s="132"/>
      <c r="AX390" s="132"/>
      <c r="AY390" s="28" t="s">
        <v>662</v>
      </c>
      <c r="AZ390" s="28"/>
      <c r="BA390" s="28"/>
      <c r="BB390" s="28"/>
      <c r="BC390" s="28"/>
      <c r="BD390" s="28"/>
      <c r="BE390" s="28"/>
      <c r="BF390" s="28"/>
      <c r="BG390" s="28"/>
      <c r="BH390" s="106"/>
      <c r="BI390" s="106"/>
      <c r="BJ390" s="106"/>
      <c r="BK390" s="106"/>
      <c r="BL390" s="137"/>
      <c r="BM390" s="123"/>
      <c r="BN390" s="139">
        <v>0</v>
      </c>
      <c r="BO390" s="94"/>
      <c r="BP390" s="94"/>
      <c r="BQ390" s="94"/>
      <c r="BR390" s="94"/>
      <c r="BS390" s="94"/>
      <c r="BT390" s="94"/>
      <c r="BU390" s="28">
        <f t="shared" si="283"/>
        <v>0</v>
      </c>
      <c r="BV390" s="28"/>
      <c r="BW390" s="28"/>
      <c r="BX390" s="28"/>
      <c r="BY390" s="28"/>
      <c r="BZ390" s="28"/>
      <c r="CA390" s="28"/>
      <c r="CB390" s="99">
        <v>0</v>
      </c>
      <c r="CC390" s="99">
        <v>1000</v>
      </c>
      <c r="CD390" s="99">
        <v>1000</v>
      </c>
      <c r="CE390" s="99">
        <v>1000</v>
      </c>
      <c r="CF390" s="99">
        <v>1000</v>
      </c>
      <c r="CG390" s="99">
        <v>1000</v>
      </c>
      <c r="CH390" s="99">
        <v>1000</v>
      </c>
      <c r="CI390" s="175"/>
      <c r="CJ390" s="175"/>
      <c r="CK390" s="175"/>
      <c r="CL390" s="175"/>
      <c r="CM390" s="175"/>
      <c r="CN390" s="175"/>
      <c r="CO390" s="175"/>
      <c r="CP390" s="176"/>
      <c r="CQ390" s="176"/>
      <c r="CR390" s="176"/>
      <c r="CS390" s="176"/>
      <c r="CT390" s="176"/>
      <c r="CU390" s="176"/>
      <c r="CV390" s="176"/>
      <c r="CW390" s="167"/>
      <c r="CX390" s="168"/>
      <c r="CY390" s="168"/>
      <c r="CZ390" s="168"/>
      <c r="DA390" s="168"/>
      <c r="DB390" s="168"/>
      <c r="DC390" s="168"/>
      <c r="DD390" s="172"/>
      <c r="DE390" s="172"/>
      <c r="DF390" s="172"/>
      <c r="DG390" s="172"/>
      <c r="DH390" s="172"/>
      <c r="DI390" s="172"/>
      <c r="DJ390" s="172"/>
      <c r="DK390" s="200" t="s">
        <v>1607</v>
      </c>
      <c r="DL390" s="129">
        <v>1000</v>
      </c>
      <c r="DM390" s="129">
        <v>1000</v>
      </c>
      <c r="DN390" s="129">
        <v>1000</v>
      </c>
      <c r="DO390" s="129">
        <v>1000</v>
      </c>
      <c r="DP390" s="129">
        <v>1000</v>
      </c>
      <c r="DQ390" s="129">
        <v>1000</v>
      </c>
      <c r="DR390" s="129">
        <v>1000</v>
      </c>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5" t="s">
        <v>1608</v>
      </c>
      <c r="B391" s="5" t="s">
        <v>740</v>
      </c>
      <c r="C391" s="5" t="s">
        <v>788</v>
      </c>
      <c r="D391" s="5" t="s">
        <v>497</v>
      </c>
      <c r="E391" s="5" t="s">
        <v>1525</v>
      </c>
      <c r="F391" s="5" t="s">
        <v>496</v>
      </c>
      <c r="G391" s="221" t="s">
        <v>1609</v>
      </c>
      <c r="H391" s="47" t="s">
        <v>1606</v>
      </c>
      <c r="I391" s="184">
        <f>1800*107.3/100</f>
        <v>1931.4</v>
      </c>
      <c r="J391" s="102">
        <f>($L$341-$I$341)/($L$4-$I$4)*(J53-I53)+I391</f>
        <v>1931.4</v>
      </c>
      <c r="K391" s="184">
        <f>829.5</f>
        <v>829.5</v>
      </c>
      <c r="L391" s="102">
        <f>($O$390-$K$390)/($O$4-$K$4)*(L4-K4)+K391</f>
        <v>829.5</v>
      </c>
      <c r="M391" s="102">
        <f>($O$390-$K$390)/($O$4-$K$4)*(M4-L4)+L391</f>
        <v>829.5</v>
      </c>
      <c r="N391" s="102">
        <f>($O$390-$K$390)/($O$4-$K$4)*(N4-M4)+M391</f>
        <v>829.5</v>
      </c>
      <c r="O391" s="184">
        <f>K391</f>
        <v>829.5</v>
      </c>
      <c r="P391" s="93"/>
      <c r="Q391" s="184">
        <f>I391*0.02</f>
        <v>38.628</v>
      </c>
      <c r="R391" s="184">
        <f t="shared" ref="R391:W391" si="316">J391*0.02</f>
        <v>38.628</v>
      </c>
      <c r="S391" s="184">
        <f t="shared" si="316"/>
        <v>16.59</v>
      </c>
      <c r="T391" s="184">
        <f t="shared" si="316"/>
        <v>16.59</v>
      </c>
      <c r="U391" s="184">
        <f t="shared" si="316"/>
        <v>16.59</v>
      </c>
      <c r="V391" s="184">
        <f t="shared" si="316"/>
        <v>16.59</v>
      </c>
      <c r="W391" s="184">
        <f t="shared" si="316"/>
        <v>16.59</v>
      </c>
      <c r="X391" s="184">
        <f>0.37*I391/(0.0036*55000)</f>
        <v>3.6091818181818183</v>
      </c>
      <c r="Y391" s="184">
        <f>0.37*J391/(0.0036*65500)</f>
        <v>3.030610687022901</v>
      </c>
      <c r="Z391" s="184">
        <f>0.37*K391/(0.0036*77500)</f>
        <v>1.1000537634408603</v>
      </c>
      <c r="AA391" s="184">
        <f t="shared" ref="AA391" si="317">0.37*L391/(0.0036*77500)</f>
        <v>1.1000537634408603</v>
      </c>
      <c r="AB391" s="184">
        <f>0.37*M391/(0.0036*90000)</f>
        <v>0.94726851851851857</v>
      </c>
      <c r="AC391" s="184">
        <f>0.37*N391/(0.0036*90000)</f>
        <v>0.94726851851851857</v>
      </c>
      <c r="AD391" s="184">
        <f>0.37*O391/(0.0036*105000)</f>
        <v>0.81194444444444447</v>
      </c>
      <c r="AE391" s="186">
        <v>0.08</v>
      </c>
      <c r="AF391" s="93">
        <v>0</v>
      </c>
      <c r="AG391" s="93">
        <v>20</v>
      </c>
      <c r="AH391" s="93">
        <v>20</v>
      </c>
      <c r="AI391" s="16">
        <v>31.536000000000001</v>
      </c>
      <c r="AJ391" s="16" t="s">
        <v>765</v>
      </c>
      <c r="AK391" s="16" t="s">
        <v>745</v>
      </c>
      <c r="AL391" s="16"/>
      <c r="AM391" s="60"/>
      <c r="AN391" s="60"/>
      <c r="AO391" s="60"/>
      <c r="AP391" s="60"/>
      <c r="AQ391" s="60"/>
      <c r="AR391" s="60"/>
      <c r="AS391" s="189">
        <v>0.9</v>
      </c>
      <c r="AT391" s="63"/>
      <c r="AU391" s="63" t="s">
        <v>766</v>
      </c>
      <c r="AV391" s="131"/>
      <c r="AW391" s="131"/>
      <c r="AX391" s="131"/>
      <c r="AY391" s="27" t="s">
        <v>662</v>
      </c>
      <c r="AZ391" s="27"/>
      <c r="BA391" s="27"/>
      <c r="BB391" s="30"/>
      <c r="BC391" s="30"/>
      <c r="BD391" s="30"/>
      <c r="BE391" s="30"/>
      <c r="BF391" s="30"/>
      <c r="BG391" s="30"/>
      <c r="BH391" s="107"/>
      <c r="BI391" s="107"/>
      <c r="BJ391" s="107"/>
      <c r="BK391" s="107"/>
      <c r="BL391" s="136"/>
      <c r="BM391" s="122"/>
      <c r="BN391" s="138">
        <v>0</v>
      </c>
      <c r="BO391" s="93"/>
      <c r="BP391" s="93"/>
      <c r="BQ391" s="93"/>
      <c r="BR391" s="93"/>
      <c r="BS391" s="93"/>
      <c r="BT391" s="93"/>
      <c r="BU391" s="27">
        <f t="shared" si="283"/>
        <v>0</v>
      </c>
      <c r="BV391" s="27"/>
      <c r="BW391" s="27"/>
      <c r="BX391" s="27"/>
      <c r="BY391" s="27"/>
      <c r="BZ391" s="27"/>
      <c r="CA391" s="27"/>
      <c r="CB391" s="97">
        <v>0</v>
      </c>
      <c r="CC391" s="97">
        <v>1000</v>
      </c>
      <c r="CD391" s="97">
        <v>1000</v>
      </c>
      <c r="CE391" s="97">
        <v>1000</v>
      </c>
      <c r="CF391" s="97">
        <v>1000</v>
      </c>
      <c r="CG391" s="97">
        <v>1000</v>
      </c>
      <c r="CH391" s="97">
        <v>1000</v>
      </c>
      <c r="CI391" s="173"/>
      <c r="CJ391" s="173"/>
      <c r="CK391" s="173"/>
      <c r="CL391" s="173"/>
      <c r="CM391" s="173"/>
      <c r="CN391" s="173"/>
      <c r="CO391" s="173"/>
      <c r="CP391" s="174"/>
      <c r="CQ391" s="174"/>
      <c r="CR391" s="174"/>
      <c r="CS391" s="174"/>
      <c r="CT391" s="174"/>
      <c r="CU391" s="174"/>
      <c r="CV391" s="174"/>
      <c r="CW391" s="165"/>
      <c r="CX391" s="166"/>
      <c r="CY391" s="166"/>
      <c r="CZ391" s="166"/>
      <c r="DA391" s="166"/>
      <c r="DB391" s="166"/>
      <c r="DC391" s="166"/>
      <c r="DD391" s="171"/>
      <c r="DE391" s="171"/>
      <c r="DF391" s="171"/>
      <c r="DG391" s="171"/>
      <c r="DH391" s="171"/>
      <c r="DI391" s="171"/>
      <c r="DJ391" s="171"/>
      <c r="DK391" s="200" t="s">
        <v>1610</v>
      </c>
      <c r="DL391" s="128">
        <v>1000</v>
      </c>
      <c r="DM391" s="128">
        <v>1000</v>
      </c>
      <c r="DN391" s="128">
        <v>1000</v>
      </c>
      <c r="DO391" s="128">
        <v>1000</v>
      </c>
      <c r="DP391" s="128">
        <v>1000</v>
      </c>
      <c r="DQ391" s="128">
        <v>1000</v>
      </c>
      <c r="DR391" s="128">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6" t="s">
        <v>1611</v>
      </c>
      <c r="B392" s="6" t="s">
        <v>740</v>
      </c>
      <c r="C392" s="6" t="s">
        <v>788</v>
      </c>
      <c r="D392" s="6" t="s">
        <v>497</v>
      </c>
      <c r="E392" s="6" t="s">
        <v>1525</v>
      </c>
      <c r="F392" s="6" t="s">
        <v>496</v>
      </c>
      <c r="G392" s="221" t="s">
        <v>1612</v>
      </c>
      <c r="H392" s="48" t="s">
        <v>1606</v>
      </c>
      <c r="I392" s="184">
        <f>2900</f>
        <v>2900</v>
      </c>
      <c r="J392" s="102">
        <v>3000</v>
      </c>
      <c r="K392" s="102">
        <v>2200</v>
      </c>
      <c r="L392" s="102">
        <v>1800</v>
      </c>
      <c r="M392" s="102">
        <v>1500</v>
      </c>
      <c r="N392" s="102">
        <v>1300</v>
      </c>
      <c r="O392" s="184">
        <f>K392</f>
        <v>2200</v>
      </c>
      <c r="P392" s="94"/>
      <c r="Q392" s="184">
        <f>I392*0.12</f>
        <v>348</v>
      </c>
      <c r="R392" s="184">
        <f t="shared" ref="R392:W392" si="318">J392*0.12</f>
        <v>360</v>
      </c>
      <c r="S392" s="184">
        <f t="shared" si="318"/>
        <v>264</v>
      </c>
      <c r="T392" s="184">
        <f t="shared" si="318"/>
        <v>216</v>
      </c>
      <c r="U392" s="184">
        <f t="shared" si="318"/>
        <v>180</v>
      </c>
      <c r="V392" s="184">
        <f t="shared" si="318"/>
        <v>156</v>
      </c>
      <c r="W392" s="184">
        <f t="shared" si="318"/>
        <v>264</v>
      </c>
      <c r="X392" s="184">
        <f>0.68*I392/(0.0036*21250)</f>
        <v>25.777777777777782</v>
      </c>
      <c r="Y392" s="184">
        <f>0.68*J392/(0.0036*34500)</f>
        <v>16.425120772946862</v>
      </c>
      <c r="Z392" s="184">
        <f>0.68*K392/(0.0036*50000)</f>
        <v>8.3111111111111118</v>
      </c>
      <c r="AA392" s="184">
        <f>0.68*L392/(0.0036*50000)</f>
        <v>6.8</v>
      </c>
      <c r="AB392" s="184">
        <f>0.68*M392/(0.0036*64500)</f>
        <v>4.3927648578811374</v>
      </c>
      <c r="AC392" s="184">
        <f>0.68*N392/(0.0036*64500)</f>
        <v>3.8070628768303192</v>
      </c>
      <c r="AD392" s="184">
        <f>0.68*O392/(0.0036*82500)</f>
        <v>5.0370370370370372</v>
      </c>
      <c r="AE392" s="186">
        <v>0.08</v>
      </c>
      <c r="AF392" s="94">
        <v>0</v>
      </c>
      <c r="AG392" s="94">
        <v>20</v>
      </c>
      <c r="AH392" s="94">
        <v>20</v>
      </c>
      <c r="AI392" s="17">
        <v>31.536000000000001</v>
      </c>
      <c r="AJ392" s="17" t="s">
        <v>765</v>
      </c>
      <c r="AK392" s="17" t="s">
        <v>745</v>
      </c>
      <c r="AL392" s="17"/>
      <c r="AM392" s="61"/>
      <c r="AN392" s="61"/>
      <c r="AO392" s="61"/>
      <c r="AP392" s="61"/>
      <c r="AQ392" s="61"/>
      <c r="AR392" s="61"/>
      <c r="AS392" s="189">
        <v>0.9</v>
      </c>
      <c r="AT392" s="64"/>
      <c r="AU392" s="64" t="s">
        <v>766</v>
      </c>
      <c r="AV392" s="132"/>
      <c r="AW392" s="132"/>
      <c r="AX392" s="132"/>
      <c r="AY392" s="28" t="s">
        <v>662</v>
      </c>
      <c r="AZ392" s="28"/>
      <c r="BA392" s="28"/>
      <c r="BB392" s="28"/>
      <c r="BC392" s="28"/>
      <c r="BD392" s="28"/>
      <c r="BE392" s="28"/>
      <c r="BF392" s="28"/>
      <c r="BG392" s="28"/>
      <c r="BH392" s="106"/>
      <c r="BI392" s="106"/>
      <c r="BJ392" s="106"/>
      <c r="BK392" s="106"/>
      <c r="BL392" s="137"/>
      <c r="BM392" s="123"/>
      <c r="BN392" s="139">
        <v>0</v>
      </c>
      <c r="BO392" s="94"/>
      <c r="BP392" s="94"/>
      <c r="BQ392" s="94"/>
      <c r="BR392" s="94"/>
      <c r="BS392" s="94"/>
      <c r="BT392" s="94"/>
      <c r="BU392" s="28">
        <f t="shared" si="283"/>
        <v>0</v>
      </c>
      <c r="BV392" s="28"/>
      <c r="BW392" s="28"/>
      <c r="BX392" s="28"/>
      <c r="BY392" s="28"/>
      <c r="BZ392" s="28"/>
      <c r="CA392" s="28"/>
      <c r="CB392" s="99">
        <v>0</v>
      </c>
      <c r="CC392" s="185">
        <v>1000</v>
      </c>
      <c r="CD392" s="185">
        <v>1000</v>
      </c>
      <c r="CE392" s="185">
        <v>1000</v>
      </c>
      <c r="CF392" s="185">
        <v>1000</v>
      </c>
      <c r="CG392" s="185">
        <v>1000</v>
      </c>
      <c r="CH392" s="185">
        <v>1000</v>
      </c>
      <c r="CI392" s="175"/>
      <c r="CJ392" s="175"/>
      <c r="CK392" s="175"/>
      <c r="CL392" s="175"/>
      <c r="CM392" s="175"/>
      <c r="CN392" s="175"/>
      <c r="CO392" s="175"/>
      <c r="CP392" s="176"/>
      <c r="CQ392" s="176"/>
      <c r="CR392" s="176"/>
      <c r="CS392" s="176"/>
      <c r="CT392" s="176"/>
      <c r="CU392" s="176"/>
      <c r="CV392" s="176"/>
      <c r="CW392" s="167"/>
      <c r="CX392" s="168"/>
      <c r="CY392" s="168"/>
      <c r="CZ392" s="168"/>
      <c r="DA392" s="168"/>
      <c r="DB392" s="168"/>
      <c r="DC392" s="168"/>
      <c r="DD392" s="172"/>
      <c r="DE392" s="172"/>
      <c r="DF392" s="172"/>
      <c r="DG392" s="172"/>
      <c r="DH392" s="172"/>
      <c r="DI392" s="172"/>
      <c r="DJ392" s="172"/>
      <c r="DK392" s="200" t="s">
        <v>1613</v>
      </c>
      <c r="DL392" s="129">
        <v>1000</v>
      </c>
      <c r="DM392" s="129">
        <v>1000</v>
      </c>
      <c r="DN392" s="129">
        <v>1000</v>
      </c>
      <c r="DO392" s="129">
        <v>1000</v>
      </c>
      <c r="DP392" s="129">
        <v>1000</v>
      </c>
      <c r="DQ392" s="129">
        <v>1000</v>
      </c>
      <c r="DR392" s="129">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1614</v>
      </c>
      <c r="B393" s="6" t="s">
        <v>740</v>
      </c>
      <c r="C393" s="6" t="s">
        <v>788</v>
      </c>
      <c r="D393" s="6" t="s">
        <v>497</v>
      </c>
      <c r="E393" s="6" t="s">
        <v>1475</v>
      </c>
      <c r="F393" s="6" t="s">
        <v>496</v>
      </c>
      <c r="G393" s="221" t="s">
        <v>1615</v>
      </c>
      <c r="H393" s="48" t="s">
        <v>659</v>
      </c>
      <c r="I393" s="184">
        <f>20.708</f>
        <v>20.707999999999998</v>
      </c>
      <c r="J393" s="102">
        <f>I393</f>
        <v>20.707999999999998</v>
      </c>
      <c r="K393" s="102">
        <f t="shared" ref="K393:O393" si="319">J393</f>
        <v>20.707999999999998</v>
      </c>
      <c r="L393" s="102">
        <f t="shared" si="319"/>
        <v>20.707999999999998</v>
      </c>
      <c r="M393" s="102">
        <f t="shared" si="319"/>
        <v>20.707999999999998</v>
      </c>
      <c r="N393" s="102">
        <f t="shared" si="319"/>
        <v>20.707999999999998</v>
      </c>
      <c r="O393" s="102">
        <f t="shared" si="319"/>
        <v>20.707999999999998</v>
      </c>
      <c r="P393" s="94"/>
      <c r="Q393" s="184">
        <f>0.05*I393</f>
        <v>1.0353999999999999</v>
      </c>
      <c r="R393" s="184">
        <f t="shared" ref="R393:W393" si="320">0.05*J393</f>
        <v>1.0353999999999999</v>
      </c>
      <c r="S393" s="184">
        <f t="shared" si="320"/>
        <v>1.0353999999999999</v>
      </c>
      <c r="T393" s="184">
        <f t="shared" si="320"/>
        <v>1.0353999999999999</v>
      </c>
      <c r="U393" s="184">
        <f t="shared" si="320"/>
        <v>1.0353999999999999</v>
      </c>
      <c r="V393" s="184">
        <f t="shared" si="320"/>
        <v>1.0353999999999999</v>
      </c>
      <c r="W393" s="184">
        <f t="shared" si="320"/>
        <v>1.0353999999999999</v>
      </c>
      <c r="X393" s="184">
        <v>0</v>
      </c>
      <c r="Y393" s="184">
        <v>0</v>
      </c>
      <c r="Z393" s="184">
        <v>0</v>
      </c>
      <c r="AA393" s="184">
        <v>0</v>
      </c>
      <c r="AB393" s="184">
        <v>0</v>
      </c>
      <c r="AC393" s="184">
        <v>0</v>
      </c>
      <c r="AD393" s="184">
        <v>0</v>
      </c>
      <c r="AE393" s="186">
        <v>0.08</v>
      </c>
      <c r="AF393" s="94"/>
      <c r="AG393" s="94">
        <v>20</v>
      </c>
      <c r="AH393" s="94">
        <v>20</v>
      </c>
      <c r="AI393" s="17">
        <v>1</v>
      </c>
      <c r="AJ393" s="16" t="s">
        <v>660</v>
      </c>
      <c r="AK393" s="17" t="s">
        <v>745</v>
      </c>
      <c r="AL393" s="17"/>
      <c r="AM393" s="61"/>
      <c r="AN393" s="61"/>
      <c r="AO393" s="61"/>
      <c r="AP393" s="61"/>
      <c r="AQ393" s="61"/>
      <c r="AR393" s="61"/>
      <c r="AS393" s="189"/>
      <c r="AT393" s="64"/>
      <c r="AU393" s="64"/>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83"/>
        <v>0</v>
      </c>
      <c r="BV393" s="28"/>
      <c r="BW393" s="28"/>
      <c r="BX393" s="28"/>
      <c r="BY393" s="28"/>
      <c r="BZ393" s="28"/>
      <c r="CA393" s="28"/>
      <c r="CB393" s="99"/>
      <c r="CC393" s="185"/>
      <c r="CD393" s="185"/>
      <c r="CE393" s="185"/>
      <c r="CF393" s="185"/>
      <c r="CG393" s="185"/>
      <c r="CH393" s="185"/>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80" t="s">
        <v>792</v>
      </c>
      <c r="DL393" s="129"/>
      <c r="DM393" s="129"/>
      <c r="DN393" s="129"/>
      <c r="DO393" s="129"/>
      <c r="DP393" s="129"/>
      <c r="DQ393" s="129"/>
      <c r="DR393" s="129"/>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5" t="s">
        <v>1616</v>
      </c>
      <c r="B394" s="5" t="s">
        <v>740</v>
      </c>
      <c r="C394" s="5" t="s">
        <v>788</v>
      </c>
      <c r="D394" s="5" t="s">
        <v>497</v>
      </c>
      <c r="E394" s="5" t="s">
        <v>1309</v>
      </c>
      <c r="F394" s="5" t="s">
        <v>496</v>
      </c>
      <c r="G394" s="47" t="s">
        <v>1617</v>
      </c>
      <c r="H394" s="47" t="s">
        <v>1563</v>
      </c>
      <c r="I394" s="101">
        <v>3.6</v>
      </c>
      <c r="J394" s="101">
        <v>3.6</v>
      </c>
      <c r="K394" s="101">
        <v>3.6</v>
      </c>
      <c r="L394" s="101">
        <v>3.6</v>
      </c>
      <c r="M394" s="101">
        <v>3.6</v>
      </c>
      <c r="N394" s="101">
        <v>3.6</v>
      </c>
      <c r="O394" s="101">
        <v>3.6</v>
      </c>
      <c r="P394" s="93"/>
      <c r="Q394" s="101">
        <v>0.14000000000000001</v>
      </c>
      <c r="R394" s="101">
        <v>0.14000000000000001</v>
      </c>
      <c r="S394" s="101">
        <v>0.14000000000000001</v>
      </c>
      <c r="T394" s="101">
        <v>0.14000000000000001</v>
      </c>
      <c r="U394" s="101">
        <v>0.14000000000000001</v>
      </c>
      <c r="V394" s="101">
        <v>0.14000000000000001</v>
      </c>
      <c r="W394" s="101">
        <v>0.14000000000000001</v>
      </c>
      <c r="X394" s="101">
        <v>0</v>
      </c>
      <c r="Y394" s="101">
        <v>0</v>
      </c>
      <c r="Z394" s="101">
        <v>0</v>
      </c>
      <c r="AA394" s="101">
        <v>0</v>
      </c>
      <c r="AB394" s="101">
        <v>0</v>
      </c>
      <c r="AC394" s="101">
        <v>0</v>
      </c>
      <c r="AD394" s="101">
        <v>0</v>
      </c>
      <c r="AE394" s="186">
        <v>0.08</v>
      </c>
      <c r="AF394" s="93">
        <v>0</v>
      </c>
      <c r="AG394" s="93">
        <v>40</v>
      </c>
      <c r="AH394" s="93">
        <v>50</v>
      </c>
      <c r="AI394" s="16">
        <v>1.3140000000000001</v>
      </c>
      <c r="AJ394" s="16" t="s">
        <v>1575</v>
      </c>
      <c r="AK394" s="16" t="s">
        <v>745</v>
      </c>
      <c r="AL394" s="16"/>
      <c r="AM394" s="60"/>
      <c r="AN394" s="60"/>
      <c r="AO394" s="60"/>
      <c r="AP394" s="60"/>
      <c r="AQ394" s="60"/>
      <c r="AR394" s="60"/>
      <c r="AS394" s="63"/>
      <c r="AT394" s="63"/>
      <c r="AU394" s="63"/>
      <c r="AV394" s="131"/>
      <c r="AW394" s="131"/>
      <c r="AX394" s="131"/>
      <c r="AY394" s="27" t="s">
        <v>662</v>
      </c>
      <c r="AZ394" s="27"/>
      <c r="BA394" s="27"/>
      <c r="BB394" s="30"/>
      <c r="BC394" s="30"/>
      <c r="BD394" s="30"/>
      <c r="BE394" s="30"/>
      <c r="BF394" s="30"/>
      <c r="BG394" s="30"/>
      <c r="BH394" s="107" t="s">
        <v>496</v>
      </c>
      <c r="BI394" s="107">
        <v>2.7000000000000001E-3</v>
      </c>
      <c r="BJ394" s="107">
        <v>4.4000000000000003E-3</v>
      </c>
      <c r="BK394" s="107">
        <v>12</v>
      </c>
      <c r="BL394" s="136"/>
      <c r="BM394" s="122"/>
      <c r="BN394" s="138">
        <v>0</v>
      </c>
      <c r="BO394" s="93"/>
      <c r="BP394" s="93"/>
      <c r="BQ394" s="93"/>
      <c r="BR394" s="93"/>
      <c r="BS394" s="93"/>
      <c r="BT394" s="93"/>
      <c r="BU394" s="27">
        <f t="shared" si="283"/>
        <v>0</v>
      </c>
      <c r="BV394" s="27"/>
      <c r="BW394" s="27"/>
      <c r="BX394" s="27"/>
      <c r="BY394" s="27"/>
      <c r="BZ394" s="27"/>
      <c r="CA394" s="27"/>
      <c r="CB394" s="97">
        <v>100</v>
      </c>
      <c r="CC394" s="97">
        <v>100</v>
      </c>
      <c r="CD394" s="97">
        <v>100</v>
      </c>
      <c r="CE394" s="97">
        <v>1000</v>
      </c>
      <c r="CF394" s="97">
        <v>1000</v>
      </c>
      <c r="CG394" s="97">
        <v>1000</v>
      </c>
      <c r="CH394" s="97">
        <v>1000</v>
      </c>
      <c r="CI394" s="173"/>
      <c r="CJ394" s="173"/>
      <c r="CK394" s="173"/>
      <c r="CL394" s="173"/>
      <c r="CM394" s="173"/>
      <c r="CN394" s="173"/>
      <c r="CO394" s="173"/>
      <c r="CP394" s="174"/>
      <c r="CQ394" s="174"/>
      <c r="CR394" s="174"/>
      <c r="CS394" s="174"/>
      <c r="CT394" s="174"/>
      <c r="CU394" s="174"/>
      <c r="CV394" s="174"/>
      <c r="CW394" s="165"/>
      <c r="CX394" s="166"/>
      <c r="CY394" s="166"/>
      <c r="CZ394" s="166"/>
      <c r="DA394" s="166"/>
      <c r="DB394" s="166"/>
      <c r="DC394" s="166"/>
      <c r="DD394" s="171"/>
      <c r="DE394" s="171"/>
      <c r="DF394" s="171"/>
      <c r="DG394" s="171"/>
      <c r="DH394" s="171"/>
      <c r="DI394" s="171"/>
      <c r="DJ394" s="171"/>
      <c r="DK394" s="79" t="s">
        <v>415</v>
      </c>
      <c r="DL394" s="128">
        <v>1000</v>
      </c>
      <c r="DM394" s="128">
        <v>1000</v>
      </c>
      <c r="DN394" s="128">
        <v>1000</v>
      </c>
      <c r="DO394" s="128">
        <v>1000</v>
      </c>
      <c r="DP394" s="128">
        <v>1000</v>
      </c>
      <c r="DQ394" s="128">
        <v>1000</v>
      </c>
      <c r="DR394" s="128">
        <v>1000</v>
      </c>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6" t="s">
        <v>1618</v>
      </c>
      <c r="B395" s="6" t="s">
        <v>740</v>
      </c>
      <c r="C395" s="6" t="s">
        <v>788</v>
      </c>
      <c r="D395" s="6" t="s">
        <v>497</v>
      </c>
      <c r="E395" s="6" t="s">
        <v>1309</v>
      </c>
      <c r="F395" s="6" t="s">
        <v>496</v>
      </c>
      <c r="G395" s="48" t="s">
        <v>1619</v>
      </c>
      <c r="H395" s="48" t="s">
        <v>1563</v>
      </c>
      <c r="I395" s="102">
        <v>6.49</v>
      </c>
      <c r="J395" s="102">
        <v>6.49</v>
      </c>
      <c r="K395" s="102">
        <v>6.49</v>
      </c>
      <c r="L395" s="102">
        <v>6.49</v>
      </c>
      <c r="M395" s="102">
        <v>6.49</v>
      </c>
      <c r="N395" s="102">
        <v>6.49</v>
      </c>
      <c r="O395" s="102">
        <v>6.49</v>
      </c>
      <c r="P395" s="94"/>
      <c r="Q395" s="102">
        <v>0.19</v>
      </c>
      <c r="R395" s="102">
        <v>0.19</v>
      </c>
      <c r="S395" s="102">
        <v>0.19</v>
      </c>
      <c r="T395" s="102">
        <v>0.19</v>
      </c>
      <c r="U395" s="102">
        <v>0.19</v>
      </c>
      <c r="V395" s="102">
        <v>0.19</v>
      </c>
      <c r="W395" s="102">
        <v>0.19</v>
      </c>
      <c r="X395" s="102">
        <v>0</v>
      </c>
      <c r="Y395" s="102">
        <v>0</v>
      </c>
      <c r="Z395" s="102">
        <v>0</v>
      </c>
      <c r="AA395" s="102">
        <v>0</v>
      </c>
      <c r="AB395" s="102">
        <v>0</v>
      </c>
      <c r="AC395" s="102">
        <v>0</v>
      </c>
      <c r="AD395" s="102">
        <v>0</v>
      </c>
      <c r="AE395" s="186">
        <v>0.08</v>
      </c>
      <c r="AF395" s="94">
        <v>0</v>
      </c>
      <c r="AG395" s="94">
        <v>40</v>
      </c>
      <c r="AH395" s="94">
        <v>50</v>
      </c>
      <c r="AI395" s="17">
        <v>1.3140000000000001</v>
      </c>
      <c r="AJ395" s="17" t="s">
        <v>1575</v>
      </c>
      <c r="AK395" s="17" t="s">
        <v>745</v>
      </c>
      <c r="AL395" s="17"/>
      <c r="AM395" s="61"/>
      <c r="AN395" s="61"/>
      <c r="AO395" s="61"/>
      <c r="AP395" s="61"/>
      <c r="AQ395" s="61"/>
      <c r="AR395" s="61"/>
      <c r="AS395" s="64"/>
      <c r="AT395" s="64"/>
      <c r="AU395" s="64"/>
      <c r="AV395" s="132"/>
      <c r="AW395" s="132"/>
      <c r="AX395" s="132"/>
      <c r="AY395" s="28" t="s">
        <v>662</v>
      </c>
      <c r="AZ395" s="28"/>
      <c r="BA395" s="28"/>
      <c r="BB395" s="28"/>
      <c r="BC395" s="28"/>
      <c r="BD395" s="28"/>
      <c r="BE395" s="28"/>
      <c r="BF395" s="28"/>
      <c r="BG395" s="28"/>
      <c r="BH395" s="106" t="s">
        <v>496</v>
      </c>
      <c r="BI395" s="106">
        <v>3.0000000000000001E-3</v>
      </c>
      <c r="BJ395" s="106">
        <v>4.0000000000000001E-3</v>
      </c>
      <c r="BK395" s="106">
        <v>100</v>
      </c>
      <c r="BL395" s="137"/>
      <c r="BM395" s="123"/>
      <c r="BN395" s="139">
        <v>0</v>
      </c>
      <c r="BO395" s="94"/>
      <c r="BP395" s="94"/>
      <c r="BQ395" s="94"/>
      <c r="BR395" s="94"/>
      <c r="BS395" s="94"/>
      <c r="BT395" s="94"/>
      <c r="BU395" s="28">
        <f t="shared" si="283"/>
        <v>0</v>
      </c>
      <c r="BV395" s="28"/>
      <c r="BW395" s="28"/>
      <c r="BX395" s="28"/>
      <c r="BY395" s="28"/>
      <c r="BZ395" s="28"/>
      <c r="CA395" s="28"/>
      <c r="CB395" s="99">
        <v>100</v>
      </c>
      <c r="CC395" s="99">
        <v>100</v>
      </c>
      <c r="CD395" s="99">
        <v>100</v>
      </c>
      <c r="CE395" s="99">
        <v>1000</v>
      </c>
      <c r="CF395" s="99">
        <v>1000</v>
      </c>
      <c r="CG395" s="99">
        <v>1000</v>
      </c>
      <c r="CH395" s="99">
        <v>1000</v>
      </c>
      <c r="CI395" s="175"/>
      <c r="CJ395" s="175"/>
      <c r="CK395" s="175"/>
      <c r="CL395" s="175"/>
      <c r="CM395" s="175"/>
      <c r="CN395" s="175"/>
      <c r="CO395" s="175"/>
      <c r="CP395" s="176"/>
      <c r="CQ395" s="176"/>
      <c r="CR395" s="176"/>
      <c r="CS395" s="176"/>
      <c r="CT395" s="176"/>
      <c r="CU395" s="176"/>
      <c r="CV395" s="176"/>
      <c r="CW395" s="167"/>
      <c r="CX395" s="168"/>
      <c r="CY395" s="168"/>
      <c r="CZ395" s="168"/>
      <c r="DA395" s="168"/>
      <c r="DB395" s="168"/>
      <c r="DC395" s="168"/>
      <c r="DD395" s="172"/>
      <c r="DE395" s="172"/>
      <c r="DF395" s="172"/>
      <c r="DG395" s="172"/>
      <c r="DH395" s="172"/>
      <c r="DI395" s="172"/>
      <c r="DJ395" s="172"/>
      <c r="DK395" s="80" t="s">
        <v>415</v>
      </c>
      <c r="DL395" s="129">
        <v>1000</v>
      </c>
      <c r="DM395" s="129">
        <v>1000</v>
      </c>
      <c r="DN395" s="129">
        <v>1000</v>
      </c>
      <c r="DO395" s="129">
        <v>1000</v>
      </c>
      <c r="DP395" s="129">
        <v>1000</v>
      </c>
      <c r="DQ395" s="129">
        <v>1000</v>
      </c>
      <c r="DR395" s="129">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223" t="s">
        <v>1620</v>
      </c>
      <c r="B396" s="223" t="s">
        <v>740</v>
      </c>
      <c r="C396" s="223" t="s">
        <v>817</v>
      </c>
      <c r="D396" s="223" t="s">
        <v>497</v>
      </c>
      <c r="E396" s="223" t="s">
        <v>1621</v>
      </c>
      <c r="F396" s="223" t="s">
        <v>496</v>
      </c>
      <c r="G396" s="229" t="s">
        <v>1622</v>
      </c>
      <c r="H396" s="224" t="s">
        <v>659</v>
      </c>
      <c r="I396" s="101">
        <v>0</v>
      </c>
      <c r="J396" s="101">
        <v>0</v>
      </c>
      <c r="K396" s="101">
        <v>0</v>
      </c>
      <c r="L396" s="101">
        <v>0</v>
      </c>
      <c r="M396" s="101">
        <v>0</v>
      </c>
      <c r="N396" s="101">
        <v>0</v>
      </c>
      <c r="O396" s="101">
        <v>0</v>
      </c>
      <c r="P396" s="93">
        <v>0</v>
      </c>
      <c r="Q396" s="101">
        <v>0</v>
      </c>
      <c r="R396" s="101">
        <v>0</v>
      </c>
      <c r="S396" s="101">
        <v>0</v>
      </c>
      <c r="T396" s="101">
        <v>0</v>
      </c>
      <c r="U396" s="101">
        <v>0</v>
      </c>
      <c r="V396" s="101">
        <v>0</v>
      </c>
      <c r="W396" s="101">
        <v>0</v>
      </c>
      <c r="X396" s="101">
        <v>37.74940093114386</v>
      </c>
      <c r="Y396" s="101">
        <v>36.696375663840492</v>
      </c>
      <c r="Z396" s="101">
        <v>35.652211990524748</v>
      </c>
      <c r="AA396" s="101">
        <v>35.305390850647534</v>
      </c>
      <c r="AB396" s="101">
        <v>34.953149010318384</v>
      </c>
      <c r="AC396" s="101">
        <v>34.426874126525668</v>
      </c>
      <c r="AD396" s="101">
        <v>33.904554540008832</v>
      </c>
      <c r="AE396" s="186">
        <v>0.08</v>
      </c>
      <c r="AF396" s="93">
        <v>0</v>
      </c>
      <c r="AG396" s="93">
        <v>1</v>
      </c>
      <c r="AH396" s="93">
        <v>1</v>
      </c>
      <c r="AI396" s="16">
        <v>1</v>
      </c>
      <c r="AJ396" s="16" t="s">
        <v>1569</v>
      </c>
      <c r="AK396" s="16" t="s">
        <v>745</v>
      </c>
      <c r="AL396" s="16"/>
      <c r="AM396" s="60"/>
      <c r="AN396" s="60"/>
      <c r="AO396" s="60"/>
      <c r="AP396" s="60"/>
      <c r="AQ396" s="60"/>
      <c r="AR396" s="60"/>
      <c r="AS396" s="63"/>
      <c r="AT396" s="63"/>
      <c r="AU396" s="63"/>
      <c r="AV396" s="131"/>
      <c r="AW396" s="131"/>
      <c r="AX396" s="131"/>
      <c r="AY396" s="27" t="s">
        <v>662</v>
      </c>
      <c r="AZ396" s="27"/>
      <c r="BA396" s="27"/>
      <c r="BB396" s="30"/>
      <c r="BC396" s="30"/>
      <c r="BD396" s="30"/>
      <c r="BE396" s="30"/>
      <c r="BF396" s="30"/>
      <c r="BG396" s="30"/>
      <c r="BH396" s="107"/>
      <c r="BI396" s="107"/>
      <c r="BJ396" s="107"/>
      <c r="BK396" s="107"/>
      <c r="BL396" s="136"/>
      <c r="BM396" s="122"/>
      <c r="BN396" s="138"/>
      <c r="BO396" s="93"/>
      <c r="BP396" s="93"/>
      <c r="BQ396" s="93"/>
      <c r="BR396" s="93"/>
      <c r="BS396" s="93"/>
      <c r="BT396" s="93"/>
      <c r="BU396" s="27">
        <f t="shared" si="283"/>
        <v>0</v>
      </c>
      <c r="BV396" s="27"/>
      <c r="BW396" s="27"/>
      <c r="BX396" s="27"/>
      <c r="BY396" s="27"/>
      <c r="BZ396" s="27"/>
      <c r="CA396" s="27"/>
      <c r="CB396" s="244"/>
      <c r="CC396" s="244"/>
      <c r="CD396" s="244"/>
      <c r="CE396" s="244"/>
      <c r="CF396" s="244"/>
      <c r="CG396" s="244"/>
      <c r="CH396" s="244"/>
      <c r="CI396" s="173"/>
      <c r="CJ396" s="173"/>
      <c r="CK396" s="173"/>
      <c r="CL396" s="173"/>
      <c r="CM396" s="173"/>
      <c r="CN396" s="173"/>
      <c r="CO396" s="173"/>
      <c r="CP396" s="174"/>
      <c r="CQ396" s="174"/>
      <c r="CR396" s="197"/>
      <c r="CS396" s="197"/>
      <c r="CT396" s="197"/>
      <c r="CU396" s="197"/>
      <c r="CV396" s="197"/>
      <c r="CW396" s="165"/>
      <c r="CX396" s="166"/>
      <c r="CY396" s="166"/>
      <c r="CZ396" s="166"/>
      <c r="DA396" s="166"/>
      <c r="DB396" s="166"/>
      <c r="DC396" s="166"/>
      <c r="DD396" s="171"/>
      <c r="DE396" s="171"/>
      <c r="DF396" s="171"/>
      <c r="DG396" s="171"/>
      <c r="DH396" s="171"/>
      <c r="DI396" s="171"/>
      <c r="DJ396" s="171"/>
      <c r="DK396" s="79"/>
      <c r="DL396" s="128"/>
      <c r="DM396" s="128"/>
      <c r="DN396" s="128"/>
      <c r="DO396" s="128"/>
      <c r="DP396" s="128"/>
      <c r="DQ396" s="128"/>
      <c r="DR396" s="128"/>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6" t="s">
        <v>1623</v>
      </c>
      <c r="B397" s="6" t="s">
        <v>740</v>
      </c>
      <c r="C397" s="6" t="s">
        <v>817</v>
      </c>
      <c r="D397" s="6" t="s">
        <v>497</v>
      </c>
      <c r="E397" s="6" t="s">
        <v>1624</v>
      </c>
      <c r="F397" s="6" t="s">
        <v>496</v>
      </c>
      <c r="G397" s="48" t="s">
        <v>1625</v>
      </c>
      <c r="H397" s="48" t="s">
        <v>659</v>
      </c>
      <c r="I397" s="102">
        <v>0</v>
      </c>
      <c r="J397" s="102">
        <v>0</v>
      </c>
      <c r="K397" s="102">
        <v>0</v>
      </c>
      <c r="L397" s="102">
        <v>0</v>
      </c>
      <c r="M397" s="102">
        <v>0</v>
      </c>
      <c r="N397" s="102">
        <v>0</v>
      </c>
      <c r="O397" s="102">
        <v>0</v>
      </c>
      <c r="P397" s="94">
        <v>0</v>
      </c>
      <c r="Q397" s="102">
        <v>0</v>
      </c>
      <c r="R397" s="102">
        <v>0</v>
      </c>
      <c r="S397" s="102">
        <v>0</v>
      </c>
      <c r="T397" s="102">
        <v>0</v>
      </c>
      <c r="U397" s="102">
        <v>0</v>
      </c>
      <c r="V397" s="102">
        <v>0</v>
      </c>
      <c r="W397" s="102">
        <v>0</v>
      </c>
      <c r="X397" s="102">
        <f>-1*X396</f>
        <v>-37.74940093114386</v>
      </c>
      <c r="Y397" s="102">
        <f t="shared" ref="Y397:AD397" si="321">-1*Y396</f>
        <v>-36.696375663840492</v>
      </c>
      <c r="Z397" s="102">
        <f t="shared" si="321"/>
        <v>-35.652211990524748</v>
      </c>
      <c r="AA397" s="102">
        <f t="shared" si="321"/>
        <v>-35.305390850647534</v>
      </c>
      <c r="AB397" s="102">
        <f t="shared" si="321"/>
        <v>-34.953149010318384</v>
      </c>
      <c r="AC397" s="102">
        <f t="shared" si="321"/>
        <v>-34.426874126525668</v>
      </c>
      <c r="AD397" s="102">
        <f t="shared" si="321"/>
        <v>-33.904554540008832</v>
      </c>
      <c r="AE397" s="186">
        <v>0.08</v>
      </c>
      <c r="AF397" s="94">
        <v>0</v>
      </c>
      <c r="AG397" s="94">
        <v>1</v>
      </c>
      <c r="AH397" s="94">
        <v>1</v>
      </c>
      <c r="AI397" s="17">
        <v>1</v>
      </c>
      <c r="AJ397" s="17" t="s">
        <v>1569</v>
      </c>
      <c r="AK397" s="17" t="s">
        <v>745</v>
      </c>
      <c r="AL397" s="17"/>
      <c r="AM397" s="61"/>
      <c r="AN397" s="61"/>
      <c r="AO397" s="61"/>
      <c r="AP397" s="61"/>
      <c r="AQ397" s="61"/>
      <c r="AR397" s="61"/>
      <c r="AS397" s="64"/>
      <c r="AT397" s="64"/>
      <c r="AU397" s="64"/>
      <c r="AV397" s="132"/>
      <c r="AW397" s="132"/>
      <c r="AX397" s="132"/>
      <c r="AY397" s="28" t="s">
        <v>662</v>
      </c>
      <c r="AZ397" s="28"/>
      <c r="BA397" s="28"/>
      <c r="BB397" s="28"/>
      <c r="BC397" s="28"/>
      <c r="BD397" s="28"/>
      <c r="BE397" s="28"/>
      <c r="BF397" s="28"/>
      <c r="BG397" s="28"/>
      <c r="BH397" s="106"/>
      <c r="BI397" s="106"/>
      <c r="BJ397" s="106"/>
      <c r="BK397" s="106"/>
      <c r="BL397" s="137"/>
      <c r="BM397" s="123"/>
      <c r="BN397" s="139"/>
      <c r="BO397" s="94"/>
      <c r="BP397" s="94"/>
      <c r="BQ397" s="94"/>
      <c r="BR397" s="94"/>
      <c r="BS397" s="94"/>
      <c r="BT397" s="94"/>
      <c r="BU397" s="28">
        <f t="shared" si="283"/>
        <v>0</v>
      </c>
      <c r="BV397" s="281"/>
      <c r="BW397" s="281"/>
      <c r="BX397" s="281"/>
      <c r="BY397" s="281"/>
      <c r="BZ397" s="281"/>
      <c r="CA397" s="281"/>
      <c r="CB397" s="244"/>
      <c r="CC397" s="244"/>
      <c r="CD397" s="244"/>
      <c r="CE397" s="244"/>
      <c r="CF397" s="244"/>
      <c r="CG397" s="244"/>
      <c r="CH397" s="244"/>
      <c r="CI397" s="175"/>
      <c r="CJ397" s="175"/>
      <c r="CK397" s="175"/>
      <c r="CL397" s="175"/>
      <c r="CM397" s="175"/>
      <c r="CN397" s="175"/>
      <c r="CO397" s="175"/>
      <c r="CP397" s="176"/>
      <c r="CQ397" s="176"/>
      <c r="CR397" s="176"/>
      <c r="CS397" s="176"/>
      <c r="CT397" s="176"/>
      <c r="CU397" s="176"/>
      <c r="CV397" s="176"/>
      <c r="CW397" s="167"/>
      <c r="CX397" s="168"/>
      <c r="CY397" s="168"/>
      <c r="CZ397" s="168"/>
      <c r="DA397" s="168"/>
      <c r="DB397" s="168"/>
      <c r="DC397" s="168"/>
      <c r="DD397" s="172"/>
      <c r="DE397" s="172"/>
      <c r="DF397" s="172"/>
      <c r="DG397" s="172"/>
      <c r="DH397" s="172"/>
      <c r="DI397" s="172"/>
      <c r="DJ397" s="172"/>
      <c r="DK397" s="80"/>
      <c r="DL397" s="129"/>
      <c r="DM397" s="129"/>
      <c r="DN397" s="129"/>
      <c r="DO397" s="129"/>
      <c r="DP397" s="129"/>
      <c r="DQ397" s="129"/>
      <c r="DR397" s="129"/>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223" t="s">
        <v>1626</v>
      </c>
      <c r="B398" s="223" t="s">
        <v>740</v>
      </c>
      <c r="C398" s="223" t="s">
        <v>817</v>
      </c>
      <c r="D398" s="223" t="s">
        <v>497</v>
      </c>
      <c r="E398" s="223" t="s">
        <v>1624</v>
      </c>
      <c r="F398" s="223" t="s">
        <v>496</v>
      </c>
      <c r="G398" s="229" t="s">
        <v>1627</v>
      </c>
      <c r="H398" s="224" t="s">
        <v>659</v>
      </c>
      <c r="I398" s="101">
        <v>0</v>
      </c>
      <c r="J398" s="101">
        <v>0</v>
      </c>
      <c r="K398" s="101">
        <v>0</v>
      </c>
      <c r="L398" s="101">
        <v>0</v>
      </c>
      <c r="M398" s="101">
        <v>0</v>
      </c>
      <c r="N398" s="101">
        <v>0</v>
      </c>
      <c r="O398" s="101">
        <v>0</v>
      </c>
      <c r="P398" s="93">
        <v>0</v>
      </c>
      <c r="Q398" s="101">
        <v>0</v>
      </c>
      <c r="R398" s="101">
        <v>0</v>
      </c>
      <c r="S398" s="101">
        <v>0</v>
      </c>
      <c r="T398" s="101">
        <v>0</v>
      </c>
      <c r="U398" s="101">
        <v>0</v>
      </c>
      <c r="V398" s="101">
        <v>0</v>
      </c>
      <c r="W398" s="101">
        <v>0</v>
      </c>
      <c r="X398" s="101">
        <v>21.670952386397403</v>
      </c>
      <c r="Y398" s="101">
        <v>20.443816267585952</v>
      </c>
      <c r="Z398" s="101">
        <v>19.224231955675112</v>
      </c>
      <c r="AA398" s="101">
        <v>19.226704556042115</v>
      </c>
      <c r="AB398" s="101">
        <v>19.224231955675112</v>
      </c>
      <c r="AC398" s="101">
        <v>19.226704556042115</v>
      </c>
      <c r="AD398" s="101">
        <v>19.224231955675112</v>
      </c>
      <c r="AE398" s="186">
        <v>0.08</v>
      </c>
      <c r="AF398" s="93">
        <v>0</v>
      </c>
      <c r="AG398" s="93">
        <v>1</v>
      </c>
      <c r="AH398" s="93">
        <v>1</v>
      </c>
      <c r="AI398" s="16">
        <v>1</v>
      </c>
      <c r="AJ398" s="16" t="s">
        <v>1569</v>
      </c>
      <c r="AK398" s="16" t="s">
        <v>745</v>
      </c>
      <c r="AL398" s="16"/>
      <c r="AM398" s="60"/>
      <c r="AN398" s="60"/>
      <c r="AO398" s="60"/>
      <c r="AP398" s="60"/>
      <c r="AQ398" s="60"/>
      <c r="AR398" s="60"/>
      <c r="AS398" s="63"/>
      <c r="AT398" s="63"/>
      <c r="AU398" s="63"/>
      <c r="AV398" s="131"/>
      <c r="AW398" s="131"/>
      <c r="AX398" s="131"/>
      <c r="AY398" s="27" t="s">
        <v>662</v>
      </c>
      <c r="AZ398" s="27"/>
      <c r="BA398" s="27"/>
      <c r="BB398" s="30"/>
      <c r="BC398" s="30"/>
      <c r="BD398" s="30"/>
      <c r="BE398" s="30"/>
      <c r="BF398" s="30"/>
      <c r="BG398" s="30"/>
      <c r="BH398" s="107"/>
      <c r="BI398" s="107"/>
      <c r="BJ398" s="107"/>
      <c r="BK398" s="107"/>
      <c r="BL398" s="136"/>
      <c r="BM398" s="122"/>
      <c r="BN398" s="138"/>
      <c r="BO398" s="93"/>
      <c r="BP398" s="93"/>
      <c r="BQ398" s="93"/>
      <c r="BR398" s="93"/>
      <c r="BS398" s="93"/>
      <c r="BT398" s="93"/>
      <c r="BU398" s="27">
        <f t="shared" ref="BU398" si="322">IF(BL398=1,BN398,0)</f>
        <v>0</v>
      </c>
      <c r="BV398" s="27"/>
      <c r="BW398" s="27"/>
      <c r="BX398" s="27"/>
      <c r="BY398" s="27"/>
      <c r="BZ398" s="27"/>
      <c r="CA398" s="27"/>
      <c r="CB398" s="99"/>
      <c r="CC398" s="99"/>
      <c r="CD398" s="99"/>
      <c r="CE398" s="99"/>
      <c r="CF398" s="99"/>
      <c r="CG398" s="99"/>
      <c r="CH398" s="99"/>
      <c r="CI398" s="173"/>
      <c r="CJ398" s="173"/>
      <c r="CK398" s="173"/>
      <c r="CL398" s="173"/>
      <c r="CM398" s="173"/>
      <c r="CN398" s="173"/>
      <c r="CO398" s="173"/>
      <c r="CP398" s="174"/>
      <c r="CQ398" s="174"/>
      <c r="CR398" s="197"/>
      <c r="CS398" s="197"/>
      <c r="CT398" s="197"/>
      <c r="CU398" s="197"/>
      <c r="CV398" s="197"/>
      <c r="CW398" s="165"/>
      <c r="CX398" s="166"/>
      <c r="CY398" s="166"/>
      <c r="CZ398" s="166"/>
      <c r="DA398" s="166"/>
      <c r="DB398" s="166"/>
      <c r="DC398" s="166"/>
      <c r="DD398" s="171"/>
      <c r="DE398" s="171"/>
      <c r="DF398" s="171"/>
      <c r="DG398" s="171"/>
      <c r="DH398" s="171"/>
      <c r="DI398" s="171"/>
      <c r="DJ398" s="171"/>
      <c r="DK398" s="79"/>
      <c r="DL398" s="128"/>
      <c r="DM398" s="128"/>
      <c r="DN398" s="128"/>
      <c r="DO398" s="128"/>
      <c r="DP398" s="128"/>
      <c r="DQ398" s="128"/>
      <c r="DR398" s="128"/>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5" t="s">
        <v>1628</v>
      </c>
      <c r="B399" s="5" t="s">
        <v>1243</v>
      </c>
      <c r="C399" s="5" t="s">
        <v>788</v>
      </c>
      <c r="D399" s="5" t="s">
        <v>497</v>
      </c>
      <c r="E399" s="5" t="s">
        <v>1629</v>
      </c>
      <c r="F399" s="5" t="s">
        <v>496</v>
      </c>
      <c r="G399" s="47" t="s">
        <v>1630</v>
      </c>
      <c r="H399" s="47" t="s">
        <v>981</v>
      </c>
      <c r="I399" s="101">
        <v>185.2</v>
      </c>
      <c r="J399" s="101">
        <v>185.2</v>
      </c>
      <c r="K399" s="101">
        <v>185.2</v>
      </c>
      <c r="L399" s="101">
        <v>185.2</v>
      </c>
      <c r="M399" s="101">
        <v>185.2</v>
      </c>
      <c r="N399" s="101">
        <v>185.2</v>
      </c>
      <c r="O399" s="101">
        <v>185.2</v>
      </c>
      <c r="P399" s="93">
        <v>0</v>
      </c>
      <c r="Q399" s="101">
        <v>5.56</v>
      </c>
      <c r="R399" s="101">
        <v>5.56</v>
      </c>
      <c r="S399" s="101">
        <v>5.56</v>
      </c>
      <c r="T399" s="101">
        <v>5.56</v>
      </c>
      <c r="U399" s="101">
        <v>5.56</v>
      </c>
      <c r="V399" s="101">
        <v>5.56</v>
      </c>
      <c r="W399" s="101">
        <v>5.56</v>
      </c>
      <c r="X399" s="101">
        <v>0</v>
      </c>
      <c r="Y399" s="101">
        <v>0</v>
      </c>
      <c r="Z399" s="101">
        <v>0</v>
      </c>
      <c r="AA399" s="101">
        <v>0</v>
      </c>
      <c r="AB399" s="101">
        <v>0</v>
      </c>
      <c r="AC399" s="101">
        <v>0</v>
      </c>
      <c r="AD399" s="101">
        <v>0</v>
      </c>
      <c r="AE399" s="186">
        <v>0.08</v>
      </c>
      <c r="AF399" s="93">
        <v>0</v>
      </c>
      <c r="AG399" s="93">
        <v>10</v>
      </c>
      <c r="AH399" s="93">
        <v>10</v>
      </c>
      <c r="AI399" s="16">
        <v>31.536000000000001</v>
      </c>
      <c r="AJ399" s="16" t="s">
        <v>1569</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v>0</v>
      </c>
      <c r="BO399" s="93"/>
      <c r="BP399" s="93"/>
      <c r="BQ399" s="93"/>
      <c r="BR399" s="93"/>
      <c r="BS399" s="93"/>
      <c r="BT399" s="93"/>
      <c r="BU399" s="27">
        <f t="shared" si="283"/>
        <v>0</v>
      </c>
      <c r="BV399" s="27"/>
      <c r="BW399" s="27"/>
      <c r="BX399" s="27"/>
      <c r="BY399" s="27"/>
      <c r="BZ399" s="27"/>
      <c r="CA399" s="27"/>
      <c r="CB399" s="185">
        <v>1000</v>
      </c>
      <c r="CC399" s="185">
        <v>1000</v>
      </c>
      <c r="CD399" s="185">
        <v>1000</v>
      </c>
      <c r="CE399" s="185">
        <v>1000</v>
      </c>
      <c r="CF399" s="185">
        <v>1000</v>
      </c>
      <c r="CG399" s="185">
        <v>1000</v>
      </c>
      <c r="CH399" s="185">
        <v>1000</v>
      </c>
      <c r="CI399" s="173"/>
      <c r="CJ399" s="173"/>
      <c r="CK399" s="173"/>
      <c r="CL399" s="173"/>
      <c r="CM399" s="173"/>
      <c r="CN399" s="173"/>
      <c r="CO399" s="173"/>
      <c r="CP399" s="174"/>
      <c r="CQ399" s="174"/>
      <c r="CR399" s="174"/>
      <c r="CS399" s="174"/>
      <c r="CT399" s="174"/>
      <c r="CU399" s="174"/>
      <c r="CV399" s="174"/>
      <c r="CW399" s="165"/>
      <c r="CX399" s="166"/>
      <c r="CY399" s="166"/>
      <c r="CZ399" s="166"/>
      <c r="DA399" s="166"/>
      <c r="DB399" s="166"/>
      <c r="DC399" s="166"/>
      <c r="DD399" s="171"/>
      <c r="DE399" s="171"/>
      <c r="DF399" s="171"/>
      <c r="DG399" s="171"/>
      <c r="DH399" s="171"/>
      <c r="DI399" s="171"/>
      <c r="DJ399" s="171"/>
      <c r="DK399" s="79" t="s">
        <v>415</v>
      </c>
      <c r="DL399" s="128">
        <v>3500</v>
      </c>
      <c r="DM399" s="128">
        <v>3500</v>
      </c>
      <c r="DN399" s="128">
        <v>3500</v>
      </c>
      <c r="DO399" s="128">
        <v>3500</v>
      </c>
      <c r="DP399" s="128">
        <v>3500</v>
      </c>
      <c r="DQ399" s="128">
        <v>3500</v>
      </c>
      <c r="DR399" s="128">
        <v>3500</v>
      </c>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6" t="s">
        <v>1631</v>
      </c>
      <c r="B400" s="6" t="s">
        <v>1243</v>
      </c>
      <c r="C400" s="6" t="s">
        <v>788</v>
      </c>
      <c r="D400" s="6" t="s">
        <v>497</v>
      </c>
      <c r="E400" s="6" t="s">
        <v>1629</v>
      </c>
      <c r="F400" s="6" t="s">
        <v>498</v>
      </c>
      <c r="G400" s="48" t="s">
        <v>1632</v>
      </c>
      <c r="H400" s="48" t="s">
        <v>981</v>
      </c>
      <c r="I400" s="102">
        <v>185.2</v>
      </c>
      <c r="J400" s="102">
        <v>185.2</v>
      </c>
      <c r="K400" s="102">
        <v>185.2</v>
      </c>
      <c r="L400" s="102">
        <v>185.2</v>
      </c>
      <c r="M400" s="102">
        <v>185.2</v>
      </c>
      <c r="N400" s="102">
        <v>185.2</v>
      </c>
      <c r="O400" s="102">
        <v>185.2</v>
      </c>
      <c r="P400" s="94">
        <v>0</v>
      </c>
      <c r="Q400" s="102">
        <v>5.56</v>
      </c>
      <c r="R400" s="102">
        <v>5.56</v>
      </c>
      <c r="S400" s="102">
        <v>5.56</v>
      </c>
      <c r="T400" s="102">
        <v>5.56</v>
      </c>
      <c r="U400" s="102">
        <v>5.56</v>
      </c>
      <c r="V400" s="102">
        <v>5.56</v>
      </c>
      <c r="W400" s="102">
        <v>5.56</v>
      </c>
      <c r="X400" s="102">
        <v>0</v>
      </c>
      <c r="Y400" s="102">
        <v>0</v>
      </c>
      <c r="Z400" s="102">
        <v>0</v>
      </c>
      <c r="AA400" s="102">
        <v>0</v>
      </c>
      <c r="AB400" s="102">
        <v>0</v>
      </c>
      <c r="AC400" s="102">
        <v>0</v>
      </c>
      <c r="AD400" s="102">
        <v>0</v>
      </c>
      <c r="AE400" s="186">
        <v>0.08</v>
      </c>
      <c r="AF400" s="94">
        <v>0</v>
      </c>
      <c r="AG400" s="94">
        <v>10</v>
      </c>
      <c r="AH400" s="94">
        <v>10</v>
      </c>
      <c r="AI400" s="17">
        <v>31.536000000000001</v>
      </c>
      <c r="AJ400" s="17" t="s">
        <v>1569</v>
      </c>
      <c r="AK400" s="17" t="s">
        <v>745</v>
      </c>
      <c r="AL400" s="17"/>
      <c r="AM400" s="61"/>
      <c r="AN400" s="61"/>
      <c r="AO400" s="61"/>
      <c r="AP400" s="61"/>
      <c r="AQ400" s="61"/>
      <c r="AR400" s="61"/>
      <c r="AS400" s="64"/>
      <c r="AT400" s="64"/>
      <c r="AU400" s="64"/>
      <c r="AV400" s="132"/>
      <c r="AW400" s="132"/>
      <c r="AX400" s="132"/>
      <c r="AY400" s="28" t="s">
        <v>662</v>
      </c>
      <c r="AZ400" s="28"/>
      <c r="BA400" s="28"/>
      <c r="BB400" s="28"/>
      <c r="BC400" s="28"/>
      <c r="BD400" s="28"/>
      <c r="BE400" s="28"/>
      <c r="BF400" s="28"/>
      <c r="BG400" s="28"/>
      <c r="BH400" s="106"/>
      <c r="BI400" s="106"/>
      <c r="BJ400" s="106"/>
      <c r="BK400" s="106"/>
      <c r="BL400" s="137"/>
      <c r="BM400" s="123"/>
      <c r="BN400" s="139">
        <v>0</v>
      </c>
      <c r="BO400" s="94"/>
      <c r="BP400" s="94"/>
      <c r="BQ400" s="94"/>
      <c r="BR400" s="94"/>
      <c r="BS400" s="94"/>
      <c r="BT400" s="94"/>
      <c r="BU400" s="28">
        <f t="shared" si="283"/>
        <v>0</v>
      </c>
      <c r="BV400" s="28"/>
      <c r="BW400" s="28"/>
      <c r="BX400" s="28"/>
      <c r="BY400" s="28"/>
      <c r="BZ400" s="28"/>
      <c r="CA400" s="28"/>
      <c r="CB400" s="185">
        <v>1000</v>
      </c>
      <c r="CC400" s="185">
        <v>1000</v>
      </c>
      <c r="CD400" s="185">
        <v>1000</v>
      </c>
      <c r="CE400" s="185">
        <v>1000</v>
      </c>
      <c r="CF400" s="185">
        <v>1000</v>
      </c>
      <c r="CG400" s="185">
        <v>1000</v>
      </c>
      <c r="CH400" s="185">
        <v>1000</v>
      </c>
      <c r="CI400" s="175"/>
      <c r="CJ400" s="175"/>
      <c r="CK400" s="175"/>
      <c r="CL400" s="175"/>
      <c r="CM400" s="175"/>
      <c r="CN400" s="175"/>
      <c r="CO400" s="175"/>
      <c r="CP400" s="176"/>
      <c r="CQ400" s="176"/>
      <c r="CR400" s="176"/>
      <c r="CS400" s="176"/>
      <c r="CT400" s="176"/>
      <c r="CU400" s="176"/>
      <c r="CV400" s="176"/>
      <c r="CW400" s="167"/>
      <c r="CX400" s="168"/>
      <c r="CY400" s="168"/>
      <c r="CZ400" s="168"/>
      <c r="DA400" s="168"/>
      <c r="DB400" s="168"/>
      <c r="DC400" s="168"/>
      <c r="DD400" s="172"/>
      <c r="DE400" s="172"/>
      <c r="DF400" s="172"/>
      <c r="DG400" s="172"/>
      <c r="DH400" s="172"/>
      <c r="DI400" s="172"/>
      <c r="DJ400" s="172"/>
      <c r="DK400" s="80" t="s">
        <v>415</v>
      </c>
      <c r="DL400" s="129">
        <v>3500</v>
      </c>
      <c r="DM400" s="129">
        <v>3500</v>
      </c>
      <c r="DN400" s="129">
        <v>3500</v>
      </c>
      <c r="DO400" s="129">
        <v>3500</v>
      </c>
      <c r="DP400" s="129">
        <v>3500</v>
      </c>
      <c r="DQ400" s="129">
        <v>3500</v>
      </c>
      <c r="DR400" s="129">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5" t="s">
        <v>1633</v>
      </c>
      <c r="B401" s="5" t="s">
        <v>740</v>
      </c>
      <c r="C401" s="5" t="s">
        <v>788</v>
      </c>
      <c r="D401" s="5" t="s">
        <v>503</v>
      </c>
      <c r="E401" s="5" t="s">
        <v>503</v>
      </c>
      <c r="F401" s="5" t="s">
        <v>503</v>
      </c>
      <c r="G401" s="47" t="s">
        <v>1634</v>
      </c>
      <c r="H401" s="47" t="s">
        <v>659</v>
      </c>
      <c r="I401" s="101">
        <v>43.575563824936502</v>
      </c>
      <c r="J401" s="101">
        <v>43.575563824936502</v>
      </c>
      <c r="K401" s="101">
        <v>43.575563824936502</v>
      </c>
      <c r="L401" s="101">
        <v>43.575563824936502</v>
      </c>
      <c r="M401" s="101">
        <v>43.575563824936502</v>
      </c>
      <c r="N401" s="101">
        <v>43.575563824936502</v>
      </c>
      <c r="O401" s="101">
        <v>43.575563824936502</v>
      </c>
      <c r="P401" s="93">
        <v>0</v>
      </c>
      <c r="Q401" s="101">
        <v>1.655871425347587</v>
      </c>
      <c r="R401" s="101">
        <v>1.655871425347587</v>
      </c>
      <c r="S401" s="101">
        <v>1.655871425347587</v>
      </c>
      <c r="T401" s="101">
        <v>1.655871425347587</v>
      </c>
      <c r="U401" s="101">
        <v>1.655871425347587</v>
      </c>
      <c r="V401" s="101">
        <v>1.655871425347587</v>
      </c>
      <c r="W401" s="101">
        <v>1.655871425347587</v>
      </c>
      <c r="X401" s="101">
        <v>0</v>
      </c>
      <c r="Y401" s="101">
        <v>0</v>
      </c>
      <c r="Z401" s="101">
        <v>0</v>
      </c>
      <c r="AA401" s="101">
        <v>0</v>
      </c>
      <c r="AB401" s="101">
        <v>0</v>
      </c>
      <c r="AC401" s="101">
        <v>0</v>
      </c>
      <c r="AD401" s="101">
        <v>0</v>
      </c>
      <c r="AE401" s="186">
        <v>0.08</v>
      </c>
      <c r="AF401" s="93">
        <v>0</v>
      </c>
      <c r="AG401" s="94">
        <v>25</v>
      </c>
      <c r="AH401" s="94">
        <v>25</v>
      </c>
      <c r="AI401" s="16">
        <v>1</v>
      </c>
      <c r="AJ401" s="16" t="s">
        <v>660</v>
      </c>
      <c r="AK401" s="16" t="s">
        <v>745</v>
      </c>
      <c r="AL401" s="16"/>
      <c r="AM401" s="60"/>
      <c r="AN401" s="60"/>
      <c r="AO401" s="60"/>
      <c r="AP401" s="60"/>
      <c r="AQ401" s="60"/>
      <c r="AR401" s="60"/>
      <c r="AS401" s="63"/>
      <c r="AT401" s="63"/>
      <c r="AU401" s="63"/>
      <c r="AV401" s="131"/>
      <c r="AW401" s="131"/>
      <c r="AX401" s="131"/>
      <c r="AY401" s="27" t="s">
        <v>662</v>
      </c>
      <c r="AZ401" s="27"/>
      <c r="BA401" s="27"/>
      <c r="BB401" s="30"/>
      <c r="BC401" s="30"/>
      <c r="BD401" s="30"/>
      <c r="BE401" s="30"/>
      <c r="BF401" s="30"/>
      <c r="BG401" s="30"/>
      <c r="BH401" s="107"/>
      <c r="BI401" s="107"/>
      <c r="BJ401" s="107"/>
      <c r="BK401" s="107"/>
      <c r="BL401" s="136"/>
      <c r="BM401" s="122"/>
      <c r="BN401" s="138">
        <v>55</v>
      </c>
      <c r="BO401" s="93"/>
      <c r="BP401" s="93">
        <v>55</v>
      </c>
      <c r="BQ401" s="93"/>
      <c r="BR401" s="93"/>
      <c r="BS401" s="93"/>
      <c r="BT401" s="93"/>
      <c r="BU401" s="27">
        <f t="shared" si="283"/>
        <v>0</v>
      </c>
      <c r="BV401" s="27"/>
      <c r="BW401" s="27"/>
      <c r="BX401" s="27"/>
      <c r="BY401" s="27"/>
      <c r="BZ401" s="27"/>
      <c r="CA401" s="27"/>
      <c r="CB401" s="97">
        <f t="shared" ref="CB401:CH401" si="323">DL401</f>
        <v>60</v>
      </c>
      <c r="CC401" s="185">
        <v>60</v>
      </c>
      <c r="CD401" s="389">
        <v>250</v>
      </c>
      <c r="CE401" s="389">
        <v>250</v>
      </c>
      <c r="CF401" s="97">
        <v>250</v>
      </c>
      <c r="CG401" s="97">
        <f t="shared" si="323"/>
        <v>500</v>
      </c>
      <c r="CH401" s="97">
        <f t="shared" si="323"/>
        <v>500</v>
      </c>
      <c r="CI401" s="173"/>
      <c r="CJ401" s="173"/>
      <c r="CK401" s="173"/>
      <c r="CL401" s="173"/>
      <c r="CM401" s="173"/>
      <c r="CN401" s="173"/>
      <c r="CO401" s="173"/>
      <c r="CP401" s="174"/>
      <c r="CQ401" s="174"/>
      <c r="CR401" s="174"/>
      <c r="CS401" s="174"/>
      <c r="CT401" s="174"/>
      <c r="CU401" s="174"/>
      <c r="CV401" s="174"/>
      <c r="CW401" s="165"/>
      <c r="CX401" s="166"/>
      <c r="CY401" s="166"/>
      <c r="CZ401" s="166"/>
      <c r="DA401" s="166"/>
      <c r="DB401" s="166"/>
      <c r="DC401" s="166"/>
      <c r="DD401" s="171"/>
      <c r="DE401" s="171"/>
      <c r="DF401" s="171"/>
      <c r="DG401" s="171"/>
      <c r="DH401" s="171"/>
      <c r="DI401" s="171"/>
      <c r="DJ401" s="171"/>
      <c r="DK401" s="79" t="s">
        <v>1635</v>
      </c>
      <c r="DL401" s="128">
        <v>60</v>
      </c>
      <c r="DM401" s="128">
        <v>60</v>
      </c>
      <c r="DN401" s="128">
        <v>500</v>
      </c>
      <c r="DO401" s="128">
        <v>500</v>
      </c>
      <c r="DP401" s="128">
        <v>500</v>
      </c>
      <c r="DQ401" s="128">
        <v>500</v>
      </c>
      <c r="DR401" s="128">
        <v>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6" t="s">
        <v>1636</v>
      </c>
      <c r="B402" s="6" t="s">
        <v>740</v>
      </c>
      <c r="C402" s="6" t="s">
        <v>788</v>
      </c>
      <c r="D402" s="6" t="s">
        <v>503</v>
      </c>
      <c r="E402" s="6" t="s">
        <v>503</v>
      </c>
      <c r="F402" s="6" t="s">
        <v>503</v>
      </c>
      <c r="G402" s="48" t="s">
        <v>1637</v>
      </c>
      <c r="H402" s="48" t="s">
        <v>659</v>
      </c>
      <c r="I402" s="102">
        <v>47.534056134237396</v>
      </c>
      <c r="J402" s="102">
        <v>47.534056134237396</v>
      </c>
      <c r="K402" s="102">
        <v>47.534056134237396</v>
      </c>
      <c r="L402" s="102">
        <v>47.534056134237396</v>
      </c>
      <c r="M402" s="102">
        <v>47.534056134237396</v>
      </c>
      <c r="N402" s="102">
        <v>47.534056134237396</v>
      </c>
      <c r="O402" s="102">
        <v>47.534056134237396</v>
      </c>
      <c r="P402" s="94">
        <v>0</v>
      </c>
      <c r="Q402" s="102">
        <v>1.8062941331010209</v>
      </c>
      <c r="R402" s="102">
        <v>1.8062941331010209</v>
      </c>
      <c r="S402" s="102">
        <v>1.8062941331010209</v>
      </c>
      <c r="T402" s="102">
        <v>1.8062941331010209</v>
      </c>
      <c r="U402" s="102">
        <v>1.8062941331010209</v>
      </c>
      <c r="V402" s="102">
        <v>1.8062941331010209</v>
      </c>
      <c r="W402" s="102">
        <v>1.8062941331010209</v>
      </c>
      <c r="X402" s="102">
        <v>0</v>
      </c>
      <c r="Y402" s="102">
        <v>0</v>
      </c>
      <c r="Z402" s="102">
        <v>0</v>
      </c>
      <c r="AA402" s="102">
        <v>0</v>
      </c>
      <c r="AB402" s="102">
        <v>0</v>
      </c>
      <c r="AC402" s="102">
        <v>0</v>
      </c>
      <c r="AD402" s="102">
        <v>0</v>
      </c>
      <c r="AE402" s="186">
        <v>0.08</v>
      </c>
      <c r="AF402" s="94">
        <v>0</v>
      </c>
      <c r="AG402" s="94">
        <v>25</v>
      </c>
      <c r="AH402" s="94">
        <v>25</v>
      </c>
      <c r="AI402" s="17">
        <v>1</v>
      </c>
      <c r="AJ402" s="17" t="s">
        <v>660</v>
      </c>
      <c r="AK402" s="17" t="s">
        <v>745</v>
      </c>
      <c r="AL402" s="17"/>
      <c r="AM402" s="61"/>
      <c r="AN402" s="61"/>
      <c r="AO402" s="61"/>
      <c r="AP402" s="61"/>
      <c r="AQ402" s="61"/>
      <c r="AR402" s="61"/>
      <c r="AS402" s="64"/>
      <c r="AT402" s="64"/>
      <c r="AU402" s="64"/>
      <c r="AV402" s="132"/>
      <c r="AW402" s="132"/>
      <c r="AX402" s="132"/>
      <c r="AY402" s="28" t="s">
        <v>662</v>
      </c>
      <c r="AZ402" s="28"/>
      <c r="BA402" s="28"/>
      <c r="BB402" s="28"/>
      <c r="BC402" s="28"/>
      <c r="BD402" s="28"/>
      <c r="BE402" s="28"/>
      <c r="BF402" s="28"/>
      <c r="BG402" s="28"/>
      <c r="BH402" s="106"/>
      <c r="BI402" s="106"/>
      <c r="BJ402" s="106"/>
      <c r="BK402" s="106"/>
      <c r="BL402" s="137"/>
      <c r="BM402" s="123"/>
      <c r="BN402" s="139">
        <v>0</v>
      </c>
      <c r="BO402" s="94"/>
      <c r="BP402" s="94"/>
      <c r="BQ402" s="94"/>
      <c r="BR402" s="94"/>
      <c r="BS402" s="94"/>
      <c r="BT402" s="94"/>
      <c r="BU402" s="28">
        <f t="shared" si="283"/>
        <v>0</v>
      </c>
      <c r="BV402" s="28"/>
      <c r="BW402" s="28"/>
      <c r="BX402" s="28"/>
      <c r="BY402" s="28"/>
      <c r="BZ402" s="28"/>
      <c r="CA402" s="28"/>
      <c r="CB402" s="99"/>
      <c r="CC402" s="99">
        <v>30</v>
      </c>
      <c r="CD402" s="389">
        <v>250</v>
      </c>
      <c r="CE402" s="389">
        <v>250</v>
      </c>
      <c r="CF402" s="99">
        <v>250</v>
      </c>
      <c r="CG402" s="99">
        <v>500</v>
      </c>
      <c r="CH402" s="99">
        <v>501</v>
      </c>
      <c r="CI402" s="175"/>
      <c r="CJ402" s="175"/>
      <c r="CK402" s="175"/>
      <c r="CL402" s="175"/>
      <c r="CM402" s="175"/>
      <c r="CN402" s="175"/>
      <c r="CO402" s="175"/>
      <c r="CP402" s="176"/>
      <c r="CQ402" s="176"/>
      <c r="CR402" s="176"/>
      <c r="CS402" s="176"/>
      <c r="CT402" s="176"/>
      <c r="CU402" s="176"/>
      <c r="CV402" s="176"/>
      <c r="CW402" s="167"/>
      <c r="CX402" s="168"/>
      <c r="CY402" s="168"/>
      <c r="CZ402" s="168"/>
      <c r="DA402" s="168"/>
      <c r="DB402" s="168"/>
      <c r="DC402" s="168"/>
      <c r="DD402" s="172"/>
      <c r="DE402" s="172"/>
      <c r="DF402" s="172"/>
      <c r="DG402" s="172"/>
      <c r="DH402" s="172"/>
      <c r="DI402" s="172"/>
      <c r="DJ402" s="172"/>
      <c r="DK402" s="80" t="s">
        <v>1635</v>
      </c>
      <c r="DL402" s="129">
        <v>60</v>
      </c>
      <c r="DM402" s="129">
        <v>60</v>
      </c>
      <c r="DN402" s="129">
        <v>250</v>
      </c>
      <c r="DO402" s="129">
        <v>500</v>
      </c>
      <c r="DP402" s="129">
        <v>500</v>
      </c>
      <c r="DQ402" s="129">
        <v>500</v>
      </c>
      <c r="DR402" s="129">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5" t="s">
        <v>1638</v>
      </c>
      <c r="B403" s="5" t="s">
        <v>740</v>
      </c>
      <c r="C403" s="5" t="s">
        <v>788</v>
      </c>
      <c r="D403" s="5" t="s">
        <v>503</v>
      </c>
      <c r="E403" s="5" t="s">
        <v>503</v>
      </c>
      <c r="F403" s="5" t="s">
        <v>503</v>
      </c>
      <c r="G403" s="47" t="s">
        <v>1639</v>
      </c>
      <c r="H403" s="47" t="s">
        <v>659</v>
      </c>
      <c r="I403" s="101">
        <f>21.242</f>
        <v>21.242000000000001</v>
      </c>
      <c r="J403" s="101">
        <f>I403</f>
        <v>21.242000000000001</v>
      </c>
      <c r="K403" s="101">
        <f t="shared" ref="K403:O403" si="324">J403</f>
        <v>21.242000000000001</v>
      </c>
      <c r="L403" s="101">
        <f t="shared" si="324"/>
        <v>21.242000000000001</v>
      </c>
      <c r="M403" s="101">
        <f t="shared" si="324"/>
        <v>21.242000000000001</v>
      </c>
      <c r="N403" s="101">
        <f t="shared" si="324"/>
        <v>21.242000000000001</v>
      </c>
      <c r="O403" s="101">
        <f t="shared" si="324"/>
        <v>21.242000000000001</v>
      </c>
      <c r="P403" s="93">
        <v>0</v>
      </c>
      <c r="Q403" s="101">
        <f>I403*0.05</f>
        <v>1.0621</v>
      </c>
      <c r="R403" s="101">
        <f t="shared" ref="R403:W403" si="325">J403*0.05</f>
        <v>1.0621</v>
      </c>
      <c r="S403" s="101">
        <f t="shared" si="325"/>
        <v>1.0621</v>
      </c>
      <c r="T403" s="101">
        <f t="shared" si="325"/>
        <v>1.0621</v>
      </c>
      <c r="U403" s="101">
        <f t="shared" si="325"/>
        <v>1.0621</v>
      </c>
      <c r="V403" s="101">
        <f t="shared" si="325"/>
        <v>1.0621</v>
      </c>
      <c r="W403" s="101">
        <f t="shared" si="325"/>
        <v>1.0621</v>
      </c>
      <c r="X403" s="101">
        <v>0</v>
      </c>
      <c r="Y403" s="101">
        <v>0</v>
      </c>
      <c r="Z403" s="101">
        <v>0</v>
      </c>
      <c r="AA403" s="101">
        <v>0</v>
      </c>
      <c r="AB403" s="101">
        <v>0</v>
      </c>
      <c r="AC403" s="101">
        <v>0</v>
      </c>
      <c r="AD403" s="101">
        <v>0</v>
      </c>
      <c r="AE403" s="186">
        <v>0.08</v>
      </c>
      <c r="AF403" s="93">
        <v>0</v>
      </c>
      <c r="AG403" s="94">
        <v>25</v>
      </c>
      <c r="AH403" s="94">
        <v>25</v>
      </c>
      <c r="AI403" s="16">
        <v>1</v>
      </c>
      <c r="AJ403" s="16" t="s">
        <v>660</v>
      </c>
      <c r="AK403" s="16" t="s">
        <v>745</v>
      </c>
      <c r="AL403" s="16"/>
      <c r="AM403" s="60"/>
      <c r="AN403" s="60"/>
      <c r="AO403" s="60"/>
      <c r="AP403" s="60"/>
      <c r="AQ403" s="60"/>
      <c r="AR403" s="60"/>
      <c r="AS403" s="63"/>
      <c r="AT403" s="63"/>
      <c r="AU403" s="63"/>
      <c r="AV403" s="131"/>
      <c r="AW403" s="131"/>
      <c r="AX403" s="131"/>
      <c r="AY403" s="27" t="s">
        <v>662</v>
      </c>
      <c r="AZ403" s="27"/>
      <c r="BA403" s="27"/>
      <c r="BB403" s="30"/>
      <c r="BC403" s="30"/>
      <c r="BD403" s="30"/>
      <c r="BE403" s="30"/>
      <c r="BF403" s="30"/>
      <c r="BG403" s="30"/>
      <c r="BH403" s="107"/>
      <c r="BI403" s="107"/>
      <c r="BJ403" s="107"/>
      <c r="BK403" s="107"/>
      <c r="BL403" s="136"/>
      <c r="BM403" s="122"/>
      <c r="BN403" s="138">
        <v>0</v>
      </c>
      <c r="BO403" s="93"/>
      <c r="BP403" s="93"/>
      <c r="BQ403" s="93"/>
      <c r="BR403" s="93"/>
      <c r="BS403" s="93"/>
      <c r="BT403" s="93"/>
      <c r="BU403" s="27">
        <f t="shared" si="283"/>
        <v>0</v>
      </c>
      <c r="BV403" s="27"/>
      <c r="BW403" s="27"/>
      <c r="BX403" s="27"/>
      <c r="BY403" s="27"/>
      <c r="BZ403" s="27"/>
      <c r="CA403" s="27"/>
      <c r="CB403" s="97"/>
      <c r="CC403" s="97"/>
      <c r="CD403" s="97"/>
      <c r="CE403" s="97"/>
      <c r="CF403" s="97"/>
      <c r="CG403" s="97"/>
      <c r="CH403" s="97"/>
      <c r="CI403" s="173"/>
      <c r="CJ403" s="173"/>
      <c r="CK403" s="173"/>
      <c r="CL403" s="173"/>
      <c r="CM403" s="173"/>
      <c r="CN403" s="173"/>
      <c r="CO403" s="173"/>
      <c r="CP403" s="174"/>
      <c r="CQ403" s="174"/>
      <c r="CR403" s="174"/>
      <c r="CS403" s="174"/>
      <c r="CT403" s="174"/>
      <c r="CU403" s="174"/>
      <c r="CV403" s="174"/>
      <c r="CW403" s="165"/>
      <c r="CX403" s="166"/>
      <c r="CY403" s="166"/>
      <c r="CZ403" s="166"/>
      <c r="DA403" s="166"/>
      <c r="DB403" s="166"/>
      <c r="DC403" s="166"/>
      <c r="DD403" s="171"/>
      <c r="DE403" s="171"/>
      <c r="DF403" s="171"/>
      <c r="DG403" s="171"/>
      <c r="DH403" s="171"/>
      <c r="DI403" s="171"/>
      <c r="DJ403" s="171"/>
      <c r="DK403" s="79" t="s">
        <v>1635</v>
      </c>
      <c r="DL403" s="128">
        <v>60</v>
      </c>
      <c r="DM403" s="128">
        <v>60</v>
      </c>
      <c r="DN403" s="128">
        <v>100</v>
      </c>
      <c r="DO403" s="128">
        <v>250</v>
      </c>
      <c r="DP403" s="128">
        <v>500</v>
      </c>
      <c r="DQ403" s="128">
        <v>500</v>
      </c>
      <c r="DR403" s="128">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s="310" customFormat="1" x14ac:dyDescent="0.35">
      <c r="A404" s="290" t="s">
        <v>1640</v>
      </c>
      <c r="B404" s="290" t="s">
        <v>740</v>
      </c>
      <c r="C404" s="290" t="s">
        <v>788</v>
      </c>
      <c r="D404" s="290" t="s">
        <v>503</v>
      </c>
      <c r="E404" s="290" t="s">
        <v>503</v>
      </c>
      <c r="F404" s="290" t="s">
        <v>503</v>
      </c>
      <c r="G404" s="291" t="s">
        <v>1641</v>
      </c>
      <c r="H404" s="291" t="s">
        <v>659</v>
      </c>
      <c r="I404" s="292">
        <f>I403</f>
        <v>21.242000000000001</v>
      </c>
      <c r="J404" s="292">
        <f>J403</f>
        <v>21.242000000000001</v>
      </c>
      <c r="K404" s="292">
        <f t="shared" ref="K404:O404" si="326">K403</f>
        <v>21.242000000000001</v>
      </c>
      <c r="L404" s="292">
        <f t="shared" si="326"/>
        <v>21.242000000000001</v>
      </c>
      <c r="M404" s="292">
        <f t="shared" si="326"/>
        <v>21.242000000000001</v>
      </c>
      <c r="N404" s="292">
        <f t="shared" si="326"/>
        <v>21.242000000000001</v>
      </c>
      <c r="O404" s="292">
        <f t="shared" si="326"/>
        <v>21.242000000000001</v>
      </c>
      <c r="P404" s="293">
        <v>0</v>
      </c>
      <c r="Q404" s="292">
        <f>Q403</f>
        <v>1.0621</v>
      </c>
      <c r="R404" s="292">
        <f t="shared" ref="R404:W404" si="327">R403</f>
        <v>1.0621</v>
      </c>
      <c r="S404" s="292">
        <f t="shared" si="327"/>
        <v>1.0621</v>
      </c>
      <c r="T404" s="292">
        <f t="shared" si="327"/>
        <v>1.0621</v>
      </c>
      <c r="U404" s="292">
        <f t="shared" si="327"/>
        <v>1.0621</v>
      </c>
      <c r="V404" s="292">
        <f t="shared" si="327"/>
        <v>1.0621</v>
      </c>
      <c r="W404" s="292">
        <f t="shared" si="327"/>
        <v>1.0621</v>
      </c>
      <c r="X404" s="292">
        <v>0</v>
      </c>
      <c r="Y404" s="292">
        <v>0</v>
      </c>
      <c r="Z404" s="292">
        <v>0</v>
      </c>
      <c r="AA404" s="292">
        <v>0</v>
      </c>
      <c r="AB404" s="292">
        <v>0</v>
      </c>
      <c r="AC404" s="292">
        <v>0</v>
      </c>
      <c r="AD404" s="292">
        <v>0</v>
      </c>
      <c r="AE404" s="186">
        <v>0.08</v>
      </c>
      <c r="AF404" s="293">
        <v>0</v>
      </c>
      <c r="AG404" s="94">
        <v>25</v>
      </c>
      <c r="AH404" s="94">
        <v>25</v>
      </c>
      <c r="AI404" s="294">
        <v>1</v>
      </c>
      <c r="AJ404" s="294" t="s">
        <v>660</v>
      </c>
      <c r="AK404" s="294" t="s">
        <v>745</v>
      </c>
      <c r="AL404" s="294"/>
      <c r="AM404" s="295"/>
      <c r="AN404" s="295"/>
      <c r="AO404" s="295"/>
      <c r="AP404" s="295"/>
      <c r="AQ404" s="295"/>
      <c r="AR404" s="295"/>
      <c r="AS404" s="296"/>
      <c r="AT404" s="296"/>
      <c r="AU404" s="296"/>
      <c r="AV404" s="297"/>
      <c r="AW404" s="297"/>
      <c r="AX404" s="297"/>
      <c r="AY404" s="298" t="s">
        <v>662</v>
      </c>
      <c r="AZ404" s="298"/>
      <c r="BA404" s="298"/>
      <c r="BB404" s="299"/>
      <c r="BC404" s="299"/>
      <c r="BD404" s="299"/>
      <c r="BE404" s="299"/>
      <c r="BF404" s="299"/>
      <c r="BG404" s="299"/>
      <c r="BH404" s="300"/>
      <c r="BI404" s="300"/>
      <c r="BJ404" s="300"/>
      <c r="BK404" s="300"/>
      <c r="BL404" s="301"/>
      <c r="BM404" s="302"/>
      <c r="BN404" s="303">
        <v>0</v>
      </c>
      <c r="BO404" s="293"/>
      <c r="BP404" s="293"/>
      <c r="BQ404" s="293"/>
      <c r="BR404" s="293"/>
      <c r="BS404" s="293"/>
      <c r="BT404" s="293"/>
      <c r="BU404" s="298">
        <f t="shared" ref="BU404" si="328">IF(BL404=1,BN404,0)</f>
        <v>0</v>
      </c>
      <c r="BV404" s="298"/>
      <c r="BW404" s="298"/>
      <c r="BX404" s="298"/>
      <c r="BY404" s="298"/>
      <c r="BZ404" s="298"/>
      <c r="CA404" s="298"/>
      <c r="CB404" s="304"/>
      <c r="CC404" s="304">
        <v>0</v>
      </c>
      <c r="CD404" s="304">
        <v>0</v>
      </c>
      <c r="CE404" s="304">
        <v>0</v>
      </c>
      <c r="CF404" s="304">
        <v>0</v>
      </c>
      <c r="CG404" s="304">
        <v>0</v>
      </c>
      <c r="CH404" s="304">
        <v>0</v>
      </c>
      <c r="CI404" s="298"/>
      <c r="CJ404" s="298"/>
      <c r="CK404" s="298"/>
      <c r="CL404" s="298"/>
      <c r="CM404" s="298"/>
      <c r="CN404" s="298"/>
      <c r="CO404" s="298"/>
      <c r="CP404" s="305"/>
      <c r="CQ404" s="305"/>
      <c r="CR404" s="305"/>
      <c r="CS404" s="305"/>
      <c r="CT404" s="305"/>
      <c r="CU404" s="305"/>
      <c r="CV404" s="305"/>
      <c r="CW404" s="306"/>
      <c r="CX404" s="307"/>
      <c r="CY404" s="307"/>
      <c r="CZ404" s="307"/>
      <c r="DA404" s="307"/>
      <c r="DB404" s="307"/>
      <c r="DC404" s="307"/>
      <c r="DD404" s="307"/>
      <c r="DE404" s="307"/>
      <c r="DF404" s="307"/>
      <c r="DG404" s="307"/>
      <c r="DH404" s="307"/>
      <c r="DI404" s="307"/>
      <c r="DJ404" s="307"/>
      <c r="DK404" s="308" t="s">
        <v>1635</v>
      </c>
      <c r="DL404" s="306">
        <v>60</v>
      </c>
      <c r="DM404" s="306">
        <v>60</v>
      </c>
      <c r="DN404" s="306">
        <v>100</v>
      </c>
      <c r="DO404" s="306">
        <v>250</v>
      </c>
      <c r="DP404" s="306">
        <v>500</v>
      </c>
      <c r="DQ404" s="306">
        <v>500</v>
      </c>
      <c r="DR404" s="306">
        <v>500</v>
      </c>
      <c r="DS404" s="309"/>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row>
    <row r="405" spans="1:244" x14ac:dyDescent="0.35">
      <c r="A405" s="6" t="s">
        <v>1642</v>
      </c>
      <c r="B405" s="6" t="s">
        <v>740</v>
      </c>
      <c r="C405" s="6" t="s">
        <v>788</v>
      </c>
      <c r="D405" s="6" t="s">
        <v>503</v>
      </c>
      <c r="E405" s="6" t="s">
        <v>503</v>
      </c>
      <c r="F405" s="6" t="s">
        <v>503</v>
      </c>
      <c r="G405" s="48" t="s">
        <v>1643</v>
      </c>
      <c r="H405" s="48" t="s">
        <v>659</v>
      </c>
      <c r="I405" s="102">
        <v>53.582622209030234</v>
      </c>
      <c r="J405" s="102">
        <v>53.582622209030234</v>
      </c>
      <c r="K405" s="102">
        <v>53.582622209030234</v>
      </c>
      <c r="L405" s="102">
        <f>(M405+K405)/2</f>
        <v>49.907562099988837</v>
      </c>
      <c r="M405" s="102">
        <v>46.232501990947434</v>
      </c>
      <c r="N405" s="102">
        <f>(M405+O405)/2</f>
        <v>42.557431735857662</v>
      </c>
      <c r="O405" s="102">
        <v>38.882361480767884</v>
      </c>
      <c r="P405" s="94">
        <v>0</v>
      </c>
      <c r="Q405" s="102">
        <v>1.0716524441806048</v>
      </c>
      <c r="R405" s="102">
        <v>1.0716524441806048</v>
      </c>
      <c r="S405" s="102">
        <v>1.0716524441806048</v>
      </c>
      <c r="T405" s="102">
        <v>0.99815124199977678</v>
      </c>
      <c r="U405" s="102">
        <v>0.92465003981894867</v>
      </c>
      <c r="V405" s="102">
        <v>0.8511486347171533</v>
      </c>
      <c r="W405" s="102">
        <v>0.7776472296153577</v>
      </c>
      <c r="X405" s="102">
        <v>0</v>
      </c>
      <c r="Y405" s="102">
        <v>0</v>
      </c>
      <c r="Z405" s="102">
        <v>0</v>
      </c>
      <c r="AA405" s="102">
        <v>0</v>
      </c>
      <c r="AB405" s="102">
        <v>0</v>
      </c>
      <c r="AC405" s="102">
        <v>0</v>
      </c>
      <c r="AD405" s="102">
        <v>0</v>
      </c>
      <c r="AE405" s="186">
        <v>0.08</v>
      </c>
      <c r="AF405" s="94">
        <v>0</v>
      </c>
      <c r="AG405" s="94">
        <v>19</v>
      </c>
      <c r="AH405" s="94">
        <v>19</v>
      </c>
      <c r="AI405" s="17">
        <v>1</v>
      </c>
      <c r="AJ405" s="384" t="s">
        <v>660</v>
      </c>
      <c r="AK405" s="17" t="s">
        <v>745</v>
      </c>
      <c r="AL405" s="17"/>
      <c r="AM405" s="61"/>
      <c r="AN405" s="61"/>
      <c r="AO405" s="61"/>
      <c r="AP405" s="61"/>
      <c r="AQ405" s="61"/>
      <c r="AR405" s="61"/>
      <c r="AS405" s="64"/>
      <c r="AT405" s="64"/>
      <c r="AU405" s="64"/>
      <c r="AV405" s="132"/>
      <c r="AW405" s="132"/>
      <c r="AX405" s="132"/>
      <c r="AY405" s="298" t="s">
        <v>662</v>
      </c>
      <c r="AZ405" s="298"/>
      <c r="BA405" s="298"/>
      <c r="BB405" s="299"/>
      <c r="BC405" s="299"/>
      <c r="BD405" s="299"/>
      <c r="BE405" s="299"/>
      <c r="BF405" s="28"/>
      <c r="BG405" s="28"/>
      <c r="BH405" s="106"/>
      <c r="BI405" s="106"/>
      <c r="BJ405" s="106"/>
      <c r="BK405" s="106"/>
      <c r="BL405" s="137"/>
      <c r="BM405" s="123"/>
      <c r="BN405" s="139">
        <v>0</v>
      </c>
      <c r="BO405" s="94"/>
      <c r="BP405" s="94"/>
      <c r="BQ405" s="94"/>
      <c r="BR405" s="94"/>
      <c r="BS405" s="94"/>
      <c r="BT405" s="94"/>
      <c r="BU405" s="28">
        <f t="shared" si="283"/>
        <v>0</v>
      </c>
      <c r="BV405" s="28"/>
      <c r="BW405" s="28"/>
      <c r="BX405" s="28"/>
      <c r="BY405" s="28"/>
      <c r="BZ405" s="28"/>
      <c r="CA405" s="28"/>
      <c r="CB405" s="244">
        <v>0</v>
      </c>
      <c r="CC405" s="97">
        <v>50</v>
      </c>
      <c r="CD405" s="389">
        <v>250</v>
      </c>
      <c r="CE405" s="389">
        <v>250</v>
      </c>
      <c r="CF405" s="97">
        <v>250</v>
      </c>
      <c r="CG405" s="97">
        <v>500</v>
      </c>
      <c r="CH405" s="97">
        <v>1000</v>
      </c>
      <c r="CI405" s="175"/>
      <c r="CJ405" s="175"/>
      <c r="CK405" s="175"/>
      <c r="CL405" s="175"/>
      <c r="CM405" s="175"/>
      <c r="CN405" s="175"/>
      <c r="CO405" s="175"/>
      <c r="CP405" s="176"/>
      <c r="CQ405" s="176"/>
      <c r="CR405" s="176"/>
      <c r="CS405" s="176"/>
      <c r="CT405" s="176"/>
      <c r="CU405" s="176"/>
      <c r="CV405" s="176"/>
      <c r="CW405" s="167"/>
      <c r="CX405" s="168"/>
      <c r="CY405" s="168"/>
      <c r="CZ405" s="168"/>
      <c r="DA405" s="168"/>
      <c r="DB405" s="168"/>
      <c r="DC405" s="168"/>
      <c r="DD405" s="172"/>
      <c r="DE405" s="172"/>
      <c r="DF405" s="172"/>
      <c r="DG405" s="172"/>
      <c r="DH405" s="172"/>
      <c r="DI405" s="172"/>
      <c r="DJ405" s="172"/>
      <c r="DK405" s="80" t="s">
        <v>1635</v>
      </c>
      <c r="DL405" s="129">
        <v>60</v>
      </c>
      <c r="DM405" s="129">
        <v>60</v>
      </c>
      <c r="DN405" s="129">
        <v>100</v>
      </c>
      <c r="DO405" s="129">
        <v>200</v>
      </c>
      <c r="DP405" s="129">
        <v>300</v>
      </c>
      <c r="DQ405" s="129">
        <v>400</v>
      </c>
      <c r="DR405" s="129">
        <v>500</v>
      </c>
      <c r="DS405" s="218"/>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row>
    <row r="406" spans="1:244" x14ac:dyDescent="0.35">
      <c r="A406" s="5" t="s">
        <v>1644</v>
      </c>
      <c r="B406" s="5" t="s">
        <v>740</v>
      </c>
      <c r="C406" s="5" t="s">
        <v>788</v>
      </c>
      <c r="D406" s="5" t="s">
        <v>503</v>
      </c>
      <c r="E406" s="5" t="s">
        <v>503</v>
      </c>
      <c r="F406" s="5" t="s">
        <v>503</v>
      </c>
      <c r="G406" s="47" t="s">
        <v>1645</v>
      </c>
      <c r="H406" s="47" t="s">
        <v>659</v>
      </c>
      <c r="I406" s="101">
        <v>53</v>
      </c>
      <c r="J406" s="101">
        <v>50</v>
      </c>
      <c r="K406" s="101">
        <v>47</v>
      </c>
      <c r="L406" s="101">
        <v>44</v>
      </c>
      <c r="M406" s="101">
        <v>41</v>
      </c>
      <c r="N406" s="101">
        <v>38</v>
      </c>
      <c r="O406" s="101">
        <v>35</v>
      </c>
      <c r="P406" s="93">
        <v>0</v>
      </c>
      <c r="Q406" s="101">
        <v>1.3</v>
      </c>
      <c r="R406" s="101">
        <v>1.2</v>
      </c>
      <c r="S406" s="101">
        <v>1.1000000000000001</v>
      </c>
      <c r="T406" s="101">
        <v>1</v>
      </c>
      <c r="U406" s="101">
        <v>0.9</v>
      </c>
      <c r="V406" s="101">
        <v>0.8</v>
      </c>
      <c r="W406" s="101">
        <v>0.7</v>
      </c>
      <c r="X406" s="101">
        <v>0</v>
      </c>
      <c r="Y406" s="101">
        <v>0</v>
      </c>
      <c r="Z406" s="101">
        <v>0</v>
      </c>
      <c r="AA406" s="101">
        <v>0</v>
      </c>
      <c r="AB406" s="101">
        <v>0</v>
      </c>
      <c r="AC406" s="101">
        <v>0</v>
      </c>
      <c r="AD406" s="101">
        <v>0</v>
      </c>
      <c r="AE406" s="186">
        <v>0.08</v>
      </c>
      <c r="AF406" s="93">
        <v>0</v>
      </c>
      <c r="AG406" s="94">
        <v>25</v>
      </c>
      <c r="AH406" s="94">
        <v>25</v>
      </c>
      <c r="AI406" s="16">
        <v>1</v>
      </c>
      <c r="AJ406" s="16" t="s">
        <v>765</v>
      </c>
      <c r="AK406" s="16" t="s">
        <v>745</v>
      </c>
      <c r="AL406" s="16"/>
      <c r="AM406" s="60"/>
      <c r="AN406" s="60"/>
      <c r="AO406" s="60"/>
      <c r="AP406" s="60"/>
      <c r="AQ406" s="60"/>
      <c r="AR406" s="60"/>
      <c r="AS406" s="63">
        <v>0.5</v>
      </c>
      <c r="AT406" s="63"/>
      <c r="AU406" s="63" t="s">
        <v>766</v>
      </c>
      <c r="AV406" s="131"/>
      <c r="AW406" s="131"/>
      <c r="AX406" s="131"/>
      <c r="AY406" s="298" t="s">
        <v>662</v>
      </c>
      <c r="AZ406" s="298"/>
      <c r="BA406" s="298"/>
      <c r="BB406" s="299"/>
      <c r="BC406" s="299"/>
      <c r="BD406" s="299"/>
      <c r="BE406" s="299"/>
      <c r="BF406" s="30"/>
      <c r="BG406" s="30"/>
      <c r="BH406" s="107"/>
      <c r="BI406" s="107"/>
      <c r="BJ406" s="107"/>
      <c r="BK406" s="107"/>
      <c r="BL406" s="136"/>
      <c r="BM406" s="122"/>
      <c r="BN406" s="138">
        <v>0</v>
      </c>
      <c r="BO406" s="93"/>
      <c r="BP406" s="93"/>
      <c r="BQ406" s="93"/>
      <c r="BR406" s="93"/>
      <c r="BS406" s="93"/>
      <c r="BT406" s="93"/>
      <c r="BU406" s="27">
        <f t="shared" si="283"/>
        <v>0</v>
      </c>
      <c r="BV406" s="27"/>
      <c r="BW406" s="27"/>
      <c r="BX406" s="27"/>
      <c r="BY406" s="27"/>
      <c r="BZ406" s="27"/>
      <c r="CA406" s="27"/>
      <c r="CB406" s="97">
        <v>0</v>
      </c>
      <c r="CC406" s="97">
        <v>0</v>
      </c>
      <c r="CD406" s="97">
        <v>0</v>
      </c>
      <c r="CE406" s="97">
        <v>0</v>
      </c>
      <c r="CF406" s="97">
        <v>0</v>
      </c>
      <c r="CG406" s="97">
        <v>0</v>
      </c>
      <c r="CH406" s="97"/>
      <c r="CI406" s="173"/>
      <c r="CJ406" s="173"/>
      <c r="CK406" s="173"/>
      <c r="CL406" s="173"/>
      <c r="CM406" s="173"/>
      <c r="CN406" s="173"/>
      <c r="CO406" s="173"/>
      <c r="CP406" s="174"/>
      <c r="CQ406" s="174"/>
      <c r="CR406" s="174"/>
      <c r="CS406" s="174"/>
      <c r="CT406" s="174"/>
      <c r="CU406" s="174"/>
      <c r="CV406" s="174"/>
      <c r="CW406" s="165"/>
      <c r="CX406" s="166"/>
      <c r="CY406" s="166"/>
      <c r="CZ406" s="166"/>
      <c r="DA406" s="166"/>
      <c r="DB406" s="166"/>
      <c r="DC406" s="166"/>
      <c r="DD406" s="171"/>
      <c r="DE406" s="171"/>
      <c r="DF406" s="171"/>
      <c r="DG406" s="171"/>
      <c r="DH406" s="171"/>
      <c r="DI406" s="171"/>
      <c r="DJ406" s="171"/>
      <c r="DK406" s="79" t="s">
        <v>1635</v>
      </c>
      <c r="DL406" s="128">
        <v>60</v>
      </c>
      <c r="DM406" s="128">
        <v>60</v>
      </c>
      <c r="DN406" s="128">
        <v>100</v>
      </c>
      <c r="DO406" s="128">
        <v>200</v>
      </c>
      <c r="DP406" s="128">
        <v>300</v>
      </c>
      <c r="DQ406" s="128">
        <v>400</v>
      </c>
      <c r="DR406" s="128">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225" t="s">
        <v>1646</v>
      </c>
      <c r="B407" s="225" t="s">
        <v>740</v>
      </c>
      <c r="C407" s="225" t="s">
        <v>817</v>
      </c>
      <c r="D407" s="225" t="s">
        <v>503</v>
      </c>
      <c r="E407" s="225" t="s">
        <v>1647</v>
      </c>
      <c r="F407" s="225" t="s">
        <v>503</v>
      </c>
      <c r="G407" s="229" t="s">
        <v>1648</v>
      </c>
      <c r="H407" s="226" t="s">
        <v>659</v>
      </c>
      <c r="I407" s="102"/>
      <c r="J407" s="102"/>
      <c r="K407" s="102"/>
      <c r="L407" s="102"/>
      <c r="M407" s="102"/>
      <c r="N407" s="102"/>
      <c r="O407" s="102"/>
      <c r="P407" s="94">
        <v>0</v>
      </c>
      <c r="Q407" s="102"/>
      <c r="R407" s="102"/>
      <c r="S407" s="102"/>
      <c r="T407" s="102"/>
      <c r="U407" s="102"/>
      <c r="V407" s="102"/>
      <c r="W407" s="102"/>
      <c r="X407" s="102">
        <v>31.366415313155031</v>
      </c>
      <c r="Y407" s="102">
        <v>27.801393832106587</v>
      </c>
      <c r="Z407" s="102">
        <v>24.234183313820747</v>
      </c>
      <c r="AA407" s="102">
        <v>23.765707630671759</v>
      </c>
      <c r="AB407" s="102">
        <v>23.298995620982019</v>
      </c>
      <c r="AC407" s="102">
        <v>22.832283611292276</v>
      </c>
      <c r="AD407" s="102">
        <v>22.370015366603763</v>
      </c>
      <c r="AE407" s="186">
        <v>0.08</v>
      </c>
      <c r="AF407" s="94">
        <v>0</v>
      </c>
      <c r="AG407" s="94">
        <v>1</v>
      </c>
      <c r="AH407" s="94">
        <v>1</v>
      </c>
      <c r="AI407" s="17">
        <v>1</v>
      </c>
      <c r="AJ407" s="17" t="s">
        <v>1569</v>
      </c>
      <c r="AK407" s="17" t="s">
        <v>745</v>
      </c>
      <c r="AL407" s="17"/>
      <c r="AM407" s="61"/>
      <c r="AN407" s="61"/>
      <c r="AO407" s="61"/>
      <c r="AP407" s="61"/>
      <c r="AQ407" s="61"/>
      <c r="AR407" s="61"/>
      <c r="AS407" s="64"/>
      <c r="AT407" s="64"/>
      <c r="AU407" s="64"/>
      <c r="AV407" s="132"/>
      <c r="AW407" s="132"/>
      <c r="AX407" s="132"/>
      <c r="AY407" s="298" t="s">
        <v>662</v>
      </c>
      <c r="AZ407" s="298"/>
      <c r="BA407" s="298"/>
      <c r="BB407" s="299"/>
      <c r="BC407" s="299"/>
      <c r="BD407" s="299"/>
      <c r="BE407" s="299"/>
      <c r="BF407" s="28"/>
      <c r="BG407" s="28"/>
      <c r="BH407" s="106"/>
      <c r="BI407" s="106"/>
      <c r="BJ407" s="106"/>
      <c r="BK407" s="106"/>
      <c r="BL407" s="137"/>
      <c r="BM407" s="123"/>
      <c r="BN407" s="139">
        <v>0</v>
      </c>
      <c r="BO407" s="94"/>
      <c r="BP407" s="94"/>
      <c r="BQ407" s="94"/>
      <c r="BR407" s="94"/>
      <c r="BS407" s="94"/>
      <c r="BT407" s="94"/>
      <c r="BU407" s="28">
        <f t="shared" ref="BU407" si="329">IF(BL407=1,BN407,0)</f>
        <v>0</v>
      </c>
      <c r="BV407" s="28"/>
      <c r="BW407" s="28"/>
      <c r="BX407" s="28"/>
      <c r="BY407" s="28"/>
      <c r="BZ407" s="28"/>
      <c r="CA407" s="28"/>
      <c r="CB407" s="99"/>
      <c r="CC407" s="99"/>
      <c r="CD407" s="99"/>
      <c r="CE407" s="99"/>
      <c r="CF407" s="99"/>
      <c r="CG407" s="99"/>
      <c r="CH407" s="185"/>
      <c r="CI407" s="175"/>
      <c r="CJ407" s="175"/>
      <c r="CK407" s="191"/>
      <c r="CL407" s="191"/>
      <c r="CM407" s="191"/>
      <c r="CN407" s="191"/>
      <c r="CO407" s="191"/>
      <c r="CP407" s="197"/>
      <c r="CQ407" s="197"/>
      <c r="CR407" s="197"/>
      <c r="CS407" s="197"/>
      <c r="CT407" s="197"/>
      <c r="CU407" s="197"/>
      <c r="CV407" s="197"/>
      <c r="CW407" s="167"/>
      <c r="CX407" s="168"/>
      <c r="CY407" s="168"/>
      <c r="CZ407" s="168"/>
      <c r="DA407" s="168"/>
      <c r="DB407" s="168"/>
      <c r="DC407" s="168"/>
      <c r="DD407" s="172"/>
      <c r="DE407" s="172"/>
      <c r="DF407" s="172"/>
      <c r="DG407" s="172"/>
      <c r="DH407" s="172"/>
      <c r="DI407" s="172"/>
      <c r="DJ407" s="172"/>
      <c r="DK407" s="80" t="s">
        <v>1635</v>
      </c>
      <c r="DL407" s="129">
        <v>60</v>
      </c>
      <c r="DM407" s="129">
        <v>60</v>
      </c>
      <c r="DN407" s="129">
        <v>100</v>
      </c>
      <c r="DO407" s="129">
        <v>200</v>
      </c>
      <c r="DP407" s="129">
        <v>300</v>
      </c>
      <c r="DQ407" s="129">
        <v>400</v>
      </c>
      <c r="DR407" s="129">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1649</v>
      </c>
      <c r="B408" s="225" t="s">
        <v>740</v>
      </c>
      <c r="C408" s="225" t="s">
        <v>788</v>
      </c>
      <c r="D408" s="225" t="s">
        <v>503</v>
      </c>
      <c r="E408" s="225" t="s">
        <v>503</v>
      </c>
      <c r="F408" s="225" t="s">
        <v>503</v>
      </c>
      <c r="G408" s="229" t="s">
        <v>1650</v>
      </c>
      <c r="H408" s="226" t="s">
        <v>659</v>
      </c>
      <c r="I408" s="102">
        <v>41.950389801793669</v>
      </c>
      <c r="J408" s="102">
        <v>41.950389801793669</v>
      </c>
      <c r="K408" s="102">
        <v>41.950389801793669</v>
      </c>
      <c r="L408" s="102">
        <v>41.950389801793669</v>
      </c>
      <c r="M408" s="102">
        <v>41.950389801793669</v>
      </c>
      <c r="N408" s="102">
        <v>41.950389801793669</v>
      </c>
      <c r="O408" s="102">
        <v>41.950389801793669</v>
      </c>
      <c r="P408" s="94"/>
      <c r="Q408" s="102">
        <v>1.6360652022699531</v>
      </c>
      <c r="R408" s="102">
        <v>1.6360652022699531</v>
      </c>
      <c r="S408" s="102">
        <v>1.6360652022699531</v>
      </c>
      <c r="T408" s="102">
        <v>1.6360652022699531</v>
      </c>
      <c r="U408" s="102">
        <v>1.6360652022699531</v>
      </c>
      <c r="V408" s="102">
        <v>1.6360652022699531</v>
      </c>
      <c r="W408" s="102">
        <v>1.6360652022699531</v>
      </c>
      <c r="X408" s="102">
        <v>0</v>
      </c>
      <c r="Y408" s="102">
        <v>0</v>
      </c>
      <c r="Z408" s="102">
        <v>0</v>
      </c>
      <c r="AA408" s="102">
        <v>0</v>
      </c>
      <c r="AB408" s="102">
        <v>0</v>
      </c>
      <c r="AC408" s="102">
        <v>0</v>
      </c>
      <c r="AD408" s="102">
        <v>0</v>
      </c>
      <c r="AE408" s="186">
        <v>0.08</v>
      </c>
      <c r="AF408" s="94"/>
      <c r="AG408" s="94">
        <v>25</v>
      </c>
      <c r="AH408" s="94">
        <v>25</v>
      </c>
      <c r="AI408" s="17">
        <v>1</v>
      </c>
      <c r="AJ408" s="17" t="s">
        <v>660</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v>0</v>
      </c>
      <c r="BV408" s="28"/>
      <c r="BW408" s="28"/>
      <c r="BX408" s="28"/>
      <c r="BY408" s="28"/>
      <c r="BZ408" s="28"/>
      <c r="CA408" s="28"/>
      <c r="CB408" s="99"/>
      <c r="CC408" s="99">
        <f>CC401</f>
        <v>60</v>
      </c>
      <c r="CD408" s="389">
        <v>250</v>
      </c>
      <c r="CE408" s="389">
        <v>250</v>
      </c>
      <c r="CF408" s="99">
        <f t="shared" ref="CF408:CH408" si="330">CF401</f>
        <v>250</v>
      </c>
      <c r="CG408" s="99">
        <f t="shared" si="330"/>
        <v>500</v>
      </c>
      <c r="CH408" s="99">
        <f t="shared" si="330"/>
        <v>500</v>
      </c>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792</v>
      </c>
      <c r="DL408" s="129"/>
      <c r="DM408" s="129"/>
      <c r="DN408" s="129"/>
      <c r="DO408" s="129"/>
      <c r="DP408" s="129"/>
      <c r="DQ408" s="129"/>
      <c r="DR408" s="129"/>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5" t="s">
        <v>1651</v>
      </c>
      <c r="B409" s="5" t="s">
        <v>740</v>
      </c>
      <c r="C409" s="5" t="s">
        <v>788</v>
      </c>
      <c r="D409" s="5" t="s">
        <v>1652</v>
      </c>
      <c r="E409" s="5" t="s">
        <v>1500</v>
      </c>
      <c r="F409" s="5" t="s">
        <v>504</v>
      </c>
      <c r="G409" s="47" t="s">
        <v>1653</v>
      </c>
      <c r="H409" s="47" t="s">
        <v>659</v>
      </c>
      <c r="I409" s="101">
        <v>0</v>
      </c>
      <c r="J409" s="101">
        <v>0</v>
      </c>
      <c r="K409" s="101">
        <v>0</v>
      </c>
      <c r="L409" s="101">
        <v>0</v>
      </c>
      <c r="M409" s="101">
        <v>0</v>
      </c>
      <c r="N409" s="101">
        <v>0</v>
      </c>
      <c r="O409" s="101">
        <v>0</v>
      </c>
      <c r="P409" s="93">
        <v>0</v>
      </c>
      <c r="Q409" s="101">
        <v>0</v>
      </c>
      <c r="R409" s="101">
        <v>0</v>
      </c>
      <c r="S409" s="101">
        <v>0</v>
      </c>
      <c r="T409" s="101">
        <v>0</v>
      </c>
      <c r="U409" s="101">
        <v>0</v>
      </c>
      <c r="V409" s="101">
        <v>0</v>
      </c>
      <c r="W409" s="101">
        <v>0</v>
      </c>
      <c r="X409" s="101">
        <v>0</v>
      </c>
      <c r="Y409" s="101">
        <v>0</v>
      </c>
      <c r="Z409" s="101">
        <v>0</v>
      </c>
      <c r="AA409" s="101">
        <v>0</v>
      </c>
      <c r="AB409" s="101">
        <v>0</v>
      </c>
      <c r="AC409" s="101">
        <v>0</v>
      </c>
      <c r="AD409" s="101">
        <v>0</v>
      </c>
      <c r="AE409" s="186">
        <v>0.08</v>
      </c>
      <c r="AF409" s="93">
        <v>0</v>
      </c>
      <c r="AG409" s="93">
        <v>1</v>
      </c>
      <c r="AH409" s="93">
        <v>1</v>
      </c>
      <c r="AI409" s="16">
        <v>1</v>
      </c>
      <c r="AJ409" s="16" t="s">
        <v>660</v>
      </c>
      <c r="AK409" s="16" t="s">
        <v>745</v>
      </c>
      <c r="AL409" s="16"/>
      <c r="AM409" s="60"/>
      <c r="AN409" s="60"/>
      <c r="AO409" s="60"/>
      <c r="AP409" s="60"/>
      <c r="AQ409" s="60"/>
      <c r="AR409" s="60"/>
      <c r="AS409" s="63"/>
      <c r="AT409" s="63"/>
      <c r="AU409" s="63"/>
      <c r="AV409" s="131"/>
      <c r="AW409" s="131"/>
      <c r="AX409" s="131"/>
      <c r="AY409" s="27" t="s">
        <v>662</v>
      </c>
      <c r="AZ409" s="27"/>
      <c r="BA409" s="27"/>
      <c r="BB409" s="30"/>
      <c r="BC409" s="30"/>
      <c r="BD409" s="30"/>
      <c r="BE409" s="30"/>
      <c r="BF409" s="30"/>
      <c r="BG409" s="30"/>
      <c r="BH409" s="107"/>
      <c r="BI409" s="107"/>
      <c r="BJ409" s="107"/>
      <c r="BK409" s="107"/>
      <c r="BL409" s="136"/>
      <c r="BM409" s="122"/>
      <c r="BN409" s="138"/>
      <c r="BO409" s="93"/>
      <c r="BP409" s="93"/>
      <c r="BQ409" s="93"/>
      <c r="BR409" s="93"/>
      <c r="BS409" s="93"/>
      <c r="BT409" s="93"/>
      <c r="BU409" s="27">
        <f t="shared" si="283"/>
        <v>0</v>
      </c>
      <c r="BV409" s="27"/>
      <c r="BW409" s="27"/>
      <c r="BX409" s="27"/>
      <c r="BY409" s="27"/>
      <c r="BZ409" s="27"/>
      <c r="CA409" s="27"/>
      <c r="CB409" s="97">
        <v>1000</v>
      </c>
      <c r="CC409" s="97">
        <v>1000</v>
      </c>
      <c r="CD409" s="97">
        <v>1000</v>
      </c>
      <c r="CE409" s="97">
        <v>1000</v>
      </c>
      <c r="CF409" s="97">
        <v>1000</v>
      </c>
      <c r="CG409" s="97">
        <v>1000</v>
      </c>
      <c r="CH409" s="97">
        <v>1000</v>
      </c>
      <c r="CI409" s="173"/>
      <c r="CJ409" s="173"/>
      <c r="CK409" s="173"/>
      <c r="CL409" s="173"/>
      <c r="CM409" s="173"/>
      <c r="CN409" s="173"/>
      <c r="CO409" s="173"/>
      <c r="CP409" s="174"/>
      <c r="CQ409" s="174"/>
      <c r="CR409" s="174"/>
      <c r="CS409" s="174"/>
      <c r="CT409" s="174"/>
      <c r="CU409" s="174"/>
      <c r="CV409" s="174"/>
      <c r="CW409" s="165"/>
      <c r="CX409" s="166"/>
      <c r="CY409" s="166"/>
      <c r="CZ409" s="166"/>
      <c r="DA409" s="166"/>
      <c r="DB409" s="166"/>
      <c r="DC409" s="166"/>
      <c r="DD409" s="171"/>
      <c r="DE409" s="171"/>
      <c r="DF409" s="171"/>
      <c r="DG409" s="171"/>
      <c r="DH409" s="171"/>
      <c r="DI409" s="171"/>
      <c r="DJ409" s="171"/>
      <c r="DK409" s="79" t="s">
        <v>415</v>
      </c>
      <c r="DL409" s="128">
        <v>1000</v>
      </c>
      <c r="DM409" s="128">
        <v>1000</v>
      </c>
      <c r="DN409" s="128">
        <v>1000</v>
      </c>
      <c r="DO409" s="128">
        <v>1000</v>
      </c>
      <c r="DP409" s="128">
        <v>1000</v>
      </c>
      <c r="DQ409" s="128">
        <v>1000</v>
      </c>
      <c r="DR409" s="128">
        <v>1000</v>
      </c>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6" t="s">
        <v>1654</v>
      </c>
      <c r="B410" s="6" t="s">
        <v>740</v>
      </c>
      <c r="C410" s="6" t="s">
        <v>788</v>
      </c>
      <c r="D410" s="6" t="s">
        <v>1652</v>
      </c>
      <c r="E410" s="6" t="s">
        <v>1500</v>
      </c>
      <c r="F410" s="6" t="s">
        <v>504</v>
      </c>
      <c r="G410" s="48" t="s">
        <v>1655</v>
      </c>
      <c r="H410" s="48" t="s">
        <v>659</v>
      </c>
      <c r="I410" s="102">
        <v>0</v>
      </c>
      <c r="J410" s="102">
        <v>0</v>
      </c>
      <c r="K410" s="102">
        <v>0</v>
      </c>
      <c r="L410" s="102">
        <v>0</v>
      </c>
      <c r="M410" s="102">
        <v>0</v>
      </c>
      <c r="N410" s="102">
        <v>0</v>
      </c>
      <c r="O410" s="102">
        <v>0</v>
      </c>
      <c r="P410" s="93">
        <v>0</v>
      </c>
      <c r="Q410" s="102">
        <v>0</v>
      </c>
      <c r="R410" s="102">
        <v>0</v>
      </c>
      <c r="S410" s="102">
        <v>0</v>
      </c>
      <c r="T410" s="102">
        <v>0</v>
      </c>
      <c r="U410" s="102">
        <v>0</v>
      </c>
      <c r="V410" s="102">
        <v>0</v>
      </c>
      <c r="W410" s="102">
        <v>0</v>
      </c>
      <c r="X410" s="102">
        <v>0</v>
      </c>
      <c r="Y410" s="102">
        <v>0</v>
      </c>
      <c r="Z410" s="102">
        <v>0</v>
      </c>
      <c r="AA410" s="102">
        <v>0</v>
      </c>
      <c r="AB410" s="102">
        <v>0</v>
      </c>
      <c r="AC410" s="102">
        <v>0</v>
      </c>
      <c r="AD410" s="102">
        <v>0</v>
      </c>
      <c r="AE410" s="186">
        <v>0.08</v>
      </c>
      <c r="AF410" s="94">
        <v>0</v>
      </c>
      <c r="AG410" s="94">
        <v>1</v>
      </c>
      <c r="AH410" s="94">
        <v>1</v>
      </c>
      <c r="AI410" s="17">
        <v>1</v>
      </c>
      <c r="AJ410" s="17" t="s">
        <v>660</v>
      </c>
      <c r="AK410" s="17" t="s">
        <v>745</v>
      </c>
      <c r="AL410" s="17"/>
      <c r="AM410" s="61"/>
      <c r="AN410" s="61"/>
      <c r="AO410" s="61"/>
      <c r="AP410" s="61"/>
      <c r="AQ410" s="61"/>
      <c r="AR410" s="61"/>
      <c r="AS410" s="64"/>
      <c r="AT410" s="64"/>
      <c r="AU410" s="64"/>
      <c r="AV410" s="132"/>
      <c r="AW410" s="132"/>
      <c r="AX410" s="132"/>
      <c r="AY410" s="28" t="s">
        <v>662</v>
      </c>
      <c r="AZ410" s="28"/>
      <c r="BA410" s="28"/>
      <c r="BB410" s="28"/>
      <c r="BC410" s="28"/>
      <c r="BD410" s="28"/>
      <c r="BE410" s="28"/>
      <c r="BF410" s="28"/>
      <c r="BG410" s="28"/>
      <c r="BH410" s="106"/>
      <c r="BI410" s="106"/>
      <c r="BJ410" s="106"/>
      <c r="BK410" s="106"/>
      <c r="BL410" s="137"/>
      <c r="BM410" s="123"/>
      <c r="BN410" s="139"/>
      <c r="BO410" s="94"/>
      <c r="BP410" s="94"/>
      <c r="BQ410" s="94"/>
      <c r="BR410" s="94"/>
      <c r="BS410" s="94"/>
      <c r="BT410" s="94"/>
      <c r="BU410" s="28">
        <f t="shared" si="283"/>
        <v>0</v>
      </c>
      <c r="BV410" s="28"/>
      <c r="BW410" s="28"/>
      <c r="BX410" s="28"/>
      <c r="BY410" s="28"/>
      <c r="BZ410" s="28"/>
      <c r="CA410" s="28"/>
      <c r="CB410" s="99">
        <v>1000</v>
      </c>
      <c r="CC410" s="99">
        <v>1000</v>
      </c>
      <c r="CD410" s="99">
        <v>1000</v>
      </c>
      <c r="CE410" s="99">
        <v>1000</v>
      </c>
      <c r="CF410" s="99">
        <v>1000</v>
      </c>
      <c r="CG410" s="99">
        <v>1000</v>
      </c>
      <c r="CH410" s="99">
        <v>1000</v>
      </c>
      <c r="CI410" s="175"/>
      <c r="CJ410" s="175"/>
      <c r="CK410" s="175"/>
      <c r="CL410" s="175"/>
      <c r="CM410" s="175"/>
      <c r="CN410" s="175"/>
      <c r="CO410" s="175"/>
      <c r="CP410" s="176"/>
      <c r="CQ410" s="176"/>
      <c r="CR410" s="176"/>
      <c r="CS410" s="176"/>
      <c r="CT410" s="176"/>
      <c r="CU410" s="176"/>
      <c r="CV410" s="176"/>
      <c r="CW410" s="167"/>
      <c r="CX410" s="168"/>
      <c r="CY410" s="168"/>
      <c r="CZ410" s="168"/>
      <c r="DA410" s="168"/>
      <c r="DB410" s="168"/>
      <c r="DC410" s="168"/>
      <c r="DD410" s="172"/>
      <c r="DE410" s="172"/>
      <c r="DF410" s="172"/>
      <c r="DG410" s="172"/>
      <c r="DH410" s="172"/>
      <c r="DI410" s="172"/>
      <c r="DJ410" s="172"/>
      <c r="DK410" s="80" t="s">
        <v>415</v>
      </c>
      <c r="DL410" s="129">
        <v>1000</v>
      </c>
      <c r="DM410" s="129">
        <v>1000</v>
      </c>
      <c r="DN410" s="129">
        <v>1000</v>
      </c>
      <c r="DO410" s="129">
        <v>1000</v>
      </c>
      <c r="DP410" s="129">
        <v>1000</v>
      </c>
      <c r="DQ410" s="129">
        <v>1000</v>
      </c>
      <c r="DR410" s="129">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5" t="s">
        <v>1656</v>
      </c>
      <c r="B411" s="5" t="s">
        <v>740</v>
      </c>
      <c r="C411" s="5" t="s">
        <v>788</v>
      </c>
      <c r="D411" s="5" t="s">
        <v>1652</v>
      </c>
      <c r="E411" s="5" t="s">
        <v>1500</v>
      </c>
      <c r="F411" s="5" t="s">
        <v>504</v>
      </c>
      <c r="G411" s="47" t="s">
        <v>1657</v>
      </c>
      <c r="H411" s="47" t="s">
        <v>659</v>
      </c>
      <c r="I411" s="101">
        <v>0</v>
      </c>
      <c r="J411" s="101">
        <v>0</v>
      </c>
      <c r="K411" s="101">
        <v>0</v>
      </c>
      <c r="L411" s="101">
        <v>0</v>
      </c>
      <c r="M411" s="101">
        <v>0</v>
      </c>
      <c r="N411" s="101">
        <v>0</v>
      </c>
      <c r="O411" s="101">
        <v>0</v>
      </c>
      <c r="P411" s="93">
        <v>0</v>
      </c>
      <c r="Q411" s="101">
        <v>0</v>
      </c>
      <c r="R411" s="101">
        <v>0</v>
      </c>
      <c r="S411" s="101">
        <v>0</v>
      </c>
      <c r="T411" s="101">
        <v>0</v>
      </c>
      <c r="U411" s="101">
        <v>0</v>
      </c>
      <c r="V411" s="101">
        <v>0</v>
      </c>
      <c r="W411" s="101">
        <v>0</v>
      </c>
      <c r="X411" s="101">
        <v>0</v>
      </c>
      <c r="Y411" s="101">
        <v>0</v>
      </c>
      <c r="Z411" s="101">
        <v>0</v>
      </c>
      <c r="AA411" s="101">
        <v>0</v>
      </c>
      <c r="AB411" s="101">
        <v>0</v>
      </c>
      <c r="AC411" s="101">
        <v>0</v>
      </c>
      <c r="AD411" s="101">
        <v>0</v>
      </c>
      <c r="AE411" s="186">
        <v>0.08</v>
      </c>
      <c r="AF411" s="93">
        <v>0</v>
      </c>
      <c r="AG411" s="93">
        <v>1</v>
      </c>
      <c r="AH411" s="93">
        <v>1</v>
      </c>
      <c r="AI411" s="16">
        <v>1</v>
      </c>
      <c r="AJ411" s="16" t="s">
        <v>660</v>
      </c>
      <c r="AK411" s="16" t="s">
        <v>745</v>
      </c>
      <c r="AL411" s="16"/>
      <c r="AM411" s="60"/>
      <c r="AN411" s="60"/>
      <c r="AO411" s="60"/>
      <c r="AP411" s="60"/>
      <c r="AQ411" s="60"/>
      <c r="AR411" s="60"/>
      <c r="AS411" s="63"/>
      <c r="AT411" s="63"/>
      <c r="AU411" s="63"/>
      <c r="AV411" s="131"/>
      <c r="AW411" s="131"/>
      <c r="AX411" s="131"/>
      <c r="AY411" s="27" t="s">
        <v>662</v>
      </c>
      <c r="AZ411" s="27"/>
      <c r="BA411" s="27"/>
      <c r="BB411" s="30"/>
      <c r="BC411" s="30"/>
      <c r="BD411" s="30"/>
      <c r="BE411" s="30"/>
      <c r="BF411" s="30"/>
      <c r="BG411" s="30"/>
      <c r="BH411" s="107"/>
      <c r="BI411" s="107"/>
      <c r="BJ411" s="107"/>
      <c r="BK411" s="107"/>
      <c r="BL411" s="136"/>
      <c r="BM411" s="122"/>
      <c r="BN411" s="138"/>
      <c r="BO411" s="93"/>
      <c r="BP411" s="93"/>
      <c r="BQ411" s="93"/>
      <c r="BR411" s="93"/>
      <c r="BS411" s="93"/>
      <c r="BT411" s="93"/>
      <c r="BU411" s="27">
        <f t="shared" si="283"/>
        <v>0</v>
      </c>
      <c r="BV411" s="27"/>
      <c r="BW411" s="27"/>
      <c r="BX411" s="27"/>
      <c r="BY411" s="27"/>
      <c r="BZ411" s="27"/>
      <c r="CA411" s="27"/>
      <c r="CB411" s="97">
        <v>1000</v>
      </c>
      <c r="CC411" s="97">
        <v>1000</v>
      </c>
      <c r="CD411" s="97">
        <v>1000</v>
      </c>
      <c r="CE411" s="97">
        <v>1000</v>
      </c>
      <c r="CF411" s="97">
        <v>1000</v>
      </c>
      <c r="CG411" s="97">
        <v>1000</v>
      </c>
      <c r="CH411" s="97">
        <v>1000</v>
      </c>
      <c r="CI411" s="173"/>
      <c r="CJ411" s="173"/>
      <c r="CK411" s="173"/>
      <c r="CL411" s="173"/>
      <c r="CM411" s="173"/>
      <c r="CN411" s="173"/>
      <c r="CO411" s="173"/>
      <c r="CP411" s="174"/>
      <c r="CQ411" s="174"/>
      <c r="CR411" s="174"/>
      <c r="CS411" s="174"/>
      <c r="CT411" s="174"/>
      <c r="CU411" s="174"/>
      <c r="CV411" s="174"/>
      <c r="CW411" s="165"/>
      <c r="CX411" s="166"/>
      <c r="CY411" s="166"/>
      <c r="CZ411" s="166"/>
      <c r="DA411" s="166"/>
      <c r="DB411" s="166"/>
      <c r="DC411" s="166"/>
      <c r="DD411" s="171"/>
      <c r="DE411" s="171"/>
      <c r="DF411" s="171"/>
      <c r="DG411" s="171"/>
      <c r="DH411" s="171"/>
      <c r="DI411" s="171"/>
      <c r="DJ411" s="171"/>
      <c r="DK411" s="79" t="s">
        <v>415</v>
      </c>
      <c r="DL411" s="128">
        <v>1000</v>
      </c>
      <c r="DM411" s="128">
        <v>1000</v>
      </c>
      <c r="DN411" s="128">
        <v>1000</v>
      </c>
      <c r="DO411" s="128">
        <v>1000</v>
      </c>
      <c r="DP411" s="128">
        <v>1000</v>
      </c>
      <c r="DQ411" s="128">
        <v>1000</v>
      </c>
      <c r="DR411" s="128">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225" t="s">
        <v>1658</v>
      </c>
      <c r="B412" s="225" t="s">
        <v>740</v>
      </c>
      <c r="C412" s="225" t="s">
        <v>817</v>
      </c>
      <c r="D412" s="225" t="s">
        <v>1469</v>
      </c>
      <c r="E412" s="225" t="s">
        <v>1567</v>
      </c>
      <c r="F412" s="225" t="s">
        <v>468</v>
      </c>
      <c r="G412" s="229" t="s">
        <v>1659</v>
      </c>
      <c r="H412" s="226" t="s">
        <v>659</v>
      </c>
      <c r="I412" s="102">
        <v>0</v>
      </c>
      <c r="J412" s="102">
        <v>0</v>
      </c>
      <c r="K412" s="102">
        <v>0</v>
      </c>
      <c r="L412" s="102">
        <v>0</v>
      </c>
      <c r="M412" s="102">
        <v>0</v>
      </c>
      <c r="N412" s="102">
        <v>0</v>
      </c>
      <c r="O412" s="102">
        <v>0</v>
      </c>
      <c r="P412" s="94">
        <v>0</v>
      </c>
      <c r="Q412" s="102">
        <v>0</v>
      </c>
      <c r="R412" s="102">
        <v>0</v>
      </c>
      <c r="S412" s="102">
        <v>0</v>
      </c>
      <c r="T412" s="102">
        <v>0</v>
      </c>
      <c r="U412" s="102">
        <v>0</v>
      </c>
      <c r="V412" s="102">
        <v>0</v>
      </c>
      <c r="W412" s="102">
        <v>0</v>
      </c>
      <c r="X412" s="102">
        <v>10.948225578976254</v>
      </c>
      <c r="Y412" s="102">
        <v>7.3963203338885384</v>
      </c>
      <c r="Z412" s="102">
        <v>2.7579499550092854</v>
      </c>
      <c r="AA412" s="102">
        <v>2.7997370755397291</v>
      </c>
      <c r="AB412" s="102">
        <v>2.0667948980014348</v>
      </c>
      <c r="AC412" s="102">
        <v>2.0060068127660986</v>
      </c>
      <c r="AD412" s="102">
        <v>1.9452187275307624</v>
      </c>
      <c r="AE412" s="186">
        <v>0.08</v>
      </c>
      <c r="AF412" s="94">
        <v>0</v>
      </c>
      <c r="AG412" s="94">
        <v>1</v>
      </c>
      <c r="AH412" s="94">
        <v>1</v>
      </c>
      <c r="AI412" s="17">
        <v>1</v>
      </c>
      <c r="AJ412" s="17" t="s">
        <v>662</v>
      </c>
      <c r="AK412" s="17" t="s">
        <v>745</v>
      </c>
      <c r="AL412" s="17"/>
      <c r="AM412" s="61"/>
      <c r="AN412" s="61"/>
      <c r="AO412" s="61"/>
      <c r="AP412" s="61"/>
      <c r="AQ412" s="61"/>
      <c r="AR412" s="61"/>
      <c r="AS412" s="64"/>
      <c r="AT412" s="64"/>
      <c r="AU412" s="64"/>
      <c r="AV412" s="132"/>
      <c r="AW412" s="132"/>
      <c r="AX412" s="132"/>
      <c r="AY412" s="28" t="s">
        <v>662</v>
      </c>
      <c r="AZ412" s="28"/>
      <c r="BA412" s="28"/>
      <c r="BB412" s="28"/>
      <c r="BC412" s="28"/>
      <c r="BD412" s="28"/>
      <c r="BE412" s="28"/>
      <c r="BF412" s="28"/>
      <c r="BG412" s="28"/>
      <c r="BH412" s="106"/>
      <c r="BI412" s="106"/>
      <c r="BJ412" s="106"/>
      <c r="BK412" s="106"/>
      <c r="BL412" s="137"/>
      <c r="BM412" s="123"/>
      <c r="BN412" s="139"/>
      <c r="BO412" s="94"/>
      <c r="BP412" s="94"/>
      <c r="BQ412" s="94"/>
      <c r="BR412" s="94"/>
      <c r="BS412" s="94"/>
      <c r="BT412" s="94"/>
      <c r="BU412" s="28">
        <f t="shared" si="283"/>
        <v>0</v>
      </c>
      <c r="BV412" s="28"/>
      <c r="BW412" s="28"/>
      <c r="BX412" s="28"/>
      <c r="BY412" s="28"/>
      <c r="BZ412" s="28"/>
      <c r="CA412" s="28"/>
      <c r="CB412" s="99">
        <v>1000</v>
      </c>
      <c r="CC412" s="99">
        <v>1000</v>
      </c>
      <c r="CD412" s="99">
        <v>1000</v>
      </c>
      <c r="CE412" s="99">
        <v>1000</v>
      </c>
      <c r="CF412" s="99">
        <v>1000</v>
      </c>
      <c r="CG412" s="99">
        <v>1000</v>
      </c>
      <c r="CH412" s="99">
        <v>1000</v>
      </c>
      <c r="CI412" s="175"/>
      <c r="CJ412" s="175"/>
      <c r="CK412" s="175"/>
      <c r="CL412" s="175"/>
      <c r="CM412" s="175"/>
      <c r="CN412" s="175"/>
      <c r="CO412" s="175"/>
      <c r="CP412" s="176"/>
      <c r="CQ412" s="176"/>
      <c r="CR412" s="176"/>
      <c r="CS412" s="176"/>
      <c r="CT412" s="176"/>
      <c r="CU412" s="176"/>
      <c r="CV412" s="176"/>
      <c r="CW412" s="167"/>
      <c r="CX412" s="168"/>
      <c r="CY412" s="168"/>
      <c r="CZ412" s="168"/>
      <c r="DA412" s="168"/>
      <c r="DB412" s="168"/>
      <c r="DC412" s="168"/>
      <c r="DD412" s="172"/>
      <c r="DE412" s="172"/>
      <c r="DF412" s="172"/>
      <c r="DG412" s="172"/>
      <c r="DH412" s="172"/>
      <c r="DI412" s="172"/>
      <c r="DJ412" s="172"/>
      <c r="DK412" s="80" t="s">
        <v>1570</v>
      </c>
      <c r="DL412" s="129">
        <v>1000</v>
      </c>
      <c r="DM412" s="129">
        <v>1000</v>
      </c>
      <c r="DN412" s="129">
        <v>1000</v>
      </c>
      <c r="DO412" s="129">
        <v>1000</v>
      </c>
      <c r="DP412" s="129">
        <v>1000</v>
      </c>
      <c r="DQ412" s="129">
        <v>1000</v>
      </c>
      <c r="DR412" s="129">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1469</v>
      </c>
      <c r="E413" s="225" t="s">
        <v>1567</v>
      </c>
      <c r="F413" s="225" t="s">
        <v>505</v>
      </c>
      <c r="G413" s="229" t="s">
        <v>1661</v>
      </c>
      <c r="H413" s="226" t="s">
        <v>659</v>
      </c>
      <c r="I413" s="101">
        <v>0</v>
      </c>
      <c r="J413" s="101">
        <v>0</v>
      </c>
      <c r="K413" s="101">
        <v>0</v>
      </c>
      <c r="L413" s="101">
        <v>0</v>
      </c>
      <c r="M413" s="101">
        <v>0</v>
      </c>
      <c r="N413" s="101">
        <v>0</v>
      </c>
      <c r="O413" s="101">
        <v>0</v>
      </c>
      <c r="P413" s="93">
        <v>0</v>
      </c>
      <c r="Q413" s="101">
        <v>0</v>
      </c>
      <c r="R413" s="101">
        <v>0</v>
      </c>
      <c r="S413" s="101">
        <v>0</v>
      </c>
      <c r="T413" s="101">
        <v>0</v>
      </c>
      <c r="U413" s="101">
        <v>0</v>
      </c>
      <c r="V413" s="101">
        <v>0</v>
      </c>
      <c r="W413" s="101">
        <v>0</v>
      </c>
      <c r="X413" s="101">
        <v>13.454145407277929</v>
      </c>
      <c r="Y413" s="101">
        <v>12.4914096711078</v>
      </c>
      <c r="Z413" s="101">
        <v>11.532124634809652</v>
      </c>
      <c r="AA413" s="101">
        <v>11.532124634809652</v>
      </c>
      <c r="AB413" s="101">
        <v>8.6490934761072396</v>
      </c>
      <c r="AC413" s="101">
        <v>8.3093040156526605</v>
      </c>
      <c r="AD413" s="101">
        <v>7.9626574859399986</v>
      </c>
      <c r="AE413" s="186">
        <v>0.08</v>
      </c>
      <c r="AF413" s="93">
        <v>0</v>
      </c>
      <c r="AG413" s="93">
        <v>1</v>
      </c>
      <c r="AH413" s="93">
        <v>1</v>
      </c>
      <c r="AI413" s="16">
        <v>1</v>
      </c>
      <c r="AJ413" s="16" t="s">
        <v>662</v>
      </c>
      <c r="AK413" s="16" t="s">
        <v>745</v>
      </c>
      <c r="AL413" s="16"/>
      <c r="AM413" s="60"/>
      <c r="AN413" s="60"/>
      <c r="AO413" s="60"/>
      <c r="AP413" s="60"/>
      <c r="AQ413" s="60"/>
      <c r="AR413" s="60"/>
      <c r="AS413" s="63"/>
      <c r="AT413" s="63"/>
      <c r="AU413" s="63"/>
      <c r="AV413" s="131"/>
      <c r="AW413" s="131"/>
      <c r="AX413" s="131"/>
      <c r="AY413" s="27" t="s">
        <v>662</v>
      </c>
      <c r="AZ413" s="27"/>
      <c r="BA413" s="27"/>
      <c r="BB413" s="30"/>
      <c r="BC413" s="30"/>
      <c r="BD413" s="30"/>
      <c r="BE413" s="30"/>
      <c r="BF413" s="30"/>
      <c r="BG413" s="30"/>
      <c r="BH413" s="107"/>
      <c r="BI413" s="107"/>
      <c r="BJ413" s="107"/>
      <c r="BK413" s="107"/>
      <c r="BL413" s="136"/>
      <c r="BM413" s="122"/>
      <c r="BN413" s="138"/>
      <c r="BO413" s="93"/>
      <c r="BP413" s="93"/>
      <c r="BQ413" s="93"/>
      <c r="BR413" s="93"/>
      <c r="BS413" s="93"/>
      <c r="BT413" s="93"/>
      <c r="BU413" s="27">
        <f t="shared" si="283"/>
        <v>0</v>
      </c>
      <c r="BV413" s="27"/>
      <c r="BW413" s="27"/>
      <c r="BX413" s="27"/>
      <c r="BY413" s="27"/>
      <c r="BZ413" s="27"/>
      <c r="CA413" s="27"/>
      <c r="CB413" s="185">
        <v>3000</v>
      </c>
      <c r="CC413" s="185">
        <v>3000</v>
      </c>
      <c r="CD413" s="185">
        <v>3000</v>
      </c>
      <c r="CE413" s="185">
        <v>3000</v>
      </c>
      <c r="CF413" s="185">
        <v>3000</v>
      </c>
      <c r="CG413" s="185">
        <v>3000</v>
      </c>
      <c r="CH413" s="185">
        <v>3000</v>
      </c>
      <c r="CI413" s="173"/>
      <c r="CJ413" s="173"/>
      <c r="CK413" s="173"/>
      <c r="CL413" s="173"/>
      <c r="CM413" s="173"/>
      <c r="CN413" s="173"/>
      <c r="CO413" s="173"/>
      <c r="CP413" s="174"/>
      <c r="CQ413" s="174"/>
      <c r="CR413" s="174"/>
      <c r="CS413" s="174"/>
      <c r="CT413" s="174"/>
      <c r="CU413" s="174"/>
      <c r="CV413" s="174"/>
      <c r="CW413" s="165"/>
      <c r="CX413" s="166"/>
      <c r="CY413" s="166"/>
      <c r="CZ413" s="166"/>
      <c r="DA413" s="166"/>
      <c r="DB413" s="166"/>
      <c r="DC413" s="166"/>
      <c r="DD413" s="171"/>
      <c r="DE413" s="171"/>
      <c r="DF413" s="171"/>
      <c r="DG413" s="171"/>
      <c r="DH413" s="171"/>
      <c r="DI413" s="171"/>
      <c r="DJ413" s="171"/>
      <c r="DK413" s="79" t="s">
        <v>1570</v>
      </c>
      <c r="DL413" s="128">
        <v>8000</v>
      </c>
      <c r="DM413" s="128">
        <v>8000</v>
      </c>
      <c r="DN413" s="128">
        <v>8000</v>
      </c>
      <c r="DO413" s="128">
        <v>8000</v>
      </c>
      <c r="DP413" s="128">
        <v>8000</v>
      </c>
      <c r="DQ413" s="128">
        <v>8000</v>
      </c>
      <c r="DR413" s="128">
        <v>8000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6" t="s">
        <v>1662</v>
      </c>
      <c r="B414" s="6" t="s">
        <v>740</v>
      </c>
      <c r="C414" s="6" t="s">
        <v>817</v>
      </c>
      <c r="D414" s="6" t="s">
        <v>1469</v>
      </c>
      <c r="E414" s="6" t="s">
        <v>1567</v>
      </c>
      <c r="F414" s="6" t="s">
        <v>507</v>
      </c>
      <c r="G414" s="48" t="s">
        <v>507</v>
      </c>
      <c r="H414" s="48" t="s">
        <v>659</v>
      </c>
      <c r="I414" s="102">
        <v>0</v>
      </c>
      <c r="J414" s="102">
        <v>0</v>
      </c>
      <c r="K414" s="102">
        <v>0</v>
      </c>
      <c r="L414" s="102">
        <v>0</v>
      </c>
      <c r="M414" s="102">
        <v>0</v>
      </c>
      <c r="N414" s="102">
        <v>0</v>
      </c>
      <c r="O414" s="102">
        <v>0</v>
      </c>
      <c r="P414" s="94">
        <v>0</v>
      </c>
      <c r="Q414" s="102">
        <v>0</v>
      </c>
      <c r="R414" s="102">
        <v>0</v>
      </c>
      <c r="S414" s="102">
        <v>0</v>
      </c>
      <c r="T414" s="102">
        <v>0</v>
      </c>
      <c r="U414" s="102">
        <v>0</v>
      </c>
      <c r="V414" s="102">
        <v>0</v>
      </c>
      <c r="W414" s="102">
        <v>0</v>
      </c>
      <c r="X414" s="102">
        <v>24.59696857763559</v>
      </c>
      <c r="Y414" s="102">
        <v>14.211581844856118</v>
      </c>
      <c r="Z414" s="102">
        <v>6.2858919698402076</v>
      </c>
      <c r="AA414" s="102">
        <v>5.444973446380323</v>
      </c>
      <c r="AB414" s="102">
        <v>4.6020714112945607</v>
      </c>
      <c r="AC414" s="102">
        <v>4.6030615857635331</v>
      </c>
      <c r="AD414" s="102">
        <v>4.6020714112945607</v>
      </c>
      <c r="AE414" s="186">
        <v>0.08</v>
      </c>
      <c r="AF414" s="94">
        <v>0</v>
      </c>
      <c r="AG414" s="94">
        <v>1</v>
      </c>
      <c r="AH414" s="94">
        <v>1</v>
      </c>
      <c r="AI414" s="17">
        <v>1</v>
      </c>
      <c r="AJ414" s="17" t="s">
        <v>662</v>
      </c>
      <c r="AK414" s="17" t="s">
        <v>745</v>
      </c>
      <c r="AL414" s="17"/>
      <c r="AM414" s="61"/>
      <c r="AN414" s="61"/>
      <c r="AO414" s="61"/>
      <c r="AP414" s="61"/>
      <c r="AQ414" s="61"/>
      <c r="AR414" s="61"/>
      <c r="AS414" s="64"/>
      <c r="AT414" s="64"/>
      <c r="AU414" s="64"/>
      <c r="AV414" s="132"/>
      <c r="AW414" s="132"/>
      <c r="AX414" s="132"/>
      <c r="AY414" s="28" t="s">
        <v>662</v>
      </c>
      <c r="AZ414" s="28"/>
      <c r="BA414" s="28"/>
      <c r="BB414" s="28"/>
      <c r="BC414" s="28"/>
      <c r="BD414" s="28"/>
      <c r="BE414" s="28"/>
      <c r="BF414" s="28"/>
      <c r="BG414" s="28"/>
      <c r="BH414" s="106"/>
      <c r="BI414" s="106"/>
      <c r="BJ414" s="106"/>
      <c r="BK414" s="106"/>
      <c r="BL414" s="137"/>
      <c r="BM414" s="123"/>
      <c r="BN414" s="139"/>
      <c r="BO414" s="94"/>
      <c r="BP414" s="94"/>
      <c r="BQ414" s="94"/>
      <c r="BR414" s="94"/>
      <c r="BS414" s="94"/>
      <c r="BT414" s="94"/>
      <c r="BU414" s="28">
        <f t="shared" si="283"/>
        <v>0</v>
      </c>
      <c r="BV414" s="28"/>
      <c r="BW414" s="28"/>
      <c r="BX414" s="28"/>
      <c r="BY414" s="28"/>
      <c r="BZ414" s="28"/>
      <c r="CA414" s="28"/>
      <c r="CB414" s="99">
        <v>1500</v>
      </c>
      <c r="CC414" s="99">
        <v>1250</v>
      </c>
      <c r="CD414" s="99">
        <v>1000</v>
      </c>
      <c r="CE414" s="99">
        <v>750</v>
      </c>
      <c r="CF414" s="99">
        <v>500</v>
      </c>
      <c r="CG414" s="99">
        <v>250</v>
      </c>
      <c r="CH414" s="99">
        <v>100</v>
      </c>
      <c r="CI414" s="175"/>
      <c r="CJ414" s="175"/>
      <c r="CK414" s="175"/>
      <c r="CL414" s="175"/>
      <c r="CM414" s="175"/>
      <c r="CN414" s="175"/>
      <c r="CO414" s="175"/>
      <c r="CP414" s="176"/>
      <c r="CQ414" s="176"/>
      <c r="CR414" s="176"/>
      <c r="CS414" s="176"/>
      <c r="CT414" s="176"/>
      <c r="CU414" s="176"/>
      <c r="CV414" s="176"/>
      <c r="CW414" s="167"/>
      <c r="CX414" s="168"/>
      <c r="CY414" s="168"/>
      <c r="CZ414" s="168"/>
      <c r="DA414" s="168"/>
      <c r="DB414" s="168"/>
      <c r="DC414" s="168"/>
      <c r="DD414" s="172"/>
      <c r="DE414" s="172"/>
      <c r="DF414" s="172"/>
      <c r="DG414" s="172"/>
      <c r="DH414" s="172"/>
      <c r="DI414" s="172"/>
      <c r="DJ414" s="172"/>
      <c r="DK414" s="80" t="s">
        <v>415</v>
      </c>
      <c r="DL414" s="129">
        <v>1000</v>
      </c>
      <c r="DM414" s="129">
        <v>1000</v>
      </c>
      <c r="DN414" s="129">
        <v>1000</v>
      </c>
      <c r="DO414" s="129">
        <v>1000</v>
      </c>
      <c r="DP414" s="129">
        <v>1000</v>
      </c>
      <c r="DQ414" s="129">
        <v>1000</v>
      </c>
      <c r="DR414" s="129">
        <v>1000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5" t="s">
        <v>1663</v>
      </c>
      <c r="B415" s="5" t="s">
        <v>740</v>
      </c>
      <c r="C415" s="5" t="s">
        <v>817</v>
      </c>
      <c r="D415" s="5" t="s">
        <v>1133</v>
      </c>
      <c r="E415" s="5" t="s">
        <v>509</v>
      </c>
      <c r="F415" s="5" t="s">
        <v>508</v>
      </c>
      <c r="G415" s="47" t="s">
        <v>1664</v>
      </c>
      <c r="H415" s="47" t="s">
        <v>659</v>
      </c>
      <c r="I415" s="101">
        <v>0</v>
      </c>
      <c r="J415" s="101">
        <v>0</v>
      </c>
      <c r="K415" s="101">
        <v>0</v>
      </c>
      <c r="L415" s="101">
        <v>0</v>
      </c>
      <c r="M415" s="101">
        <v>0</v>
      </c>
      <c r="N415" s="101">
        <v>0</v>
      </c>
      <c r="O415" s="101">
        <v>0</v>
      </c>
      <c r="P415" s="93">
        <v>0</v>
      </c>
      <c r="Q415" s="101">
        <v>0</v>
      </c>
      <c r="R415" s="101">
        <v>0</v>
      </c>
      <c r="S415" s="101">
        <v>0</v>
      </c>
      <c r="T415" s="101">
        <v>0</v>
      </c>
      <c r="U415" s="101">
        <v>0</v>
      </c>
      <c r="V415" s="101">
        <v>0</v>
      </c>
      <c r="W415" s="101">
        <v>0</v>
      </c>
      <c r="X415" s="101">
        <v>0</v>
      </c>
      <c r="Y415" s="101">
        <v>0</v>
      </c>
      <c r="Z415" s="101">
        <v>0</v>
      </c>
      <c r="AA415" s="101">
        <v>0</v>
      </c>
      <c r="AB415" s="101">
        <v>0</v>
      </c>
      <c r="AC415" s="101">
        <v>0</v>
      </c>
      <c r="AD415" s="101">
        <v>0</v>
      </c>
      <c r="AE415" s="186">
        <v>0.08</v>
      </c>
      <c r="AF415" s="93">
        <v>0</v>
      </c>
      <c r="AG415" s="93">
        <v>1</v>
      </c>
      <c r="AH415" s="93">
        <v>1</v>
      </c>
      <c r="AI415" s="16">
        <v>1</v>
      </c>
      <c r="AJ415" s="16" t="s">
        <v>662</v>
      </c>
      <c r="AK415" s="16" t="s">
        <v>745</v>
      </c>
      <c r="AL415" s="16"/>
      <c r="AM415" s="60"/>
      <c r="AN415" s="60"/>
      <c r="AO415" s="60"/>
      <c r="AP415" s="60"/>
      <c r="AQ415" s="60"/>
      <c r="AR415" s="60"/>
      <c r="AS415" s="63"/>
      <c r="AT415" s="63"/>
      <c r="AU415" s="63"/>
      <c r="AV415" s="131"/>
      <c r="AW415" s="131"/>
      <c r="AX415" s="131"/>
      <c r="AY415" s="27" t="s">
        <v>662</v>
      </c>
      <c r="AZ415" s="27"/>
      <c r="BA415" s="27"/>
      <c r="BB415" s="30"/>
      <c r="BC415" s="30"/>
      <c r="BD415" s="30"/>
      <c r="BE415" s="30"/>
      <c r="BF415" s="30"/>
      <c r="BG415" s="30"/>
      <c r="BH415" s="107"/>
      <c r="BI415" s="107"/>
      <c r="BJ415" s="107"/>
      <c r="BK415" s="107"/>
      <c r="BL415" s="136"/>
      <c r="BM415" s="122"/>
      <c r="BN415" s="138"/>
      <c r="BO415" s="93"/>
      <c r="BP415" s="93"/>
      <c r="BQ415" s="93"/>
      <c r="BR415" s="93"/>
      <c r="BS415" s="93"/>
      <c r="BT415" s="93"/>
      <c r="BU415" s="27">
        <f t="shared" ref="BU415:BU504" si="331">IF(BL415=1,BN415,0)</f>
        <v>0</v>
      </c>
      <c r="BV415" s="27"/>
      <c r="BW415" s="27"/>
      <c r="BX415" s="27"/>
      <c r="BY415" s="27"/>
      <c r="BZ415" s="27"/>
      <c r="CA415" s="27"/>
      <c r="CB415" s="185">
        <v>500</v>
      </c>
      <c r="CC415" s="185">
        <v>500</v>
      </c>
      <c r="CD415" s="185">
        <v>500</v>
      </c>
      <c r="CE415" s="185">
        <v>500</v>
      </c>
      <c r="CF415" s="185">
        <v>500</v>
      </c>
      <c r="CG415" s="185">
        <v>500</v>
      </c>
      <c r="CH415" s="185">
        <v>500</v>
      </c>
      <c r="CI415" s="173"/>
      <c r="CJ415" s="173"/>
      <c r="CK415" s="173"/>
      <c r="CL415" s="173"/>
      <c r="CM415" s="173"/>
      <c r="CN415" s="173"/>
      <c r="CO415" s="173"/>
      <c r="CP415" s="174"/>
      <c r="CQ415" s="174"/>
      <c r="CR415" s="174"/>
      <c r="CS415" s="174"/>
      <c r="CT415" s="174"/>
      <c r="CU415" s="174"/>
      <c r="CV415" s="174"/>
      <c r="CW415" s="165"/>
      <c r="CX415" s="166"/>
      <c r="CY415" s="166"/>
      <c r="CZ415" s="166"/>
      <c r="DA415" s="166"/>
      <c r="DB415" s="166"/>
      <c r="DC415" s="166"/>
      <c r="DD415" s="171"/>
      <c r="DE415" s="171"/>
      <c r="DF415" s="171"/>
      <c r="DG415" s="171"/>
      <c r="DH415" s="171"/>
      <c r="DI415" s="171"/>
      <c r="DJ415" s="171"/>
      <c r="DK415" s="79" t="s">
        <v>1519</v>
      </c>
      <c r="DL415" s="128">
        <v>5000</v>
      </c>
      <c r="DM415" s="128">
        <v>5000</v>
      </c>
      <c r="DN415" s="128">
        <v>5000</v>
      </c>
      <c r="DO415" s="128">
        <v>5000</v>
      </c>
      <c r="DP415" s="128">
        <v>5000</v>
      </c>
      <c r="DQ415" s="128">
        <v>5000</v>
      </c>
      <c r="DR415" s="128">
        <v>5000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6" t="s">
        <v>1665</v>
      </c>
      <c r="B416" s="6" t="s">
        <v>740</v>
      </c>
      <c r="C416" s="6" t="s">
        <v>817</v>
      </c>
      <c r="D416" s="6" t="s">
        <v>1133</v>
      </c>
      <c r="E416" s="6" t="s">
        <v>441</v>
      </c>
      <c r="F416" s="6" t="s">
        <v>510</v>
      </c>
      <c r="G416" s="48" t="s">
        <v>1666</v>
      </c>
      <c r="H416" s="48" t="s">
        <v>659</v>
      </c>
      <c r="I416" s="102">
        <v>0</v>
      </c>
      <c r="J416" s="102">
        <v>0</v>
      </c>
      <c r="K416" s="102">
        <v>0</v>
      </c>
      <c r="L416" s="102">
        <v>0</v>
      </c>
      <c r="M416" s="102">
        <v>0</v>
      </c>
      <c r="N416" s="102">
        <v>0</v>
      </c>
      <c r="O416" s="102">
        <v>0</v>
      </c>
      <c r="P416" s="94">
        <v>0</v>
      </c>
      <c r="Q416" s="102">
        <v>0</v>
      </c>
      <c r="R416" s="102">
        <v>0</v>
      </c>
      <c r="S416" s="102">
        <v>0</v>
      </c>
      <c r="T416" s="102">
        <v>0</v>
      </c>
      <c r="U416" s="102">
        <v>0</v>
      </c>
      <c r="V416" s="102">
        <v>0</v>
      </c>
      <c r="W416" s="102">
        <v>0</v>
      </c>
      <c r="X416" s="102">
        <v>3.234713990790822</v>
      </c>
      <c r="Y416" s="102">
        <v>3.7789705139584266</v>
      </c>
      <c r="Z416" s="102">
        <v>3.7789705139584266</v>
      </c>
      <c r="AA416" s="102">
        <v>3.7789705139584266</v>
      </c>
      <c r="AB416" s="102">
        <v>3.7789705139584266</v>
      </c>
      <c r="AC416" s="102">
        <v>3.7789705139584266</v>
      </c>
      <c r="AD416" s="102">
        <v>3.7789705139584266</v>
      </c>
      <c r="AE416" s="186">
        <v>0.08</v>
      </c>
      <c r="AF416" s="94">
        <v>0</v>
      </c>
      <c r="AG416" s="94">
        <v>1</v>
      </c>
      <c r="AH416" s="94">
        <v>1</v>
      </c>
      <c r="AI416" s="17">
        <v>1</v>
      </c>
      <c r="AJ416" s="17" t="s">
        <v>662</v>
      </c>
      <c r="AK416" s="17" t="s">
        <v>745</v>
      </c>
      <c r="AL416" s="17"/>
      <c r="AM416" s="61"/>
      <c r="AN416" s="61"/>
      <c r="AO416" s="61"/>
      <c r="AP416" s="61"/>
      <c r="AQ416" s="61"/>
      <c r="AR416" s="61"/>
      <c r="AS416" s="64"/>
      <c r="AT416" s="64"/>
      <c r="AU416" s="64"/>
      <c r="AV416" s="132"/>
      <c r="AW416" s="132"/>
      <c r="AX416" s="132"/>
      <c r="AY416" s="28" t="s">
        <v>662</v>
      </c>
      <c r="AZ416" s="28"/>
      <c r="BA416" s="28"/>
      <c r="BB416" s="28"/>
      <c r="BC416" s="28"/>
      <c r="BD416" s="28"/>
      <c r="BE416" s="28"/>
      <c r="BF416" s="28"/>
      <c r="BG416" s="28"/>
      <c r="BH416" s="106"/>
      <c r="BI416" s="106"/>
      <c r="BJ416" s="106"/>
      <c r="BK416" s="106"/>
      <c r="BL416" s="137"/>
      <c r="BM416" s="123"/>
      <c r="BN416" s="139"/>
      <c r="BO416" s="94"/>
      <c r="BP416" s="94"/>
      <c r="BQ416" s="94"/>
      <c r="BR416" s="94"/>
      <c r="BS416" s="94"/>
      <c r="BT416" s="94"/>
      <c r="BU416" s="28">
        <f t="shared" si="331"/>
        <v>0</v>
      </c>
      <c r="BV416" s="28"/>
      <c r="BW416" s="28"/>
      <c r="BX416" s="28"/>
      <c r="BY416" s="28"/>
      <c r="BZ416" s="28"/>
      <c r="CA416" s="28"/>
      <c r="CB416" s="99">
        <f>Activities!C44*Activities!$S$145</f>
        <v>78.396000000000001</v>
      </c>
      <c r="CC416" s="99">
        <f>Activities!D44*Activities!$S$145</f>
        <v>78.396000000000001</v>
      </c>
      <c r="CD416" s="99">
        <f>Activities!E44*Activities!$S$145</f>
        <v>78.396000000000001</v>
      </c>
      <c r="CE416" s="99">
        <f>Activities!F44*Activities!$S$145</f>
        <v>78.396000000000001</v>
      </c>
      <c r="CF416" s="99">
        <f>Activities!G44*Activities!$S$145</f>
        <v>78.396000000000001</v>
      </c>
      <c r="CG416" s="99">
        <f>Activities!H44*Activities!$S$145</f>
        <v>78.396000000000001</v>
      </c>
      <c r="CH416" s="99">
        <f>Activities!I44*Activities!$S$145</f>
        <v>78.396000000000001</v>
      </c>
      <c r="CI416" s="175"/>
      <c r="CJ416" s="175"/>
      <c r="CK416" s="175"/>
      <c r="CL416" s="175"/>
      <c r="CM416" s="175"/>
      <c r="CN416" s="175"/>
      <c r="CO416" s="175"/>
      <c r="CP416" s="176"/>
      <c r="CQ416" s="176"/>
      <c r="CR416" s="176"/>
      <c r="CS416" s="176"/>
      <c r="CT416" s="176"/>
      <c r="CU416" s="176"/>
      <c r="CV416" s="176"/>
      <c r="CW416" s="167"/>
      <c r="CX416" s="168"/>
      <c r="CY416" s="168"/>
      <c r="CZ416" s="168"/>
      <c r="DA416" s="168"/>
      <c r="DB416" s="168"/>
      <c r="DC416" s="168"/>
      <c r="DD416" s="172"/>
      <c r="DE416" s="172"/>
      <c r="DF416" s="172"/>
      <c r="DG416" s="172"/>
      <c r="DH416" s="172"/>
      <c r="DI416" s="172"/>
      <c r="DJ416" s="172"/>
      <c r="DK416" s="80" t="s">
        <v>415</v>
      </c>
      <c r="DL416" s="129">
        <v>73.800000000000011</v>
      </c>
      <c r="DM416" s="129">
        <v>73.800000000000011</v>
      </c>
      <c r="DN416" s="129">
        <v>73.800000000000011</v>
      </c>
      <c r="DO416" s="129">
        <v>73.800000000000011</v>
      </c>
      <c r="DP416" s="129">
        <v>73.800000000000011</v>
      </c>
      <c r="DQ416" s="129">
        <v>73.800000000000011</v>
      </c>
      <c r="DR416" s="129">
        <v>73.800000000000011</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1133</v>
      </c>
      <c r="E417" s="6" t="s">
        <v>441</v>
      </c>
      <c r="F417" s="6" t="s">
        <v>512</v>
      </c>
      <c r="G417" s="48" t="s">
        <v>1668</v>
      </c>
      <c r="H417" s="48" t="s">
        <v>1669</v>
      </c>
      <c r="I417" s="227">
        <v>0</v>
      </c>
      <c r="J417" s="227">
        <v>0</v>
      </c>
      <c r="K417" s="227">
        <v>0</v>
      </c>
      <c r="L417" s="227">
        <v>0</v>
      </c>
      <c r="M417" s="227">
        <v>0</v>
      </c>
      <c r="N417" s="227">
        <v>0</v>
      </c>
      <c r="O417" s="227">
        <v>0</v>
      </c>
      <c r="P417" s="94">
        <v>0</v>
      </c>
      <c r="Q417" s="227">
        <v>0</v>
      </c>
      <c r="R417" s="227">
        <v>0</v>
      </c>
      <c r="S417" s="227">
        <v>0</v>
      </c>
      <c r="T417" s="227">
        <v>0</v>
      </c>
      <c r="U417" s="227">
        <v>0</v>
      </c>
      <c r="V417" s="227">
        <v>0</v>
      </c>
      <c r="W417" s="227">
        <v>0</v>
      </c>
      <c r="X417" s="227">
        <v>427.07920102674001</v>
      </c>
      <c r="Y417" s="227">
        <v>427.07920102674001</v>
      </c>
      <c r="Z417" s="227">
        <v>427.07920102674001</v>
      </c>
      <c r="AA417" s="227">
        <v>427.07920102674001</v>
      </c>
      <c r="AB417" s="227">
        <v>427.07920102674001</v>
      </c>
      <c r="AC417" s="227">
        <v>427.07920102674001</v>
      </c>
      <c r="AD417" s="227">
        <v>427.07920102674001</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37">
        <v>0</v>
      </c>
      <c r="BN417" s="123"/>
      <c r="BO417" s="139"/>
      <c r="BP417" s="94"/>
      <c r="BQ417" s="94"/>
      <c r="BR417" s="94"/>
      <c r="BS417" s="94"/>
      <c r="BT417" s="94"/>
      <c r="BU417" s="28">
        <f t="shared" si="331"/>
        <v>0</v>
      </c>
      <c r="BV417" s="98">
        <v>0</v>
      </c>
      <c r="BW417" s="98"/>
      <c r="BX417" s="98"/>
      <c r="BY417" s="98"/>
      <c r="BZ417" s="98"/>
      <c r="CA417" s="98"/>
      <c r="CB417" s="376">
        <v>0.623</v>
      </c>
      <c r="CC417" s="376">
        <v>1</v>
      </c>
      <c r="CD417" s="376">
        <v>1</v>
      </c>
      <c r="CE417" s="376">
        <v>1</v>
      </c>
      <c r="CF417" s="376">
        <v>1</v>
      </c>
      <c r="CG417" s="376">
        <v>1</v>
      </c>
      <c r="CH417" s="376">
        <v>1</v>
      </c>
      <c r="CI417" s="176"/>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c r="DL417" s="129"/>
      <c r="DM417" s="129"/>
      <c r="DN417" s="129"/>
      <c r="DO417" s="129"/>
      <c r="DP417" s="129"/>
      <c r="DQ417" s="129"/>
      <c r="DR417" s="129"/>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256" t="s">
        <v>1670</v>
      </c>
      <c r="B418" s="6"/>
      <c r="C418" s="6" t="s">
        <v>817</v>
      </c>
      <c r="D418" s="6" t="s">
        <v>1496</v>
      </c>
      <c r="E418" s="6" t="s">
        <v>504</v>
      </c>
      <c r="F418" s="6" t="s">
        <v>516</v>
      </c>
      <c r="G418" s="48" t="s">
        <v>1671</v>
      </c>
      <c r="H418" s="48" t="s">
        <v>659</v>
      </c>
      <c r="I418" s="102">
        <v>0</v>
      </c>
      <c r="J418" s="102">
        <v>0</v>
      </c>
      <c r="K418" s="102">
        <v>0</v>
      </c>
      <c r="L418" s="102">
        <v>0</v>
      </c>
      <c r="M418" s="102">
        <v>0</v>
      </c>
      <c r="N418" s="102">
        <v>0</v>
      </c>
      <c r="O418" s="102">
        <v>0</v>
      </c>
      <c r="P418" s="94">
        <v>0</v>
      </c>
      <c r="Q418" s="102">
        <v>0</v>
      </c>
      <c r="R418" s="102">
        <v>0</v>
      </c>
      <c r="S418" s="102">
        <v>0</v>
      </c>
      <c r="T418" s="102">
        <v>0</v>
      </c>
      <c r="U418" s="102">
        <v>0</v>
      </c>
      <c r="V418" s="102">
        <v>0</v>
      </c>
      <c r="W418" s="102">
        <v>0</v>
      </c>
      <c r="X418" s="102">
        <v>9.7002888288456166</v>
      </c>
      <c r="Y418" s="102">
        <v>9.7002888288456166</v>
      </c>
      <c r="Z418" s="102">
        <v>9.7002888288456166</v>
      </c>
      <c r="AA418" s="102">
        <v>9.7002888288456166</v>
      </c>
      <c r="AB418" s="102">
        <v>9.7002888288456166</v>
      </c>
      <c r="AC418" s="102">
        <v>9.7002888288456166</v>
      </c>
      <c r="AD418" s="102">
        <v>9.7002888288456166</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23"/>
      <c r="BN418" s="139"/>
      <c r="BO418" s="94"/>
      <c r="BP418" s="94"/>
      <c r="BQ418" s="94"/>
      <c r="BR418" s="94"/>
      <c r="BS418" s="94"/>
      <c r="BT418" s="94"/>
      <c r="BU418" s="28">
        <f t="shared" si="331"/>
        <v>0</v>
      </c>
      <c r="BV418" s="28"/>
      <c r="BW418" s="28"/>
      <c r="BX418" s="28"/>
      <c r="BY418" s="28"/>
      <c r="BZ418" s="28"/>
      <c r="CA418" s="28"/>
      <c r="CB418" s="364">
        <v>15</v>
      </c>
      <c r="CC418" s="364">
        <f>SUM(CD418,CB418)/2</f>
        <v>15.55</v>
      </c>
      <c r="CD418" s="364">
        <v>16.100000000000001</v>
      </c>
      <c r="CE418" s="364">
        <f>SUM(CF418,CD418)/2</f>
        <v>17.399999999999999</v>
      </c>
      <c r="CF418" s="364">
        <v>18.7</v>
      </c>
      <c r="CG418" s="364">
        <f>SUM(CH418,CF418)/2</f>
        <v>19.25</v>
      </c>
      <c r="CH418" s="364">
        <v>19.8</v>
      </c>
      <c r="CI418" s="175"/>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t="s">
        <v>1672</v>
      </c>
      <c r="DL418" s="129">
        <v>60</v>
      </c>
      <c r="DM418" s="129">
        <v>60</v>
      </c>
      <c r="DN418" s="129">
        <v>60</v>
      </c>
      <c r="DO418" s="129">
        <v>60</v>
      </c>
      <c r="DP418" s="129">
        <v>60</v>
      </c>
      <c r="DQ418" s="129">
        <v>60</v>
      </c>
      <c r="DR418" s="129">
        <v>60</v>
      </c>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28" t="s">
        <v>1673</v>
      </c>
      <c r="B419" s="225"/>
      <c r="C419" s="225" t="s">
        <v>817</v>
      </c>
      <c r="D419" s="225" t="s">
        <v>1496</v>
      </c>
      <c r="E419" s="225" t="s">
        <v>504</v>
      </c>
      <c r="F419" s="225" t="s">
        <v>516</v>
      </c>
      <c r="G419" s="229" t="s">
        <v>1674</v>
      </c>
      <c r="H419" s="226" t="s">
        <v>659</v>
      </c>
      <c r="I419" s="101">
        <v>0</v>
      </c>
      <c r="J419" s="101">
        <v>0</v>
      </c>
      <c r="K419" s="101">
        <v>0</v>
      </c>
      <c r="L419" s="101">
        <v>0</v>
      </c>
      <c r="M419" s="101">
        <v>0</v>
      </c>
      <c r="N419" s="101">
        <v>0</v>
      </c>
      <c r="O419" s="101">
        <v>0</v>
      </c>
      <c r="P419" s="93">
        <v>0</v>
      </c>
      <c r="Q419" s="101">
        <v>0</v>
      </c>
      <c r="R419" s="101">
        <v>0</v>
      </c>
      <c r="S419" s="101">
        <v>0</v>
      </c>
      <c r="T419" s="101">
        <v>0</v>
      </c>
      <c r="U419" s="101">
        <v>0</v>
      </c>
      <c r="V419" s="101">
        <v>0</v>
      </c>
      <c r="W419" s="101">
        <v>0</v>
      </c>
      <c r="X419" s="101">
        <v>10.219178376059206</v>
      </c>
      <c r="Y419" s="101">
        <v>10.219178376059206</v>
      </c>
      <c r="Z419" s="101">
        <v>10.219178376059206</v>
      </c>
      <c r="AA419" s="101">
        <v>10.219178376059206</v>
      </c>
      <c r="AB419" s="101">
        <v>10.219178376059206</v>
      </c>
      <c r="AC419" s="101">
        <v>10.219178376059206</v>
      </c>
      <c r="AD419" s="101">
        <v>10.219178376059206</v>
      </c>
      <c r="AE419" s="186">
        <v>0.08</v>
      </c>
      <c r="AF419" s="93">
        <v>0</v>
      </c>
      <c r="AG419" s="93">
        <v>1</v>
      </c>
      <c r="AH419" s="93">
        <v>1</v>
      </c>
      <c r="AI419" s="16">
        <v>1</v>
      </c>
      <c r="AJ419" s="16" t="s">
        <v>662</v>
      </c>
      <c r="AK419" s="16" t="s">
        <v>745</v>
      </c>
      <c r="AL419" s="16"/>
      <c r="AM419" s="60"/>
      <c r="AN419" s="60"/>
      <c r="AO419" s="60"/>
      <c r="AP419" s="60"/>
      <c r="AQ419" s="60"/>
      <c r="AR419" s="60"/>
      <c r="AS419" s="63"/>
      <c r="AT419" s="63"/>
      <c r="AU419" s="63"/>
      <c r="AV419" s="131"/>
      <c r="AW419" s="131"/>
      <c r="AX419" s="131"/>
      <c r="AY419" s="27" t="s">
        <v>662</v>
      </c>
      <c r="AZ419" s="27"/>
      <c r="BA419" s="27"/>
      <c r="BB419" s="30"/>
      <c r="BC419" s="30"/>
      <c r="BD419" s="30"/>
      <c r="BE419" s="30"/>
      <c r="BF419" s="30"/>
      <c r="BG419" s="30"/>
      <c r="BH419" s="107"/>
      <c r="BI419" s="107"/>
      <c r="BJ419" s="107"/>
      <c r="BK419" s="107"/>
      <c r="BL419" s="136"/>
      <c r="BM419" s="122"/>
      <c r="BN419" s="138"/>
      <c r="BO419" s="93"/>
      <c r="BP419" s="93"/>
      <c r="BQ419" s="93"/>
      <c r="BR419" s="93"/>
      <c r="BS419" s="93"/>
      <c r="BT419" s="93"/>
      <c r="BU419" s="27">
        <f t="shared" si="331"/>
        <v>0</v>
      </c>
      <c r="BV419" s="27"/>
      <c r="BW419" s="27"/>
      <c r="BX419" s="27"/>
      <c r="BY419" s="27"/>
      <c r="BZ419" s="27"/>
      <c r="CA419" s="27"/>
      <c r="CB419" s="364"/>
      <c r="CC419" s="364">
        <f>(($CH$419-$CB$419)/($CH$5-$CB$5))*(CC$5-CB$5)+CB419</f>
        <v>87.375</v>
      </c>
      <c r="CD419" s="364">
        <f>(($CH$419-$CB$419)/($CH$5-$CB$5))*(CD$5-CC$5)+CC419</f>
        <v>233</v>
      </c>
      <c r="CE419" s="364">
        <f>(($CH$419-$CB$419)/($CH$5-$CB$5))*(CE$5-CD$5)+CD419</f>
        <v>378.625</v>
      </c>
      <c r="CF419" s="364">
        <f>(($CH$419-$CB$419)/($CH$5-$CB$5))*(CF$5-CE$5)+CE419</f>
        <v>524.25</v>
      </c>
      <c r="CG419" s="364">
        <f>(($CH$419-$CB$419)/($CH$5-$CB$5))*(CG$5-CF$5)+CF419</f>
        <v>669.875</v>
      </c>
      <c r="CH419" s="364">
        <f>(558+1073)/2</f>
        <v>815.5</v>
      </c>
      <c r="CI419" s="173"/>
      <c r="CJ419" s="173"/>
      <c r="CK419" s="173"/>
      <c r="CL419" s="173"/>
      <c r="CM419" s="173"/>
      <c r="CN419" s="173"/>
      <c r="CO419" s="173"/>
      <c r="CP419" s="174"/>
      <c r="CQ419" s="174"/>
      <c r="CR419" s="174"/>
      <c r="CS419" s="174"/>
      <c r="CT419" s="174"/>
      <c r="CU419" s="174"/>
      <c r="CV419" s="174"/>
      <c r="CW419" s="165"/>
      <c r="CX419" s="166"/>
      <c r="CY419" s="166"/>
      <c r="CZ419" s="166"/>
      <c r="DA419" s="166"/>
      <c r="DB419" s="166"/>
      <c r="DC419" s="166"/>
      <c r="DD419" s="171"/>
      <c r="DE419" s="171"/>
      <c r="DF419" s="171"/>
      <c r="DG419" s="171"/>
      <c r="DH419" s="171"/>
      <c r="DI419" s="171"/>
      <c r="DJ419" s="171"/>
      <c r="DK419" s="79" t="s">
        <v>1675</v>
      </c>
      <c r="DL419" s="128"/>
      <c r="DM419" s="128"/>
      <c r="DN419" s="128"/>
      <c r="DO419" s="128"/>
      <c r="DP419" s="128"/>
      <c r="DQ419" s="128"/>
      <c r="DR419" s="128"/>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1676</v>
      </c>
      <c r="B420" s="225"/>
      <c r="C420" s="225" t="s">
        <v>817</v>
      </c>
      <c r="D420" s="225" t="s">
        <v>1496</v>
      </c>
      <c r="E420" s="225" t="s">
        <v>504</v>
      </c>
      <c r="F420" s="225" t="s">
        <v>516</v>
      </c>
      <c r="G420" s="229" t="s">
        <v>1677</v>
      </c>
      <c r="H420" s="226" t="s">
        <v>659</v>
      </c>
      <c r="I420" s="102">
        <v>0</v>
      </c>
      <c r="J420" s="102">
        <v>0</v>
      </c>
      <c r="K420" s="102">
        <v>0</v>
      </c>
      <c r="L420" s="102">
        <v>0</v>
      </c>
      <c r="M420" s="102">
        <v>0</v>
      </c>
      <c r="N420" s="102">
        <v>0</v>
      </c>
      <c r="O420" s="102">
        <v>0</v>
      </c>
      <c r="P420" s="94">
        <v>0</v>
      </c>
      <c r="Q420" s="102">
        <v>0</v>
      </c>
      <c r="R420" s="102">
        <v>0</v>
      </c>
      <c r="S420" s="102">
        <v>0</v>
      </c>
      <c r="T420" s="102">
        <v>0</v>
      </c>
      <c r="U420" s="102">
        <v>0</v>
      </c>
      <c r="V420" s="102">
        <v>0</v>
      </c>
      <c r="W420" s="102">
        <v>0</v>
      </c>
      <c r="X420" s="102">
        <v>13.379749007830096</v>
      </c>
      <c r="Y420" s="102">
        <v>13.379749007830096</v>
      </c>
      <c r="Z420" s="102">
        <v>13.379749007830096</v>
      </c>
      <c r="AA420" s="102">
        <v>13.379749007830096</v>
      </c>
      <c r="AB420" s="102">
        <v>13.379749007830096</v>
      </c>
      <c r="AC420" s="102">
        <v>13.379749007830096</v>
      </c>
      <c r="AD420" s="102">
        <v>13.379749007830096</v>
      </c>
      <c r="AE420" s="186">
        <v>0.08</v>
      </c>
      <c r="AF420" s="94">
        <v>0</v>
      </c>
      <c r="AG420" s="94">
        <v>1</v>
      </c>
      <c r="AH420" s="94">
        <v>1</v>
      </c>
      <c r="AI420" s="17">
        <v>1</v>
      </c>
      <c r="AJ420" s="17" t="s">
        <v>662</v>
      </c>
      <c r="AK420" s="17" t="s">
        <v>745</v>
      </c>
      <c r="AL420" s="17"/>
      <c r="AM420" s="61"/>
      <c r="AN420" s="61"/>
      <c r="AO420" s="61"/>
      <c r="AP420" s="61"/>
      <c r="AQ420" s="61"/>
      <c r="AR420" s="61"/>
      <c r="AS420" s="64"/>
      <c r="AT420" s="64"/>
      <c r="AU420" s="64"/>
      <c r="AV420" s="132"/>
      <c r="AW420" s="132"/>
      <c r="AX420" s="132"/>
      <c r="AY420" s="28" t="s">
        <v>662</v>
      </c>
      <c r="AZ420" s="28"/>
      <c r="BA420" s="28"/>
      <c r="BB420" s="28"/>
      <c r="BC420" s="28"/>
      <c r="BD420" s="28"/>
      <c r="BE420" s="28"/>
      <c r="BF420" s="28"/>
      <c r="BG420" s="28"/>
      <c r="BH420" s="106"/>
      <c r="BI420" s="106"/>
      <c r="BJ420" s="106"/>
      <c r="BK420" s="106"/>
      <c r="BL420" s="137"/>
      <c r="BM420" s="123"/>
      <c r="BN420" s="139"/>
      <c r="BO420" s="94"/>
      <c r="BP420" s="94"/>
      <c r="BQ420" s="94"/>
      <c r="BR420" s="94"/>
      <c r="BS420" s="94"/>
      <c r="BT420" s="94"/>
      <c r="BU420" s="28">
        <f t="shared" ref="BU420" si="332">IF(BL420=1,BN420,0)</f>
        <v>0</v>
      </c>
      <c r="BV420" s="28"/>
      <c r="BW420" s="28"/>
      <c r="BX420" s="28"/>
      <c r="BY420" s="28"/>
      <c r="BZ420" s="28"/>
      <c r="CA420" s="28"/>
      <c r="CB420" s="364"/>
      <c r="CC420" s="364"/>
      <c r="CD420" s="364"/>
      <c r="CE420" s="364"/>
      <c r="CF420" s="364"/>
      <c r="CG420" s="364"/>
      <c r="CH420" s="364"/>
      <c r="CI420" s="175"/>
      <c r="CJ420" s="175"/>
      <c r="CK420" s="175"/>
      <c r="CL420" s="175"/>
      <c r="CM420" s="175"/>
      <c r="CN420" s="175"/>
      <c r="CO420" s="175"/>
      <c r="CP420" s="176"/>
      <c r="CQ420" s="176"/>
      <c r="CR420" s="176"/>
      <c r="CS420" s="176"/>
      <c r="CT420" s="176"/>
      <c r="CU420" s="176"/>
      <c r="CV420" s="176"/>
      <c r="CW420" s="167"/>
      <c r="CX420" s="168"/>
      <c r="CY420" s="168"/>
      <c r="CZ420" s="168"/>
      <c r="DA420" s="168"/>
      <c r="DB420" s="168"/>
      <c r="DC420" s="168"/>
      <c r="DD420" s="172"/>
      <c r="DE420" s="172"/>
      <c r="DF420" s="172"/>
      <c r="DG420" s="172"/>
      <c r="DH420" s="172"/>
      <c r="DI420" s="172"/>
      <c r="DJ420" s="172"/>
      <c r="DK420" s="79" t="s">
        <v>1675</v>
      </c>
      <c r="DL420" s="129"/>
      <c r="DM420" s="129"/>
      <c r="DN420" s="129"/>
      <c r="DO420" s="129"/>
      <c r="DP420" s="129"/>
      <c r="DQ420" s="129"/>
      <c r="DR420" s="129"/>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56" t="s">
        <v>1678</v>
      </c>
      <c r="B421" s="5"/>
      <c r="C421" s="5" t="s">
        <v>817</v>
      </c>
      <c r="D421" s="5" t="s">
        <v>1496</v>
      </c>
      <c r="E421" s="5" t="s">
        <v>504</v>
      </c>
      <c r="F421" s="5" t="s">
        <v>517</v>
      </c>
      <c r="G421" s="47" t="s">
        <v>517</v>
      </c>
      <c r="H421" s="47" t="s">
        <v>659</v>
      </c>
      <c r="I421" s="101">
        <v>0</v>
      </c>
      <c r="J421" s="101">
        <v>0</v>
      </c>
      <c r="K421" s="101">
        <v>0</v>
      </c>
      <c r="L421" s="101">
        <v>0</v>
      </c>
      <c r="M421" s="101">
        <v>0</v>
      </c>
      <c r="N421" s="101">
        <v>0</v>
      </c>
      <c r="O421" s="101">
        <v>0</v>
      </c>
      <c r="P421" s="93">
        <v>0</v>
      </c>
      <c r="Q421" s="101">
        <v>0</v>
      </c>
      <c r="R421" s="101">
        <v>0</v>
      </c>
      <c r="S421" s="101">
        <v>0</v>
      </c>
      <c r="T421" s="101">
        <v>0</v>
      </c>
      <c r="U421" s="101">
        <v>0</v>
      </c>
      <c r="V421" s="101">
        <v>0</v>
      </c>
      <c r="W421" s="101">
        <v>0</v>
      </c>
      <c r="X421" s="101">
        <v>8.7788792409765044</v>
      </c>
      <c r="Y421" s="101">
        <v>8.391664958539085</v>
      </c>
      <c r="Z421" s="101">
        <v>8.0047711429009318</v>
      </c>
      <c r="AA421" s="101">
        <v>7.8883480853442647</v>
      </c>
      <c r="AB421" s="101">
        <v>7.7630916668075498</v>
      </c>
      <c r="AC421" s="101">
        <v>7.6504164725612593</v>
      </c>
      <c r="AD421" s="101">
        <v>7.542826045760469</v>
      </c>
      <c r="AE421" s="186">
        <v>0.08</v>
      </c>
      <c r="AF421" s="93">
        <v>0</v>
      </c>
      <c r="AG421" s="93">
        <v>1</v>
      </c>
      <c r="AH421" s="93">
        <v>1</v>
      </c>
      <c r="AI421" s="16">
        <v>1</v>
      </c>
      <c r="AJ421" s="16" t="s">
        <v>662</v>
      </c>
      <c r="AK421" s="16" t="s">
        <v>745</v>
      </c>
      <c r="AL421" s="16"/>
      <c r="AM421" s="60"/>
      <c r="AN421" s="60"/>
      <c r="AO421" s="60"/>
      <c r="AP421" s="60"/>
      <c r="AQ421" s="60"/>
      <c r="AR421" s="60"/>
      <c r="AS421" s="63"/>
      <c r="AT421" s="63"/>
      <c r="AU421" s="63"/>
      <c r="AV421" s="131"/>
      <c r="AW421" s="131"/>
      <c r="AX421" s="131"/>
      <c r="AY421" s="27" t="s">
        <v>662</v>
      </c>
      <c r="AZ421" s="27"/>
      <c r="BA421" s="27"/>
      <c r="BB421" s="30"/>
      <c r="BC421" s="30"/>
      <c r="BD421" s="30"/>
      <c r="BE421" s="30"/>
      <c r="BF421" s="30"/>
      <c r="BG421" s="30"/>
      <c r="BH421" s="107"/>
      <c r="BI421" s="107"/>
      <c r="BJ421" s="107"/>
      <c r="BK421" s="107"/>
      <c r="BL421" s="136"/>
      <c r="BM421" s="122"/>
      <c r="BN421" s="138"/>
      <c r="BO421" s="93"/>
      <c r="BP421" s="93"/>
      <c r="BQ421" s="93"/>
      <c r="BR421" s="93"/>
      <c r="BS421" s="93"/>
      <c r="BT421" s="93"/>
      <c r="BU421" s="27">
        <f t="shared" si="331"/>
        <v>0</v>
      </c>
      <c r="BV421" s="27"/>
      <c r="BW421" s="27"/>
      <c r="BX421" s="27"/>
      <c r="BY421" s="27"/>
      <c r="BZ421" s="27"/>
      <c r="CA421" s="27"/>
      <c r="CB421" s="364">
        <v>11.7</v>
      </c>
      <c r="CC421" s="364">
        <f>SUM(CD421,CB421)/2</f>
        <v>16.799999999999997</v>
      </c>
      <c r="CD421" s="364">
        <v>21.9</v>
      </c>
      <c r="CE421" s="364">
        <f>SUM(CF421,CD421)/2</f>
        <v>20.75</v>
      </c>
      <c r="CF421" s="364">
        <v>19.600000000000001</v>
      </c>
      <c r="CG421" s="364">
        <f>SUM(CH421,CF421)/2</f>
        <v>18.350000000000001</v>
      </c>
      <c r="CH421" s="364">
        <v>17.100000000000001</v>
      </c>
      <c r="CI421" s="173"/>
      <c r="CJ421" s="173"/>
      <c r="CK421" s="173"/>
      <c r="CL421" s="173"/>
      <c r="CM421" s="173"/>
      <c r="CN421" s="173"/>
      <c r="CO421" s="173"/>
      <c r="CP421" s="174"/>
      <c r="CQ421" s="174"/>
      <c r="CR421" s="174"/>
      <c r="CS421" s="174"/>
      <c r="CT421" s="174"/>
      <c r="CU421" s="174"/>
      <c r="CV421" s="174"/>
      <c r="CW421" s="165"/>
      <c r="CX421" s="166"/>
      <c r="CY421" s="166"/>
      <c r="CZ421" s="166"/>
      <c r="DA421" s="166"/>
      <c r="DB421" s="166"/>
      <c r="DC421" s="166"/>
      <c r="DD421" s="171"/>
      <c r="DE421" s="171"/>
      <c r="DF421" s="171"/>
      <c r="DG421" s="171"/>
      <c r="DH421" s="171"/>
      <c r="DI421" s="171"/>
      <c r="DJ421" s="171"/>
      <c r="DK421" s="79" t="s">
        <v>1672</v>
      </c>
      <c r="DL421" s="128">
        <v>23</v>
      </c>
      <c r="DM421" s="128">
        <v>23</v>
      </c>
      <c r="DN421" s="128">
        <v>23</v>
      </c>
      <c r="DO421" s="128">
        <v>23</v>
      </c>
      <c r="DP421" s="128">
        <v>23</v>
      </c>
      <c r="DQ421" s="128">
        <v>23</v>
      </c>
      <c r="DR421" s="128">
        <v>23</v>
      </c>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1679</v>
      </c>
      <c r="B422" s="6"/>
      <c r="C422" s="6" t="s">
        <v>817</v>
      </c>
      <c r="D422" s="6" t="s">
        <v>1496</v>
      </c>
      <c r="E422" s="6" t="s">
        <v>504</v>
      </c>
      <c r="F422" s="6" t="s">
        <v>518</v>
      </c>
      <c r="G422" s="48" t="s">
        <v>518</v>
      </c>
      <c r="H422" s="48" t="s">
        <v>659</v>
      </c>
      <c r="I422" s="102">
        <v>0</v>
      </c>
      <c r="J422" s="102">
        <v>0</v>
      </c>
      <c r="K422" s="102">
        <v>0</v>
      </c>
      <c r="L422" s="102">
        <v>0</v>
      </c>
      <c r="M422" s="102">
        <v>0</v>
      </c>
      <c r="N422" s="102">
        <v>0</v>
      </c>
      <c r="O422" s="102">
        <v>0</v>
      </c>
      <c r="P422" s="94">
        <v>0</v>
      </c>
      <c r="Q422" s="102">
        <v>0</v>
      </c>
      <c r="R422" s="102">
        <v>0</v>
      </c>
      <c r="S422" s="102">
        <v>0</v>
      </c>
      <c r="T422" s="102">
        <v>0</v>
      </c>
      <c r="U422" s="102">
        <v>0</v>
      </c>
      <c r="V422" s="102">
        <v>0</v>
      </c>
      <c r="W422" s="102">
        <v>0</v>
      </c>
      <c r="X422" s="102">
        <v>24.524672376767775</v>
      </c>
      <c r="Y422" s="102">
        <v>29.842114972514675</v>
      </c>
      <c r="Z422" s="102">
        <v>35.164755615493483</v>
      </c>
      <c r="AA422" s="102">
        <v>35.140668964874685</v>
      </c>
      <c r="AB422" s="102">
        <v>35.11921703852488</v>
      </c>
      <c r="AC422" s="102">
        <v>35.094912885493343</v>
      </c>
      <c r="AD422" s="102">
        <v>35.072649622191491</v>
      </c>
      <c r="AE422" s="186">
        <v>0.08</v>
      </c>
      <c r="AF422" s="94">
        <v>0</v>
      </c>
      <c r="AG422" s="94">
        <v>1</v>
      </c>
      <c r="AH422" s="94">
        <v>1</v>
      </c>
      <c r="AI422" s="17">
        <v>1</v>
      </c>
      <c r="AJ422" s="17" t="s">
        <v>662</v>
      </c>
      <c r="AK422" s="17" t="s">
        <v>745</v>
      </c>
      <c r="AL422" s="17"/>
      <c r="AM422" s="61"/>
      <c r="AN422" s="61"/>
      <c r="AO422" s="61"/>
      <c r="AP422" s="61"/>
      <c r="AQ422" s="61"/>
      <c r="AR422" s="61"/>
      <c r="AS422" s="64"/>
      <c r="AT422" s="64"/>
      <c r="AU422" s="64"/>
      <c r="AV422" s="132"/>
      <c r="AW422" s="132"/>
      <c r="AX422" s="132"/>
      <c r="AY422" s="28" t="s">
        <v>662</v>
      </c>
      <c r="AZ422" s="28"/>
      <c r="BA422" s="28"/>
      <c r="BB422" s="28"/>
      <c r="BC422" s="28"/>
      <c r="BD422" s="28"/>
      <c r="BE422" s="28"/>
      <c r="BF422" s="28"/>
      <c r="BG422" s="28"/>
      <c r="BH422" s="106"/>
      <c r="BI422" s="106"/>
      <c r="BJ422" s="106"/>
      <c r="BK422" s="106"/>
      <c r="BL422" s="137"/>
      <c r="BM422" s="123"/>
      <c r="BN422" s="139"/>
      <c r="BO422" s="94"/>
      <c r="BP422" s="94"/>
      <c r="BQ422" s="94"/>
      <c r="BR422" s="94"/>
      <c r="BS422" s="94"/>
      <c r="BT422" s="94"/>
      <c r="BU422" s="28">
        <f t="shared" si="331"/>
        <v>0</v>
      </c>
      <c r="BV422" s="28"/>
      <c r="BW422" s="28"/>
      <c r="BX422" s="28"/>
      <c r="BY422" s="28"/>
      <c r="BZ422" s="28"/>
      <c r="CA422" s="28"/>
      <c r="CB422" s="364">
        <v>5.3</v>
      </c>
      <c r="CC422" s="364">
        <f t="shared" ref="CC422:CG428" si="333">ROUND((CB422+CD422)/2,2)</f>
        <v>5.3</v>
      </c>
      <c r="CD422" s="364">
        <v>5.3</v>
      </c>
      <c r="CE422" s="364">
        <f t="shared" ref="CE422:CE428" si="334">ROUND((CD422+CF422)/2,2)</f>
        <v>5.5</v>
      </c>
      <c r="CF422" s="364">
        <v>5.7</v>
      </c>
      <c r="CG422" s="364">
        <f t="shared" ref="CG422:CG428" si="335">ROUND((CF422+CH422)/2,2)</f>
        <v>5.95</v>
      </c>
      <c r="CH422" s="364">
        <v>6.2</v>
      </c>
      <c r="CI422" s="175"/>
      <c r="CJ422" s="175"/>
      <c r="CK422" s="175"/>
      <c r="CL422" s="175"/>
      <c r="CM422" s="175"/>
      <c r="CN422" s="175"/>
      <c r="CO422" s="175"/>
      <c r="CP422" s="176"/>
      <c r="CQ422" s="176"/>
      <c r="CR422" s="176"/>
      <c r="CS422" s="176"/>
      <c r="CT422" s="176"/>
      <c r="CU422" s="176"/>
      <c r="CV422" s="176"/>
      <c r="CW422" s="167"/>
      <c r="CX422" s="168"/>
      <c r="CY422" s="168"/>
      <c r="CZ422" s="168"/>
      <c r="DA422" s="168"/>
      <c r="DB422" s="168"/>
      <c r="DC422" s="168"/>
      <c r="DD422" s="172"/>
      <c r="DE422" s="172"/>
      <c r="DF422" s="172"/>
      <c r="DG422" s="172"/>
      <c r="DH422" s="172"/>
      <c r="DI422" s="172"/>
      <c r="DJ422" s="172"/>
      <c r="DK422" s="80" t="s">
        <v>1672</v>
      </c>
      <c r="DL422" s="129">
        <v>9.52</v>
      </c>
      <c r="DM422" s="129">
        <v>9.52</v>
      </c>
      <c r="DN422" s="129">
        <v>9.52</v>
      </c>
      <c r="DO422" s="129">
        <v>9.52</v>
      </c>
      <c r="DP422" s="129">
        <v>9.52</v>
      </c>
      <c r="DQ422" s="129">
        <v>9.52</v>
      </c>
      <c r="DR422" s="129">
        <v>9.52</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1680</v>
      </c>
      <c r="B423" s="5"/>
      <c r="C423" s="5" t="s">
        <v>817</v>
      </c>
      <c r="D423" s="5" t="s">
        <v>1496</v>
      </c>
      <c r="E423" s="5" t="s">
        <v>504</v>
      </c>
      <c r="F423" s="5" t="s">
        <v>519</v>
      </c>
      <c r="G423" s="47" t="s">
        <v>519</v>
      </c>
      <c r="H423" s="47" t="s">
        <v>659</v>
      </c>
      <c r="I423" s="101">
        <v>0</v>
      </c>
      <c r="J423" s="101">
        <v>0</v>
      </c>
      <c r="K423" s="101">
        <v>0</v>
      </c>
      <c r="L423" s="101">
        <v>0</v>
      </c>
      <c r="M423" s="101">
        <v>0</v>
      </c>
      <c r="N423" s="101">
        <v>0</v>
      </c>
      <c r="O423" s="101">
        <v>0</v>
      </c>
      <c r="P423" s="93">
        <v>0</v>
      </c>
      <c r="Q423" s="101">
        <v>0</v>
      </c>
      <c r="R423" s="101">
        <v>0</v>
      </c>
      <c r="S423" s="101">
        <v>0</v>
      </c>
      <c r="T423" s="101">
        <v>0</v>
      </c>
      <c r="U423" s="101">
        <v>0</v>
      </c>
      <c r="V423" s="101">
        <v>0</v>
      </c>
      <c r="W423" s="101">
        <v>0</v>
      </c>
      <c r="X423" s="101">
        <v>7.8138866786022856</v>
      </c>
      <c r="Y423" s="101">
        <v>7.421636075654523</v>
      </c>
      <c r="Z423" s="101">
        <v>7.0324980107420574</v>
      </c>
      <c r="AA423" s="101">
        <v>6.6803875896766982</v>
      </c>
      <c r="AB423" s="101">
        <v>6.32924820966785</v>
      </c>
      <c r="AC423" s="101">
        <v>6.0123488307090289</v>
      </c>
      <c r="AD423" s="101">
        <v>5.6963233887010656</v>
      </c>
      <c r="AE423" s="186">
        <v>0.08</v>
      </c>
      <c r="AF423" s="93">
        <v>0</v>
      </c>
      <c r="AG423" s="93">
        <v>1</v>
      </c>
      <c r="AH423" s="93">
        <v>1</v>
      </c>
      <c r="AI423" s="16">
        <v>1</v>
      </c>
      <c r="AJ423" s="16" t="s">
        <v>662</v>
      </c>
      <c r="AK423" s="16" t="s">
        <v>745</v>
      </c>
      <c r="AL423" s="16"/>
      <c r="AM423" s="60"/>
      <c r="AN423" s="60"/>
      <c r="AO423" s="60"/>
      <c r="AP423" s="60"/>
      <c r="AQ423" s="60"/>
      <c r="AR423" s="60"/>
      <c r="AS423" s="63"/>
      <c r="AT423" s="63"/>
      <c r="AU423" s="63"/>
      <c r="AV423" s="131"/>
      <c r="AW423" s="131"/>
      <c r="AX423" s="131"/>
      <c r="AY423" s="27" t="s">
        <v>662</v>
      </c>
      <c r="AZ423" s="27"/>
      <c r="BA423" s="27"/>
      <c r="BB423" s="30"/>
      <c r="BC423" s="30"/>
      <c r="BD423" s="30"/>
      <c r="BE423" s="30"/>
      <c r="BF423" s="30"/>
      <c r="BG423" s="30"/>
      <c r="BH423" s="107"/>
      <c r="BI423" s="107"/>
      <c r="BJ423" s="107"/>
      <c r="BK423" s="107"/>
      <c r="BL423" s="136"/>
      <c r="BM423" s="122"/>
      <c r="BN423" s="138"/>
      <c r="BO423" s="93"/>
      <c r="BP423" s="93"/>
      <c r="BQ423" s="93"/>
      <c r="BR423" s="93"/>
      <c r="BS423" s="93"/>
      <c r="BT423" s="93"/>
      <c r="BU423" s="27">
        <f t="shared" si="331"/>
        <v>0</v>
      </c>
      <c r="BV423" s="27"/>
      <c r="BW423" s="27"/>
      <c r="BX423" s="27"/>
      <c r="BY423" s="27"/>
      <c r="BZ423" s="27"/>
      <c r="CA423" s="27"/>
      <c r="CB423" s="364">
        <v>0.3</v>
      </c>
      <c r="CC423" s="364">
        <f t="shared" si="333"/>
        <v>0.35</v>
      </c>
      <c r="CD423" s="364">
        <v>0.4</v>
      </c>
      <c r="CE423" s="364">
        <f t="shared" si="333"/>
        <v>0.4</v>
      </c>
      <c r="CF423" s="364">
        <v>0.4</v>
      </c>
      <c r="CG423" s="364">
        <f t="shared" si="333"/>
        <v>0.45</v>
      </c>
      <c r="CH423" s="364">
        <v>0.5</v>
      </c>
      <c r="CI423" s="173"/>
      <c r="CJ423" s="173"/>
      <c r="CK423" s="173"/>
      <c r="CL423" s="173"/>
      <c r="CM423" s="173"/>
      <c r="CN423" s="173"/>
      <c r="CO423" s="173"/>
      <c r="CP423" s="174"/>
      <c r="CQ423" s="174"/>
      <c r="CR423" s="174"/>
      <c r="CS423" s="174"/>
      <c r="CT423" s="174"/>
      <c r="CU423" s="174"/>
      <c r="CV423" s="174"/>
      <c r="CW423" s="165"/>
      <c r="CX423" s="166"/>
      <c r="CY423" s="166"/>
      <c r="CZ423" s="166"/>
      <c r="DA423" s="166"/>
      <c r="DB423" s="166"/>
      <c r="DC423" s="166"/>
      <c r="DD423" s="171"/>
      <c r="DE423" s="171"/>
      <c r="DF423" s="171"/>
      <c r="DG423" s="171"/>
      <c r="DH423" s="171"/>
      <c r="DI423" s="171"/>
      <c r="DJ423" s="171"/>
      <c r="DK423" s="79" t="s">
        <v>1672</v>
      </c>
      <c r="DL423" s="128">
        <v>5.6</v>
      </c>
      <c r="DM423" s="128">
        <v>5.6</v>
      </c>
      <c r="DN423" s="128">
        <v>5.6</v>
      </c>
      <c r="DO423" s="128">
        <v>5.6</v>
      </c>
      <c r="DP423" s="128">
        <v>5.6</v>
      </c>
      <c r="DQ423" s="128">
        <v>5.6</v>
      </c>
      <c r="DR423" s="128">
        <v>5.6</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1681</v>
      </c>
      <c r="B424" s="6"/>
      <c r="C424" s="6" t="s">
        <v>817</v>
      </c>
      <c r="D424" s="6" t="s">
        <v>1496</v>
      </c>
      <c r="E424" s="6" t="s">
        <v>504</v>
      </c>
      <c r="F424" s="6" t="s">
        <v>520</v>
      </c>
      <c r="G424" s="48" t="s">
        <v>520</v>
      </c>
      <c r="H424" s="48" t="s">
        <v>659</v>
      </c>
      <c r="I424" s="102">
        <v>0</v>
      </c>
      <c r="J424" s="102">
        <v>0</v>
      </c>
      <c r="K424" s="102">
        <v>0</v>
      </c>
      <c r="L424" s="102">
        <v>0</v>
      </c>
      <c r="M424" s="102">
        <v>0</v>
      </c>
      <c r="N424" s="102">
        <v>0</v>
      </c>
      <c r="O424" s="102">
        <v>0</v>
      </c>
      <c r="P424" s="94">
        <v>0</v>
      </c>
      <c r="Q424" s="102">
        <v>0</v>
      </c>
      <c r="R424" s="102">
        <v>0</v>
      </c>
      <c r="S424" s="102">
        <v>0</v>
      </c>
      <c r="T424" s="102">
        <v>0</v>
      </c>
      <c r="U424" s="102">
        <v>0</v>
      </c>
      <c r="V424" s="102">
        <v>0</v>
      </c>
      <c r="W424" s="102">
        <v>0</v>
      </c>
      <c r="X424" s="102">
        <v>6.3851272402633494</v>
      </c>
      <c r="Y424" s="102">
        <v>6.4058511133886142</v>
      </c>
      <c r="Z424" s="102">
        <v>6.4278416655331334</v>
      </c>
      <c r="AA424" s="102">
        <v>6.4424559768936929</v>
      </c>
      <c r="AB424" s="102">
        <v>6.4612893010480148</v>
      </c>
      <c r="AC424" s="102">
        <v>6.4699096245225007</v>
      </c>
      <c r="AD424" s="102">
        <v>6.4779056770623216</v>
      </c>
      <c r="AE424" s="186">
        <v>0.08</v>
      </c>
      <c r="AF424" s="94">
        <v>0</v>
      </c>
      <c r="AG424" s="94">
        <v>1</v>
      </c>
      <c r="AH424" s="94">
        <v>1</v>
      </c>
      <c r="AI424" s="17">
        <v>1</v>
      </c>
      <c r="AJ424" s="17" t="s">
        <v>662</v>
      </c>
      <c r="AK424" s="17" t="s">
        <v>745</v>
      </c>
      <c r="AL424" s="17"/>
      <c r="AM424" s="61"/>
      <c r="AN424" s="61"/>
      <c r="AO424" s="61"/>
      <c r="AP424" s="61"/>
      <c r="AQ424" s="61"/>
      <c r="AR424" s="61"/>
      <c r="AS424" s="64"/>
      <c r="AT424" s="64"/>
      <c r="AU424" s="64"/>
      <c r="AV424" s="132"/>
      <c r="AW424" s="132"/>
      <c r="AX424" s="132"/>
      <c r="AY424" s="28" t="s">
        <v>662</v>
      </c>
      <c r="AZ424" s="28"/>
      <c r="BA424" s="28"/>
      <c r="BB424" s="28"/>
      <c r="BC424" s="28"/>
      <c r="BD424" s="28"/>
      <c r="BE424" s="28"/>
      <c r="BF424" s="28"/>
      <c r="BG424" s="28"/>
      <c r="BH424" s="106"/>
      <c r="BI424" s="106"/>
      <c r="BJ424" s="106"/>
      <c r="BK424" s="106"/>
      <c r="BL424" s="137"/>
      <c r="BM424" s="123"/>
      <c r="BN424" s="139"/>
      <c r="BO424" s="94"/>
      <c r="BP424" s="94"/>
      <c r="BQ424" s="94"/>
      <c r="BR424" s="94"/>
      <c r="BS424" s="94"/>
      <c r="BT424" s="94"/>
      <c r="BU424" s="28">
        <f t="shared" si="331"/>
        <v>0</v>
      </c>
      <c r="BV424" s="28"/>
      <c r="BW424" s="28"/>
      <c r="BX424" s="28"/>
      <c r="BY424" s="28"/>
      <c r="BZ424" s="28"/>
      <c r="CA424" s="28"/>
      <c r="CB424" s="389">
        <v>71.900000000000006</v>
      </c>
      <c r="CC424" s="364">
        <f>SUM(CD424,CB424)/2</f>
        <v>71.900000000000006</v>
      </c>
      <c r="CD424" s="364">
        <v>71.900000000000006</v>
      </c>
      <c r="CE424" s="364">
        <f>SUM(CF424,CD424)/2</f>
        <v>71.900000000000006</v>
      </c>
      <c r="CF424" s="364">
        <v>71.900000000000006</v>
      </c>
      <c r="CG424" s="364">
        <f>SUM(CH424,CF424)/2</f>
        <v>71.900000000000006</v>
      </c>
      <c r="CH424" s="364">
        <v>71.900000000000006</v>
      </c>
      <c r="CI424" s="175"/>
      <c r="CJ424" s="175"/>
      <c r="CK424" s="175"/>
      <c r="CL424" s="175"/>
      <c r="CM424" s="175"/>
      <c r="CN424" s="175"/>
      <c r="CO424" s="175"/>
      <c r="CP424" s="176"/>
      <c r="CQ424" s="176"/>
      <c r="CR424" s="176"/>
      <c r="CS424" s="176"/>
      <c r="CT424" s="176"/>
      <c r="CU424" s="176"/>
      <c r="CV424" s="176"/>
      <c r="CW424" s="167"/>
      <c r="CX424" s="168"/>
      <c r="CY424" s="168"/>
      <c r="CZ424" s="168"/>
      <c r="DA424" s="168"/>
      <c r="DB424" s="168"/>
      <c r="DC424" s="168"/>
      <c r="DD424" s="172"/>
      <c r="DE424" s="172"/>
      <c r="DF424" s="172"/>
      <c r="DG424" s="172"/>
      <c r="DH424" s="172"/>
      <c r="DI424" s="172"/>
      <c r="DJ424" s="172"/>
      <c r="DK424" s="80" t="s">
        <v>1672</v>
      </c>
      <c r="DL424" s="129">
        <v>71.900000000000006</v>
      </c>
      <c r="DM424" s="129">
        <v>71.900000000000006</v>
      </c>
      <c r="DN424" s="129">
        <v>71.900000000000006</v>
      </c>
      <c r="DO424" s="129">
        <v>71.900000000000006</v>
      </c>
      <c r="DP424" s="129">
        <v>71.900000000000006</v>
      </c>
      <c r="DQ424" s="129">
        <v>71.900000000000006</v>
      </c>
      <c r="DR424" s="129">
        <v>71.900000000000006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1682</v>
      </c>
      <c r="B425" s="5"/>
      <c r="C425" s="5" t="s">
        <v>817</v>
      </c>
      <c r="D425" s="5" t="s">
        <v>1496</v>
      </c>
      <c r="E425" s="5" t="s">
        <v>504</v>
      </c>
      <c r="F425" s="5" t="s">
        <v>521</v>
      </c>
      <c r="G425" s="47" t="s">
        <v>521</v>
      </c>
      <c r="H425" s="47" t="s">
        <v>659</v>
      </c>
      <c r="I425" s="101">
        <v>0</v>
      </c>
      <c r="J425" s="101">
        <v>0</v>
      </c>
      <c r="K425" s="101">
        <v>0</v>
      </c>
      <c r="L425" s="101">
        <v>0</v>
      </c>
      <c r="M425" s="101">
        <v>0</v>
      </c>
      <c r="N425" s="101">
        <v>0</v>
      </c>
      <c r="O425" s="101">
        <v>0</v>
      </c>
      <c r="P425" s="93">
        <v>0</v>
      </c>
      <c r="Q425" s="101">
        <v>0</v>
      </c>
      <c r="R425" s="101">
        <v>0</v>
      </c>
      <c r="S425" s="101">
        <v>0</v>
      </c>
      <c r="T425" s="101">
        <v>0</v>
      </c>
      <c r="U425" s="101">
        <v>0</v>
      </c>
      <c r="V425" s="101">
        <v>0</v>
      </c>
      <c r="W425" s="101">
        <v>0</v>
      </c>
      <c r="X425" s="101">
        <v>3.9610952476502908</v>
      </c>
      <c r="Y425" s="101">
        <v>4.0905934966924438</v>
      </c>
      <c r="Z425" s="101">
        <v>4.2240080362989163</v>
      </c>
      <c r="AA425" s="101">
        <v>4.2370129507127547</v>
      </c>
      <c r="AB425" s="101">
        <v>4.2502031462363909</v>
      </c>
      <c r="AC425" s="101">
        <v>4.2644665983415635</v>
      </c>
      <c r="AD425" s="101">
        <v>4.2763982561738558</v>
      </c>
      <c r="AE425" s="186">
        <v>0.08</v>
      </c>
      <c r="AF425" s="93">
        <v>0</v>
      </c>
      <c r="AG425" s="93">
        <v>1</v>
      </c>
      <c r="AH425" s="93">
        <v>1</v>
      </c>
      <c r="AI425" s="16">
        <v>1</v>
      </c>
      <c r="AJ425" s="16" t="s">
        <v>662</v>
      </c>
      <c r="AK425" s="16" t="s">
        <v>745</v>
      </c>
      <c r="AL425" s="16"/>
      <c r="AM425" s="60"/>
      <c r="AN425" s="60"/>
      <c r="AO425" s="60"/>
      <c r="AP425" s="60"/>
      <c r="AQ425" s="60"/>
      <c r="AR425" s="60"/>
      <c r="AS425" s="63"/>
      <c r="AT425" s="63"/>
      <c r="AU425" s="63"/>
      <c r="AV425" s="131"/>
      <c r="AW425" s="131"/>
      <c r="AX425" s="131"/>
      <c r="AY425" s="27" t="s">
        <v>662</v>
      </c>
      <c r="AZ425" s="27"/>
      <c r="BA425" s="27"/>
      <c r="BB425" s="30"/>
      <c r="BC425" s="30"/>
      <c r="BD425" s="30"/>
      <c r="BE425" s="30"/>
      <c r="BF425" s="30"/>
      <c r="BG425" s="30"/>
      <c r="BH425" s="107"/>
      <c r="BI425" s="107"/>
      <c r="BJ425" s="107"/>
      <c r="BK425" s="107"/>
      <c r="BL425" s="136"/>
      <c r="BM425" s="122"/>
      <c r="BN425" s="138"/>
      <c r="BO425" s="93"/>
      <c r="BP425" s="93"/>
      <c r="BQ425" s="93"/>
      <c r="BR425" s="93"/>
      <c r="BS425" s="93"/>
      <c r="BT425" s="93"/>
      <c r="BU425" s="27">
        <f t="shared" si="331"/>
        <v>0</v>
      </c>
      <c r="BV425" s="27"/>
      <c r="BW425" s="27"/>
      <c r="BX425" s="27"/>
      <c r="BY425" s="27"/>
      <c r="BZ425" s="27"/>
      <c r="CA425" s="27"/>
      <c r="CB425" s="364">
        <v>14.2</v>
      </c>
      <c r="CC425" s="364">
        <f>SUM(CD425,CB425)/2</f>
        <v>17.549999999999997</v>
      </c>
      <c r="CD425" s="364">
        <v>20.9</v>
      </c>
      <c r="CE425" s="364">
        <f>SUM(CF425,CD425)/2</f>
        <v>19.25</v>
      </c>
      <c r="CF425" s="364">
        <v>17.600000000000001</v>
      </c>
      <c r="CG425" s="364">
        <f>SUM(CH425,CF425)/2</f>
        <v>16</v>
      </c>
      <c r="CH425" s="364">
        <v>14.4</v>
      </c>
      <c r="CI425" s="173"/>
      <c r="CJ425" s="173"/>
      <c r="CK425" s="173"/>
      <c r="CL425" s="173"/>
      <c r="CM425" s="173"/>
      <c r="CN425" s="173"/>
      <c r="CO425" s="173"/>
      <c r="CP425" s="174"/>
      <c r="CQ425" s="174"/>
      <c r="CR425" s="174"/>
      <c r="CS425" s="174"/>
      <c r="CT425" s="174"/>
      <c r="CU425" s="174"/>
      <c r="CV425" s="174"/>
      <c r="CW425" s="165"/>
      <c r="CX425" s="166"/>
      <c r="CY425" s="166"/>
      <c r="CZ425" s="166"/>
      <c r="DA425" s="166"/>
      <c r="DB425" s="166"/>
      <c r="DC425" s="166"/>
      <c r="DD425" s="171"/>
      <c r="DE425" s="171"/>
      <c r="DF425" s="171"/>
      <c r="DG425" s="171"/>
      <c r="DH425" s="171"/>
      <c r="DI425" s="171"/>
      <c r="DJ425" s="171"/>
      <c r="DK425" s="79" t="s">
        <v>1672</v>
      </c>
      <c r="DL425" s="128">
        <v>15.79</v>
      </c>
      <c r="DM425" s="128">
        <v>15.79</v>
      </c>
      <c r="DN425" s="128">
        <v>15.79</v>
      </c>
      <c r="DO425" s="128">
        <v>15.79</v>
      </c>
      <c r="DP425" s="128">
        <v>15.79</v>
      </c>
      <c r="DQ425" s="128">
        <v>15.79</v>
      </c>
      <c r="DR425" s="128">
        <v>15.79</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1683</v>
      </c>
      <c r="B426" s="6"/>
      <c r="C426" s="6" t="s">
        <v>817</v>
      </c>
      <c r="D426" s="6" t="s">
        <v>1496</v>
      </c>
      <c r="E426" s="6" t="s">
        <v>504</v>
      </c>
      <c r="F426" s="6" t="s">
        <v>522</v>
      </c>
      <c r="G426" s="48" t="s">
        <v>522</v>
      </c>
      <c r="H426" s="48" t="s">
        <v>659</v>
      </c>
      <c r="I426" s="102">
        <v>0</v>
      </c>
      <c r="J426" s="102">
        <v>0</v>
      </c>
      <c r="K426" s="102">
        <v>0</v>
      </c>
      <c r="L426" s="102">
        <v>0</v>
      </c>
      <c r="M426" s="102">
        <v>0</v>
      </c>
      <c r="N426" s="102">
        <v>0</v>
      </c>
      <c r="O426" s="102">
        <v>0</v>
      </c>
      <c r="P426" s="94">
        <v>0</v>
      </c>
      <c r="Q426" s="102">
        <v>0</v>
      </c>
      <c r="R426" s="102">
        <v>0</v>
      </c>
      <c r="S426" s="102">
        <v>0</v>
      </c>
      <c r="T426" s="102">
        <v>0</v>
      </c>
      <c r="U426" s="102">
        <v>0</v>
      </c>
      <c r="V426" s="102">
        <v>0</v>
      </c>
      <c r="W426" s="102">
        <v>0</v>
      </c>
      <c r="X426" s="102">
        <v>14.6419454020311</v>
      </c>
      <c r="Y426" s="102">
        <v>16.929749371098481</v>
      </c>
      <c r="Z426" s="102">
        <v>19.217553340165843</v>
      </c>
      <c r="AA426" s="102">
        <v>19.446333737072582</v>
      </c>
      <c r="AB426" s="102">
        <v>19.675114133979317</v>
      </c>
      <c r="AC426" s="102">
        <v>19.903894530886053</v>
      </c>
      <c r="AD426" s="102">
        <v>20.132674927792788</v>
      </c>
      <c r="AE426" s="186">
        <v>0.08</v>
      </c>
      <c r="AF426" s="94">
        <v>0</v>
      </c>
      <c r="AG426" s="94">
        <v>1</v>
      </c>
      <c r="AH426" s="94">
        <v>1</v>
      </c>
      <c r="AI426" s="17">
        <v>1</v>
      </c>
      <c r="AJ426" s="17" t="s">
        <v>662</v>
      </c>
      <c r="AK426" s="17" t="s">
        <v>745</v>
      </c>
      <c r="AL426" s="17"/>
      <c r="AM426" s="61"/>
      <c r="AN426" s="61"/>
      <c r="AO426" s="61"/>
      <c r="AP426" s="61"/>
      <c r="AQ426" s="61"/>
      <c r="AR426" s="61"/>
      <c r="AS426" s="64"/>
      <c r="AT426" s="64"/>
      <c r="AU426" s="64"/>
      <c r="AV426" s="132"/>
      <c r="AW426" s="132"/>
      <c r="AX426" s="132"/>
      <c r="AY426" s="28" t="s">
        <v>662</v>
      </c>
      <c r="AZ426" s="28"/>
      <c r="BA426" s="28"/>
      <c r="BB426" s="28"/>
      <c r="BC426" s="28"/>
      <c r="BD426" s="28"/>
      <c r="BE426" s="28"/>
      <c r="BF426" s="28"/>
      <c r="BG426" s="28"/>
      <c r="BH426" s="106"/>
      <c r="BI426" s="106"/>
      <c r="BJ426" s="106"/>
      <c r="BK426" s="106"/>
      <c r="BL426" s="137"/>
      <c r="BM426" s="123"/>
      <c r="BN426" s="139"/>
      <c r="BO426" s="94"/>
      <c r="BP426" s="94"/>
      <c r="BQ426" s="94"/>
      <c r="BR426" s="94"/>
      <c r="BS426" s="94"/>
      <c r="BT426" s="94"/>
      <c r="BU426" s="28">
        <f t="shared" si="331"/>
        <v>0</v>
      </c>
      <c r="BV426" s="28"/>
      <c r="BW426" s="28"/>
      <c r="BX426" s="28"/>
      <c r="BY426" s="28"/>
      <c r="BZ426" s="28"/>
      <c r="CA426" s="28"/>
      <c r="CB426" s="304"/>
      <c r="CC426" s="304"/>
      <c r="CD426" s="304"/>
      <c r="CE426" s="304"/>
      <c r="CF426" s="304"/>
      <c r="CG426" s="304"/>
      <c r="CH426" s="304"/>
      <c r="CI426" s="175"/>
      <c r="CJ426" s="175"/>
      <c r="CK426" s="175"/>
      <c r="CL426" s="175"/>
      <c r="CM426" s="175"/>
      <c r="CN426" s="175"/>
      <c r="CO426" s="175"/>
      <c r="CP426" s="176"/>
      <c r="CQ426" s="176"/>
      <c r="CR426" s="176"/>
      <c r="CS426" s="176"/>
      <c r="CT426" s="176"/>
      <c r="CU426" s="176"/>
      <c r="CV426" s="176"/>
      <c r="CW426" s="167"/>
      <c r="CX426" s="168"/>
      <c r="CY426" s="168"/>
      <c r="CZ426" s="168"/>
      <c r="DA426" s="168"/>
      <c r="DB426" s="168"/>
      <c r="DC426" s="168"/>
      <c r="DD426" s="172"/>
      <c r="DE426" s="172"/>
      <c r="DF426" s="172"/>
      <c r="DG426" s="172"/>
      <c r="DH426" s="172"/>
      <c r="DI426" s="172"/>
      <c r="DJ426" s="172"/>
      <c r="DK426" s="80" t="s">
        <v>1672</v>
      </c>
      <c r="DL426" s="129">
        <v>0.62</v>
      </c>
      <c r="DM426" s="129">
        <v>0.62</v>
      </c>
      <c r="DN426" s="129">
        <v>0.62</v>
      </c>
      <c r="DO426" s="129">
        <v>0.62</v>
      </c>
      <c r="DP426" s="129">
        <v>0.62</v>
      </c>
      <c r="DQ426" s="129">
        <v>0.62</v>
      </c>
      <c r="DR426" s="129">
        <v>0.62</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5" t="s">
        <v>1684</v>
      </c>
      <c r="B427" s="5"/>
      <c r="C427" s="5" t="s">
        <v>817</v>
      </c>
      <c r="D427" s="5" t="s">
        <v>1496</v>
      </c>
      <c r="E427" s="5" t="s">
        <v>1497</v>
      </c>
      <c r="F427" s="5" t="s">
        <v>523</v>
      </c>
      <c r="G427" s="47" t="s">
        <v>523</v>
      </c>
      <c r="H427" s="47" t="s">
        <v>659</v>
      </c>
      <c r="I427" s="101">
        <v>0</v>
      </c>
      <c r="J427" s="101">
        <v>0</v>
      </c>
      <c r="K427" s="101">
        <v>0</v>
      </c>
      <c r="L427" s="101">
        <v>0</v>
      </c>
      <c r="M427" s="101">
        <v>0</v>
      </c>
      <c r="N427" s="101">
        <v>0</v>
      </c>
      <c r="O427" s="101">
        <v>0</v>
      </c>
      <c r="P427" s="93">
        <v>0</v>
      </c>
      <c r="Q427" s="101">
        <v>0</v>
      </c>
      <c r="R427" s="101">
        <v>0</v>
      </c>
      <c r="S427" s="101">
        <v>0</v>
      </c>
      <c r="T427" s="101">
        <v>0</v>
      </c>
      <c r="U427" s="101">
        <v>0</v>
      </c>
      <c r="V427" s="101">
        <v>0</v>
      </c>
      <c r="W427" s="101">
        <v>0</v>
      </c>
      <c r="X427" s="101">
        <v>24.524672376767775</v>
      </c>
      <c r="Y427" s="101">
        <v>29.842114972514675</v>
      </c>
      <c r="Z427" s="101">
        <v>35.164755615493483</v>
      </c>
      <c r="AA427" s="101">
        <v>35.140668964874685</v>
      </c>
      <c r="AB427" s="101">
        <v>35.11921703852488</v>
      </c>
      <c r="AC427" s="101">
        <v>35.094912885493343</v>
      </c>
      <c r="AD427" s="101">
        <v>35.072649622191491</v>
      </c>
      <c r="AE427" s="186">
        <v>0.08</v>
      </c>
      <c r="AF427" s="93">
        <v>0</v>
      </c>
      <c r="AG427" s="93">
        <v>1</v>
      </c>
      <c r="AH427" s="93">
        <v>1</v>
      </c>
      <c r="AI427" s="16">
        <v>1</v>
      </c>
      <c r="AJ427" s="16" t="s">
        <v>662</v>
      </c>
      <c r="AK427" s="16" t="s">
        <v>745</v>
      </c>
      <c r="AL427" s="16"/>
      <c r="AM427" s="60"/>
      <c r="AN427" s="60"/>
      <c r="AO427" s="60"/>
      <c r="AP427" s="60"/>
      <c r="AQ427" s="60"/>
      <c r="AR427" s="60"/>
      <c r="AS427" s="63"/>
      <c r="AT427" s="63"/>
      <c r="AU427" s="63"/>
      <c r="AV427" s="131"/>
      <c r="AW427" s="131"/>
      <c r="AX427" s="131"/>
      <c r="AY427" s="27" t="s">
        <v>662</v>
      </c>
      <c r="AZ427" s="27"/>
      <c r="BA427" s="27"/>
      <c r="BB427" s="30"/>
      <c r="BC427" s="30"/>
      <c r="BD427" s="30"/>
      <c r="BE427" s="30"/>
      <c r="BF427" s="30"/>
      <c r="BG427" s="30"/>
      <c r="BH427" s="107"/>
      <c r="BI427" s="107"/>
      <c r="BJ427" s="107"/>
      <c r="BK427" s="107"/>
      <c r="BL427" s="136"/>
      <c r="BM427" s="122"/>
      <c r="BN427" s="138"/>
      <c r="BO427" s="93"/>
      <c r="BP427" s="93"/>
      <c r="BQ427" s="93"/>
      <c r="BR427" s="93"/>
      <c r="BS427" s="93"/>
      <c r="BT427" s="93"/>
      <c r="BU427" s="27">
        <f t="shared" si="331"/>
        <v>0</v>
      </c>
      <c r="BV427" s="27"/>
      <c r="BW427" s="27"/>
      <c r="BX427" s="27"/>
      <c r="BY427" s="27"/>
      <c r="BZ427" s="27"/>
      <c r="CA427" s="27"/>
      <c r="CB427" s="364">
        <v>0.1</v>
      </c>
      <c r="CC427" s="364">
        <f>SUM(CD427,CB427)/2</f>
        <v>0.1</v>
      </c>
      <c r="CD427" s="364">
        <v>0.1</v>
      </c>
      <c r="CE427" s="364">
        <f>SUM(CF427,CD427)/2</f>
        <v>0.1</v>
      </c>
      <c r="CF427" s="364">
        <v>0.1</v>
      </c>
      <c r="CG427" s="364">
        <f>SUM(CH427,CF427)/2</f>
        <v>0.1</v>
      </c>
      <c r="CH427" s="364">
        <v>0.1</v>
      </c>
      <c r="CI427" s="173"/>
      <c r="CJ427" s="173"/>
      <c r="CK427" s="173"/>
      <c r="CL427" s="173"/>
      <c r="CM427" s="173"/>
      <c r="CN427" s="173"/>
      <c r="CO427" s="173"/>
      <c r="CP427" s="174"/>
      <c r="CQ427" s="174"/>
      <c r="CR427" s="174"/>
      <c r="CS427" s="174"/>
      <c r="CT427" s="174"/>
      <c r="CU427" s="174"/>
      <c r="CV427" s="174"/>
      <c r="CW427" s="165"/>
      <c r="CX427" s="166"/>
      <c r="CY427" s="166"/>
      <c r="CZ427" s="166"/>
      <c r="DA427" s="166"/>
      <c r="DB427" s="166"/>
      <c r="DC427" s="166"/>
      <c r="DD427" s="171"/>
      <c r="DE427" s="171"/>
      <c r="DF427" s="171"/>
      <c r="DG427" s="171"/>
      <c r="DH427" s="171"/>
      <c r="DI427" s="171"/>
      <c r="DJ427" s="171"/>
      <c r="DK427" s="79" t="s">
        <v>1672</v>
      </c>
      <c r="DL427" s="128">
        <v>0.01</v>
      </c>
      <c r="DM427" s="128">
        <v>0.01</v>
      </c>
      <c r="DN427" s="128">
        <v>0.01</v>
      </c>
      <c r="DO427" s="128">
        <v>0.01</v>
      </c>
      <c r="DP427" s="128">
        <v>0.01</v>
      </c>
      <c r="DQ427" s="128">
        <v>0.01</v>
      </c>
      <c r="DR427" s="128">
        <v>0.01</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228" t="s">
        <v>1685</v>
      </c>
      <c r="B428" s="225"/>
      <c r="C428" s="225" t="s">
        <v>817</v>
      </c>
      <c r="D428" s="225" t="s">
        <v>1496</v>
      </c>
      <c r="E428" s="225" t="s">
        <v>1497</v>
      </c>
      <c r="F428" s="225" t="s">
        <v>523</v>
      </c>
      <c r="G428" s="229" t="s">
        <v>1686</v>
      </c>
      <c r="H428" s="226" t="s">
        <v>659</v>
      </c>
      <c r="I428" s="102">
        <v>0</v>
      </c>
      <c r="J428" s="102">
        <v>0</v>
      </c>
      <c r="K428" s="102">
        <v>0</v>
      </c>
      <c r="L428" s="102">
        <v>0</v>
      </c>
      <c r="M428" s="102">
        <v>0</v>
      </c>
      <c r="N428" s="102">
        <v>0</v>
      </c>
      <c r="O428" s="102">
        <v>0</v>
      </c>
      <c r="P428" s="94">
        <v>0</v>
      </c>
      <c r="Q428" s="102">
        <v>0</v>
      </c>
      <c r="R428" s="102">
        <v>0</v>
      </c>
      <c r="S428" s="102">
        <v>0</v>
      </c>
      <c r="T428" s="102">
        <v>0</v>
      </c>
      <c r="U428" s="102">
        <v>0</v>
      </c>
      <c r="V428" s="102">
        <v>0</v>
      </c>
      <c r="W428" s="102">
        <v>0</v>
      </c>
      <c r="X428" s="102">
        <v>26.977139614444557</v>
      </c>
      <c r="Y428" s="102">
        <v>32.826326469766144</v>
      </c>
      <c r="Z428" s="102">
        <v>38.681231177042832</v>
      </c>
      <c r="AA428" s="102">
        <v>38.654735861362155</v>
      </c>
      <c r="AB428" s="102">
        <v>38.631138742377367</v>
      </c>
      <c r="AC428" s="102">
        <v>38.604404174042678</v>
      </c>
      <c r="AD428" s="102">
        <v>38.579914584410645</v>
      </c>
      <c r="AE428" s="186">
        <v>0.08</v>
      </c>
      <c r="AF428" s="94">
        <v>0</v>
      </c>
      <c r="AG428" s="94">
        <v>1</v>
      </c>
      <c r="AH428" s="94">
        <v>1</v>
      </c>
      <c r="AI428" s="17">
        <v>1</v>
      </c>
      <c r="AJ428" s="17" t="s">
        <v>662</v>
      </c>
      <c r="AK428" s="17" t="s">
        <v>745</v>
      </c>
      <c r="AL428" s="17"/>
      <c r="AM428" s="61"/>
      <c r="AN428" s="61"/>
      <c r="AO428" s="61"/>
      <c r="AP428" s="61"/>
      <c r="AQ428" s="61"/>
      <c r="AR428" s="61"/>
      <c r="AS428" s="64"/>
      <c r="AT428" s="64"/>
      <c r="AU428" s="64"/>
      <c r="AV428" s="132"/>
      <c r="AW428" s="132"/>
      <c r="AX428" s="132"/>
      <c r="AY428" s="28" t="s">
        <v>662</v>
      </c>
      <c r="AZ428" s="28"/>
      <c r="BA428" s="28"/>
      <c r="BB428" s="28"/>
      <c r="BC428" s="28"/>
      <c r="BD428" s="28"/>
      <c r="BE428" s="28"/>
      <c r="BF428" s="28"/>
      <c r="BG428" s="28"/>
      <c r="BH428" s="106"/>
      <c r="BI428" s="106"/>
      <c r="BJ428" s="106"/>
      <c r="BK428" s="106"/>
      <c r="BL428" s="137"/>
      <c r="BM428" s="123"/>
      <c r="BN428" s="139"/>
      <c r="BO428" s="94"/>
      <c r="BP428" s="94"/>
      <c r="BQ428" s="94"/>
      <c r="BR428" s="94"/>
      <c r="BS428" s="94"/>
      <c r="BT428" s="94"/>
      <c r="BU428" s="28">
        <f t="shared" si="331"/>
        <v>0</v>
      </c>
      <c r="BV428" s="28"/>
      <c r="BW428" s="28"/>
      <c r="BX428" s="28"/>
      <c r="BY428" s="28"/>
      <c r="BZ428" s="28"/>
      <c r="CA428" s="28"/>
      <c r="CB428" s="364">
        <f>67.2-CB427</f>
        <v>67.100000000000009</v>
      </c>
      <c r="CC428" s="364">
        <f t="shared" si="333"/>
        <v>66.95</v>
      </c>
      <c r="CD428" s="364">
        <f>66.9-CD427</f>
        <v>66.800000000000011</v>
      </c>
      <c r="CE428" s="364">
        <f t="shared" si="334"/>
        <v>58.95</v>
      </c>
      <c r="CF428" s="364">
        <f>51.2-CF427</f>
        <v>51.1</v>
      </c>
      <c r="CG428" s="364">
        <f t="shared" si="335"/>
        <v>44.65</v>
      </c>
      <c r="CH428" s="364">
        <f>38.3-CH427</f>
        <v>38.199999999999996</v>
      </c>
      <c r="CI428" s="175"/>
      <c r="CJ428" s="175"/>
      <c r="CK428" s="175"/>
      <c r="CL428" s="175"/>
      <c r="CM428" s="175"/>
      <c r="CN428" s="175"/>
      <c r="CO428" s="175"/>
      <c r="CP428" s="176"/>
      <c r="CQ428" s="176"/>
      <c r="CR428" s="176"/>
      <c r="CS428" s="176"/>
      <c r="CT428" s="176"/>
      <c r="CU428" s="176"/>
      <c r="CV428" s="176"/>
      <c r="CW428" s="167"/>
      <c r="CX428" s="168"/>
      <c r="CY428" s="168"/>
      <c r="CZ428" s="168"/>
      <c r="DA428" s="168"/>
      <c r="DB428" s="168"/>
      <c r="DC428" s="168"/>
      <c r="DD428" s="172"/>
      <c r="DE428" s="172"/>
      <c r="DF428" s="172"/>
      <c r="DG428" s="172"/>
      <c r="DH428" s="172"/>
      <c r="DI428" s="172"/>
      <c r="DJ428" s="172"/>
      <c r="DK428" s="80" t="s">
        <v>1672</v>
      </c>
      <c r="DL428" s="129"/>
      <c r="DM428" s="129"/>
      <c r="DN428" s="129"/>
      <c r="DO428" s="129"/>
      <c r="DP428" s="129"/>
      <c r="DQ428" s="129"/>
      <c r="DR428" s="129"/>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390" t="s">
        <v>1687</v>
      </c>
      <c r="B429" s="225"/>
      <c r="C429" s="225" t="s">
        <v>817</v>
      </c>
      <c r="D429" s="225" t="s">
        <v>1496</v>
      </c>
      <c r="E429" s="225" t="s">
        <v>1497</v>
      </c>
      <c r="F429" s="225" t="s">
        <v>524</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391">
        <f>22*(104/105.4)/1.1195</f>
        <v>19.390602846045564</v>
      </c>
      <c r="Y429" s="391">
        <f t="shared" ref="Y429:AD429" si="336">22*(104/105.4)/1.1195</f>
        <v>19.390602846045564</v>
      </c>
      <c r="Z429" s="391">
        <f t="shared" si="336"/>
        <v>19.390602846045564</v>
      </c>
      <c r="AA429" s="391">
        <f t="shared" si="336"/>
        <v>19.390602846045564</v>
      </c>
      <c r="AB429" s="391">
        <f t="shared" si="336"/>
        <v>19.390602846045564</v>
      </c>
      <c r="AC429" s="391">
        <f t="shared" si="336"/>
        <v>19.390602846045564</v>
      </c>
      <c r="AD429" s="391">
        <f t="shared" si="336"/>
        <v>19.390602846045564</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1"/>
        <v>0</v>
      </c>
      <c r="BV429" s="28"/>
      <c r="BW429" s="28"/>
      <c r="BX429" s="28"/>
      <c r="BY429" s="28"/>
      <c r="BZ429" s="28"/>
      <c r="CA429" s="28"/>
      <c r="CB429" s="364">
        <v>1</v>
      </c>
      <c r="CC429" s="364">
        <f>SUM(CD429,CB429)/2</f>
        <v>36.450000000000003</v>
      </c>
      <c r="CD429" s="364">
        <v>71.900000000000006</v>
      </c>
      <c r="CE429" s="364">
        <f>SUM(CF429,CD429)/2</f>
        <v>71.900000000000006</v>
      </c>
      <c r="CF429" s="364">
        <v>71.900000000000006</v>
      </c>
      <c r="CG429" s="364">
        <f>SUM(CH429,CF429)/2</f>
        <v>71.900000000000006</v>
      </c>
      <c r="CH429" s="364">
        <v>71.900000000000006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5" t="s">
        <v>1689</v>
      </c>
      <c r="B430" s="5"/>
      <c r="C430" s="5" t="s">
        <v>817</v>
      </c>
      <c r="D430" s="5" t="s">
        <v>1496</v>
      </c>
      <c r="E430" s="5" t="s">
        <v>526</v>
      </c>
      <c r="F430" s="5" t="s">
        <v>525</v>
      </c>
      <c r="G430" s="47" t="s">
        <v>525</v>
      </c>
      <c r="H430" s="47" t="s">
        <v>659</v>
      </c>
      <c r="I430" s="101">
        <v>0</v>
      </c>
      <c r="J430" s="101">
        <v>0</v>
      </c>
      <c r="K430" s="101">
        <v>0</v>
      </c>
      <c r="L430" s="101">
        <v>0</v>
      </c>
      <c r="M430" s="101">
        <v>0</v>
      </c>
      <c r="N430" s="101">
        <v>0</v>
      </c>
      <c r="O430" s="101">
        <v>0</v>
      </c>
      <c r="P430" s="93">
        <v>0</v>
      </c>
      <c r="Q430" s="101">
        <v>0</v>
      </c>
      <c r="R430" s="101">
        <v>0</v>
      </c>
      <c r="S430" s="101">
        <v>0</v>
      </c>
      <c r="T430" s="101">
        <v>0</v>
      </c>
      <c r="U430" s="101">
        <v>0</v>
      </c>
      <c r="V430" s="101">
        <v>0</v>
      </c>
      <c r="W430" s="101">
        <v>0</v>
      </c>
      <c r="X430" s="101">
        <v>0</v>
      </c>
      <c r="Y430" s="101">
        <v>0</v>
      </c>
      <c r="Z430" s="101">
        <v>0</v>
      </c>
      <c r="AA430" s="101">
        <v>0</v>
      </c>
      <c r="AB430" s="101">
        <v>0</v>
      </c>
      <c r="AC430" s="101">
        <v>0</v>
      </c>
      <c r="AD430" s="101">
        <v>0</v>
      </c>
      <c r="AE430" s="186">
        <v>0.08</v>
      </c>
      <c r="AF430" s="93">
        <v>0</v>
      </c>
      <c r="AG430" s="93">
        <v>1</v>
      </c>
      <c r="AH430" s="93">
        <v>1</v>
      </c>
      <c r="AI430" s="16">
        <v>1</v>
      </c>
      <c r="AJ430" s="16" t="s">
        <v>662</v>
      </c>
      <c r="AK430" s="16" t="s">
        <v>745</v>
      </c>
      <c r="AL430" s="16"/>
      <c r="AM430" s="60"/>
      <c r="AN430" s="60"/>
      <c r="AO430" s="60"/>
      <c r="AP430" s="60"/>
      <c r="AQ430" s="60"/>
      <c r="AR430" s="60"/>
      <c r="AS430" s="63"/>
      <c r="AT430" s="63"/>
      <c r="AU430" s="63"/>
      <c r="AV430" s="131"/>
      <c r="AW430" s="131"/>
      <c r="AX430" s="131"/>
      <c r="AY430" s="27" t="s">
        <v>662</v>
      </c>
      <c r="AZ430" s="27"/>
      <c r="BA430" s="27"/>
      <c r="BB430" s="30"/>
      <c r="BC430" s="30"/>
      <c r="BD430" s="30"/>
      <c r="BE430" s="30"/>
      <c r="BF430" s="30"/>
      <c r="BG430" s="30"/>
      <c r="BH430" s="107"/>
      <c r="BI430" s="107"/>
      <c r="BJ430" s="107"/>
      <c r="BK430" s="107"/>
      <c r="BL430" s="136"/>
      <c r="BM430" s="122"/>
      <c r="BN430" s="138"/>
      <c r="BO430" s="93"/>
      <c r="BP430" s="93"/>
      <c r="BQ430" s="93"/>
      <c r="BR430" s="93"/>
      <c r="BS430" s="93"/>
      <c r="BT430" s="93"/>
      <c r="BU430" s="27">
        <f t="shared" si="331"/>
        <v>0</v>
      </c>
      <c r="BV430" s="27"/>
      <c r="BW430" s="27"/>
      <c r="BX430" s="27"/>
      <c r="BY430" s="27"/>
      <c r="BZ430" s="27"/>
      <c r="CA430" s="27"/>
      <c r="CB430" s="185">
        <v>1000</v>
      </c>
      <c r="CC430" s="185">
        <v>1000</v>
      </c>
      <c r="CD430" s="185">
        <v>1000</v>
      </c>
      <c r="CE430" s="185">
        <v>1000</v>
      </c>
      <c r="CF430" s="185">
        <v>1000</v>
      </c>
      <c r="CG430" s="185">
        <v>1000</v>
      </c>
      <c r="CH430" s="185">
        <v>1000</v>
      </c>
      <c r="CI430" s="173"/>
      <c r="CJ430" s="173"/>
      <c r="CK430" s="173"/>
      <c r="CL430" s="173"/>
      <c r="CM430" s="173"/>
      <c r="CN430" s="173"/>
      <c r="CO430" s="173"/>
      <c r="CP430" s="174"/>
      <c r="CQ430" s="174"/>
      <c r="CR430" s="174"/>
      <c r="CS430" s="174"/>
      <c r="CT430" s="174"/>
      <c r="CU430" s="174"/>
      <c r="CV430" s="174"/>
      <c r="CW430" s="165"/>
      <c r="CX430" s="166"/>
      <c r="CY430" s="166"/>
      <c r="CZ430" s="166"/>
      <c r="DA430" s="166"/>
      <c r="DB430" s="166"/>
      <c r="DC430" s="166"/>
      <c r="DD430" s="171"/>
      <c r="DE430" s="171"/>
      <c r="DF430" s="171"/>
      <c r="DG430" s="171"/>
      <c r="DH430" s="171"/>
      <c r="DI430" s="171"/>
      <c r="DJ430" s="171"/>
      <c r="DK430" s="79" t="s">
        <v>415</v>
      </c>
      <c r="DL430" s="128">
        <v>5000</v>
      </c>
      <c r="DM430" s="128">
        <v>5000</v>
      </c>
      <c r="DN430" s="128">
        <v>5000</v>
      </c>
      <c r="DO430" s="128">
        <v>5000</v>
      </c>
      <c r="DP430" s="128">
        <v>5000</v>
      </c>
      <c r="DQ430" s="128">
        <v>5000</v>
      </c>
      <c r="DR430" s="128">
        <v>5000</v>
      </c>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6" t="s">
        <v>1690</v>
      </c>
      <c r="B431" s="6"/>
      <c r="C431" s="6" t="s">
        <v>817</v>
      </c>
      <c r="D431" s="6" t="s">
        <v>1496</v>
      </c>
      <c r="E431" s="6" t="s">
        <v>528</v>
      </c>
      <c r="F431" s="6" t="s">
        <v>527</v>
      </c>
      <c r="G431" s="48" t="s">
        <v>527</v>
      </c>
      <c r="H431" s="48" t="s">
        <v>659</v>
      </c>
      <c r="I431" s="102">
        <v>0</v>
      </c>
      <c r="J431" s="102">
        <v>0</v>
      </c>
      <c r="K431" s="102">
        <v>0</v>
      </c>
      <c r="L431" s="102">
        <v>0</v>
      </c>
      <c r="M431" s="102">
        <v>0</v>
      </c>
      <c r="N431" s="102">
        <v>0</v>
      </c>
      <c r="O431" s="102">
        <v>0</v>
      </c>
      <c r="P431" s="94">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86">
        <v>0.08</v>
      </c>
      <c r="AF431" s="94">
        <v>0</v>
      </c>
      <c r="AG431" s="94">
        <v>1</v>
      </c>
      <c r="AH431" s="94">
        <v>1</v>
      </c>
      <c r="AI431" s="17">
        <v>1</v>
      </c>
      <c r="AJ431" s="17" t="s">
        <v>662</v>
      </c>
      <c r="AK431" s="17" t="s">
        <v>745</v>
      </c>
      <c r="AL431" s="17"/>
      <c r="AM431" s="61"/>
      <c r="AN431" s="61"/>
      <c r="AO431" s="61"/>
      <c r="AP431" s="61"/>
      <c r="AQ431" s="61"/>
      <c r="AR431" s="61"/>
      <c r="AS431" s="64"/>
      <c r="AT431" s="64"/>
      <c r="AU431" s="64"/>
      <c r="AV431" s="132"/>
      <c r="AW431" s="132"/>
      <c r="AX431" s="132"/>
      <c r="AY431" s="28" t="s">
        <v>662</v>
      </c>
      <c r="AZ431" s="28"/>
      <c r="BA431" s="28"/>
      <c r="BB431" s="28"/>
      <c r="BC431" s="28"/>
      <c r="BD431" s="28"/>
      <c r="BE431" s="28"/>
      <c r="BF431" s="28"/>
      <c r="BG431" s="28"/>
      <c r="BH431" s="106"/>
      <c r="BI431" s="106"/>
      <c r="BJ431" s="106"/>
      <c r="BK431" s="106"/>
      <c r="BL431" s="137"/>
      <c r="BM431" s="123"/>
      <c r="BN431" s="139"/>
      <c r="BO431" s="94"/>
      <c r="BP431" s="94"/>
      <c r="BQ431" s="94"/>
      <c r="BR431" s="94"/>
      <c r="BS431" s="94"/>
      <c r="BT431" s="94"/>
      <c r="BU431" s="28">
        <f t="shared" si="331"/>
        <v>0</v>
      </c>
      <c r="BV431" s="28"/>
      <c r="BW431" s="28"/>
      <c r="BX431" s="28"/>
      <c r="BY431" s="28"/>
      <c r="BZ431" s="28"/>
      <c r="CA431" s="28"/>
      <c r="CB431" s="185">
        <v>1000</v>
      </c>
      <c r="CC431" s="185">
        <v>1000</v>
      </c>
      <c r="CD431" s="185">
        <v>1000</v>
      </c>
      <c r="CE431" s="185">
        <v>1000</v>
      </c>
      <c r="CF431" s="185">
        <v>1000</v>
      </c>
      <c r="CG431" s="185">
        <v>1000</v>
      </c>
      <c r="CH431" s="185">
        <v>1000</v>
      </c>
      <c r="CI431" s="175"/>
      <c r="CJ431" s="175"/>
      <c r="CK431" s="175"/>
      <c r="CL431" s="175"/>
      <c r="CM431" s="175"/>
      <c r="CN431" s="175"/>
      <c r="CO431" s="175"/>
      <c r="CP431" s="176"/>
      <c r="CQ431" s="176"/>
      <c r="CR431" s="176"/>
      <c r="CS431" s="176"/>
      <c r="CT431" s="176"/>
      <c r="CU431" s="176"/>
      <c r="CV431" s="176"/>
      <c r="CW431" s="167"/>
      <c r="CX431" s="168"/>
      <c r="CY431" s="168"/>
      <c r="CZ431" s="168"/>
      <c r="DA431" s="168"/>
      <c r="DB431" s="168"/>
      <c r="DC431" s="168"/>
      <c r="DD431" s="172"/>
      <c r="DE431" s="172"/>
      <c r="DF431" s="172"/>
      <c r="DG431" s="172"/>
      <c r="DH431" s="172"/>
      <c r="DI431" s="172"/>
      <c r="DJ431" s="172"/>
      <c r="DK431" s="80" t="s">
        <v>415</v>
      </c>
      <c r="DL431" s="129">
        <v>5000</v>
      </c>
      <c r="DM431" s="129">
        <v>5000</v>
      </c>
      <c r="DN431" s="129">
        <v>5000</v>
      </c>
      <c r="DO431" s="129">
        <v>5000</v>
      </c>
      <c r="DP431" s="129">
        <v>5000</v>
      </c>
      <c r="DQ431" s="129">
        <v>5000</v>
      </c>
      <c r="DR431" s="129">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5" t="s">
        <v>1691</v>
      </c>
      <c r="B432" s="5"/>
      <c r="C432" s="5" t="s">
        <v>817</v>
      </c>
      <c r="D432" s="5" t="s">
        <v>1496</v>
      </c>
      <c r="E432" s="5" t="s">
        <v>1692</v>
      </c>
      <c r="F432" s="5" t="s">
        <v>529</v>
      </c>
      <c r="G432" s="47" t="s">
        <v>529</v>
      </c>
      <c r="H432" s="47" t="s">
        <v>659</v>
      </c>
      <c r="I432" s="101">
        <v>0</v>
      </c>
      <c r="J432" s="101">
        <v>0</v>
      </c>
      <c r="K432" s="101">
        <v>0</v>
      </c>
      <c r="L432" s="101">
        <v>0</v>
      </c>
      <c r="M432" s="101">
        <v>0</v>
      </c>
      <c r="N432" s="101">
        <v>0</v>
      </c>
      <c r="O432" s="101">
        <v>0</v>
      </c>
      <c r="P432" s="93">
        <v>0</v>
      </c>
      <c r="Q432" s="101">
        <v>0</v>
      </c>
      <c r="R432" s="101">
        <v>0</v>
      </c>
      <c r="S432" s="101">
        <v>0</v>
      </c>
      <c r="T432" s="101">
        <v>0</v>
      </c>
      <c r="U432" s="101">
        <v>0</v>
      </c>
      <c r="V432" s="101">
        <v>0</v>
      </c>
      <c r="W432" s="101">
        <v>0</v>
      </c>
      <c r="X432" s="101">
        <v>0</v>
      </c>
      <c r="Y432" s="101">
        <v>0</v>
      </c>
      <c r="Z432" s="101">
        <v>0</v>
      </c>
      <c r="AA432" s="101">
        <v>0</v>
      </c>
      <c r="AB432" s="101">
        <v>0</v>
      </c>
      <c r="AC432" s="101">
        <v>0</v>
      </c>
      <c r="AD432" s="101">
        <v>0</v>
      </c>
      <c r="AE432" s="186">
        <v>0.08</v>
      </c>
      <c r="AF432" s="93">
        <v>0</v>
      </c>
      <c r="AG432" s="93">
        <v>1</v>
      </c>
      <c r="AH432" s="93">
        <v>1</v>
      </c>
      <c r="AI432" s="16">
        <v>1</v>
      </c>
      <c r="AJ432" s="16" t="s">
        <v>662</v>
      </c>
      <c r="AK432" s="16" t="s">
        <v>745</v>
      </c>
      <c r="AL432" s="16"/>
      <c r="AM432" s="60"/>
      <c r="AN432" s="60"/>
      <c r="AO432" s="60"/>
      <c r="AP432" s="60"/>
      <c r="AQ432" s="60"/>
      <c r="AR432" s="60"/>
      <c r="AS432" s="63"/>
      <c r="AT432" s="63"/>
      <c r="AU432" s="63"/>
      <c r="AV432" s="131"/>
      <c r="AW432" s="131"/>
      <c r="AX432" s="131"/>
      <c r="AY432" s="27" t="s">
        <v>662</v>
      </c>
      <c r="AZ432" s="27"/>
      <c r="BA432" s="27"/>
      <c r="BB432" s="30"/>
      <c r="BC432" s="30"/>
      <c r="BD432" s="30"/>
      <c r="BE432" s="30"/>
      <c r="BF432" s="30"/>
      <c r="BG432" s="30"/>
      <c r="BH432" s="107"/>
      <c r="BI432" s="107"/>
      <c r="BJ432" s="107"/>
      <c r="BK432" s="107"/>
      <c r="BL432" s="136"/>
      <c r="BM432" s="122"/>
      <c r="BN432" s="138"/>
      <c r="BO432" s="93"/>
      <c r="BP432" s="93"/>
      <c r="BQ432" s="93"/>
      <c r="BR432" s="93"/>
      <c r="BS432" s="93"/>
      <c r="BT432" s="93"/>
      <c r="BU432" s="27">
        <f t="shared" si="331"/>
        <v>0</v>
      </c>
      <c r="BV432" s="27"/>
      <c r="BW432" s="27"/>
      <c r="BX432" s="27"/>
      <c r="BY432" s="27"/>
      <c r="BZ432" s="27"/>
      <c r="CA432" s="27"/>
      <c r="CB432" s="97">
        <v>1000</v>
      </c>
      <c r="CC432" s="97">
        <f t="shared" ref="CC432:CC433" si="337">ROUND((CB432+CD432)/2,2)</f>
        <v>1000</v>
      </c>
      <c r="CD432" s="97">
        <v>1000</v>
      </c>
      <c r="CE432" s="97">
        <f t="shared" ref="CE432:CE433" si="338">ROUND((CD432+CF432)/2,2)</f>
        <v>1000</v>
      </c>
      <c r="CF432" s="97">
        <f t="shared" ref="CF432:CF433" si="339">ROUND((CD432+CH432)/2,2)</f>
        <v>1000</v>
      </c>
      <c r="CG432" s="97">
        <f t="shared" ref="CG432:CG433" si="340">ROUND((CF432+CH432)/2,2)</f>
        <v>1000</v>
      </c>
      <c r="CH432" s="97">
        <v>1000</v>
      </c>
      <c r="CI432" s="173"/>
      <c r="CJ432" s="173"/>
      <c r="CK432" s="173"/>
      <c r="CL432" s="173"/>
      <c r="CM432" s="173"/>
      <c r="CN432" s="173"/>
      <c r="CO432" s="173"/>
      <c r="CP432" s="174"/>
      <c r="CQ432" s="174"/>
      <c r="CR432" s="174"/>
      <c r="CS432" s="174"/>
      <c r="CT432" s="174"/>
      <c r="CU432" s="174"/>
      <c r="CV432" s="174"/>
      <c r="CW432" s="165"/>
      <c r="CX432" s="166"/>
      <c r="CY432" s="166"/>
      <c r="CZ432" s="166"/>
      <c r="DA432" s="166"/>
      <c r="DB432" s="166"/>
      <c r="DC432" s="166"/>
      <c r="DD432" s="171"/>
      <c r="DE432" s="171"/>
      <c r="DF432" s="171"/>
      <c r="DG432" s="171"/>
      <c r="DH432" s="171"/>
      <c r="DI432" s="171"/>
      <c r="DJ432" s="171"/>
      <c r="DK432" s="79" t="s">
        <v>415</v>
      </c>
      <c r="DL432" s="128">
        <v>1000</v>
      </c>
      <c r="DM432" s="128">
        <v>1000</v>
      </c>
      <c r="DN432" s="128">
        <v>1000</v>
      </c>
      <c r="DO432" s="128">
        <v>1000</v>
      </c>
      <c r="DP432" s="128">
        <v>1000</v>
      </c>
      <c r="DQ432" s="128">
        <v>1000</v>
      </c>
      <c r="DR432" s="128">
        <v>1000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6" t="s">
        <v>1693</v>
      </c>
      <c r="B433" s="6"/>
      <c r="C433" s="6" t="s">
        <v>817</v>
      </c>
      <c r="D433" s="6" t="s">
        <v>1496</v>
      </c>
      <c r="E433" s="6" t="s">
        <v>1694</v>
      </c>
      <c r="F433" s="6" t="s">
        <v>531</v>
      </c>
      <c r="G433" s="48" t="s">
        <v>531</v>
      </c>
      <c r="H433" s="48" t="s">
        <v>659</v>
      </c>
      <c r="I433" s="102">
        <v>0</v>
      </c>
      <c r="J433" s="102">
        <v>0</v>
      </c>
      <c r="K433" s="102">
        <v>0</v>
      </c>
      <c r="L433" s="102">
        <v>0</v>
      </c>
      <c r="M433" s="102">
        <v>0</v>
      </c>
      <c r="N433" s="102">
        <v>0</v>
      </c>
      <c r="O433" s="102">
        <v>0</v>
      </c>
      <c r="P433" s="94">
        <v>0</v>
      </c>
      <c r="Q433" s="102">
        <v>0</v>
      </c>
      <c r="R433" s="102">
        <v>0</v>
      </c>
      <c r="S433" s="102">
        <v>0</v>
      </c>
      <c r="T433" s="102">
        <v>0</v>
      </c>
      <c r="U433" s="102">
        <v>0</v>
      </c>
      <c r="V433" s="102">
        <v>0</v>
      </c>
      <c r="W433" s="102">
        <v>0</v>
      </c>
      <c r="X433" s="102">
        <v>0</v>
      </c>
      <c r="Y433" s="102">
        <v>0</v>
      </c>
      <c r="Z433" s="102">
        <v>0</v>
      </c>
      <c r="AA433" s="102">
        <v>0</v>
      </c>
      <c r="AB433" s="102">
        <v>0</v>
      </c>
      <c r="AC433" s="102">
        <v>0</v>
      </c>
      <c r="AD433" s="102">
        <v>0</v>
      </c>
      <c r="AE433" s="186">
        <v>0.08</v>
      </c>
      <c r="AF433" s="94">
        <v>0</v>
      </c>
      <c r="AG433" s="94">
        <v>1</v>
      </c>
      <c r="AH433" s="94">
        <v>1</v>
      </c>
      <c r="AI433" s="17">
        <v>1</v>
      </c>
      <c r="AJ433" s="17" t="s">
        <v>662</v>
      </c>
      <c r="AK433" s="17" t="s">
        <v>745</v>
      </c>
      <c r="AL433" s="17"/>
      <c r="AM433" s="61"/>
      <c r="AN433" s="61"/>
      <c r="AO433" s="61"/>
      <c r="AP433" s="61"/>
      <c r="AQ433" s="61"/>
      <c r="AR433" s="61"/>
      <c r="AS433" s="64"/>
      <c r="AT433" s="64"/>
      <c r="AU433" s="64"/>
      <c r="AV433" s="132"/>
      <c r="AW433" s="132"/>
      <c r="AX433" s="132"/>
      <c r="AY433" s="28" t="s">
        <v>662</v>
      </c>
      <c r="AZ433" s="28"/>
      <c r="BA433" s="28"/>
      <c r="BB433" s="28"/>
      <c r="BC433" s="28"/>
      <c r="BD433" s="28"/>
      <c r="BE433" s="28"/>
      <c r="BF433" s="28"/>
      <c r="BG433" s="28"/>
      <c r="BH433" s="106"/>
      <c r="BI433" s="106"/>
      <c r="BJ433" s="106"/>
      <c r="BK433" s="106"/>
      <c r="BL433" s="137"/>
      <c r="BM433" s="123"/>
      <c r="BN433" s="139"/>
      <c r="BO433" s="94"/>
      <c r="BP433" s="94"/>
      <c r="BQ433" s="94"/>
      <c r="BR433" s="94"/>
      <c r="BS433" s="94"/>
      <c r="BT433" s="94"/>
      <c r="BU433" s="28">
        <f t="shared" si="331"/>
        <v>0</v>
      </c>
      <c r="BV433" s="28"/>
      <c r="BW433" s="28"/>
      <c r="BX433" s="28"/>
      <c r="BY433" s="28"/>
      <c r="BZ433" s="28"/>
      <c r="CA433" s="28"/>
      <c r="CB433" s="99">
        <v>20</v>
      </c>
      <c r="CC433" s="99">
        <f t="shared" si="337"/>
        <v>35</v>
      </c>
      <c r="CD433" s="99">
        <v>50</v>
      </c>
      <c r="CE433" s="99">
        <f t="shared" si="338"/>
        <v>87.5</v>
      </c>
      <c r="CF433" s="99">
        <f t="shared" si="339"/>
        <v>125</v>
      </c>
      <c r="CG433" s="99">
        <f t="shared" si="340"/>
        <v>162.5</v>
      </c>
      <c r="CH433" s="99">
        <v>200</v>
      </c>
      <c r="CI433" s="175"/>
      <c r="CJ433" s="175"/>
      <c r="CK433" s="175"/>
      <c r="CL433" s="175"/>
      <c r="CM433" s="175"/>
      <c r="CN433" s="175"/>
      <c r="CO433" s="175"/>
      <c r="CP433" s="176"/>
      <c r="CQ433" s="176"/>
      <c r="CR433" s="176"/>
      <c r="CS433" s="176"/>
      <c r="CT433" s="176"/>
      <c r="CU433" s="176"/>
      <c r="CV433" s="176"/>
      <c r="CW433" s="167"/>
      <c r="CX433" s="168"/>
      <c r="CY433" s="168"/>
      <c r="CZ433" s="168"/>
      <c r="DA433" s="168"/>
      <c r="DB433" s="168"/>
      <c r="DC433" s="168"/>
      <c r="DD433" s="172"/>
      <c r="DE433" s="172"/>
      <c r="DF433" s="172"/>
      <c r="DG433" s="172"/>
      <c r="DH433" s="172"/>
      <c r="DI433" s="172"/>
      <c r="DJ433" s="172"/>
      <c r="DK433" s="80" t="s">
        <v>415</v>
      </c>
      <c r="DL433" s="129">
        <v>200</v>
      </c>
      <c r="DM433" s="129">
        <v>200</v>
      </c>
      <c r="DN433" s="129">
        <v>200</v>
      </c>
      <c r="DO433" s="129">
        <v>200</v>
      </c>
      <c r="DP433" s="129">
        <v>200</v>
      </c>
      <c r="DQ433" s="129">
        <v>200</v>
      </c>
      <c r="DR433" s="129">
        <v>200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5" t="s">
        <v>1695</v>
      </c>
      <c r="B434" s="5"/>
      <c r="C434" s="5" t="s">
        <v>817</v>
      </c>
      <c r="D434" s="5" t="s">
        <v>1496</v>
      </c>
      <c r="E434" s="5" t="s">
        <v>528</v>
      </c>
      <c r="F434" s="5" t="s">
        <v>532</v>
      </c>
      <c r="G434" s="47" t="s">
        <v>532</v>
      </c>
      <c r="H434" s="47" t="s">
        <v>659</v>
      </c>
      <c r="I434" s="101">
        <v>0</v>
      </c>
      <c r="J434" s="101">
        <v>0</v>
      </c>
      <c r="K434" s="101">
        <v>0</v>
      </c>
      <c r="L434" s="101">
        <v>0</v>
      </c>
      <c r="M434" s="101">
        <v>0</v>
      </c>
      <c r="N434" s="101">
        <v>0</v>
      </c>
      <c r="O434" s="101">
        <v>0</v>
      </c>
      <c r="P434" s="93">
        <v>0</v>
      </c>
      <c r="Q434" s="101">
        <v>0</v>
      </c>
      <c r="R434" s="101">
        <v>0</v>
      </c>
      <c r="S434" s="101">
        <v>0</v>
      </c>
      <c r="T434" s="101">
        <v>0</v>
      </c>
      <c r="U434" s="101">
        <v>0</v>
      </c>
      <c r="V434" s="101">
        <v>0</v>
      </c>
      <c r="W434" s="101">
        <v>0</v>
      </c>
      <c r="X434" s="101">
        <v>0</v>
      </c>
      <c r="Y434" s="101">
        <v>0</v>
      </c>
      <c r="Z434" s="101">
        <v>0</v>
      </c>
      <c r="AA434" s="101">
        <v>0</v>
      </c>
      <c r="AB434" s="101">
        <v>0</v>
      </c>
      <c r="AC434" s="101">
        <v>0</v>
      </c>
      <c r="AD434" s="101">
        <v>0</v>
      </c>
      <c r="AE434" s="186">
        <v>0.08</v>
      </c>
      <c r="AF434" s="93">
        <v>0</v>
      </c>
      <c r="AG434" s="93">
        <v>1</v>
      </c>
      <c r="AH434" s="93">
        <v>1</v>
      </c>
      <c r="AI434" s="16">
        <v>1</v>
      </c>
      <c r="AJ434" s="16" t="s">
        <v>662</v>
      </c>
      <c r="AK434" s="16" t="s">
        <v>745</v>
      </c>
      <c r="AL434" s="16"/>
      <c r="AM434" s="60"/>
      <c r="AN434" s="60"/>
      <c r="AO434" s="60"/>
      <c r="AP434" s="60"/>
      <c r="AQ434" s="60"/>
      <c r="AR434" s="60"/>
      <c r="AS434" s="63"/>
      <c r="AT434" s="63"/>
      <c r="AU434" s="63"/>
      <c r="AV434" s="131"/>
      <c r="AW434" s="131"/>
      <c r="AX434" s="131"/>
      <c r="AY434" s="27" t="s">
        <v>662</v>
      </c>
      <c r="AZ434" s="27"/>
      <c r="BA434" s="27"/>
      <c r="BB434" s="30"/>
      <c r="BC434" s="30"/>
      <c r="BD434" s="30"/>
      <c r="BE434" s="30"/>
      <c r="BF434" s="30"/>
      <c r="BG434" s="30"/>
      <c r="BH434" s="107"/>
      <c r="BI434" s="107"/>
      <c r="BJ434" s="107"/>
      <c r="BK434" s="107"/>
      <c r="BL434" s="136"/>
      <c r="BM434" s="122"/>
      <c r="BN434" s="138"/>
      <c r="BO434" s="93"/>
      <c r="BP434" s="93"/>
      <c r="BQ434" s="93"/>
      <c r="BR434" s="93"/>
      <c r="BS434" s="93"/>
      <c r="BT434" s="93"/>
      <c r="BU434" s="27">
        <f t="shared" si="331"/>
        <v>0</v>
      </c>
      <c r="BV434" s="27"/>
      <c r="BW434" s="27"/>
      <c r="BX434" s="27"/>
      <c r="BY434" s="27"/>
      <c r="BZ434" s="27"/>
      <c r="CA434" s="27"/>
      <c r="CB434" s="97">
        <v>500</v>
      </c>
      <c r="CC434" s="97">
        <v>500</v>
      </c>
      <c r="CD434" s="97">
        <v>500</v>
      </c>
      <c r="CE434" s="97">
        <v>500</v>
      </c>
      <c r="CF434" s="97">
        <v>500</v>
      </c>
      <c r="CG434" s="97">
        <v>500</v>
      </c>
      <c r="CH434" s="97">
        <v>500</v>
      </c>
      <c r="CI434" s="173"/>
      <c r="CJ434" s="173"/>
      <c r="CK434" s="173"/>
      <c r="CL434" s="173"/>
      <c r="CM434" s="173"/>
      <c r="CN434" s="173"/>
      <c r="CO434" s="173"/>
      <c r="CP434" s="174"/>
      <c r="CQ434" s="174"/>
      <c r="CR434" s="174"/>
      <c r="CS434" s="174"/>
      <c r="CT434" s="174"/>
      <c r="CU434" s="174"/>
      <c r="CV434" s="174"/>
      <c r="CW434" s="165"/>
      <c r="CX434" s="166"/>
      <c r="CY434" s="166"/>
      <c r="CZ434" s="166"/>
      <c r="DA434" s="166"/>
      <c r="DB434" s="166"/>
      <c r="DC434" s="166"/>
      <c r="DD434" s="171"/>
      <c r="DE434" s="171"/>
      <c r="DF434" s="171"/>
      <c r="DG434" s="171"/>
      <c r="DH434" s="171"/>
      <c r="DI434" s="171"/>
      <c r="DJ434" s="171"/>
      <c r="DK434" s="79" t="s">
        <v>415</v>
      </c>
      <c r="DL434" s="128">
        <v>500</v>
      </c>
      <c r="DM434" s="128">
        <v>500</v>
      </c>
      <c r="DN434" s="128">
        <v>500</v>
      </c>
      <c r="DO434" s="128">
        <v>500</v>
      </c>
      <c r="DP434" s="128">
        <v>500</v>
      </c>
      <c r="DQ434" s="128">
        <v>500</v>
      </c>
      <c r="DR434" s="128">
        <v>500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6" t="s">
        <v>1696</v>
      </c>
      <c r="B435" s="6"/>
      <c r="C435" s="6" t="s">
        <v>817</v>
      </c>
      <c r="D435" s="6" t="s">
        <v>419</v>
      </c>
      <c r="E435" s="6" t="s">
        <v>1697</v>
      </c>
      <c r="F435" s="6" t="s">
        <v>422</v>
      </c>
      <c r="G435" s="48" t="s">
        <v>1698</v>
      </c>
      <c r="H435" s="48" t="s">
        <v>423</v>
      </c>
      <c r="I435" s="102">
        <v>0</v>
      </c>
      <c r="J435" s="102">
        <v>0</v>
      </c>
      <c r="K435" s="102">
        <v>0</v>
      </c>
      <c r="L435" s="102">
        <v>0</v>
      </c>
      <c r="M435" s="102">
        <v>0</v>
      </c>
      <c r="N435" s="102">
        <v>0</v>
      </c>
      <c r="O435" s="102">
        <v>0</v>
      </c>
      <c r="P435" s="94">
        <v>0</v>
      </c>
      <c r="Q435" s="102">
        <v>0</v>
      </c>
      <c r="R435" s="102">
        <v>0</v>
      </c>
      <c r="S435" s="102">
        <v>0</v>
      </c>
      <c r="T435" s="102">
        <v>0</v>
      </c>
      <c r="U435" s="102">
        <v>0</v>
      </c>
      <c r="V435" s="102">
        <v>0</v>
      </c>
      <c r="W435" s="102">
        <v>0</v>
      </c>
      <c r="X435" s="102">
        <v>383.25604951897697</v>
      </c>
      <c r="Y435" s="102">
        <v>383.25604951897697</v>
      </c>
      <c r="Z435" s="102">
        <v>383.25604951897697</v>
      </c>
      <c r="AA435" s="102">
        <v>383.25604951897697</v>
      </c>
      <c r="AB435" s="102">
        <v>383.25604951897697</v>
      </c>
      <c r="AC435" s="102">
        <v>383.25604951897697</v>
      </c>
      <c r="AD435" s="102">
        <v>383.25604951897697</v>
      </c>
      <c r="AE435" s="186">
        <v>0.08</v>
      </c>
      <c r="AF435" s="94">
        <v>0</v>
      </c>
      <c r="AG435" s="94">
        <v>1</v>
      </c>
      <c r="AH435" s="94">
        <v>1</v>
      </c>
      <c r="AI435" s="17">
        <v>1</v>
      </c>
      <c r="AJ435" s="17" t="s">
        <v>662</v>
      </c>
      <c r="AK435" s="17" t="s">
        <v>745</v>
      </c>
      <c r="AL435" s="17"/>
      <c r="AM435" s="61"/>
      <c r="AN435" s="61"/>
      <c r="AO435" s="61"/>
      <c r="AP435" s="61"/>
      <c r="AQ435" s="61"/>
      <c r="AR435" s="61"/>
      <c r="AS435" s="64"/>
      <c r="AT435" s="64"/>
      <c r="AU435" s="64"/>
      <c r="AV435" s="132"/>
      <c r="AW435" s="132"/>
      <c r="AX435" s="132"/>
      <c r="AY435" s="28" t="s">
        <v>662</v>
      </c>
      <c r="AZ435" s="28"/>
      <c r="BA435" s="28"/>
      <c r="BB435" s="28"/>
      <c r="BC435" s="28"/>
      <c r="BD435" s="28"/>
      <c r="BE435" s="28"/>
      <c r="BF435" s="28"/>
      <c r="BG435" s="28"/>
      <c r="BH435" s="106"/>
      <c r="BI435" s="106"/>
      <c r="BJ435" s="106"/>
      <c r="BK435" s="106"/>
      <c r="BL435" s="137"/>
      <c r="BM435" s="123"/>
      <c r="BN435" s="139"/>
      <c r="BO435" s="94"/>
      <c r="BP435" s="94"/>
      <c r="BQ435" s="94"/>
      <c r="BR435" s="94"/>
      <c r="BS435" s="94"/>
      <c r="BT435" s="94"/>
      <c r="BU435" s="28">
        <f t="shared" si="331"/>
        <v>0</v>
      </c>
      <c r="BV435" s="28"/>
      <c r="BW435" s="28"/>
      <c r="BX435" s="28"/>
      <c r="BY435" s="28"/>
      <c r="BZ435" s="28"/>
      <c r="CA435" s="28"/>
      <c r="CB435" s="185">
        <v>500</v>
      </c>
      <c r="CC435" s="185">
        <v>500</v>
      </c>
      <c r="CD435" s="185">
        <v>500</v>
      </c>
      <c r="CE435" s="185">
        <v>500</v>
      </c>
      <c r="CF435" s="185">
        <v>500</v>
      </c>
      <c r="CG435" s="185">
        <v>500</v>
      </c>
      <c r="CH435" s="185">
        <v>500</v>
      </c>
      <c r="CI435" s="175"/>
      <c r="CJ435" s="175"/>
      <c r="CK435" s="175"/>
      <c r="CL435" s="175"/>
      <c r="CM435" s="175"/>
      <c r="CN435" s="175"/>
      <c r="CO435" s="175"/>
      <c r="CP435" s="176"/>
      <c r="CQ435" s="176"/>
      <c r="CR435" s="176"/>
      <c r="CS435" s="176"/>
      <c r="CT435" s="176"/>
      <c r="CU435" s="176"/>
      <c r="CV435" s="176"/>
      <c r="CW435" s="167"/>
      <c r="CX435" s="168"/>
      <c r="CY435" s="168"/>
      <c r="CZ435" s="168"/>
      <c r="DA435" s="168"/>
      <c r="DB435" s="168"/>
      <c r="DC435" s="168"/>
      <c r="DD435" s="172"/>
      <c r="DE435" s="172"/>
      <c r="DF435" s="172"/>
      <c r="DG435" s="172"/>
      <c r="DH435" s="172"/>
      <c r="DI435" s="172"/>
      <c r="DJ435" s="172"/>
      <c r="DK435" s="80" t="s">
        <v>415</v>
      </c>
      <c r="DL435" s="129">
        <v>500</v>
      </c>
      <c r="DM435" s="129">
        <v>500</v>
      </c>
      <c r="DN435" s="129">
        <v>500</v>
      </c>
      <c r="DO435" s="129">
        <v>500</v>
      </c>
      <c r="DP435" s="129">
        <v>500</v>
      </c>
      <c r="DQ435" s="129">
        <v>500</v>
      </c>
      <c r="DR435" s="129">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5" t="s">
        <v>1699</v>
      </c>
      <c r="B436" s="5"/>
      <c r="C436" s="5" t="s">
        <v>817</v>
      </c>
      <c r="D436" s="5" t="s">
        <v>419</v>
      </c>
      <c r="E436" s="5" t="s">
        <v>1697</v>
      </c>
      <c r="F436" s="5" t="s">
        <v>424</v>
      </c>
      <c r="G436" s="47" t="s">
        <v>1700</v>
      </c>
      <c r="H436" s="47" t="s">
        <v>1701</v>
      </c>
      <c r="I436" s="101">
        <v>0</v>
      </c>
      <c r="J436" s="101">
        <v>0</v>
      </c>
      <c r="K436" s="101">
        <v>0</v>
      </c>
      <c r="L436" s="101">
        <v>0</v>
      </c>
      <c r="M436" s="101">
        <v>0</v>
      </c>
      <c r="N436" s="101">
        <v>0</v>
      </c>
      <c r="O436" s="101">
        <v>0</v>
      </c>
      <c r="P436" s="93">
        <v>0</v>
      </c>
      <c r="Q436" s="101">
        <v>0</v>
      </c>
      <c r="R436" s="101">
        <v>0</v>
      </c>
      <c r="S436" s="101">
        <v>0</v>
      </c>
      <c r="T436" s="101">
        <v>0</v>
      </c>
      <c r="U436" s="101">
        <v>0</v>
      </c>
      <c r="V436" s="101">
        <v>0</v>
      </c>
      <c r="W436" s="101">
        <v>0</v>
      </c>
      <c r="X436" s="101">
        <v>386.34338991787985</v>
      </c>
      <c r="Y436" s="101">
        <v>386.34338991787985</v>
      </c>
      <c r="Z436" s="101">
        <v>386.34338991787985</v>
      </c>
      <c r="AA436" s="101">
        <v>386.34338991787985</v>
      </c>
      <c r="AB436" s="101">
        <v>386.34338991787985</v>
      </c>
      <c r="AC436" s="101">
        <v>386.34338991787985</v>
      </c>
      <c r="AD436" s="101">
        <v>386.34338991787985</v>
      </c>
      <c r="AE436" s="186">
        <v>0.08</v>
      </c>
      <c r="AF436" s="93">
        <v>0</v>
      </c>
      <c r="AG436" s="93">
        <v>1</v>
      </c>
      <c r="AH436" s="93">
        <v>1</v>
      </c>
      <c r="AI436" s="16">
        <v>1</v>
      </c>
      <c r="AJ436" s="16" t="s">
        <v>662</v>
      </c>
      <c r="AK436" s="16" t="s">
        <v>745</v>
      </c>
      <c r="AL436" s="16"/>
      <c r="AM436" s="60"/>
      <c r="AN436" s="60"/>
      <c r="AO436" s="60"/>
      <c r="AP436" s="60"/>
      <c r="AQ436" s="60"/>
      <c r="AR436" s="60"/>
      <c r="AS436" s="63"/>
      <c r="AT436" s="63"/>
      <c r="AU436" s="63"/>
      <c r="AV436" s="131"/>
      <c r="AW436" s="131"/>
      <c r="AX436" s="131"/>
      <c r="AY436" s="27" t="s">
        <v>662</v>
      </c>
      <c r="AZ436" s="27"/>
      <c r="BA436" s="27"/>
      <c r="BB436" s="30"/>
      <c r="BC436" s="30"/>
      <c r="BD436" s="30"/>
      <c r="BE436" s="30"/>
      <c r="BF436" s="30"/>
      <c r="BG436" s="30"/>
      <c r="BH436" s="107"/>
      <c r="BI436" s="107"/>
      <c r="BJ436" s="107"/>
      <c r="BK436" s="107"/>
      <c r="BL436" s="136"/>
      <c r="BM436" s="122"/>
      <c r="BN436" s="138"/>
      <c r="BO436" s="93"/>
      <c r="BP436" s="93"/>
      <c r="BQ436" s="93"/>
      <c r="BR436" s="93"/>
      <c r="BS436" s="93"/>
      <c r="BT436" s="93"/>
      <c r="BU436" s="27">
        <f t="shared" si="331"/>
        <v>0</v>
      </c>
      <c r="BV436" s="27"/>
      <c r="BW436" s="27"/>
      <c r="BX436" s="27"/>
      <c r="BY436" s="27"/>
      <c r="BZ436" s="27"/>
      <c r="CA436" s="27"/>
      <c r="CB436" s="185">
        <v>500</v>
      </c>
      <c r="CC436" s="185">
        <v>500</v>
      </c>
      <c r="CD436" s="185">
        <v>500</v>
      </c>
      <c r="CE436" s="185">
        <v>500</v>
      </c>
      <c r="CF436" s="185">
        <v>500</v>
      </c>
      <c r="CG436" s="185">
        <v>500</v>
      </c>
      <c r="CH436" s="185">
        <v>500</v>
      </c>
      <c r="CI436" s="173"/>
      <c r="CJ436" s="173"/>
      <c r="CK436" s="173"/>
      <c r="CL436" s="173"/>
      <c r="CM436" s="173"/>
      <c r="CN436" s="173"/>
      <c r="CO436" s="173"/>
      <c r="CP436" s="174"/>
      <c r="CQ436" s="174"/>
      <c r="CR436" s="174"/>
      <c r="CS436" s="174"/>
      <c r="CT436" s="174"/>
      <c r="CU436" s="174"/>
      <c r="CV436" s="174"/>
      <c r="CW436" s="165"/>
      <c r="CX436" s="166"/>
      <c r="CY436" s="166"/>
      <c r="CZ436" s="166"/>
      <c r="DA436" s="166"/>
      <c r="DB436" s="166"/>
      <c r="DC436" s="166"/>
      <c r="DD436" s="171"/>
      <c r="DE436" s="171"/>
      <c r="DF436" s="171"/>
      <c r="DG436" s="171"/>
      <c r="DH436" s="171"/>
      <c r="DI436" s="171"/>
      <c r="DJ436" s="171"/>
      <c r="DK436" s="79" t="s">
        <v>415</v>
      </c>
      <c r="DL436" s="128">
        <v>500</v>
      </c>
      <c r="DM436" s="128">
        <v>500</v>
      </c>
      <c r="DN436" s="128">
        <v>500</v>
      </c>
      <c r="DO436" s="128">
        <v>500</v>
      </c>
      <c r="DP436" s="128">
        <v>500</v>
      </c>
      <c r="DQ436" s="128">
        <v>500</v>
      </c>
      <c r="DR436" s="128">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1702</v>
      </c>
      <c r="B437" s="5"/>
      <c r="C437" s="5" t="s">
        <v>817</v>
      </c>
      <c r="D437" s="5" t="s">
        <v>419</v>
      </c>
      <c r="E437" s="5" t="s">
        <v>1697</v>
      </c>
      <c r="F437" s="5" t="s">
        <v>416</v>
      </c>
      <c r="G437" s="47" t="s">
        <v>1703</v>
      </c>
      <c r="H437" s="47" t="s">
        <v>1704</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109.03597565840363</v>
      </c>
      <c r="Y437" s="101">
        <v>109.03597565840363</v>
      </c>
      <c r="Z437" s="101">
        <v>109.03597565840363</v>
      </c>
      <c r="AA437" s="101">
        <v>109.03597565840363</v>
      </c>
      <c r="AB437" s="101">
        <v>109.03597565840363</v>
      </c>
      <c r="AC437" s="101">
        <v>109.03597565840363</v>
      </c>
      <c r="AD437" s="101">
        <v>109.03597565840363</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9"/>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1"/>
        <v>0</v>
      </c>
      <c r="BV437" s="27"/>
      <c r="BW437" s="27"/>
      <c r="BX437" s="27"/>
      <c r="BY437" s="27"/>
      <c r="BZ437" s="27"/>
      <c r="CA437" s="27"/>
      <c r="CB437" s="185">
        <v>50</v>
      </c>
      <c r="CC437" s="185">
        <v>50</v>
      </c>
      <c r="CD437" s="185">
        <v>50</v>
      </c>
      <c r="CE437" s="185">
        <v>50</v>
      </c>
      <c r="CF437" s="185">
        <v>50</v>
      </c>
      <c r="CG437" s="185">
        <v>50</v>
      </c>
      <c r="CH437" s="185">
        <v>50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1705</v>
      </c>
      <c r="B438" s="5"/>
      <c r="C438" s="5" t="s">
        <v>817</v>
      </c>
      <c r="D438" s="5" t="s">
        <v>419</v>
      </c>
      <c r="E438" s="5" t="s">
        <v>1697</v>
      </c>
      <c r="F438" s="5" t="s">
        <v>420</v>
      </c>
      <c r="G438" s="47" t="s">
        <v>1706</v>
      </c>
      <c r="H438" s="47" t="s">
        <v>1707</v>
      </c>
      <c r="I438" s="101">
        <v>0</v>
      </c>
      <c r="J438" s="101">
        <v>0</v>
      </c>
      <c r="K438" s="101">
        <v>0</v>
      </c>
      <c r="L438" s="101">
        <v>0</v>
      </c>
      <c r="M438" s="101">
        <v>0</v>
      </c>
      <c r="N438" s="101">
        <v>0</v>
      </c>
      <c r="O438" s="101">
        <v>0</v>
      </c>
      <c r="P438" s="93"/>
      <c r="Q438" s="101">
        <v>0</v>
      </c>
      <c r="R438" s="101">
        <v>0</v>
      </c>
      <c r="S438" s="101">
        <v>0</v>
      </c>
      <c r="T438" s="101">
        <v>0</v>
      </c>
      <c r="U438" s="101">
        <v>0</v>
      </c>
      <c r="V438" s="101">
        <v>0</v>
      </c>
      <c r="W438" s="101">
        <v>0</v>
      </c>
      <c r="X438" s="101">
        <v>25.897931216349235</v>
      </c>
      <c r="Y438" s="101">
        <v>25.897931216349235</v>
      </c>
      <c r="Z438" s="101">
        <v>25.897931216349235</v>
      </c>
      <c r="AA438" s="101">
        <v>25.897931216349235</v>
      </c>
      <c r="AB438" s="101">
        <v>25.897931216349235</v>
      </c>
      <c r="AC438" s="101">
        <v>25.897931216349235</v>
      </c>
      <c r="AD438" s="101">
        <v>25.897931216349235</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1"/>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2038</v>
      </c>
      <c r="B439" s="5"/>
      <c r="C439" s="5" t="s">
        <v>817</v>
      </c>
      <c r="D439" s="5" t="s">
        <v>419</v>
      </c>
      <c r="E439" s="5" t="s">
        <v>2039</v>
      </c>
      <c r="F439" s="5" t="s">
        <v>2034</v>
      </c>
      <c r="G439" s="47" t="s">
        <v>2034</v>
      </c>
      <c r="H439" s="47" t="s">
        <v>2040</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f>X440*0.1</f>
        <v>6.4098324994561686</v>
      </c>
      <c r="Y439" s="101">
        <f t="shared" ref="Y439:AD439" si="341">Y440*0.1</f>
        <v>6.4098324994561686</v>
      </c>
      <c r="Z439" s="101">
        <f t="shared" si="341"/>
        <v>6.4098324994561686</v>
      </c>
      <c r="AA439" s="101">
        <f t="shared" si="341"/>
        <v>6.4098324994561686</v>
      </c>
      <c r="AB439" s="101">
        <f t="shared" si="341"/>
        <v>6.4098324994561686</v>
      </c>
      <c r="AC439" s="101">
        <f t="shared" si="341"/>
        <v>6.4098324994561686</v>
      </c>
      <c r="AD439" s="101">
        <f t="shared" si="341"/>
        <v>6.4098324994561686</v>
      </c>
      <c r="AE439" s="186">
        <v>0.08</v>
      </c>
      <c r="AF439" s="93"/>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1"/>
        <v>0</v>
      </c>
      <c r="BV439" s="27"/>
      <c r="BW439" s="27"/>
      <c r="BX439" s="27"/>
      <c r="BY439" s="27"/>
      <c r="BZ439" s="27"/>
      <c r="CA439" s="27"/>
      <c r="CB439" s="185">
        <v>10</v>
      </c>
      <c r="CC439" s="185">
        <v>10</v>
      </c>
      <c r="CD439" s="185">
        <v>10</v>
      </c>
      <c r="CE439" s="185">
        <v>10</v>
      </c>
      <c r="CF439" s="185">
        <v>10</v>
      </c>
      <c r="CG439" s="185">
        <v>10</v>
      </c>
      <c r="CH439" s="185">
        <v>10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c r="DL439" s="128"/>
      <c r="DM439" s="128"/>
      <c r="DN439" s="128"/>
      <c r="DO439" s="128"/>
      <c r="DP439" s="128"/>
      <c r="DQ439" s="128"/>
      <c r="DR439" s="128"/>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2041</v>
      </c>
      <c r="B440" s="5"/>
      <c r="C440" s="5" t="s">
        <v>655</v>
      </c>
      <c r="D440" s="5" t="s">
        <v>419</v>
      </c>
      <c r="E440" s="5" t="s">
        <v>1697</v>
      </c>
      <c r="F440" s="5" t="s">
        <v>2020</v>
      </c>
      <c r="G440" s="47" t="s">
        <v>2042</v>
      </c>
      <c r="H440" s="47" t="s">
        <v>2040</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[1]Commodity_prices_MEUR2019!C$49</f>
        <v>64.098324994561679</v>
      </c>
      <c r="Y440" s="101">
        <f>[1]Commodity_prices_MEUR2019!D$49</f>
        <v>64.098324994561679</v>
      </c>
      <c r="Z440" s="101">
        <f>[1]Commodity_prices_MEUR2019!E$49</f>
        <v>64.098324994561679</v>
      </c>
      <c r="AA440" s="101">
        <f>[1]Commodity_prices_MEUR2019!F$49</f>
        <v>64.098324994561679</v>
      </c>
      <c r="AB440" s="101">
        <f>[1]Commodity_prices_MEUR2019!G$49</f>
        <v>64.098324994561679</v>
      </c>
      <c r="AC440" s="101">
        <f>[1]Commodity_prices_MEUR2019!H$49</f>
        <v>64.098324994561679</v>
      </c>
      <c r="AD440" s="101">
        <f>[1]Commodity_prices_MEUR2019!I$49</f>
        <v>64.098324994561679</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1"/>
        <v>0</v>
      </c>
      <c r="BV440" s="27"/>
      <c r="BW440" s="27"/>
      <c r="BX440" s="27"/>
      <c r="BY440" s="27"/>
      <c r="BZ440" s="27"/>
      <c r="CA440" s="27"/>
      <c r="CB440" s="185">
        <v>0.55100000000000005</v>
      </c>
      <c r="CC440" s="185">
        <v>0.55100000000000005</v>
      </c>
      <c r="CD440" s="185">
        <v>0.55100000000000005</v>
      </c>
      <c r="CE440" s="185">
        <v>0.55100000000000005</v>
      </c>
      <c r="CF440" s="185">
        <v>0.55100000000000005</v>
      </c>
      <c r="CG440" s="185">
        <v>0.55100000000000005</v>
      </c>
      <c r="CH440" s="185">
        <v>0.55100000000000005</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817</v>
      </c>
      <c r="D441" s="5" t="s">
        <v>419</v>
      </c>
      <c r="E441" s="5" t="s">
        <v>2035</v>
      </c>
      <c r="F441" s="5" t="s">
        <v>2035</v>
      </c>
      <c r="G441" s="47" t="s">
        <v>2044</v>
      </c>
      <c r="H441" s="47" t="s">
        <v>2045</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v>0</v>
      </c>
      <c r="Y441" s="101">
        <v>0</v>
      </c>
      <c r="Z441" s="101">
        <v>0</v>
      </c>
      <c r="AA441" s="101">
        <v>0</v>
      </c>
      <c r="AB441" s="101">
        <v>0</v>
      </c>
      <c r="AC441" s="101">
        <v>0</v>
      </c>
      <c r="AD441" s="101">
        <v>0</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v>0</v>
      </c>
      <c r="BV441" s="27"/>
      <c r="BW441" s="27"/>
      <c r="BX441" s="27"/>
      <c r="BY441" s="27"/>
      <c r="BZ441" s="27"/>
      <c r="CA441" s="27"/>
      <c r="CB441" s="185">
        <v>5</v>
      </c>
      <c r="CC441" s="185">
        <v>5</v>
      </c>
      <c r="CD441" s="185">
        <v>5</v>
      </c>
      <c r="CE441" s="185">
        <v>5</v>
      </c>
      <c r="CF441" s="185">
        <v>5</v>
      </c>
      <c r="CG441" s="185">
        <v>5</v>
      </c>
      <c r="CH441" s="185">
        <v>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2046</v>
      </c>
      <c r="B442" s="5" t="s">
        <v>740</v>
      </c>
      <c r="C442" s="5" t="s">
        <v>655</v>
      </c>
      <c r="D442" s="5" t="s">
        <v>741</v>
      </c>
      <c r="E442" s="5" t="s">
        <v>2039</v>
      </c>
      <c r="F442" s="5" t="s">
        <v>2020</v>
      </c>
      <c r="G442" s="47" t="s">
        <v>2047</v>
      </c>
      <c r="H442" s="47" t="s">
        <v>2040</v>
      </c>
      <c r="I442" s="101">
        <f>471437/10^3/2.5*0.6732*106.6/126.8</f>
        <v>106.72488960075711</v>
      </c>
      <c r="J442" s="101">
        <f>I442</f>
        <v>106.72488960075711</v>
      </c>
      <c r="K442" s="101">
        <f t="shared" ref="K442:O442" si="342">J442</f>
        <v>106.72488960075711</v>
      </c>
      <c r="L442" s="101">
        <f t="shared" si="342"/>
        <v>106.72488960075711</v>
      </c>
      <c r="M442" s="101">
        <f t="shared" si="342"/>
        <v>106.72488960075711</v>
      </c>
      <c r="N442" s="101">
        <f t="shared" si="342"/>
        <v>106.72488960075711</v>
      </c>
      <c r="O442" s="101">
        <f t="shared" si="342"/>
        <v>106.72488960075711</v>
      </c>
      <c r="P442" s="93"/>
      <c r="Q442" s="101">
        <f>I442*0.05</f>
        <v>5.3362444800378555</v>
      </c>
      <c r="R442" s="101">
        <f t="shared" ref="R442:W442" si="343">J442*0.05</f>
        <v>5.3362444800378555</v>
      </c>
      <c r="S442" s="101">
        <f t="shared" si="343"/>
        <v>5.3362444800378555</v>
      </c>
      <c r="T442" s="101">
        <f t="shared" si="343"/>
        <v>5.3362444800378555</v>
      </c>
      <c r="U442" s="101">
        <f t="shared" si="343"/>
        <v>5.3362444800378555</v>
      </c>
      <c r="V442" s="101">
        <f t="shared" si="343"/>
        <v>5.3362444800378555</v>
      </c>
      <c r="W442" s="101">
        <f t="shared" si="343"/>
        <v>5.3362444800378555</v>
      </c>
      <c r="X442" s="101">
        <v>0</v>
      </c>
      <c r="Y442" s="101">
        <v>0</v>
      </c>
      <c r="Z442" s="101">
        <v>0</v>
      </c>
      <c r="AA442" s="101">
        <v>0</v>
      </c>
      <c r="AB442" s="101">
        <v>0</v>
      </c>
      <c r="AC442" s="101">
        <v>0</v>
      </c>
      <c r="AD442" s="101">
        <v>0</v>
      </c>
      <c r="AE442" s="186">
        <v>0.08</v>
      </c>
      <c r="AF442" s="93"/>
      <c r="AG442" s="93">
        <v>30</v>
      </c>
      <c r="AH442" s="93">
        <v>30</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7</v>
      </c>
      <c r="CC442" s="185">
        <f>CB442</f>
        <v>7</v>
      </c>
      <c r="CD442" s="185">
        <f t="shared" ref="CD442:CH442" si="344">CC442</f>
        <v>7</v>
      </c>
      <c r="CE442" s="185">
        <f t="shared" si="344"/>
        <v>7</v>
      </c>
      <c r="CF442" s="185">
        <f t="shared" si="344"/>
        <v>7</v>
      </c>
      <c r="CG442" s="185">
        <f t="shared" si="344"/>
        <v>7</v>
      </c>
      <c r="CH442" s="185">
        <f t="shared" si="344"/>
        <v>7</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s="211" customFormat="1" x14ac:dyDescent="0.35">
      <c r="A443" s="211" t="s">
        <v>2048</v>
      </c>
      <c r="C443" s="6" t="s">
        <v>817</v>
      </c>
      <c r="D443" s="211" t="s">
        <v>419</v>
      </c>
      <c r="E443" s="211" t="s">
        <v>2049</v>
      </c>
      <c r="F443" s="211" t="s">
        <v>2022</v>
      </c>
      <c r="G443" s="356" t="s">
        <v>2050</v>
      </c>
      <c r="H443" s="356" t="s">
        <v>2051</v>
      </c>
      <c r="I443" s="211">
        <v>0</v>
      </c>
      <c r="J443" s="211">
        <v>0</v>
      </c>
      <c r="K443" s="211">
        <v>0</v>
      </c>
      <c r="L443" s="211">
        <v>0</v>
      </c>
      <c r="M443" s="211">
        <v>0</v>
      </c>
      <c r="N443" s="211">
        <v>0</v>
      </c>
      <c r="O443" s="211">
        <v>0</v>
      </c>
      <c r="Q443" s="211">
        <v>0</v>
      </c>
      <c r="R443" s="211">
        <v>0</v>
      </c>
      <c r="S443" s="211">
        <v>0</v>
      </c>
      <c r="T443" s="211">
        <v>0</v>
      </c>
      <c r="U443" s="211">
        <v>0</v>
      </c>
      <c r="V443" s="211">
        <v>0</v>
      </c>
      <c r="W443" s="211">
        <v>0</v>
      </c>
      <c r="X443" s="211">
        <f>[1]Commodity_prices_MEUR2019!C$42</f>
        <v>9.6087766700829214</v>
      </c>
      <c r="Y443" s="211">
        <f>[1]Commodity_prices_MEUR2019!D$42</f>
        <v>9.6087766700829214</v>
      </c>
      <c r="Z443" s="211">
        <f>[1]Commodity_prices_MEUR2019!E$42</f>
        <v>9.6087766700829214</v>
      </c>
      <c r="AA443" s="211">
        <f>[1]Commodity_prices_MEUR2019!F$42</f>
        <v>9.6087766700829214</v>
      </c>
      <c r="AB443" s="211">
        <f>[1]Commodity_prices_MEUR2019!G$42</f>
        <v>9.6087766700829214</v>
      </c>
      <c r="AC443" s="211">
        <f>[1]Commodity_prices_MEUR2019!H$42</f>
        <v>9.6087766700829214</v>
      </c>
      <c r="AD443" s="211">
        <f>[1]Commodity_prices_MEUR2019!I$42</f>
        <v>9.6087766700829214</v>
      </c>
      <c r="AE443" s="186">
        <v>0.08</v>
      </c>
      <c r="AG443" s="211">
        <v>1</v>
      </c>
      <c r="AH443" s="211">
        <v>1</v>
      </c>
      <c r="AI443" s="211">
        <v>1</v>
      </c>
      <c r="AJ443" s="211" t="s">
        <v>662</v>
      </c>
      <c r="AK443" s="211" t="s">
        <v>745</v>
      </c>
      <c r="AY443" s="211" t="s">
        <v>662</v>
      </c>
      <c r="BN443" s="211">
        <v>11</v>
      </c>
      <c r="BU443" s="211">
        <v>0</v>
      </c>
      <c r="CB443" s="211">
        <f>16.3-11.019</f>
        <v>5.2810000000000006</v>
      </c>
      <c r="CC443" s="211">
        <f t="shared" ref="CC443:CH443" si="345">16.3-11.019</f>
        <v>5.2810000000000006</v>
      </c>
      <c r="CD443" s="211">
        <f t="shared" si="345"/>
        <v>5.2810000000000006</v>
      </c>
      <c r="CE443" s="211">
        <f t="shared" si="345"/>
        <v>5.2810000000000006</v>
      </c>
      <c r="CF443" s="211">
        <f t="shared" si="345"/>
        <v>5.2810000000000006</v>
      </c>
      <c r="CG443" s="211">
        <f t="shared" si="345"/>
        <v>5.2810000000000006</v>
      </c>
      <c r="CH443" s="211">
        <f t="shared" si="345"/>
        <v>5.2810000000000006</v>
      </c>
      <c r="CW443" s="356"/>
      <c r="CX443" s="356"/>
      <c r="CY443" s="356"/>
      <c r="CZ443" s="356"/>
      <c r="DA443" s="356"/>
      <c r="DB443" s="356"/>
      <c r="DC443" s="356"/>
      <c r="DD443" s="356"/>
      <c r="DE443" s="356"/>
      <c r="DF443" s="356"/>
      <c r="DG443" s="356"/>
      <c r="DH443" s="356"/>
      <c r="DI443" s="356"/>
      <c r="DJ443" s="356"/>
      <c r="DL443" s="356"/>
      <c r="DM443" s="356"/>
      <c r="DN443" s="356"/>
      <c r="DO443" s="356"/>
      <c r="DP443" s="356"/>
      <c r="DQ443" s="356"/>
      <c r="DR443" s="356"/>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x14ac:dyDescent="0.35">
      <c r="A444" s="211" t="s">
        <v>2052</v>
      </c>
      <c r="B444" s="211"/>
      <c r="C444" s="5" t="s">
        <v>817</v>
      </c>
      <c r="D444" s="211" t="s">
        <v>419</v>
      </c>
      <c r="E444" s="211" t="s">
        <v>2049</v>
      </c>
      <c r="F444" s="211" t="s">
        <v>2030</v>
      </c>
      <c r="G444" s="356" t="s">
        <v>2053</v>
      </c>
      <c r="H444" s="356" t="s">
        <v>2054</v>
      </c>
      <c r="I444" s="211">
        <v>0</v>
      </c>
      <c r="J444" s="211">
        <v>0</v>
      </c>
      <c r="K444" s="211">
        <v>0</v>
      </c>
      <c r="L444" s="211">
        <v>0</v>
      </c>
      <c r="M444" s="211">
        <v>0</v>
      </c>
      <c r="N444" s="211">
        <v>0</v>
      </c>
      <c r="O444" s="211">
        <v>0</v>
      </c>
      <c r="P444" s="211"/>
      <c r="Q444" s="211">
        <v>0</v>
      </c>
      <c r="R444" s="211">
        <v>0</v>
      </c>
      <c r="S444" s="211">
        <v>0</v>
      </c>
      <c r="T444" s="211">
        <v>0</v>
      </c>
      <c r="U444" s="211">
        <v>0</v>
      </c>
      <c r="V444" s="211">
        <v>0</v>
      </c>
      <c r="W444" s="211">
        <v>0</v>
      </c>
      <c r="X444" s="211">
        <f>X443/2</f>
        <v>4.8043883350414607</v>
      </c>
      <c r="Y444" s="211">
        <f t="shared" ref="Y444:AD444" si="346">Y443/2</f>
        <v>4.8043883350414607</v>
      </c>
      <c r="Z444" s="211">
        <f t="shared" si="346"/>
        <v>4.8043883350414607</v>
      </c>
      <c r="AA444" s="211">
        <f t="shared" si="346"/>
        <v>4.8043883350414607</v>
      </c>
      <c r="AB444" s="211">
        <f t="shared" si="346"/>
        <v>4.8043883350414607</v>
      </c>
      <c r="AC444" s="211">
        <f t="shared" si="346"/>
        <v>4.8043883350414607</v>
      </c>
      <c r="AD444" s="211">
        <f t="shared" si="346"/>
        <v>4.8043883350414607</v>
      </c>
      <c r="AE444" s="186">
        <v>0.08</v>
      </c>
      <c r="AF444" s="211"/>
      <c r="AG444" s="211">
        <v>1</v>
      </c>
      <c r="AH444" s="211">
        <v>1</v>
      </c>
      <c r="AI444" s="211">
        <v>1</v>
      </c>
      <c r="AJ444" s="211" t="s">
        <v>662</v>
      </c>
      <c r="AK444" s="211" t="s">
        <v>745</v>
      </c>
      <c r="AL444" s="211"/>
      <c r="AM444" s="211"/>
      <c r="AN444" s="211"/>
      <c r="AO444" s="211"/>
      <c r="AP444" s="211"/>
      <c r="AQ444" s="211"/>
      <c r="AR444" s="211"/>
      <c r="AS444" s="211"/>
      <c r="AT444" s="211"/>
      <c r="AU444" s="211"/>
      <c r="AV444" s="211"/>
      <c r="AW444" s="211"/>
      <c r="AX444" s="211"/>
      <c r="AY444" s="211" t="s">
        <v>662</v>
      </c>
      <c r="AZ444" s="211"/>
      <c r="BA444" s="211"/>
      <c r="BB444" s="211"/>
      <c r="BC444" s="211"/>
      <c r="BD444" s="211"/>
      <c r="BE444" s="211"/>
      <c r="BF444" s="211"/>
      <c r="BG444" s="211"/>
      <c r="BH444" s="211"/>
      <c r="BI444" s="211"/>
      <c r="BJ444" s="211"/>
      <c r="BK444" s="211"/>
      <c r="BL444" s="211"/>
      <c r="BM444" s="211"/>
      <c r="BN444" s="211">
        <v>0</v>
      </c>
      <c r="BO444" s="211"/>
      <c r="BP444" s="211"/>
      <c r="BQ444" s="211"/>
      <c r="BR444" s="211"/>
      <c r="BS444" s="211"/>
      <c r="BT444" s="211"/>
      <c r="BU444" s="211">
        <v>0</v>
      </c>
      <c r="BV444" s="211"/>
      <c r="BW444" s="211"/>
      <c r="BX444" s="211"/>
      <c r="BY444" s="211"/>
      <c r="BZ444" s="211"/>
      <c r="CA444" s="211"/>
      <c r="CB444" s="211">
        <v>0.02</v>
      </c>
      <c r="CC444" s="211">
        <v>0.02</v>
      </c>
      <c r="CD444" s="211">
        <v>0.02</v>
      </c>
      <c r="CE444" s="211">
        <v>0.02</v>
      </c>
      <c r="CF444" s="211">
        <v>0.02</v>
      </c>
      <c r="CG444" s="211">
        <v>0.02</v>
      </c>
      <c r="CH444" s="211">
        <v>0.02</v>
      </c>
      <c r="CI444" s="211"/>
      <c r="CJ444" s="211"/>
      <c r="CK444" s="211"/>
      <c r="CL444" s="211"/>
      <c r="CM444" s="211"/>
      <c r="CN444" s="211"/>
      <c r="CO444" s="211"/>
      <c r="CP444" s="211"/>
      <c r="CQ444" s="211"/>
      <c r="CR444" s="211"/>
      <c r="CS444" s="211"/>
      <c r="CT444" s="211"/>
      <c r="CU444" s="211"/>
      <c r="CV444" s="211"/>
      <c r="CW444" s="356"/>
      <c r="CX444" s="356"/>
      <c r="CY444" s="356"/>
      <c r="CZ444" s="356"/>
      <c r="DA444" s="356"/>
      <c r="DB444" s="356"/>
      <c r="DC444" s="356"/>
      <c r="DD444" s="356"/>
      <c r="DE444" s="356"/>
      <c r="DF444" s="356"/>
      <c r="DG444" s="356"/>
      <c r="DH444" s="356"/>
      <c r="DI444" s="356"/>
      <c r="DJ444" s="356"/>
      <c r="DK444" s="211"/>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2055</v>
      </c>
      <c r="B445" s="211" t="s">
        <v>740</v>
      </c>
      <c r="C445" s="211" t="s">
        <v>655</v>
      </c>
      <c r="D445" s="211" t="s">
        <v>741</v>
      </c>
      <c r="E445" s="211" t="s">
        <v>2056</v>
      </c>
      <c r="F445" s="211" t="s">
        <v>2017</v>
      </c>
      <c r="G445" s="356" t="s">
        <v>2057</v>
      </c>
      <c r="H445" s="356" t="s">
        <v>2058</v>
      </c>
      <c r="I445" s="395">
        <f>(7.78*((30*2400*8760)/10^9)*(138/115)/78.8)</f>
        <v>7.4725912690355334E-2</v>
      </c>
      <c r="J445" s="395">
        <f t="shared" ref="J445:O445" si="347">(7.78*((30*2400*8760)/10^9)*(138/115)/78.8)</f>
        <v>7.4725912690355334E-2</v>
      </c>
      <c r="K445" s="395">
        <f t="shared" si="347"/>
        <v>7.4725912690355334E-2</v>
      </c>
      <c r="L445" s="395">
        <f t="shared" si="347"/>
        <v>7.4725912690355334E-2</v>
      </c>
      <c r="M445" s="395">
        <f t="shared" si="347"/>
        <v>7.4725912690355334E-2</v>
      </c>
      <c r="N445" s="395">
        <f t="shared" si="347"/>
        <v>7.4725912690355334E-2</v>
      </c>
      <c r="O445" s="395">
        <f t="shared" si="347"/>
        <v>7.4725912690355334E-2</v>
      </c>
      <c r="P445" s="211"/>
      <c r="Q445" s="211">
        <f>I445*0.05</f>
        <v>3.736295634517767E-3</v>
      </c>
      <c r="R445" s="211">
        <f t="shared" ref="R445:W447" si="348">J445*0.05</f>
        <v>3.736295634517767E-3</v>
      </c>
      <c r="S445" s="211">
        <f t="shared" si="348"/>
        <v>3.736295634517767E-3</v>
      </c>
      <c r="T445" s="211">
        <f t="shared" si="348"/>
        <v>3.736295634517767E-3</v>
      </c>
      <c r="U445" s="211">
        <f t="shared" si="348"/>
        <v>3.736295634517767E-3</v>
      </c>
      <c r="V445" s="211">
        <f t="shared" si="348"/>
        <v>3.736295634517767E-3</v>
      </c>
      <c r="W445" s="211">
        <f t="shared" si="348"/>
        <v>3.736295634517767E-3</v>
      </c>
      <c r="X445" s="211">
        <v>0</v>
      </c>
      <c r="Y445" s="211">
        <v>0</v>
      </c>
      <c r="Z445" s="211">
        <v>0</v>
      </c>
      <c r="AA445" s="211">
        <v>0</v>
      </c>
      <c r="AB445" s="211">
        <v>0</v>
      </c>
      <c r="AC445" s="211">
        <v>0</v>
      </c>
      <c r="AD445" s="211">
        <v>0</v>
      </c>
      <c r="AE445" s="186">
        <v>0.08</v>
      </c>
      <c r="AF445" s="211"/>
      <c r="AG445" s="211">
        <v>30</v>
      </c>
      <c r="AH445" s="211">
        <v>30</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31.2</v>
      </c>
      <c r="BO445" s="211"/>
      <c r="BP445" s="211"/>
      <c r="BQ445" s="211"/>
      <c r="BR445" s="211"/>
      <c r="BS445" s="211"/>
      <c r="BT445" s="211"/>
      <c r="BU445" s="211">
        <v>0</v>
      </c>
      <c r="BV445" s="211"/>
      <c r="BW445" s="211"/>
      <c r="BX445" s="211"/>
      <c r="BY445" s="211"/>
      <c r="BZ445" s="211"/>
      <c r="CA445" s="211"/>
      <c r="CB445" s="396">
        <v>35</v>
      </c>
      <c r="CC445" s="396">
        <v>35</v>
      </c>
      <c r="CD445" s="396">
        <v>35</v>
      </c>
      <c r="CE445" s="396">
        <v>35</v>
      </c>
      <c r="CF445" s="396">
        <v>35</v>
      </c>
      <c r="CG445" s="396">
        <v>35</v>
      </c>
      <c r="CH445" s="396">
        <v>35</v>
      </c>
      <c r="CI445" s="211"/>
      <c r="CJ445" s="211"/>
      <c r="CK445" s="211"/>
      <c r="CL445" s="211"/>
      <c r="CM445" s="211"/>
      <c r="CN445" s="211"/>
      <c r="CO445" s="211"/>
      <c r="CP445" s="396"/>
      <c r="CQ445" s="396"/>
      <c r="CR445" s="396"/>
      <c r="CS445" s="396"/>
      <c r="CT445" s="396"/>
      <c r="CU445" s="396"/>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2059</v>
      </c>
      <c r="B446" s="211" t="s">
        <v>740</v>
      </c>
      <c r="C446" s="211" t="s">
        <v>655</v>
      </c>
      <c r="D446" s="211" t="s">
        <v>741</v>
      </c>
      <c r="E446" s="211" t="s">
        <v>2056</v>
      </c>
      <c r="F446" s="211" t="s">
        <v>2017</v>
      </c>
      <c r="G446" s="356" t="s">
        <v>2060</v>
      </c>
      <c r="H446" s="356" t="s">
        <v>2058</v>
      </c>
      <c r="I446" s="211">
        <f>I445*2</f>
        <v>0.14945182538071067</v>
      </c>
      <c r="J446" s="211">
        <f t="shared" ref="J446:O446" si="349">J445*2</f>
        <v>0.14945182538071067</v>
      </c>
      <c r="K446" s="211">
        <f t="shared" si="349"/>
        <v>0.14945182538071067</v>
      </c>
      <c r="L446" s="211">
        <f t="shared" si="349"/>
        <v>0.14945182538071067</v>
      </c>
      <c r="M446" s="211">
        <f t="shared" si="349"/>
        <v>0.14945182538071067</v>
      </c>
      <c r="N446" s="211">
        <f t="shared" si="349"/>
        <v>0.14945182538071067</v>
      </c>
      <c r="O446" s="211">
        <f t="shared" si="349"/>
        <v>0.14945182538071067</v>
      </c>
      <c r="P446" s="211"/>
      <c r="Q446" s="211">
        <f>I446*0.05</f>
        <v>7.4725912690355341E-3</v>
      </c>
      <c r="R446" s="211">
        <f t="shared" si="348"/>
        <v>7.4725912690355341E-3</v>
      </c>
      <c r="S446" s="211">
        <f t="shared" si="348"/>
        <v>7.4725912690355341E-3</v>
      </c>
      <c r="T446" s="211">
        <f t="shared" si="348"/>
        <v>7.4725912690355341E-3</v>
      </c>
      <c r="U446" s="211">
        <f t="shared" si="348"/>
        <v>7.4725912690355341E-3</v>
      </c>
      <c r="V446" s="211">
        <f t="shared" si="348"/>
        <v>7.4725912690355341E-3</v>
      </c>
      <c r="W446" s="211">
        <f t="shared" si="348"/>
        <v>7.4725912690355341E-3</v>
      </c>
      <c r="X446" s="211">
        <v>0</v>
      </c>
      <c r="Y446" s="211">
        <v>0</v>
      </c>
      <c r="Z446" s="211">
        <v>0</v>
      </c>
      <c r="AA446" s="211">
        <v>0</v>
      </c>
      <c r="AB446" s="211">
        <v>0</v>
      </c>
      <c r="AC446" s="211">
        <v>0</v>
      </c>
      <c r="AD446" s="211">
        <v>0</v>
      </c>
      <c r="AE446" s="186">
        <v>0.08</v>
      </c>
      <c r="AF446" s="211"/>
      <c r="AG446" s="211">
        <v>1</v>
      </c>
      <c r="AH446" s="211">
        <v>1</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c r="BO446" s="211"/>
      <c r="BP446" s="211"/>
      <c r="BQ446" s="211"/>
      <c r="BR446" s="211"/>
      <c r="BS446" s="211"/>
      <c r="BT446" s="211"/>
      <c r="BU446" s="211">
        <v>0</v>
      </c>
      <c r="BV446" s="211"/>
      <c r="BW446" s="211"/>
      <c r="BX446" s="211"/>
      <c r="BY446" s="211"/>
      <c r="BZ446" s="211"/>
      <c r="CA446" s="211"/>
      <c r="CB446" s="397">
        <v>0</v>
      </c>
      <c r="CC446" s="397">
        <f>(350*10^3*2.4)/10^6*0.1</f>
        <v>8.4000000000000005E-2</v>
      </c>
      <c r="CD446" s="397">
        <f>(350*10^3*2.4*2)/10^6*0.1</f>
        <v>0.16800000000000001</v>
      </c>
      <c r="CE446" s="397">
        <f>CD446*1.25</f>
        <v>0.21000000000000002</v>
      </c>
      <c r="CF446" s="397">
        <f>CD446*1.5</f>
        <v>0.252</v>
      </c>
      <c r="CG446" s="397">
        <f>CD446*1.75</f>
        <v>0.29400000000000004</v>
      </c>
      <c r="CH446" s="397">
        <f>(350*10^3*2.4*4)/10^6*0.1</f>
        <v>0.33600000000000002</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2056</v>
      </c>
      <c r="F447" s="211" t="s">
        <v>2017</v>
      </c>
      <c r="G447" s="356" t="s">
        <v>2062</v>
      </c>
      <c r="H447" s="356" t="s">
        <v>2058</v>
      </c>
      <c r="I447" s="211">
        <f>2*I445</f>
        <v>0.14945182538071067</v>
      </c>
      <c r="J447" s="211">
        <f t="shared" ref="J447:O447" si="350">2*J445</f>
        <v>0.14945182538071067</v>
      </c>
      <c r="K447" s="211">
        <f t="shared" si="350"/>
        <v>0.14945182538071067</v>
      </c>
      <c r="L447" s="211">
        <f t="shared" si="350"/>
        <v>0.14945182538071067</v>
      </c>
      <c r="M447" s="211">
        <f t="shared" si="350"/>
        <v>0.14945182538071067</v>
      </c>
      <c r="N447" s="211">
        <f t="shared" si="350"/>
        <v>0.14945182538071067</v>
      </c>
      <c r="O447" s="211">
        <f t="shared" si="350"/>
        <v>0.14945182538071067</v>
      </c>
      <c r="P447" s="211"/>
      <c r="Q447" s="211">
        <f>I447*0.05</f>
        <v>7.4725912690355341E-3</v>
      </c>
      <c r="R447" s="211">
        <f t="shared" si="348"/>
        <v>7.4725912690355341E-3</v>
      </c>
      <c r="S447" s="211">
        <f t="shared" si="348"/>
        <v>7.4725912690355341E-3</v>
      </c>
      <c r="T447" s="211">
        <f t="shared" si="348"/>
        <v>7.4725912690355341E-3</v>
      </c>
      <c r="U447" s="211">
        <f t="shared" si="348"/>
        <v>7.4725912690355341E-3</v>
      </c>
      <c r="V447" s="211">
        <f t="shared" si="348"/>
        <v>7.4725912690355341E-3</v>
      </c>
      <c r="W447" s="211">
        <f t="shared" si="348"/>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(75*10^3*6)/10^6*0.1</f>
        <v>4.5000000000000005E-2</v>
      </c>
      <c r="CD447" s="397">
        <f t="shared" ref="CD447:CH447" si="351">(75*10^3*6)/10^6*0.1</f>
        <v>4.5000000000000005E-2</v>
      </c>
      <c r="CE447" s="397">
        <f t="shared" si="351"/>
        <v>4.5000000000000005E-2</v>
      </c>
      <c r="CF447" s="397">
        <f t="shared" si="351"/>
        <v>4.5000000000000005E-2</v>
      </c>
      <c r="CG447" s="397">
        <f t="shared" si="351"/>
        <v>4.5000000000000005E-2</v>
      </c>
      <c r="CH447" s="397">
        <f t="shared" si="351"/>
        <v>4.5000000000000005E-2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43" t="s">
        <v>2063</v>
      </c>
      <c r="B448" s="243"/>
      <c r="C448" s="6" t="s">
        <v>817</v>
      </c>
      <c r="D448" s="243" t="s">
        <v>419</v>
      </c>
      <c r="E448" s="243" t="s">
        <v>1697</v>
      </c>
      <c r="F448" s="211" t="s">
        <v>2024</v>
      </c>
      <c r="G448" s="211" t="s">
        <v>2064</v>
      </c>
      <c r="H448" s="356" t="s">
        <v>2065</v>
      </c>
      <c r="I448" s="211">
        <v>0</v>
      </c>
      <c r="J448" s="211">
        <v>0</v>
      </c>
      <c r="K448" s="211">
        <v>0</v>
      </c>
      <c r="L448" s="211">
        <v>0</v>
      </c>
      <c r="M448" s="211">
        <v>0</v>
      </c>
      <c r="N448" s="211">
        <v>0</v>
      </c>
      <c r="O448" s="211">
        <v>0</v>
      </c>
      <c r="P448" s="211"/>
      <c r="Q448" s="211">
        <v>0</v>
      </c>
      <c r="R448" s="211">
        <v>0</v>
      </c>
      <c r="S448" s="211">
        <v>0</v>
      </c>
      <c r="T448" s="211">
        <v>0</v>
      </c>
      <c r="U448" s="211">
        <v>0</v>
      </c>
      <c r="V448" s="211">
        <v>0</v>
      </c>
      <c r="W448" s="211">
        <v>0</v>
      </c>
      <c r="X448" s="211">
        <f>[1]Commodity_prices_MEUR2019!C$44</f>
        <v>16.297184400363882</v>
      </c>
      <c r="Y448" s="211">
        <f>[1]Commodity_prices_MEUR2019!D$44</f>
        <v>16.297184400363882</v>
      </c>
      <c r="Z448" s="211">
        <f>[1]Commodity_prices_MEUR2019!E$44</f>
        <v>16.297184400363882</v>
      </c>
      <c r="AA448" s="211">
        <f>[1]Commodity_prices_MEUR2019!F$44</f>
        <v>16.297184400363882</v>
      </c>
      <c r="AB448" s="211">
        <f>[1]Commodity_prices_MEUR2019!G$44</f>
        <v>16.297184400363882</v>
      </c>
      <c r="AC448" s="211">
        <f>[1]Commodity_prices_MEUR2019!H$44</f>
        <v>16.297184400363882</v>
      </c>
      <c r="AD448" s="211">
        <f>[1]Commodity_prices_MEUR2019!I$44</f>
        <v>16.297184400363882</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v>10</v>
      </c>
      <c r="BO448" s="211"/>
      <c r="BP448" s="211"/>
      <c r="BQ448" s="211"/>
      <c r="BR448" s="211"/>
      <c r="BS448" s="211"/>
      <c r="BT448" s="211"/>
      <c r="BU448" s="211">
        <v>0</v>
      </c>
      <c r="BV448" s="211"/>
      <c r="BW448" s="211"/>
      <c r="BX448" s="211"/>
      <c r="BY448" s="211"/>
      <c r="BZ448" s="211"/>
      <c r="CA448" s="211"/>
      <c r="CB448" s="396">
        <v>35</v>
      </c>
      <c r="CC448" s="396">
        <v>35</v>
      </c>
      <c r="CD448" s="396">
        <v>35</v>
      </c>
      <c r="CE448" s="396">
        <v>35</v>
      </c>
      <c r="CF448" s="396">
        <v>35</v>
      </c>
      <c r="CG448" s="396">
        <v>35</v>
      </c>
      <c r="CH448" s="396">
        <v>35</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2066</v>
      </c>
      <c r="B449" s="243"/>
      <c r="C449" s="5" t="s">
        <v>817</v>
      </c>
      <c r="D449" s="243" t="s">
        <v>419</v>
      </c>
      <c r="E449" s="243" t="s">
        <v>1697</v>
      </c>
      <c r="F449" s="211" t="s">
        <v>2026</v>
      </c>
      <c r="G449" s="211" t="s">
        <v>2067</v>
      </c>
      <c r="H449" s="356" t="s">
        <v>2068</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[1]Commodity_prices_MEUR2019!C$45</f>
        <v>9.3342401937948374</v>
      </c>
      <c r="Y449" s="211">
        <f>[1]Commodity_prices_MEUR2019!D$45</f>
        <v>9.3342401937948374</v>
      </c>
      <c r="Z449" s="211">
        <f>[1]Commodity_prices_MEUR2019!E$45</f>
        <v>9.3342401937948374</v>
      </c>
      <c r="AA449" s="211">
        <f>[1]Commodity_prices_MEUR2019!F$45</f>
        <v>9.3342401937948374</v>
      </c>
      <c r="AB449" s="211">
        <f>[1]Commodity_prices_MEUR2019!G$45</f>
        <v>9.3342401937948374</v>
      </c>
      <c r="AC449" s="211">
        <f>[1]Commodity_prices_MEUR2019!H$45</f>
        <v>9.3342401937948374</v>
      </c>
      <c r="AD449" s="211">
        <f>[1]Commodity_prices_MEUR2019!I$45</f>
        <v>9.3342401937948374</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f>15*0.992</f>
        <v>14.879999999999999</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11" t="s">
        <v>2069</v>
      </c>
      <c r="B450" s="211"/>
      <c r="C450" s="6" t="s">
        <v>817</v>
      </c>
      <c r="D450" s="211" t="s">
        <v>419</v>
      </c>
      <c r="E450" s="211" t="s">
        <v>1697</v>
      </c>
      <c r="F450" s="211" t="s">
        <v>2028</v>
      </c>
      <c r="G450" s="211" t="s">
        <v>2070</v>
      </c>
      <c r="H450" s="356" t="s">
        <v>2071</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[1]Commodity_prices_MEUR2019!C$46</f>
        <v>77.053237678188765</v>
      </c>
      <c r="Y450" s="211">
        <f>[1]Commodity_prices_MEUR2019!D$46</f>
        <v>77.053237678188765</v>
      </c>
      <c r="Z450" s="211">
        <f>[1]Commodity_prices_MEUR2019!E$46</f>
        <v>77.053237678188765</v>
      </c>
      <c r="AA450" s="211">
        <f>[1]Commodity_prices_MEUR2019!F$46</f>
        <v>77.053237678188765</v>
      </c>
      <c r="AB450" s="211">
        <f>[1]Commodity_prices_MEUR2019!G$46</f>
        <v>77.053237678188765</v>
      </c>
      <c r="AC450" s="211">
        <f>[1]Commodity_prices_MEUR2019!H$46</f>
        <v>77.053237678188765</v>
      </c>
      <c r="AD450" s="211">
        <f>[1]Commodity_prices_MEUR2019!I$46</f>
        <v>77.053237678188765</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v>4.5</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2072</v>
      </c>
      <c r="B451" s="211"/>
      <c r="C451" s="5" t="s">
        <v>817</v>
      </c>
      <c r="D451" s="211" t="s">
        <v>419</v>
      </c>
      <c r="E451" s="211" t="s">
        <v>2049</v>
      </c>
      <c r="F451" s="211" t="s">
        <v>2028</v>
      </c>
      <c r="G451" s="356" t="s">
        <v>2073</v>
      </c>
      <c r="H451" s="356" t="s">
        <v>2071</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[1]Commodity_prices_MEUR2019!C$47</f>
        <v>183.02431752538899</v>
      </c>
      <c r="Y451" s="211">
        <f>[1]Commodity_prices_MEUR2019!D$47</f>
        <v>183.02431752538899</v>
      </c>
      <c r="Z451" s="211">
        <f>[1]Commodity_prices_MEUR2019!E$47</f>
        <v>183.02431752538899</v>
      </c>
      <c r="AA451" s="211">
        <f>[1]Commodity_prices_MEUR2019!F$47</f>
        <v>183.02431752538899</v>
      </c>
      <c r="AB451" s="211">
        <f>[1]Commodity_prices_MEUR2019!G$47</f>
        <v>183.02431752538899</v>
      </c>
      <c r="AC451" s="211">
        <f>[1]Commodity_prices_MEUR2019!H$47</f>
        <v>183.02431752538899</v>
      </c>
      <c r="AD451" s="211">
        <f>[1]Commodity_prices_MEUR2019!I$47</f>
        <v>183.02431752538899</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0</v>
      </c>
      <c r="BO451" s="211"/>
      <c r="BP451" s="211"/>
      <c r="BQ451" s="211"/>
      <c r="BR451" s="211"/>
      <c r="BS451" s="211"/>
      <c r="BT451" s="211"/>
      <c r="BU451" s="211">
        <v>0</v>
      </c>
      <c r="BV451" s="211"/>
      <c r="BW451" s="211"/>
      <c r="BX451" s="211"/>
      <c r="BY451" s="211"/>
      <c r="BZ451" s="211"/>
      <c r="CA451" s="211"/>
      <c r="CB451" s="396">
        <v>0</v>
      </c>
      <c r="CC451" s="396">
        <v>0</v>
      </c>
      <c r="CD451" s="396">
        <v>0</v>
      </c>
      <c r="CE451" s="396">
        <v>0</v>
      </c>
      <c r="CF451" s="396">
        <v>0</v>
      </c>
      <c r="CG451" s="396">
        <v>0</v>
      </c>
      <c r="CH451" s="396">
        <v>0</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1" t="s">
        <v>2074</v>
      </c>
      <c r="B452" s="243"/>
      <c r="C452" s="243" t="s">
        <v>419</v>
      </c>
      <c r="D452" s="243" t="s">
        <v>419</v>
      </c>
      <c r="E452" s="1" t="s">
        <v>2075</v>
      </c>
      <c r="F452" s="1" t="s">
        <v>2022</v>
      </c>
      <c r="G452" s="49" t="s">
        <v>2076</v>
      </c>
      <c r="H452" s="356" t="s">
        <v>2051</v>
      </c>
      <c r="I452" s="398">
        <f>(147.67+83.73+14.73)/10^6*(10^6/100)</f>
        <v>2.4612999999999996</v>
      </c>
      <c r="J452" s="398">
        <f t="shared" ref="J452:O452" si="352">(147.67+83.73+14.73)/10^6*(10^6/100)</f>
        <v>2.4612999999999996</v>
      </c>
      <c r="K452" s="398">
        <f t="shared" si="352"/>
        <v>2.4612999999999996</v>
      </c>
      <c r="L452" s="398">
        <f t="shared" si="352"/>
        <v>2.4612999999999996</v>
      </c>
      <c r="M452" s="398">
        <f t="shared" si="352"/>
        <v>2.4612999999999996</v>
      </c>
      <c r="N452" s="398">
        <f t="shared" si="352"/>
        <v>2.4612999999999996</v>
      </c>
      <c r="O452" s="398">
        <f t="shared" si="352"/>
        <v>2.4612999999999996</v>
      </c>
      <c r="P452" s="211"/>
      <c r="Q452" s="211">
        <f>I452*0.05</f>
        <v>0.12306499999999998</v>
      </c>
      <c r="R452" s="211">
        <f t="shared" ref="R452:W459" si="353">J452*0.05</f>
        <v>0.12306499999999998</v>
      </c>
      <c r="S452" s="211">
        <f t="shared" si="353"/>
        <v>0.12306499999999998</v>
      </c>
      <c r="T452" s="211">
        <f t="shared" si="353"/>
        <v>0.12306499999999998</v>
      </c>
      <c r="U452" s="211">
        <f t="shared" si="353"/>
        <v>0.12306499999999998</v>
      </c>
      <c r="V452" s="211">
        <f t="shared" si="353"/>
        <v>0.12306499999999998</v>
      </c>
      <c r="W452" s="211">
        <f t="shared" si="353"/>
        <v>0.12306499999999998</v>
      </c>
      <c r="X452" s="211">
        <v>0</v>
      </c>
      <c r="Y452" s="211">
        <v>0</v>
      </c>
      <c r="Z452" s="211">
        <v>0</v>
      </c>
      <c r="AA452" s="211">
        <v>0</v>
      </c>
      <c r="AB452" s="211">
        <v>0</v>
      </c>
      <c r="AC452" s="211">
        <v>0</v>
      </c>
      <c r="AD452" s="211">
        <v>0</v>
      </c>
      <c r="AE452" s="186">
        <v>0.08</v>
      </c>
      <c r="AF452" s="211"/>
      <c r="AG452" s="211">
        <v>10</v>
      </c>
      <c r="AH452" s="211">
        <v>10</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c r="CC452" s="396"/>
      <c r="CD452" s="396">
        <f t="shared" ref="CD452:CH452" si="354">CD443</f>
        <v>5.2810000000000006</v>
      </c>
      <c r="CE452" s="396">
        <f t="shared" si="354"/>
        <v>5.2810000000000006</v>
      </c>
      <c r="CF452" s="396">
        <f t="shared" si="354"/>
        <v>5.2810000000000006</v>
      </c>
      <c r="CG452" s="396">
        <f t="shared" si="354"/>
        <v>5.2810000000000006</v>
      </c>
      <c r="CH452" s="396">
        <f t="shared" si="354"/>
        <v>5.2810000000000006</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2077</v>
      </c>
      <c r="B453" s="243"/>
      <c r="C453" s="243" t="s">
        <v>419</v>
      </c>
      <c r="D453" s="243" t="s">
        <v>419</v>
      </c>
      <c r="E453" s="1" t="s">
        <v>2075</v>
      </c>
      <c r="F453" s="1" t="s">
        <v>2030</v>
      </c>
      <c r="G453" s="49" t="s">
        <v>2078</v>
      </c>
      <c r="H453" s="356" t="s">
        <v>2079</v>
      </c>
      <c r="I453" s="398">
        <f>(((1.651+1.68+0.9)*1.15)/0.115)*1.26/1.6549</f>
        <v>32.213789352830979</v>
      </c>
      <c r="J453" s="398">
        <f t="shared" ref="J453:O453" si="355">(((1.651+1.68+0.9)*1.15)/0.115)*1.26/1.6549</f>
        <v>32.213789352830979</v>
      </c>
      <c r="K453" s="398">
        <f t="shared" si="355"/>
        <v>32.213789352830979</v>
      </c>
      <c r="L453" s="398">
        <f t="shared" si="355"/>
        <v>32.213789352830979</v>
      </c>
      <c r="M453" s="398">
        <f t="shared" si="355"/>
        <v>32.213789352830979</v>
      </c>
      <c r="N453" s="398">
        <f t="shared" si="355"/>
        <v>32.213789352830979</v>
      </c>
      <c r="O453" s="398">
        <f t="shared" si="355"/>
        <v>32.213789352830979</v>
      </c>
      <c r="P453" s="211"/>
      <c r="Q453" s="399">
        <f>(0.2064/0.115)*1.26/1.6549</f>
        <v>1.3665031645153916</v>
      </c>
      <c r="R453" s="399">
        <f t="shared" ref="R453:W453" si="356">(0.2064/0.115)*1.26/1.6549</f>
        <v>1.3665031645153916</v>
      </c>
      <c r="S453" s="399">
        <f t="shared" si="356"/>
        <v>1.3665031645153916</v>
      </c>
      <c r="T453" s="399">
        <f t="shared" si="356"/>
        <v>1.3665031645153916</v>
      </c>
      <c r="U453" s="399">
        <f t="shared" si="356"/>
        <v>1.3665031645153916</v>
      </c>
      <c r="V453" s="399">
        <f t="shared" si="356"/>
        <v>1.3665031645153916</v>
      </c>
      <c r="W453" s="399">
        <f t="shared" si="356"/>
        <v>1.3665031645153916</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400"/>
      <c r="CC453" s="400"/>
      <c r="CD453" s="400">
        <f>[2]Activities!E$74*[2]EnergyBalance!$CH$442*-1*0.1</f>
        <v>1.6196960000000002</v>
      </c>
      <c r="CE453" s="400">
        <f>[2]Activities!F$74*[2]EnergyBalance!$CH$442*-1*0.15</f>
        <v>2.4295439999999999</v>
      </c>
      <c r="CF453" s="400">
        <f>[2]Activities!G$74*[2]EnergyBalance!$CH$442*-1*0.2</f>
        <v>3.2393920000000005</v>
      </c>
      <c r="CG453" s="400">
        <f>[2]Activities!H$74*[2]EnergyBalance!$CH$442*-1*0.25</f>
        <v>4.0492400000000002</v>
      </c>
      <c r="CH453" s="400">
        <f>[2]Activities!I$74*[2]EnergyBalance!$CH$442*-1*0.3</f>
        <v>4.8590879999999999</v>
      </c>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2080</v>
      </c>
      <c r="B454" s="243"/>
      <c r="C454" s="243" t="s">
        <v>419</v>
      </c>
      <c r="D454" s="243" t="s">
        <v>419</v>
      </c>
      <c r="E454" s="1" t="s">
        <v>2075</v>
      </c>
      <c r="F454" s="1" t="s">
        <v>2030</v>
      </c>
      <c r="G454" s="49" t="s">
        <v>2081</v>
      </c>
      <c r="H454" s="356" t="s">
        <v>2079</v>
      </c>
      <c r="I454" s="398">
        <f>I453+35</f>
        <v>67.213789352830986</v>
      </c>
      <c r="J454" s="398">
        <f t="shared" ref="J454:O454" si="357">J453+35</f>
        <v>67.213789352830986</v>
      </c>
      <c r="K454" s="398">
        <f t="shared" si="357"/>
        <v>67.213789352830986</v>
      </c>
      <c r="L454" s="398">
        <f t="shared" si="357"/>
        <v>67.213789352830986</v>
      </c>
      <c r="M454" s="398">
        <f t="shared" si="357"/>
        <v>67.213789352830986</v>
      </c>
      <c r="N454" s="398">
        <f t="shared" si="357"/>
        <v>67.213789352830986</v>
      </c>
      <c r="O454" s="398">
        <f t="shared" si="357"/>
        <v>67.213789352830986</v>
      </c>
      <c r="P454" s="211"/>
      <c r="Q454" s="399">
        <f>Q453+1.1</f>
        <v>2.4665031645153919</v>
      </c>
      <c r="R454" s="399">
        <f t="shared" ref="R454:W454" si="358">R453+1.1</f>
        <v>2.4665031645153919</v>
      </c>
      <c r="S454" s="399">
        <f t="shared" si="358"/>
        <v>2.4665031645153919</v>
      </c>
      <c r="T454" s="399">
        <f t="shared" si="358"/>
        <v>2.4665031645153919</v>
      </c>
      <c r="U454" s="399">
        <f t="shared" si="358"/>
        <v>2.4665031645153919</v>
      </c>
      <c r="V454" s="399">
        <f t="shared" si="358"/>
        <v>2.4665031645153919</v>
      </c>
      <c r="W454" s="399">
        <f t="shared" si="358"/>
        <v>2.4665031645153919</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[2]Activities!E$74*[2]EnergyBalance!$CI$442*-1*0.1</f>
        <v>0.49280400000000002</v>
      </c>
      <c r="CE454" s="400">
        <f>[2]Activities!F$74*[2]EnergyBalance!$CI$442*-1*0.15</f>
        <v>0.73920600000000003</v>
      </c>
      <c r="CF454" s="400">
        <f>[2]Activities!G$74*[2]EnergyBalance!$CI$442*-1*0.2</f>
        <v>0.98560800000000004</v>
      </c>
      <c r="CG454" s="400">
        <f>[2]Activities!H$74*[2]EnergyBalance!$CI$442*-1*0.25</f>
        <v>1.23201</v>
      </c>
      <c r="CH454" s="400">
        <f>[2]Activities!I$74*[2]EnergyBalance!$CI$442*-1*0.3</f>
        <v>1.4784120000000001</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2075</v>
      </c>
      <c r="F455" s="1" t="s">
        <v>2022</v>
      </c>
      <c r="G455" s="49" t="s">
        <v>2083</v>
      </c>
      <c r="H455" s="356" t="s">
        <v>2051</v>
      </c>
      <c r="I455" s="398">
        <f>(((1.684+1.632+1.2079+1.666)*1.15)/0.115)*1.26/1.6549</f>
        <v>47.128370294277588</v>
      </c>
      <c r="J455" s="398">
        <f t="shared" ref="J455:O455" si="359">(((1.684+1.632+1.2079+1.666)*1.15)/0.115)*1.26/1.6549</f>
        <v>47.128370294277588</v>
      </c>
      <c r="K455" s="398">
        <f t="shared" si="359"/>
        <v>47.128370294277588</v>
      </c>
      <c r="L455" s="398">
        <f t="shared" si="359"/>
        <v>47.128370294277588</v>
      </c>
      <c r="M455" s="398">
        <f t="shared" si="359"/>
        <v>47.128370294277588</v>
      </c>
      <c r="N455" s="398">
        <f t="shared" si="359"/>
        <v>47.128370294277588</v>
      </c>
      <c r="O455" s="398">
        <f t="shared" si="359"/>
        <v>47.128370294277588</v>
      </c>
      <c r="P455" s="211"/>
      <c r="Q455" s="399">
        <f>(0.296/0.115)*1.26/1.6549</f>
        <v>1.9597138405840886</v>
      </c>
      <c r="R455" s="399">
        <f t="shared" ref="R455:W455" si="360">(0.296/0.115)*1.26/1.6549</f>
        <v>1.9597138405840886</v>
      </c>
      <c r="S455" s="399">
        <f t="shared" si="360"/>
        <v>1.9597138405840886</v>
      </c>
      <c r="T455" s="399">
        <f t="shared" si="360"/>
        <v>1.9597138405840886</v>
      </c>
      <c r="U455" s="399">
        <f t="shared" si="360"/>
        <v>1.9597138405840886</v>
      </c>
      <c r="V455" s="399">
        <f t="shared" si="360"/>
        <v>1.9597138405840886</v>
      </c>
      <c r="W455" s="399">
        <f t="shared" si="360"/>
        <v>1.9597138405840886</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[2]Activities!E$74*[2]EnergyBalance!$CH$442*-1*0.5</f>
        <v>8.0984800000000003</v>
      </c>
      <c r="CE455" s="400">
        <f>(CF455+CD455)/2</f>
        <v>10.123100000000001</v>
      </c>
      <c r="CF455" s="400">
        <f>(CH455+CD455)/2</f>
        <v>12.14772</v>
      </c>
      <c r="CG455" s="400">
        <f>(CH455+CF455)/2</f>
        <v>14.17234</v>
      </c>
      <c r="CH455" s="400">
        <f>[2]Activities!I$74*-1*[2]EnergyBalance!$CH$442</f>
        <v>16.196960000000001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2075</v>
      </c>
      <c r="F456" s="1" t="s">
        <v>2030</v>
      </c>
      <c r="G456" s="49" t="s">
        <v>2085</v>
      </c>
      <c r="H456" s="356" t="s">
        <v>2079</v>
      </c>
      <c r="I456" s="398">
        <f>I454</f>
        <v>67.213789352830986</v>
      </c>
      <c r="J456" s="398">
        <f t="shared" ref="J456:O456" si="361">J454</f>
        <v>67.213789352830986</v>
      </c>
      <c r="K456" s="398">
        <f t="shared" si="361"/>
        <v>67.213789352830986</v>
      </c>
      <c r="L456" s="398">
        <f t="shared" si="361"/>
        <v>67.213789352830986</v>
      </c>
      <c r="M456" s="398">
        <f t="shared" si="361"/>
        <v>67.213789352830986</v>
      </c>
      <c r="N456" s="398">
        <f t="shared" si="361"/>
        <v>67.213789352830986</v>
      </c>
      <c r="O456" s="398">
        <f t="shared" si="361"/>
        <v>67.213789352830986</v>
      </c>
      <c r="P456" s="211"/>
      <c r="Q456" s="399">
        <f>Q454</f>
        <v>2.4665031645153919</v>
      </c>
      <c r="R456" s="399">
        <f t="shared" ref="R456:W456" si="362">R454</f>
        <v>2.4665031645153919</v>
      </c>
      <c r="S456" s="399">
        <f t="shared" si="362"/>
        <v>2.4665031645153919</v>
      </c>
      <c r="T456" s="399">
        <f t="shared" si="362"/>
        <v>2.4665031645153919</v>
      </c>
      <c r="U456" s="399">
        <f t="shared" si="362"/>
        <v>2.4665031645153919</v>
      </c>
      <c r="V456" s="399">
        <f t="shared" si="362"/>
        <v>2.4665031645153919</v>
      </c>
      <c r="W456" s="399">
        <f t="shared" si="362"/>
        <v>2.4665031645153919</v>
      </c>
      <c r="X456" s="211">
        <v>0</v>
      </c>
      <c r="Y456" s="211">
        <v>0</v>
      </c>
      <c r="Z456" s="211">
        <v>0</v>
      </c>
      <c r="AA456" s="211">
        <v>0</v>
      </c>
      <c r="AB456" s="211">
        <v>0</v>
      </c>
      <c r="AC456" s="211">
        <v>0</v>
      </c>
      <c r="AD456" s="211">
        <v>0</v>
      </c>
      <c r="AE456" s="186">
        <v>0.08</v>
      </c>
      <c r="AF456" s="211"/>
      <c r="AG456" s="211">
        <f>AG454</f>
        <v>10</v>
      </c>
      <c r="AH456" s="211">
        <f>AH454</f>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[2]Activities!E39*0.2</f>
        <v>0.371</v>
      </c>
      <c r="CE456" s="400">
        <f>[2]Activities!F39*0.25</f>
        <v>0.46375</v>
      </c>
      <c r="CF456" s="400">
        <f>[2]Activities!G39*0.3</f>
        <v>0.55649999999999999</v>
      </c>
      <c r="CG456" s="400">
        <f>[2]Activities!H39*0.4</f>
        <v>0.74199999999999999</v>
      </c>
      <c r="CH456" s="400">
        <f>[2]Activities!I39*0.5</f>
        <v>0.92749999999999999</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1" t="s">
        <v>740</v>
      </c>
      <c r="C457" s="1" t="s">
        <v>655</v>
      </c>
      <c r="D457" s="1" t="s">
        <v>741</v>
      </c>
      <c r="E457" s="1" t="s">
        <v>2056</v>
      </c>
      <c r="F457" s="1" t="s">
        <v>2017</v>
      </c>
      <c r="G457" s="49" t="s">
        <v>2087</v>
      </c>
      <c r="H457" s="356" t="s">
        <v>2058</v>
      </c>
      <c r="I457" s="395">
        <f>I445</f>
        <v>7.4725912690355334E-2</v>
      </c>
      <c r="J457" s="395">
        <f t="shared" ref="J457:O457" si="363">J445</f>
        <v>7.4725912690355334E-2</v>
      </c>
      <c r="K457" s="395">
        <f t="shared" si="363"/>
        <v>7.4725912690355334E-2</v>
      </c>
      <c r="L457" s="395">
        <f t="shared" si="363"/>
        <v>7.4725912690355334E-2</v>
      </c>
      <c r="M457" s="395">
        <f t="shared" si="363"/>
        <v>7.4725912690355334E-2</v>
      </c>
      <c r="N457" s="395">
        <f t="shared" si="363"/>
        <v>7.4725912690355334E-2</v>
      </c>
      <c r="O457" s="395">
        <f t="shared" si="363"/>
        <v>7.4725912690355334E-2</v>
      </c>
      <c r="P457" s="211"/>
      <c r="Q457" s="211">
        <f>I457*0.05</f>
        <v>3.736295634517767E-3</v>
      </c>
      <c r="R457" s="211">
        <f t="shared" si="353"/>
        <v>3.736295634517767E-3</v>
      </c>
      <c r="S457" s="211">
        <f t="shared" si="353"/>
        <v>3.736295634517767E-3</v>
      </c>
      <c r="T457" s="211">
        <f t="shared" si="353"/>
        <v>3.736295634517767E-3</v>
      </c>
      <c r="U457" s="211">
        <f t="shared" si="353"/>
        <v>3.736295634517767E-3</v>
      </c>
      <c r="V457" s="211">
        <f t="shared" si="353"/>
        <v>3.736295634517767E-3</v>
      </c>
      <c r="W457" s="211">
        <f t="shared" si="353"/>
        <v>3.736295634517767E-3</v>
      </c>
      <c r="X457" s="211">
        <v>0</v>
      </c>
      <c r="Y457" s="211">
        <v>0</v>
      </c>
      <c r="Z457" s="211">
        <v>0</v>
      </c>
      <c r="AA457" s="211">
        <v>0</v>
      </c>
      <c r="AB457" s="211">
        <v>0</v>
      </c>
      <c r="AC457" s="211">
        <v>0</v>
      </c>
      <c r="AD457" s="211">
        <v>0</v>
      </c>
      <c r="AE457" s="186">
        <v>0.08</v>
      </c>
      <c r="AF457" s="211"/>
      <c r="AG457" s="211">
        <v>30</v>
      </c>
      <c r="AH457" s="211">
        <v>30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396">
        <f>[3]Activities!C74</f>
        <v>31.2</v>
      </c>
      <c r="CC457" s="396">
        <f>[3]Activities!D74</f>
        <v>33.799999999999997</v>
      </c>
      <c r="CD457" s="396">
        <f>[3]Activities!E74</f>
        <v>33.799999999999997</v>
      </c>
      <c r="CE457" s="396">
        <f>[3]Activities!F74</f>
        <v>33.799999999999997</v>
      </c>
      <c r="CF457" s="396">
        <f>[3]Activities!G74</f>
        <v>33.799999999999997</v>
      </c>
      <c r="CG457" s="396">
        <f>[3]Activities!H74</f>
        <v>33.799999999999997</v>
      </c>
      <c r="CH457" s="396">
        <f>[3]Activities!I74</f>
        <v>33.799999999999997</v>
      </c>
      <c r="CI457" s="211"/>
      <c r="CJ457" s="211"/>
      <c r="CK457" s="211"/>
      <c r="CL457" s="211"/>
      <c r="CM457" s="211"/>
      <c r="CN457" s="211"/>
      <c r="CO457" s="211"/>
      <c r="CP457" s="396"/>
      <c r="CQ457" s="396"/>
      <c r="CR457" s="396"/>
      <c r="CS457" s="396"/>
      <c r="CT457" s="396"/>
      <c r="CU457" s="396"/>
      <c r="CV457" s="211"/>
      <c r="CW457" s="356"/>
      <c r="CX457" s="356"/>
      <c r="CY457" s="356"/>
      <c r="CZ457" s="356"/>
      <c r="DA457" s="356"/>
      <c r="DB457" s="356"/>
      <c r="DC457" s="356"/>
      <c r="DD457" s="356"/>
      <c r="DE457" s="356"/>
      <c r="DF457" s="356"/>
      <c r="DG457" s="356"/>
      <c r="DH457" s="356"/>
      <c r="DI457" s="356"/>
      <c r="DJ457" s="356"/>
      <c r="DK457" s="211"/>
      <c r="DL457" s="356"/>
      <c r="DM457" s="356"/>
      <c r="DN457" s="356"/>
      <c r="DO457" s="356"/>
      <c r="DP457" s="356"/>
      <c r="DQ457" s="356"/>
      <c r="DR457" s="356"/>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741</v>
      </c>
      <c r="F458" s="1" t="s">
        <v>331</v>
      </c>
      <c r="G458" s="49" t="s">
        <v>2089</v>
      </c>
      <c r="H458" s="356" t="s">
        <v>744</v>
      </c>
      <c r="I458" s="401">
        <f>I35*2</f>
        <v>1101</v>
      </c>
      <c r="J458" s="401">
        <f>J35*2</f>
        <v>1101</v>
      </c>
      <c r="K458" s="401">
        <f>K35*2</f>
        <v>1101</v>
      </c>
      <c r="L458" s="401">
        <f>L35*2</f>
        <v>1101</v>
      </c>
      <c r="M458" s="401">
        <f>M35*2</f>
        <v>1101</v>
      </c>
      <c r="N458" s="401">
        <f>N35*2</f>
        <v>1101</v>
      </c>
      <c r="O458" s="401">
        <f>O35*2</f>
        <v>1101</v>
      </c>
      <c r="P458" s="211"/>
      <c r="Q458" s="402">
        <f>I458*0.05</f>
        <v>55.050000000000004</v>
      </c>
      <c r="R458" s="402">
        <f t="shared" si="353"/>
        <v>55.050000000000004</v>
      </c>
      <c r="S458" s="402">
        <f t="shared" si="353"/>
        <v>55.050000000000004</v>
      </c>
      <c r="T458" s="402">
        <f t="shared" si="353"/>
        <v>55.050000000000004</v>
      </c>
      <c r="U458" s="402">
        <f t="shared" si="353"/>
        <v>55.050000000000004</v>
      </c>
      <c r="V458" s="402">
        <f t="shared" si="353"/>
        <v>55.050000000000004</v>
      </c>
      <c r="W458" s="402">
        <f t="shared" si="353"/>
        <v>55.050000000000004</v>
      </c>
      <c r="X458" s="211">
        <v>0</v>
      </c>
      <c r="Y458" s="211">
        <v>0</v>
      </c>
      <c r="Z458" s="211">
        <v>0</v>
      </c>
      <c r="AA458" s="211">
        <v>0</v>
      </c>
      <c r="AB458" s="211">
        <v>0</v>
      </c>
      <c r="AC458" s="211">
        <v>0</v>
      </c>
      <c r="AD458" s="211">
        <v>0</v>
      </c>
      <c r="AE458" s="186">
        <v>0.08</v>
      </c>
      <c r="AF458" s="211"/>
      <c r="AG458" s="211">
        <v>1</v>
      </c>
      <c r="AH458" s="211">
        <v>1</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c r="BO458" s="211"/>
      <c r="BP458" s="211"/>
      <c r="BQ458" s="211"/>
      <c r="BR458" s="211"/>
      <c r="BS458" s="211"/>
      <c r="BT458" s="211"/>
      <c r="BU458" s="211"/>
      <c r="BV458" s="211"/>
      <c r="BW458" s="211"/>
      <c r="BX458" s="211"/>
      <c r="BY458" s="211"/>
      <c r="BZ458" s="211"/>
      <c r="CA458" s="211"/>
      <c r="CB458" s="403">
        <f>[3]Activities!C18*((0.69-0.65)/0.65)</f>
        <v>0.37803076923076845</v>
      </c>
      <c r="CC458" s="403">
        <f>[3]Activities!D18*((0.69-0.65)/0.65)</f>
        <v>0.37803076923076845</v>
      </c>
      <c r="CD458" s="403">
        <f>[3]Activities!E18*((0.69-0.65)/0.65)</f>
        <v>0.37803076923076845</v>
      </c>
      <c r="CE458" s="403">
        <f>[3]Activities!F18*((0.69-0.65)/0.65)</f>
        <v>0.37803076923076845</v>
      </c>
      <c r="CF458" s="403">
        <f>[3]Activities!G18*((0.69-0.65)/0.65)</f>
        <v>0.37803076923076845</v>
      </c>
      <c r="CG458" s="403">
        <f>[3]Activities!H18*((0.69-0.65)/0.65)</f>
        <v>0.37803076923076845</v>
      </c>
      <c r="CH458" s="403">
        <f>[3]Activities!I18*((0.69-0.65)/0.65)</f>
        <v>0.37803076923076845</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367</v>
      </c>
      <c r="G459" s="49" t="s">
        <v>2091</v>
      </c>
      <c r="H459" s="356" t="s">
        <v>917</v>
      </c>
      <c r="I459" s="401">
        <f>I102*2</f>
        <v>9479.3131424477615</v>
      </c>
      <c r="J459" s="401">
        <f>J102*2</f>
        <v>9479.3131424477615</v>
      </c>
      <c r="K459" s="401">
        <f>K102*2</f>
        <v>9479.3131424477615</v>
      </c>
      <c r="L459" s="401">
        <f>L102*2</f>
        <v>9479.3131424477615</v>
      </c>
      <c r="M459" s="401">
        <f>M102*2</f>
        <v>9479.3131424477615</v>
      </c>
      <c r="N459" s="401">
        <f>N102*2</f>
        <v>9479.3131424477615</v>
      </c>
      <c r="O459" s="401">
        <f>O102*2</f>
        <v>9479.3131424477615</v>
      </c>
      <c r="P459" s="211"/>
      <c r="Q459" s="402">
        <f>I459*0.05</f>
        <v>473.96565712238811</v>
      </c>
      <c r="R459" s="402">
        <f t="shared" si="353"/>
        <v>473.96565712238811</v>
      </c>
      <c r="S459" s="402">
        <f t="shared" si="353"/>
        <v>473.96565712238811</v>
      </c>
      <c r="T459" s="402">
        <f t="shared" si="353"/>
        <v>473.96565712238811</v>
      </c>
      <c r="U459" s="402">
        <f t="shared" si="353"/>
        <v>473.96565712238811</v>
      </c>
      <c r="V459" s="402">
        <f t="shared" si="353"/>
        <v>473.96565712238811</v>
      </c>
      <c r="W459" s="402">
        <f t="shared" si="353"/>
        <v>473.96565712238811</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[3]Activities!C36*(0.95-0.9)/0.9</f>
        <v>5.1111111111111045E-2</v>
      </c>
      <c r="CC459" s="403">
        <f>[3]Activities!D36*(0.95-0.9)/0.9</f>
        <v>5.1111111111111045E-2</v>
      </c>
      <c r="CD459" s="403">
        <f>[3]Activities!E36*(0.95-0.9)/0.9</f>
        <v>5.1111111111111045E-2</v>
      </c>
      <c r="CE459" s="403">
        <f>[3]Activities!F36*(0.95-0.9)/0.9</f>
        <v>5.1111111111111045E-2</v>
      </c>
      <c r="CF459" s="403">
        <f>[3]Activities!G36*(0.95-0.9)/0.9</f>
        <v>5.1111111111111045E-2</v>
      </c>
      <c r="CG459" s="403">
        <f>[3]Activities!H36*(0.95-0.9)/0.9</f>
        <v>5.1111111111111045E-2</v>
      </c>
      <c r="CH459" s="403">
        <f>[3]Activities!I36*(0.95-0.9)/0.9</f>
        <v>5.1111111111111045E-2</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C460" s="1" t="s">
        <v>817</v>
      </c>
      <c r="D460" s="1" t="s">
        <v>419</v>
      </c>
      <c r="E460" s="1" t="s">
        <v>2049</v>
      </c>
      <c r="F460" s="1" t="s">
        <v>2037</v>
      </c>
      <c r="G460" s="49" t="s">
        <v>2093</v>
      </c>
      <c r="H460" s="356" t="s">
        <v>917</v>
      </c>
      <c r="I460" s="211">
        <v>0</v>
      </c>
      <c r="J460" s="211">
        <v>0</v>
      </c>
      <c r="K460" s="211">
        <v>0</v>
      </c>
      <c r="L460" s="211">
        <v>0</v>
      </c>
      <c r="M460" s="211">
        <v>0</v>
      </c>
      <c r="N460" s="211">
        <v>0</v>
      </c>
      <c r="O460" s="211">
        <v>0</v>
      </c>
      <c r="P460" s="211"/>
      <c r="Q460" s="211">
        <v>0</v>
      </c>
      <c r="R460" s="211">
        <v>0</v>
      </c>
      <c r="S460" s="211">
        <v>0</v>
      </c>
      <c r="T460" s="211">
        <v>0</v>
      </c>
      <c r="U460" s="211">
        <v>0</v>
      </c>
      <c r="V460" s="211">
        <v>0</v>
      </c>
      <c r="W460" s="211">
        <v>0</v>
      </c>
      <c r="X460" s="211">
        <f>[1]Commodity_prices_MEUR2019!C$50</f>
        <v>62.502804434920336</v>
      </c>
      <c r="Y460" s="211">
        <f>[1]Commodity_prices_MEUR2019!D$50</f>
        <v>62.502804434920336</v>
      </c>
      <c r="Z460" s="211">
        <f>[1]Commodity_prices_MEUR2019!E$50</f>
        <v>62.502804434920336</v>
      </c>
      <c r="AA460" s="211">
        <f>[1]Commodity_prices_MEUR2019!F$50</f>
        <v>62.502804434920336</v>
      </c>
      <c r="AB460" s="211">
        <f>[1]Commodity_prices_MEUR2019!G$50</f>
        <v>62.502804434920336</v>
      </c>
      <c r="AC460" s="211">
        <f>[1]Commodity_prices_MEUR2019!H$50</f>
        <v>62.502804434920336</v>
      </c>
      <c r="AD460" s="211">
        <f>[1]Commodity_prices_MEUR2019!I$50</f>
        <v>62.502804434920336</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396">
        <f>1.35</f>
        <v>1.35</v>
      </c>
      <c r="CC460" s="396">
        <f t="shared" ref="CC460:CH460" si="364">1.35</f>
        <v>1.35</v>
      </c>
      <c r="CD460" s="396">
        <f t="shared" si="364"/>
        <v>1.35</v>
      </c>
      <c r="CE460" s="396">
        <f t="shared" si="364"/>
        <v>1.35</v>
      </c>
      <c r="CF460" s="396">
        <f t="shared" si="364"/>
        <v>1.35</v>
      </c>
      <c r="CG460" s="396">
        <f t="shared" si="364"/>
        <v>1.35</v>
      </c>
      <c r="CH460" s="396">
        <f t="shared" si="364"/>
        <v>1.35</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6" t="s">
        <v>1708</v>
      </c>
      <c r="B461" s="6" t="s">
        <v>654</v>
      </c>
      <c r="C461" s="6" t="s">
        <v>534</v>
      </c>
      <c r="D461" s="6" t="s">
        <v>656</v>
      </c>
      <c r="E461" s="6" t="s">
        <v>1709</v>
      </c>
      <c r="F461" s="6" t="s">
        <v>533</v>
      </c>
      <c r="G461" s="48" t="s">
        <v>533</v>
      </c>
      <c r="H461" s="48" t="s">
        <v>1162</v>
      </c>
      <c r="I461" s="102">
        <v>0</v>
      </c>
      <c r="J461" s="102">
        <v>0</v>
      </c>
      <c r="K461" s="102">
        <v>0</v>
      </c>
      <c r="L461" s="102">
        <v>0</v>
      </c>
      <c r="M461" s="102">
        <v>0</v>
      </c>
      <c r="N461" s="102">
        <v>0</v>
      </c>
      <c r="O461" s="102">
        <v>0</v>
      </c>
      <c r="P461" s="94"/>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86">
        <v>0.08</v>
      </c>
      <c r="AF461" s="94">
        <v>0</v>
      </c>
      <c r="AG461" s="94">
        <v>1</v>
      </c>
      <c r="AH461" s="94">
        <v>1</v>
      </c>
      <c r="AI461" s="17">
        <v>1</v>
      </c>
      <c r="AJ461" s="17" t="s">
        <v>662</v>
      </c>
      <c r="AK461" s="17" t="s">
        <v>745</v>
      </c>
      <c r="AL461" s="17"/>
      <c r="AM461" s="61"/>
      <c r="AN461" s="61"/>
      <c r="AO461" s="61"/>
      <c r="AP461" s="61"/>
      <c r="AQ461" s="61"/>
      <c r="AR461" s="61"/>
      <c r="AS461" s="64"/>
      <c r="AT461" s="64"/>
      <c r="AU461" s="64"/>
      <c r="AV461" s="132"/>
      <c r="AW461" s="132"/>
      <c r="AX461" s="132"/>
      <c r="AY461" s="28" t="s">
        <v>662</v>
      </c>
      <c r="AZ461" s="28"/>
      <c r="BA461" s="28"/>
      <c r="BB461" s="28"/>
      <c r="BC461" s="28"/>
      <c r="BD461" s="28"/>
      <c r="BE461" s="28"/>
      <c r="BF461" s="28"/>
      <c r="BG461" s="28"/>
      <c r="BH461" s="106"/>
      <c r="BI461" s="106"/>
      <c r="BJ461" s="106"/>
      <c r="BK461" s="106"/>
      <c r="BL461" s="137"/>
      <c r="BM461" s="123"/>
      <c r="BN461" s="139"/>
      <c r="BO461" s="94"/>
      <c r="BP461" s="94"/>
      <c r="BQ461" s="94"/>
      <c r="BR461" s="94"/>
      <c r="BS461" s="94"/>
      <c r="BT461" s="94"/>
      <c r="BU461" s="28">
        <f t="shared" si="331"/>
        <v>0</v>
      </c>
      <c r="BV461" s="28"/>
      <c r="BW461" s="28"/>
      <c r="BX461" s="28"/>
      <c r="BY461" s="28"/>
      <c r="BZ461" s="28"/>
      <c r="CA461" s="28"/>
      <c r="CB461" s="99">
        <v>15</v>
      </c>
      <c r="CC461" s="99">
        <v>15</v>
      </c>
      <c r="CD461" s="99">
        <v>15</v>
      </c>
      <c r="CE461" s="99">
        <f t="shared" ref="CE461:CE498" si="365">ROUND((CD461+CF461)/2,2)</f>
        <v>15</v>
      </c>
      <c r="CF461" s="99">
        <f t="shared" ref="CF461:CF498" si="366">ROUND((CD461+CH461)/2,2)</f>
        <v>15</v>
      </c>
      <c r="CG461" s="99">
        <f t="shared" ref="CG461:CG498" si="367">ROUND((CF461+CH461)/2,2)</f>
        <v>15</v>
      </c>
      <c r="CH461" s="99">
        <v>15</v>
      </c>
      <c r="CI461" s="175"/>
      <c r="CJ461" s="175"/>
      <c r="CK461" s="175"/>
      <c r="CL461" s="175"/>
      <c r="CM461" s="175"/>
      <c r="CN461" s="175"/>
      <c r="CO461" s="175"/>
      <c r="CP461" s="176"/>
      <c r="CQ461" s="176"/>
      <c r="CR461" s="176"/>
      <c r="CS461" s="176"/>
      <c r="CT461" s="176"/>
      <c r="CU461" s="176"/>
      <c r="CV461" s="176"/>
      <c r="CW461" s="167"/>
      <c r="CX461" s="168"/>
      <c r="CY461" s="168"/>
      <c r="CZ461" s="168"/>
      <c r="DA461" s="168"/>
      <c r="DB461" s="168"/>
      <c r="DC461" s="168"/>
      <c r="DD461" s="172"/>
      <c r="DE461" s="172"/>
      <c r="DF461" s="172"/>
      <c r="DG461" s="172"/>
      <c r="DH461" s="172"/>
      <c r="DI461" s="172"/>
      <c r="DJ461" s="172"/>
      <c r="DK461" s="80" t="s">
        <v>415</v>
      </c>
      <c r="DL461" s="129"/>
      <c r="DM461" s="129"/>
      <c r="DN461" s="129"/>
      <c r="DO461" s="129"/>
      <c r="DP461" s="129"/>
      <c r="DQ461" s="129"/>
      <c r="DR461" s="129"/>
      <c r="DS461" s="218"/>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5" t="s">
        <v>1710</v>
      </c>
      <c r="B462" s="5" t="s">
        <v>654</v>
      </c>
      <c r="C462" s="5" t="s">
        <v>534</v>
      </c>
      <c r="D462" s="5" t="s">
        <v>656</v>
      </c>
      <c r="E462" s="5" t="s">
        <v>1709</v>
      </c>
      <c r="F462" s="5" t="s">
        <v>533</v>
      </c>
      <c r="G462" s="47" t="s">
        <v>1711</v>
      </c>
      <c r="H462" s="47" t="s">
        <v>1162</v>
      </c>
      <c r="I462" s="101">
        <v>250</v>
      </c>
      <c r="J462" s="101">
        <v>250</v>
      </c>
      <c r="K462" s="101">
        <v>250</v>
      </c>
      <c r="L462" s="101">
        <v>250</v>
      </c>
      <c r="M462" s="101">
        <v>250</v>
      </c>
      <c r="N462" s="101">
        <v>250</v>
      </c>
      <c r="O462" s="101">
        <v>250</v>
      </c>
      <c r="P462" s="93">
        <v>0</v>
      </c>
      <c r="Q462" s="101">
        <v>0</v>
      </c>
      <c r="R462" s="101">
        <v>0</v>
      </c>
      <c r="S462" s="101">
        <v>0</v>
      </c>
      <c r="T462" s="101">
        <v>0</v>
      </c>
      <c r="U462" s="101">
        <v>0</v>
      </c>
      <c r="V462" s="101">
        <v>0</v>
      </c>
      <c r="W462" s="101">
        <v>0</v>
      </c>
      <c r="X462" s="101">
        <v>0</v>
      </c>
      <c r="Y462" s="101">
        <v>0</v>
      </c>
      <c r="Z462" s="101">
        <v>0</v>
      </c>
      <c r="AA462" s="101">
        <v>0</v>
      </c>
      <c r="AB462" s="101">
        <v>0</v>
      </c>
      <c r="AC462" s="101">
        <v>0</v>
      </c>
      <c r="AD462" s="101">
        <v>0</v>
      </c>
      <c r="AE462" s="186">
        <v>0.08</v>
      </c>
      <c r="AF462" s="93">
        <v>0</v>
      </c>
      <c r="AG462" s="93">
        <v>20</v>
      </c>
      <c r="AH462" s="93">
        <v>20</v>
      </c>
      <c r="AI462" s="16">
        <v>1</v>
      </c>
      <c r="AJ462" s="16" t="s">
        <v>662</v>
      </c>
      <c r="AK462" s="16" t="s">
        <v>745</v>
      </c>
      <c r="AL462" s="16"/>
      <c r="AM462" s="60"/>
      <c r="AN462" s="60"/>
      <c r="AO462" s="60"/>
      <c r="AP462" s="60"/>
      <c r="AQ462" s="60"/>
      <c r="AR462" s="60"/>
      <c r="AS462" s="63"/>
      <c r="AT462" s="63"/>
      <c r="AU462" s="63"/>
      <c r="AV462" s="131"/>
      <c r="AW462" s="131"/>
      <c r="AX462" s="131"/>
      <c r="AY462" s="27" t="s">
        <v>662</v>
      </c>
      <c r="AZ462" s="27"/>
      <c r="BA462" s="27"/>
      <c r="BB462" s="30"/>
      <c r="BC462" s="30"/>
      <c r="BD462" s="30"/>
      <c r="BE462" s="30"/>
      <c r="BF462" s="30"/>
      <c r="BG462" s="30"/>
      <c r="BH462" s="107"/>
      <c r="BI462" s="107"/>
      <c r="BJ462" s="107"/>
      <c r="BK462" s="107"/>
      <c r="BL462" s="136"/>
      <c r="BM462" s="122"/>
      <c r="BN462" s="138">
        <v>0</v>
      </c>
      <c r="BO462" s="93"/>
      <c r="BP462" s="93"/>
      <c r="BQ462" s="93"/>
      <c r="BR462" s="93"/>
      <c r="BS462" s="93"/>
      <c r="BT462" s="93"/>
      <c r="BU462" s="27">
        <f t="shared" si="331"/>
        <v>0</v>
      </c>
      <c r="BV462" s="27"/>
      <c r="BW462" s="27"/>
      <c r="BX462" s="27"/>
      <c r="BY462" s="27"/>
      <c r="BZ462" s="27"/>
      <c r="CA462" s="27"/>
      <c r="CB462" s="97">
        <v>0</v>
      </c>
      <c r="CC462" s="185">
        <v>1</v>
      </c>
      <c r="CD462" s="185">
        <v>2</v>
      </c>
      <c r="CE462" s="185">
        <v>3</v>
      </c>
      <c r="CF462" s="185">
        <v>4</v>
      </c>
      <c r="CG462" s="185">
        <v>5</v>
      </c>
      <c r="CH462" s="185">
        <f>CH461/3</f>
        <v>5</v>
      </c>
      <c r="CI462" s="173"/>
      <c r="CJ462" s="173"/>
      <c r="CK462" s="173"/>
      <c r="CL462" s="173"/>
      <c r="CM462" s="173"/>
      <c r="CN462" s="173"/>
      <c r="CO462" s="173"/>
      <c r="CP462" s="174"/>
      <c r="CQ462" s="174"/>
      <c r="CR462" s="174"/>
      <c r="CS462" s="174"/>
      <c r="CT462" s="174"/>
      <c r="CU462" s="174"/>
      <c r="CV462" s="174"/>
      <c r="CW462" s="165"/>
      <c r="CX462" s="166"/>
      <c r="CY462" s="166"/>
      <c r="CZ462" s="166"/>
      <c r="DA462" s="166"/>
      <c r="DB462" s="166"/>
      <c r="DC462" s="166"/>
      <c r="DD462" s="171"/>
      <c r="DE462" s="171"/>
      <c r="DF462" s="171"/>
      <c r="DG462" s="171"/>
      <c r="DH462" s="171"/>
      <c r="DI462" s="171"/>
      <c r="DJ462" s="171"/>
      <c r="DK462" s="79" t="s">
        <v>415</v>
      </c>
      <c r="DL462" s="128"/>
      <c r="DM462" s="128"/>
      <c r="DN462" s="128"/>
      <c r="DO462" s="128"/>
      <c r="DP462" s="128"/>
      <c r="DQ462" s="128"/>
      <c r="DR462" s="128"/>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6" t="s">
        <v>1712</v>
      </c>
      <c r="B463" s="6" t="s">
        <v>654</v>
      </c>
      <c r="C463" s="6" t="s">
        <v>534</v>
      </c>
      <c r="D463" s="6" t="s">
        <v>708</v>
      </c>
      <c r="E463" s="6" t="s">
        <v>1713</v>
      </c>
      <c r="F463" s="6" t="s">
        <v>535</v>
      </c>
      <c r="G463" s="48" t="s">
        <v>535</v>
      </c>
      <c r="H463" s="48" t="s">
        <v>1162</v>
      </c>
      <c r="I463" s="102">
        <v>0</v>
      </c>
      <c r="J463" s="102">
        <v>0</v>
      </c>
      <c r="K463" s="102">
        <v>0</v>
      </c>
      <c r="L463" s="102">
        <v>0</v>
      </c>
      <c r="M463" s="102">
        <v>0</v>
      </c>
      <c r="N463" s="102">
        <v>0</v>
      </c>
      <c r="O463" s="102">
        <v>0</v>
      </c>
      <c r="P463" s="94">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86">
        <v>0.08</v>
      </c>
      <c r="AF463" s="94">
        <v>0</v>
      </c>
      <c r="AG463" s="94">
        <v>1</v>
      </c>
      <c r="AH463" s="94">
        <v>1</v>
      </c>
      <c r="AI463" s="17">
        <v>1</v>
      </c>
      <c r="AJ463" s="17" t="s">
        <v>662</v>
      </c>
      <c r="AK463" s="17" t="s">
        <v>745</v>
      </c>
      <c r="AL463" s="17"/>
      <c r="AM463" s="61"/>
      <c r="AN463" s="61"/>
      <c r="AO463" s="61"/>
      <c r="AP463" s="61"/>
      <c r="AQ463" s="61"/>
      <c r="AR463" s="61"/>
      <c r="AS463" s="64"/>
      <c r="AT463" s="64"/>
      <c r="AU463" s="64"/>
      <c r="AV463" s="132"/>
      <c r="AW463" s="132"/>
      <c r="AX463" s="132"/>
      <c r="AY463" s="28" t="s">
        <v>662</v>
      </c>
      <c r="AZ463" s="28"/>
      <c r="BA463" s="28"/>
      <c r="BB463" s="28"/>
      <c r="BC463" s="28"/>
      <c r="BD463" s="28"/>
      <c r="BE463" s="28"/>
      <c r="BF463" s="28"/>
      <c r="BG463" s="28"/>
      <c r="BH463" s="106"/>
      <c r="BI463" s="106"/>
      <c r="BJ463" s="106"/>
      <c r="BK463" s="106"/>
      <c r="BL463" s="137"/>
      <c r="BM463" s="123"/>
      <c r="BN463" s="139"/>
      <c r="BO463" s="94"/>
      <c r="BP463" s="94"/>
      <c r="BQ463" s="94"/>
      <c r="BR463" s="94"/>
      <c r="BS463" s="94"/>
      <c r="BT463" s="94"/>
      <c r="BU463" s="28">
        <f t="shared" ref="BU463" si="368">IF(BL463=1,BN463,0)</f>
        <v>0</v>
      </c>
      <c r="BV463" s="28"/>
      <c r="BW463" s="28"/>
      <c r="BX463" s="28"/>
      <c r="BY463" s="28"/>
      <c r="BZ463" s="28"/>
      <c r="CA463" s="28"/>
      <c r="CB463" s="99">
        <v>20</v>
      </c>
      <c r="CC463" s="99">
        <v>20</v>
      </c>
      <c r="CD463" s="99">
        <v>20</v>
      </c>
      <c r="CE463" s="99">
        <f t="shared" si="365"/>
        <v>20</v>
      </c>
      <c r="CF463" s="99">
        <f t="shared" si="366"/>
        <v>20</v>
      </c>
      <c r="CG463" s="99">
        <f t="shared" si="367"/>
        <v>20</v>
      </c>
      <c r="CH463" s="99">
        <v>20</v>
      </c>
      <c r="CI463" s="175"/>
      <c r="CJ463" s="175"/>
      <c r="CK463" s="175"/>
      <c r="CL463" s="175"/>
      <c r="CM463" s="175"/>
      <c r="CN463" s="175"/>
      <c r="CO463" s="175"/>
      <c r="CP463" s="176"/>
      <c r="CQ463" s="176"/>
      <c r="CR463" s="176"/>
      <c r="CS463" s="176"/>
      <c r="CT463" s="176"/>
      <c r="CU463" s="176"/>
      <c r="CV463" s="176"/>
      <c r="CW463" s="167"/>
      <c r="CX463" s="168"/>
      <c r="CY463" s="168"/>
      <c r="CZ463" s="168"/>
      <c r="DA463" s="168"/>
      <c r="DB463" s="168"/>
      <c r="DC463" s="168"/>
      <c r="DD463" s="172"/>
      <c r="DE463" s="172"/>
      <c r="DF463" s="172"/>
      <c r="DG463" s="172"/>
      <c r="DH463" s="172"/>
      <c r="DI463" s="172"/>
      <c r="DJ463" s="172"/>
      <c r="DK463" s="80" t="s">
        <v>415</v>
      </c>
      <c r="DL463" s="129"/>
      <c r="DM463" s="129"/>
      <c r="DN463" s="129"/>
      <c r="DO463" s="129"/>
      <c r="DP463" s="129"/>
      <c r="DQ463" s="129"/>
      <c r="DR463" s="129"/>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5" t="s">
        <v>1714</v>
      </c>
      <c r="B464" s="5" t="s">
        <v>654</v>
      </c>
      <c r="C464" s="5" t="s">
        <v>534</v>
      </c>
      <c r="D464" s="5" t="s">
        <v>708</v>
      </c>
      <c r="E464" s="5" t="s">
        <v>1713</v>
      </c>
      <c r="F464" s="5" t="s">
        <v>535</v>
      </c>
      <c r="G464" s="47" t="s">
        <v>1715</v>
      </c>
      <c r="H464" s="47" t="s">
        <v>1162</v>
      </c>
      <c r="I464" s="101">
        <v>125</v>
      </c>
      <c r="J464" s="101">
        <v>125</v>
      </c>
      <c r="K464" s="101">
        <v>125</v>
      </c>
      <c r="L464" s="101">
        <v>125</v>
      </c>
      <c r="M464" s="101">
        <v>125</v>
      </c>
      <c r="N464" s="101">
        <v>125</v>
      </c>
      <c r="O464" s="101">
        <v>125</v>
      </c>
      <c r="P464" s="93">
        <v>0</v>
      </c>
      <c r="Q464" s="101">
        <v>0</v>
      </c>
      <c r="R464" s="101">
        <v>0</v>
      </c>
      <c r="S464" s="101">
        <v>0</v>
      </c>
      <c r="T464" s="101">
        <v>0</v>
      </c>
      <c r="U464" s="101">
        <v>0</v>
      </c>
      <c r="V464" s="101">
        <v>0</v>
      </c>
      <c r="W464" s="101">
        <v>0</v>
      </c>
      <c r="X464" s="101">
        <v>0</v>
      </c>
      <c r="Y464" s="101">
        <v>0</v>
      </c>
      <c r="Z464" s="101">
        <v>0</v>
      </c>
      <c r="AA464" s="101">
        <v>0</v>
      </c>
      <c r="AB464" s="101">
        <v>0</v>
      </c>
      <c r="AC464" s="101">
        <v>0</v>
      </c>
      <c r="AD464" s="101">
        <v>0</v>
      </c>
      <c r="AE464" s="186">
        <v>0.08</v>
      </c>
      <c r="AF464" s="93">
        <v>0</v>
      </c>
      <c r="AG464" s="93">
        <v>20</v>
      </c>
      <c r="AH464" s="93">
        <v>20</v>
      </c>
      <c r="AI464" s="16">
        <v>1</v>
      </c>
      <c r="AJ464" s="16" t="s">
        <v>662</v>
      </c>
      <c r="AK464" s="16" t="s">
        <v>745</v>
      </c>
      <c r="AL464" s="16"/>
      <c r="AM464" s="60"/>
      <c r="AN464" s="60"/>
      <c r="AO464" s="60"/>
      <c r="AP464" s="60"/>
      <c r="AQ464" s="60"/>
      <c r="AR464" s="60"/>
      <c r="AS464" s="63"/>
      <c r="AT464" s="63"/>
      <c r="AU464" s="63"/>
      <c r="AV464" s="131"/>
      <c r="AW464" s="131"/>
      <c r="AX464" s="131"/>
      <c r="AY464" s="27" t="s">
        <v>662</v>
      </c>
      <c r="AZ464" s="27"/>
      <c r="BA464" s="27"/>
      <c r="BB464" s="30"/>
      <c r="BC464" s="30"/>
      <c r="BD464" s="30"/>
      <c r="BE464" s="30"/>
      <c r="BF464" s="30"/>
      <c r="BG464" s="30"/>
      <c r="BH464" s="107"/>
      <c r="BI464" s="107"/>
      <c r="BJ464" s="107"/>
      <c r="BK464" s="107"/>
      <c r="BL464" s="136"/>
      <c r="BM464" s="122"/>
      <c r="BN464" s="138">
        <v>0</v>
      </c>
      <c r="BO464" s="93"/>
      <c r="BP464" s="93"/>
      <c r="BQ464" s="93"/>
      <c r="BR464" s="93"/>
      <c r="BS464" s="93"/>
      <c r="BT464" s="93"/>
      <c r="BU464" s="27">
        <f t="shared" ref="BU464:BU466" si="369">IF(BL464=1,BN464,0)</f>
        <v>0</v>
      </c>
      <c r="BV464" s="27"/>
      <c r="BW464" s="27"/>
      <c r="BX464" s="27"/>
      <c r="BY464" s="27"/>
      <c r="BZ464" s="27"/>
      <c r="CA464" s="27"/>
      <c r="CB464" s="97"/>
      <c r="CC464" s="185">
        <v>1</v>
      </c>
      <c r="CD464" s="185">
        <v>2</v>
      </c>
      <c r="CE464" s="185">
        <v>3</v>
      </c>
      <c r="CF464" s="185">
        <v>4</v>
      </c>
      <c r="CG464" s="185">
        <v>5</v>
      </c>
      <c r="CH464" s="185">
        <f>CH463/3</f>
        <v>6.666666666666667</v>
      </c>
      <c r="CI464" s="173"/>
      <c r="CJ464" s="173"/>
      <c r="CK464" s="173"/>
      <c r="CL464" s="173"/>
      <c r="CM464" s="173"/>
      <c r="CN464" s="173"/>
      <c r="CO464" s="173"/>
      <c r="CP464" s="174"/>
      <c r="CQ464" s="174"/>
      <c r="CR464" s="174"/>
      <c r="CS464" s="174"/>
      <c r="CT464" s="174"/>
      <c r="CU464" s="174"/>
      <c r="CV464" s="174"/>
      <c r="CW464" s="165"/>
      <c r="CX464" s="166"/>
      <c r="CY464" s="166"/>
      <c r="CZ464" s="166"/>
      <c r="DA464" s="166"/>
      <c r="DB464" s="166"/>
      <c r="DC464" s="166"/>
      <c r="DD464" s="171"/>
      <c r="DE464" s="171"/>
      <c r="DF464" s="171"/>
      <c r="DG464" s="171"/>
      <c r="DH464" s="171"/>
      <c r="DI464" s="171"/>
      <c r="DJ464" s="171"/>
      <c r="DK464" s="79" t="s">
        <v>415</v>
      </c>
      <c r="DL464" s="128"/>
      <c r="DM464" s="128"/>
      <c r="DN464" s="128"/>
      <c r="DO464" s="128"/>
      <c r="DP464" s="128"/>
      <c r="DQ464" s="128"/>
      <c r="DR464" s="128"/>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6" t="s">
        <v>1716</v>
      </c>
      <c r="B465" s="6" t="s">
        <v>726</v>
      </c>
      <c r="C465" s="6" t="s">
        <v>534</v>
      </c>
      <c r="D465" s="6" t="s">
        <v>727</v>
      </c>
      <c r="E465" s="6" t="s">
        <v>1709</v>
      </c>
      <c r="F465" s="6" t="s">
        <v>536</v>
      </c>
      <c r="G465" s="48" t="s">
        <v>536</v>
      </c>
      <c r="H465" s="48" t="s">
        <v>1162</v>
      </c>
      <c r="I465" s="102">
        <v>0</v>
      </c>
      <c r="J465" s="102">
        <v>0</v>
      </c>
      <c r="K465" s="102">
        <v>0</v>
      </c>
      <c r="L465" s="102">
        <v>0</v>
      </c>
      <c r="M465" s="102">
        <v>0</v>
      </c>
      <c r="N465" s="102">
        <v>0</v>
      </c>
      <c r="O465" s="102">
        <v>0</v>
      </c>
      <c r="P465" s="94">
        <v>0</v>
      </c>
      <c r="Q465" s="102">
        <v>0</v>
      </c>
      <c r="R465" s="102">
        <v>0</v>
      </c>
      <c r="S465" s="102">
        <v>0</v>
      </c>
      <c r="T465" s="102">
        <v>0</v>
      </c>
      <c r="U465" s="102">
        <v>0</v>
      </c>
      <c r="V465" s="102">
        <v>0</v>
      </c>
      <c r="W465" s="102">
        <v>0</v>
      </c>
      <c r="X465" s="102">
        <v>0</v>
      </c>
      <c r="Y465" s="102">
        <v>0</v>
      </c>
      <c r="Z465" s="102">
        <v>0</v>
      </c>
      <c r="AA465" s="102">
        <v>0</v>
      </c>
      <c r="AB465" s="102">
        <v>0</v>
      </c>
      <c r="AC465" s="102">
        <v>0</v>
      </c>
      <c r="AD465" s="102">
        <v>0</v>
      </c>
      <c r="AE465" s="186">
        <v>0.08</v>
      </c>
      <c r="AF465" s="94">
        <v>0</v>
      </c>
      <c r="AG465" s="94">
        <v>1</v>
      </c>
      <c r="AH465" s="94">
        <v>1</v>
      </c>
      <c r="AI465" s="17">
        <v>1</v>
      </c>
      <c r="AJ465" s="17" t="s">
        <v>662</v>
      </c>
      <c r="AK465" s="17" t="s">
        <v>745</v>
      </c>
      <c r="AL465" s="17"/>
      <c r="AM465" s="61"/>
      <c r="AN465" s="61"/>
      <c r="AO465" s="61"/>
      <c r="AP465" s="61"/>
      <c r="AQ465" s="61"/>
      <c r="AR465" s="61"/>
      <c r="AS465" s="64"/>
      <c r="AT465" s="64"/>
      <c r="AU465" s="64"/>
      <c r="AV465" s="132"/>
      <c r="AW465" s="132"/>
      <c r="AX465" s="132"/>
      <c r="AY465" s="28" t="s">
        <v>662</v>
      </c>
      <c r="AZ465" s="28"/>
      <c r="BA465" s="28"/>
      <c r="BB465" s="28"/>
      <c r="BC465" s="28"/>
      <c r="BD465" s="28"/>
      <c r="BE465" s="28"/>
      <c r="BF465" s="28"/>
      <c r="BG465" s="28"/>
      <c r="BH465" s="106"/>
      <c r="BI465" s="106"/>
      <c r="BJ465" s="106"/>
      <c r="BK465" s="106"/>
      <c r="BL465" s="137"/>
      <c r="BM465" s="123"/>
      <c r="BN465" s="139"/>
      <c r="BO465" s="94"/>
      <c r="BP465" s="94"/>
      <c r="BQ465" s="94"/>
      <c r="BR465" s="94"/>
      <c r="BS465" s="94"/>
      <c r="BT465" s="94"/>
      <c r="BU465" s="28">
        <f t="shared" si="369"/>
        <v>0</v>
      </c>
      <c r="BV465" s="28"/>
      <c r="BW465" s="28"/>
      <c r="BX465" s="28"/>
      <c r="BY465" s="28"/>
      <c r="BZ465" s="28"/>
      <c r="CA465" s="28"/>
      <c r="CB465" s="99">
        <v>15</v>
      </c>
      <c r="CC465" s="99">
        <v>15</v>
      </c>
      <c r="CD465" s="99">
        <v>15</v>
      </c>
      <c r="CE465" s="99">
        <f t="shared" si="365"/>
        <v>15</v>
      </c>
      <c r="CF465" s="99">
        <f t="shared" si="366"/>
        <v>15</v>
      </c>
      <c r="CG465" s="99">
        <f t="shared" si="367"/>
        <v>15</v>
      </c>
      <c r="CH465" s="99">
        <v>15</v>
      </c>
      <c r="CI465" s="175"/>
      <c r="CJ465" s="175"/>
      <c r="CK465" s="175"/>
      <c r="CL465" s="175"/>
      <c r="CM465" s="175"/>
      <c r="CN465" s="175"/>
      <c r="CO465" s="175"/>
      <c r="CP465" s="176"/>
      <c r="CQ465" s="176"/>
      <c r="CR465" s="176"/>
      <c r="CS465" s="176"/>
      <c r="CT465" s="176"/>
      <c r="CU465" s="176"/>
      <c r="CV465" s="176"/>
      <c r="CW465" s="167"/>
      <c r="CX465" s="168"/>
      <c r="CY465" s="168"/>
      <c r="CZ465" s="168"/>
      <c r="DA465" s="168"/>
      <c r="DB465" s="168"/>
      <c r="DC465" s="168"/>
      <c r="DD465" s="172"/>
      <c r="DE465" s="172"/>
      <c r="DF465" s="172"/>
      <c r="DG465" s="172"/>
      <c r="DH465" s="172"/>
      <c r="DI465" s="172"/>
      <c r="DJ465" s="172"/>
      <c r="DK465" s="80" t="s">
        <v>415</v>
      </c>
      <c r="DL465" s="129"/>
      <c r="DM465" s="129"/>
      <c r="DN465" s="129"/>
      <c r="DO465" s="129"/>
      <c r="DP465" s="129"/>
      <c r="DQ465" s="129"/>
      <c r="DR465" s="129"/>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5" t="s">
        <v>1717</v>
      </c>
      <c r="B466" s="5" t="s">
        <v>726</v>
      </c>
      <c r="C466" s="5" t="s">
        <v>534</v>
      </c>
      <c r="D466" s="5" t="s">
        <v>727</v>
      </c>
      <c r="E466" s="5" t="s">
        <v>1709</v>
      </c>
      <c r="F466" s="5" t="s">
        <v>536</v>
      </c>
      <c r="G466" s="47" t="s">
        <v>1711</v>
      </c>
      <c r="H466" s="47" t="s">
        <v>1162</v>
      </c>
      <c r="I466" s="101">
        <v>250</v>
      </c>
      <c r="J466" s="101">
        <v>250</v>
      </c>
      <c r="K466" s="101">
        <v>250</v>
      </c>
      <c r="L466" s="101">
        <v>250</v>
      </c>
      <c r="M466" s="101">
        <v>250</v>
      </c>
      <c r="N466" s="101">
        <v>250</v>
      </c>
      <c r="O466" s="101">
        <v>250</v>
      </c>
      <c r="P466" s="93">
        <v>0</v>
      </c>
      <c r="Q466" s="101">
        <v>0</v>
      </c>
      <c r="R466" s="101">
        <v>0</v>
      </c>
      <c r="S466" s="101">
        <v>0</v>
      </c>
      <c r="T466" s="101">
        <v>0</v>
      </c>
      <c r="U466" s="101">
        <v>0</v>
      </c>
      <c r="V466" s="101">
        <v>0</v>
      </c>
      <c r="W466" s="101">
        <v>0</v>
      </c>
      <c r="X466" s="101">
        <v>0</v>
      </c>
      <c r="Y466" s="101">
        <v>0</v>
      </c>
      <c r="Z466" s="101">
        <v>0</v>
      </c>
      <c r="AA466" s="101">
        <v>0</v>
      </c>
      <c r="AB466" s="101">
        <v>0</v>
      </c>
      <c r="AC466" s="101">
        <v>0</v>
      </c>
      <c r="AD466" s="101">
        <v>0</v>
      </c>
      <c r="AE466" s="186">
        <v>0.08</v>
      </c>
      <c r="AF466" s="93">
        <v>0</v>
      </c>
      <c r="AG466" s="93">
        <v>20</v>
      </c>
      <c r="AH466" s="93">
        <v>20</v>
      </c>
      <c r="AI466" s="16">
        <v>1</v>
      </c>
      <c r="AJ466" s="16" t="s">
        <v>662</v>
      </c>
      <c r="AK466" s="16" t="s">
        <v>745</v>
      </c>
      <c r="AL466" s="16"/>
      <c r="AM466" s="60"/>
      <c r="AN466" s="60"/>
      <c r="AO466" s="60"/>
      <c r="AP466" s="60"/>
      <c r="AQ466" s="60"/>
      <c r="AR466" s="60"/>
      <c r="AS466" s="63"/>
      <c r="AT466" s="63"/>
      <c r="AU466" s="63"/>
      <c r="AV466" s="131"/>
      <c r="AW466" s="131"/>
      <c r="AX466" s="131"/>
      <c r="AY466" s="27" t="s">
        <v>662</v>
      </c>
      <c r="AZ466" s="27"/>
      <c r="BA466" s="27"/>
      <c r="BB466" s="30"/>
      <c r="BC466" s="30"/>
      <c r="BD466" s="30"/>
      <c r="BE466" s="30"/>
      <c r="BF466" s="30"/>
      <c r="BG466" s="30"/>
      <c r="BH466" s="107"/>
      <c r="BI466" s="107"/>
      <c r="BJ466" s="107"/>
      <c r="BK466" s="107"/>
      <c r="BL466" s="136"/>
      <c r="BM466" s="122"/>
      <c r="BN466" s="138">
        <v>0</v>
      </c>
      <c r="BO466" s="93"/>
      <c r="BP466" s="93"/>
      <c r="BQ466" s="93"/>
      <c r="BR466" s="93"/>
      <c r="BS466" s="93"/>
      <c r="BT466" s="93"/>
      <c r="BU466" s="27">
        <f t="shared" si="369"/>
        <v>0</v>
      </c>
      <c r="BV466" s="27"/>
      <c r="BW466" s="27"/>
      <c r="BX466" s="27"/>
      <c r="BY466" s="27"/>
      <c r="BZ466" s="27"/>
      <c r="CA466" s="27"/>
      <c r="CB466" s="97"/>
      <c r="CC466" s="185">
        <v>1</v>
      </c>
      <c r="CD466" s="185">
        <v>2</v>
      </c>
      <c r="CE466" s="185">
        <v>3</v>
      </c>
      <c r="CF466" s="185">
        <v>4</v>
      </c>
      <c r="CG466" s="185">
        <v>5</v>
      </c>
      <c r="CH466" s="185">
        <f>CH465/3</f>
        <v>5</v>
      </c>
      <c r="CI466" s="173"/>
      <c r="CJ466" s="173"/>
      <c r="CK466" s="173"/>
      <c r="CL466" s="173"/>
      <c r="CM466" s="173"/>
      <c r="CN466" s="173"/>
      <c r="CO466" s="173"/>
      <c r="CP466" s="174"/>
      <c r="CQ466" s="174"/>
      <c r="CR466" s="174"/>
      <c r="CS466" s="174"/>
      <c r="CT466" s="174"/>
      <c r="CU466" s="174"/>
      <c r="CV466" s="174"/>
      <c r="CW466" s="165"/>
      <c r="CX466" s="166"/>
      <c r="CY466" s="166"/>
      <c r="CZ466" s="166"/>
      <c r="DA466" s="166"/>
      <c r="DB466" s="166"/>
      <c r="DC466" s="166"/>
      <c r="DD466" s="171"/>
      <c r="DE466" s="171"/>
      <c r="DF466" s="171"/>
      <c r="DG466" s="171"/>
      <c r="DH466" s="171"/>
      <c r="DI466" s="171"/>
      <c r="DJ466" s="171"/>
      <c r="DK466" s="79" t="s">
        <v>415</v>
      </c>
      <c r="DL466" s="128"/>
      <c r="DM466" s="128"/>
      <c r="DN466" s="128"/>
      <c r="DO466" s="128"/>
      <c r="DP466" s="128"/>
      <c r="DQ466" s="128"/>
      <c r="DR466" s="128"/>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6" t="s">
        <v>1718</v>
      </c>
      <c r="B467" s="6" t="s">
        <v>726</v>
      </c>
      <c r="C467" s="6" t="s">
        <v>534</v>
      </c>
      <c r="D467" s="6" t="s">
        <v>727</v>
      </c>
      <c r="E467" s="6" t="s">
        <v>1713</v>
      </c>
      <c r="F467" s="6" t="s">
        <v>537</v>
      </c>
      <c r="G467" s="48" t="s">
        <v>537</v>
      </c>
      <c r="H467" s="48" t="s">
        <v>1162</v>
      </c>
      <c r="I467" s="102">
        <v>0</v>
      </c>
      <c r="J467" s="102">
        <v>0</v>
      </c>
      <c r="K467" s="102">
        <v>0</v>
      </c>
      <c r="L467" s="102">
        <v>0</v>
      </c>
      <c r="M467" s="102">
        <v>0</v>
      </c>
      <c r="N467" s="102">
        <v>0</v>
      </c>
      <c r="O467" s="102">
        <v>0</v>
      </c>
      <c r="P467" s="94">
        <v>0</v>
      </c>
      <c r="Q467" s="102">
        <v>0</v>
      </c>
      <c r="R467" s="102">
        <v>0</v>
      </c>
      <c r="S467" s="102">
        <v>0</v>
      </c>
      <c r="T467" s="102">
        <v>0</v>
      </c>
      <c r="U467" s="102">
        <v>0</v>
      </c>
      <c r="V467" s="102">
        <v>0</v>
      </c>
      <c r="W467" s="102">
        <v>0</v>
      </c>
      <c r="X467" s="102">
        <v>0</v>
      </c>
      <c r="Y467" s="102">
        <v>0</v>
      </c>
      <c r="Z467" s="102">
        <v>0</v>
      </c>
      <c r="AA467" s="102">
        <v>0</v>
      </c>
      <c r="AB467" s="102">
        <v>0</v>
      </c>
      <c r="AC467" s="102">
        <v>0</v>
      </c>
      <c r="AD467" s="102">
        <v>0</v>
      </c>
      <c r="AE467" s="186">
        <v>0.08</v>
      </c>
      <c r="AF467" s="94">
        <v>0</v>
      </c>
      <c r="AG467" s="94">
        <v>1</v>
      </c>
      <c r="AH467" s="94">
        <v>1</v>
      </c>
      <c r="AI467" s="17">
        <v>1</v>
      </c>
      <c r="AJ467" s="17" t="s">
        <v>662</v>
      </c>
      <c r="AK467" s="17" t="s">
        <v>745</v>
      </c>
      <c r="AL467" s="17"/>
      <c r="AM467" s="61"/>
      <c r="AN467" s="61"/>
      <c r="AO467" s="61"/>
      <c r="AP467" s="61"/>
      <c r="AQ467" s="61"/>
      <c r="AR467" s="61"/>
      <c r="AS467" s="64"/>
      <c r="AT467" s="64"/>
      <c r="AU467" s="64"/>
      <c r="AV467" s="132"/>
      <c r="AW467" s="132"/>
      <c r="AX467" s="132"/>
      <c r="AY467" s="28" t="s">
        <v>662</v>
      </c>
      <c r="AZ467" s="28"/>
      <c r="BA467" s="28"/>
      <c r="BB467" s="28"/>
      <c r="BC467" s="28"/>
      <c r="BD467" s="28"/>
      <c r="BE467" s="28"/>
      <c r="BF467" s="28"/>
      <c r="BG467" s="28"/>
      <c r="BH467" s="106"/>
      <c r="BI467" s="106"/>
      <c r="BJ467" s="106"/>
      <c r="BK467" s="106"/>
      <c r="BL467" s="137"/>
      <c r="BM467" s="123"/>
      <c r="BN467" s="139"/>
      <c r="BO467" s="94"/>
      <c r="BP467" s="94"/>
      <c r="BQ467" s="94"/>
      <c r="BR467" s="94"/>
      <c r="BS467" s="94"/>
      <c r="BT467" s="94"/>
      <c r="BU467" s="28">
        <f t="shared" si="331"/>
        <v>0</v>
      </c>
      <c r="BV467" s="28"/>
      <c r="BW467" s="28"/>
      <c r="BX467" s="28"/>
      <c r="BY467" s="28"/>
      <c r="BZ467" s="28"/>
      <c r="CA467" s="28"/>
      <c r="CB467" s="99">
        <v>20</v>
      </c>
      <c r="CC467" s="99">
        <v>20</v>
      </c>
      <c r="CD467" s="99">
        <v>20</v>
      </c>
      <c r="CE467" s="99">
        <f t="shared" si="365"/>
        <v>20</v>
      </c>
      <c r="CF467" s="99">
        <f t="shared" si="366"/>
        <v>20</v>
      </c>
      <c r="CG467" s="99">
        <f t="shared" si="367"/>
        <v>20</v>
      </c>
      <c r="CH467" s="99">
        <v>20</v>
      </c>
      <c r="CI467" s="175"/>
      <c r="CJ467" s="175"/>
      <c r="CK467" s="175"/>
      <c r="CL467" s="175"/>
      <c r="CM467" s="175"/>
      <c r="CN467" s="175"/>
      <c r="CO467" s="175"/>
      <c r="CP467" s="176"/>
      <c r="CQ467" s="176"/>
      <c r="CR467" s="176"/>
      <c r="CS467" s="176"/>
      <c r="CT467" s="176"/>
      <c r="CU467" s="176"/>
      <c r="CV467" s="176"/>
      <c r="CW467" s="167"/>
      <c r="CX467" s="168"/>
      <c r="CY467" s="168"/>
      <c r="CZ467" s="168"/>
      <c r="DA467" s="168"/>
      <c r="DB467" s="168"/>
      <c r="DC467" s="168"/>
      <c r="DD467" s="172"/>
      <c r="DE467" s="172"/>
      <c r="DF467" s="172"/>
      <c r="DG467" s="172"/>
      <c r="DH467" s="172"/>
      <c r="DI467" s="172"/>
      <c r="DJ467" s="172"/>
      <c r="DK467" s="80" t="s">
        <v>415</v>
      </c>
      <c r="DL467" s="129"/>
      <c r="DM467" s="129"/>
      <c r="DN467" s="129"/>
      <c r="DO467" s="129"/>
      <c r="DP467" s="129"/>
      <c r="DQ467" s="129"/>
      <c r="DR467" s="129"/>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5" t="s">
        <v>1719</v>
      </c>
      <c r="B468" s="5" t="s">
        <v>726</v>
      </c>
      <c r="C468" s="5" t="s">
        <v>534</v>
      </c>
      <c r="D468" s="5" t="s">
        <v>727</v>
      </c>
      <c r="E468" s="5" t="s">
        <v>1713</v>
      </c>
      <c r="F468" s="5" t="s">
        <v>537</v>
      </c>
      <c r="G468" s="47" t="s">
        <v>1720</v>
      </c>
      <c r="H468" s="47" t="s">
        <v>1162</v>
      </c>
      <c r="I468" s="101">
        <v>75</v>
      </c>
      <c r="J468" s="101">
        <v>83.33</v>
      </c>
      <c r="K468" s="101">
        <v>91.67</v>
      </c>
      <c r="L468" s="101">
        <v>100</v>
      </c>
      <c r="M468" s="101">
        <v>108.33</v>
      </c>
      <c r="N468" s="101">
        <v>116.67</v>
      </c>
      <c r="O468" s="101">
        <v>125</v>
      </c>
      <c r="P468" s="93">
        <v>0</v>
      </c>
      <c r="Q468" s="101">
        <v>0</v>
      </c>
      <c r="R468" s="101">
        <v>0</v>
      </c>
      <c r="S468" s="101">
        <v>0</v>
      </c>
      <c r="T468" s="101">
        <v>0</v>
      </c>
      <c r="U468" s="101">
        <v>0</v>
      </c>
      <c r="V468" s="101">
        <v>0</v>
      </c>
      <c r="W468" s="101">
        <v>0</v>
      </c>
      <c r="X468" s="101">
        <v>0</v>
      </c>
      <c r="Y468" s="101">
        <v>0</v>
      </c>
      <c r="Z468" s="101">
        <v>0</v>
      </c>
      <c r="AA468" s="101">
        <v>0</v>
      </c>
      <c r="AB468" s="101">
        <v>0</v>
      </c>
      <c r="AC468" s="101">
        <v>0</v>
      </c>
      <c r="AD468" s="101">
        <v>0</v>
      </c>
      <c r="AE468" s="186">
        <v>0.08</v>
      </c>
      <c r="AF468" s="93">
        <v>0</v>
      </c>
      <c r="AG468" s="93">
        <v>20</v>
      </c>
      <c r="AH468" s="93">
        <v>20</v>
      </c>
      <c r="AI468" s="16">
        <v>1</v>
      </c>
      <c r="AJ468" s="16" t="s">
        <v>662</v>
      </c>
      <c r="AK468" s="16" t="s">
        <v>745</v>
      </c>
      <c r="AL468" s="16"/>
      <c r="AM468" s="60"/>
      <c r="AN468" s="60"/>
      <c r="AO468" s="60"/>
      <c r="AP468" s="60"/>
      <c r="AQ468" s="60"/>
      <c r="AR468" s="60"/>
      <c r="AS468" s="63"/>
      <c r="AT468" s="63"/>
      <c r="AU468" s="63"/>
      <c r="AV468" s="131"/>
      <c r="AW468" s="131"/>
      <c r="AX468" s="131"/>
      <c r="AY468" s="27" t="s">
        <v>662</v>
      </c>
      <c r="AZ468" s="27"/>
      <c r="BA468" s="27"/>
      <c r="BB468" s="30"/>
      <c r="BC468" s="30"/>
      <c r="BD468" s="30"/>
      <c r="BE468" s="30"/>
      <c r="BF468" s="30"/>
      <c r="BG468" s="30"/>
      <c r="BH468" s="107"/>
      <c r="BI468" s="107"/>
      <c r="BJ468" s="107"/>
      <c r="BK468" s="107"/>
      <c r="BL468" s="136"/>
      <c r="BM468" s="122"/>
      <c r="BN468" s="138">
        <v>0</v>
      </c>
      <c r="BO468" s="93"/>
      <c r="BP468" s="93"/>
      <c r="BQ468" s="93"/>
      <c r="BR468" s="93"/>
      <c r="BS468" s="93"/>
      <c r="BT468" s="93"/>
      <c r="BU468" s="27">
        <f t="shared" si="331"/>
        <v>0</v>
      </c>
      <c r="BV468" s="27"/>
      <c r="BW468" s="27"/>
      <c r="BX468" s="27"/>
      <c r="BY468" s="27"/>
      <c r="BZ468" s="27"/>
      <c r="CA468" s="27"/>
      <c r="CB468" s="97">
        <v>0.435</v>
      </c>
      <c r="CC468" s="97">
        <v>0.5918589138024728</v>
      </c>
      <c r="CD468" s="97">
        <v>0.6</v>
      </c>
      <c r="CE468" s="97">
        <f t="shared" si="365"/>
        <v>0.56999999999999995</v>
      </c>
      <c r="CF468" s="97">
        <f t="shared" si="366"/>
        <v>0.53</v>
      </c>
      <c r="CG468" s="97">
        <f t="shared" si="367"/>
        <v>0.5</v>
      </c>
      <c r="CH468" s="97">
        <v>0.46</v>
      </c>
      <c r="CI468" s="173"/>
      <c r="CJ468" s="173"/>
      <c r="CK468" s="173"/>
      <c r="CL468" s="173"/>
      <c r="CM468" s="173"/>
      <c r="CN468" s="173"/>
      <c r="CO468" s="173"/>
      <c r="CP468" s="174"/>
      <c r="CQ468" s="174"/>
      <c r="CR468" s="174"/>
      <c r="CS468" s="174"/>
      <c r="CT468" s="174"/>
      <c r="CU468" s="174"/>
      <c r="CV468" s="174"/>
      <c r="CW468" s="165"/>
      <c r="CX468" s="166"/>
      <c r="CY468" s="166"/>
      <c r="CZ468" s="166"/>
      <c r="DA468" s="166"/>
      <c r="DB468" s="166"/>
      <c r="DC468" s="166"/>
      <c r="DD468" s="171"/>
      <c r="DE468" s="171"/>
      <c r="DF468" s="171"/>
      <c r="DG468" s="171"/>
      <c r="DH468" s="171"/>
      <c r="DI468" s="171"/>
      <c r="DJ468" s="171"/>
      <c r="DK468" s="79" t="s">
        <v>415</v>
      </c>
      <c r="DL468" s="128"/>
      <c r="DM468" s="128"/>
      <c r="DN468" s="128"/>
      <c r="DO468" s="128"/>
      <c r="DP468" s="128"/>
      <c r="DQ468" s="128"/>
      <c r="DR468" s="128"/>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6" t="s">
        <v>1721</v>
      </c>
      <c r="B469" s="6" t="s">
        <v>726</v>
      </c>
      <c r="C469" s="6" t="s">
        <v>534</v>
      </c>
      <c r="D469" s="6" t="s">
        <v>727</v>
      </c>
      <c r="E469" s="6" t="s">
        <v>1713</v>
      </c>
      <c r="F469" s="6" t="s">
        <v>537</v>
      </c>
      <c r="G469" s="48" t="s">
        <v>1722</v>
      </c>
      <c r="H469" s="48" t="s">
        <v>1162</v>
      </c>
      <c r="I469" s="102">
        <v>1250</v>
      </c>
      <c r="J469" s="102">
        <v>1270.83</v>
      </c>
      <c r="K469" s="102">
        <v>1291.67</v>
      </c>
      <c r="L469" s="102">
        <v>1312.5</v>
      </c>
      <c r="M469" s="102">
        <v>1333.33</v>
      </c>
      <c r="N469" s="102">
        <v>1354.17</v>
      </c>
      <c r="O469" s="102">
        <v>1375</v>
      </c>
      <c r="P469" s="94">
        <v>0</v>
      </c>
      <c r="Q469" s="102">
        <v>0</v>
      </c>
      <c r="R469" s="102">
        <v>0</v>
      </c>
      <c r="S469" s="102">
        <v>0</v>
      </c>
      <c r="T469" s="102">
        <v>0</v>
      </c>
      <c r="U469" s="102">
        <v>0</v>
      </c>
      <c r="V469" s="102">
        <v>0</v>
      </c>
      <c r="W469" s="102">
        <v>0</v>
      </c>
      <c r="X469" s="102">
        <v>0</v>
      </c>
      <c r="Y469" s="102">
        <v>0</v>
      </c>
      <c r="Z469" s="102">
        <v>0</v>
      </c>
      <c r="AA469" s="102">
        <v>0</v>
      </c>
      <c r="AB469" s="102">
        <v>0</v>
      </c>
      <c r="AC469" s="102">
        <v>0</v>
      </c>
      <c r="AD469" s="102">
        <v>0</v>
      </c>
      <c r="AE469" s="186">
        <v>0.08</v>
      </c>
      <c r="AF469" s="94">
        <v>0</v>
      </c>
      <c r="AG469" s="94">
        <v>20</v>
      </c>
      <c r="AH469" s="94">
        <v>20</v>
      </c>
      <c r="AI469" s="17">
        <v>1</v>
      </c>
      <c r="AJ469" s="17" t="s">
        <v>662</v>
      </c>
      <c r="AK469" s="17" t="s">
        <v>745</v>
      </c>
      <c r="AL469" s="17"/>
      <c r="AM469" s="61"/>
      <c r="AN469" s="61"/>
      <c r="AO469" s="61"/>
      <c r="AP469" s="61"/>
      <c r="AQ469" s="61"/>
      <c r="AR469" s="61"/>
      <c r="AS469" s="64"/>
      <c r="AT469" s="64"/>
      <c r="AU469" s="64"/>
      <c r="AV469" s="132"/>
      <c r="AW469" s="132"/>
      <c r="AX469" s="132"/>
      <c r="AY469" s="28" t="s">
        <v>662</v>
      </c>
      <c r="AZ469" s="28"/>
      <c r="BA469" s="28"/>
      <c r="BB469" s="28"/>
      <c r="BC469" s="28"/>
      <c r="BD469" s="28"/>
      <c r="BE469" s="28"/>
      <c r="BF469" s="28"/>
      <c r="BG469" s="28"/>
      <c r="BH469" s="106"/>
      <c r="BI469" s="106"/>
      <c r="BJ469" s="106"/>
      <c r="BK469" s="106"/>
      <c r="BL469" s="137"/>
      <c r="BM469" s="123"/>
      <c r="BN469" s="139">
        <v>0</v>
      </c>
      <c r="BO469" s="94"/>
      <c r="BP469" s="94"/>
      <c r="BQ469" s="94"/>
      <c r="BR469" s="94"/>
      <c r="BS469" s="94"/>
      <c r="BT469" s="94"/>
      <c r="BU469" s="28">
        <f t="shared" si="331"/>
        <v>0</v>
      </c>
      <c r="BV469" s="28"/>
      <c r="BW469" s="28"/>
      <c r="BX469" s="28"/>
      <c r="BY469" s="28"/>
      <c r="BZ469" s="28"/>
      <c r="CA469" s="28"/>
      <c r="CB469" s="99">
        <v>0.34799999999999998</v>
      </c>
      <c r="CC469" s="99">
        <v>0.46201918535185454</v>
      </c>
      <c r="CD469" s="99">
        <v>0.5</v>
      </c>
      <c r="CE469" s="99">
        <f t="shared" si="365"/>
        <v>0.47</v>
      </c>
      <c r="CF469" s="99">
        <f t="shared" si="366"/>
        <v>0.43</v>
      </c>
      <c r="CG469" s="99">
        <f t="shared" si="367"/>
        <v>0.4</v>
      </c>
      <c r="CH469" s="99">
        <v>0.36</v>
      </c>
      <c r="CI469" s="175"/>
      <c r="CJ469" s="175"/>
      <c r="CK469" s="175"/>
      <c r="CL469" s="175"/>
      <c r="CM469" s="175"/>
      <c r="CN469" s="175"/>
      <c r="CO469" s="175"/>
      <c r="CP469" s="176"/>
      <c r="CQ469" s="176"/>
      <c r="CR469" s="176"/>
      <c r="CS469" s="176"/>
      <c r="CT469" s="176"/>
      <c r="CU469" s="176"/>
      <c r="CV469" s="176"/>
      <c r="CW469" s="167"/>
      <c r="CX469" s="168"/>
      <c r="CY469" s="168"/>
      <c r="CZ469" s="168"/>
      <c r="DA469" s="168"/>
      <c r="DB469" s="168"/>
      <c r="DC469" s="168"/>
      <c r="DD469" s="172"/>
      <c r="DE469" s="172"/>
      <c r="DF469" s="172"/>
      <c r="DG469" s="172"/>
      <c r="DH469" s="172"/>
      <c r="DI469" s="172"/>
      <c r="DJ469" s="172"/>
      <c r="DK469" s="80" t="s">
        <v>415</v>
      </c>
      <c r="DL469" s="129"/>
      <c r="DM469" s="129"/>
      <c r="DN469" s="129"/>
      <c r="DO469" s="129"/>
      <c r="DP469" s="129"/>
      <c r="DQ469" s="129"/>
      <c r="DR469" s="129"/>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5" t="s">
        <v>1723</v>
      </c>
      <c r="B470" s="5" t="s">
        <v>726</v>
      </c>
      <c r="C470" s="5" t="s">
        <v>534</v>
      </c>
      <c r="D470" s="5" t="s">
        <v>727</v>
      </c>
      <c r="E470" s="5" t="s">
        <v>1713</v>
      </c>
      <c r="F470" s="5" t="s">
        <v>537</v>
      </c>
      <c r="G470" s="47" t="s">
        <v>1724</v>
      </c>
      <c r="H470" s="47" t="s">
        <v>1162</v>
      </c>
      <c r="I470" s="101">
        <v>4750</v>
      </c>
      <c r="J470" s="101">
        <v>4750</v>
      </c>
      <c r="K470" s="101">
        <v>4750</v>
      </c>
      <c r="L470" s="101">
        <v>4750</v>
      </c>
      <c r="M470" s="101">
        <v>4750</v>
      </c>
      <c r="N470" s="101">
        <v>4750</v>
      </c>
      <c r="O470" s="101">
        <v>4750</v>
      </c>
      <c r="P470" s="93">
        <v>0</v>
      </c>
      <c r="Q470" s="101">
        <v>0</v>
      </c>
      <c r="R470" s="101">
        <v>0</v>
      </c>
      <c r="S470" s="101">
        <v>0</v>
      </c>
      <c r="T470" s="101">
        <v>0</v>
      </c>
      <c r="U470" s="101">
        <v>0</v>
      </c>
      <c r="V470" s="101">
        <v>0</v>
      </c>
      <c r="W470" s="101">
        <v>0</v>
      </c>
      <c r="X470" s="101">
        <v>0</v>
      </c>
      <c r="Y470" s="101">
        <v>0</v>
      </c>
      <c r="Z470" s="101">
        <v>0</v>
      </c>
      <c r="AA470" s="101">
        <v>0</v>
      </c>
      <c r="AB470" s="101">
        <v>0</v>
      </c>
      <c r="AC470" s="101">
        <v>0</v>
      </c>
      <c r="AD470" s="101">
        <v>0</v>
      </c>
      <c r="AE470" s="186">
        <v>0.08</v>
      </c>
      <c r="AF470" s="93">
        <v>0</v>
      </c>
      <c r="AG470" s="93">
        <v>20</v>
      </c>
      <c r="AH470" s="93">
        <v>20</v>
      </c>
      <c r="AI470" s="16">
        <v>1</v>
      </c>
      <c r="AJ470" s="16" t="s">
        <v>662</v>
      </c>
      <c r="AK470" s="16" t="s">
        <v>745</v>
      </c>
      <c r="AL470" s="16"/>
      <c r="AM470" s="60"/>
      <c r="AN470" s="60"/>
      <c r="AO470" s="60"/>
      <c r="AP470" s="60"/>
      <c r="AQ470" s="60"/>
      <c r="AR470" s="60"/>
      <c r="AS470" s="63"/>
      <c r="AT470" s="63"/>
      <c r="AU470" s="63"/>
      <c r="AV470" s="131"/>
      <c r="AW470" s="131"/>
      <c r="AX470" s="131"/>
      <c r="AY470" s="27" t="s">
        <v>662</v>
      </c>
      <c r="AZ470" s="27"/>
      <c r="BA470" s="27"/>
      <c r="BB470" s="30"/>
      <c r="BC470" s="30"/>
      <c r="BD470" s="30"/>
      <c r="BE470" s="30"/>
      <c r="BF470" s="30"/>
      <c r="BG470" s="30"/>
      <c r="BH470" s="107"/>
      <c r="BI470" s="107"/>
      <c r="BJ470" s="107"/>
      <c r="BK470" s="107"/>
      <c r="BL470" s="136"/>
      <c r="BM470" s="122"/>
      <c r="BN470" s="138">
        <v>0</v>
      </c>
      <c r="BO470" s="93"/>
      <c r="BP470" s="93"/>
      <c r="BQ470" s="93"/>
      <c r="BR470" s="93"/>
      <c r="BS470" s="93"/>
      <c r="BT470" s="93"/>
      <c r="BU470" s="27">
        <f t="shared" si="331"/>
        <v>0</v>
      </c>
      <c r="BV470" s="27"/>
      <c r="BW470" s="27"/>
      <c r="BX470" s="27"/>
      <c r="BY470" s="27"/>
      <c r="BZ470" s="27"/>
      <c r="CA470" s="27"/>
      <c r="CB470" s="97">
        <v>0</v>
      </c>
      <c r="CC470" s="97">
        <v>5.7339728450618188E-2</v>
      </c>
      <c r="CD470" s="97">
        <v>0.1</v>
      </c>
      <c r="CE470" s="97">
        <f t="shared" si="365"/>
        <v>0.13</v>
      </c>
      <c r="CF470" s="97">
        <f t="shared" si="366"/>
        <v>0.15</v>
      </c>
      <c r="CG470" s="97">
        <f t="shared" si="367"/>
        <v>0.18</v>
      </c>
      <c r="CH470" s="97">
        <v>0.2</v>
      </c>
      <c r="CI470" s="173"/>
      <c r="CJ470" s="173"/>
      <c r="CK470" s="173"/>
      <c r="CL470" s="173"/>
      <c r="CM470" s="173"/>
      <c r="CN470" s="173"/>
      <c r="CO470" s="173"/>
      <c r="CP470" s="174"/>
      <c r="CQ470" s="174"/>
      <c r="CR470" s="174"/>
      <c r="CS470" s="174"/>
      <c r="CT470" s="174"/>
      <c r="CU470" s="174"/>
      <c r="CV470" s="174"/>
      <c r="CW470" s="165"/>
      <c r="CX470" s="166"/>
      <c r="CY470" s="166"/>
      <c r="CZ470" s="166"/>
      <c r="DA470" s="166"/>
      <c r="DB470" s="166"/>
      <c r="DC470" s="166"/>
      <c r="DD470" s="171"/>
      <c r="DE470" s="171"/>
      <c r="DF470" s="171"/>
      <c r="DG470" s="171"/>
      <c r="DH470" s="171"/>
      <c r="DI470" s="171"/>
      <c r="DJ470" s="171"/>
      <c r="DK470" s="79" t="s">
        <v>415</v>
      </c>
      <c r="DL470" s="128"/>
      <c r="DM470" s="128"/>
      <c r="DN470" s="128"/>
      <c r="DO470" s="128"/>
      <c r="DP470" s="128"/>
      <c r="DQ470" s="128"/>
      <c r="DR470" s="128"/>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6" t="s">
        <v>1725</v>
      </c>
      <c r="B471" s="6" t="s">
        <v>726</v>
      </c>
      <c r="C471" s="6" t="s">
        <v>534</v>
      </c>
      <c r="D471" s="6" t="s">
        <v>727</v>
      </c>
      <c r="E471" s="6" t="s">
        <v>1713</v>
      </c>
      <c r="F471" s="6" t="s">
        <v>537</v>
      </c>
      <c r="G471" s="48" t="s">
        <v>1726</v>
      </c>
      <c r="H471" s="48" t="s">
        <v>1162</v>
      </c>
      <c r="I471" s="102">
        <v>25</v>
      </c>
      <c r="J471" s="102">
        <v>52.08</v>
      </c>
      <c r="K471" s="102">
        <v>79.17</v>
      </c>
      <c r="L471" s="102">
        <v>106.25</v>
      </c>
      <c r="M471" s="102">
        <v>133.33000000000001</v>
      </c>
      <c r="N471" s="102">
        <v>160.41999999999999</v>
      </c>
      <c r="O471" s="102">
        <v>187.5</v>
      </c>
      <c r="P471" s="94">
        <v>0</v>
      </c>
      <c r="Q471" s="102">
        <v>0</v>
      </c>
      <c r="R471" s="102">
        <v>0</v>
      </c>
      <c r="S471" s="102">
        <v>0</v>
      </c>
      <c r="T471" s="102">
        <v>0</v>
      </c>
      <c r="U471" s="102">
        <v>0</v>
      </c>
      <c r="V471" s="102">
        <v>0</v>
      </c>
      <c r="W471" s="102">
        <v>0</v>
      </c>
      <c r="X471" s="102">
        <v>0</v>
      </c>
      <c r="Y471" s="102">
        <v>0</v>
      </c>
      <c r="Z471" s="102">
        <v>0</v>
      </c>
      <c r="AA471" s="102">
        <v>0</v>
      </c>
      <c r="AB471" s="102">
        <v>0</v>
      </c>
      <c r="AC471" s="102">
        <v>0</v>
      </c>
      <c r="AD471" s="102">
        <v>0</v>
      </c>
      <c r="AE471" s="186">
        <v>0.08</v>
      </c>
      <c r="AF471" s="94">
        <v>0</v>
      </c>
      <c r="AG471" s="94">
        <v>20</v>
      </c>
      <c r="AH471" s="94">
        <v>20</v>
      </c>
      <c r="AI471" s="17">
        <v>1</v>
      </c>
      <c r="AJ471" s="17" t="s">
        <v>662</v>
      </c>
      <c r="AK471" s="17" t="s">
        <v>745</v>
      </c>
      <c r="AL471" s="17"/>
      <c r="AM471" s="61"/>
      <c r="AN471" s="61"/>
      <c r="AO471" s="61"/>
      <c r="AP471" s="61"/>
      <c r="AQ471" s="61"/>
      <c r="AR471" s="61"/>
      <c r="AS471" s="64"/>
      <c r="AT471" s="64"/>
      <c r="AU471" s="64"/>
      <c r="AV471" s="132"/>
      <c r="AW471" s="132"/>
      <c r="AX471" s="132"/>
      <c r="AY471" s="28" t="s">
        <v>662</v>
      </c>
      <c r="AZ471" s="28"/>
      <c r="BA471" s="28"/>
      <c r="BB471" s="28"/>
      <c r="BC471" s="28"/>
      <c r="BD471" s="28"/>
      <c r="BE471" s="28"/>
      <c r="BF471" s="28"/>
      <c r="BG471" s="28"/>
      <c r="BH471" s="106"/>
      <c r="BI471" s="106"/>
      <c r="BJ471" s="106"/>
      <c r="BK471" s="106"/>
      <c r="BL471" s="137"/>
      <c r="BM471" s="123"/>
      <c r="BN471" s="139">
        <v>0</v>
      </c>
      <c r="BO471" s="94"/>
      <c r="BP471" s="94"/>
      <c r="BQ471" s="94"/>
      <c r="BR471" s="94"/>
      <c r="BS471" s="94"/>
      <c r="BT471" s="94"/>
      <c r="BU471" s="28">
        <f t="shared" si="331"/>
        <v>0</v>
      </c>
      <c r="BV471" s="28"/>
      <c r="BW471" s="28"/>
      <c r="BX471" s="28"/>
      <c r="BY471" s="28"/>
      <c r="BZ471" s="28"/>
      <c r="CA471" s="28"/>
      <c r="CB471" s="99">
        <v>0.19500000000000001</v>
      </c>
      <c r="CC471" s="99">
        <v>0.37158485484745568</v>
      </c>
      <c r="CD471" s="99">
        <v>0.4</v>
      </c>
      <c r="CE471" s="99">
        <f t="shared" si="365"/>
        <v>0.4</v>
      </c>
      <c r="CF471" s="99">
        <f t="shared" si="366"/>
        <v>0.4</v>
      </c>
      <c r="CG471" s="99">
        <f t="shared" si="367"/>
        <v>0.4</v>
      </c>
      <c r="CH471" s="99">
        <v>0.4</v>
      </c>
      <c r="CI471" s="175"/>
      <c r="CJ471" s="175"/>
      <c r="CK471" s="175"/>
      <c r="CL471" s="175"/>
      <c r="CM471" s="175"/>
      <c r="CN471" s="175"/>
      <c r="CO471" s="175"/>
      <c r="CP471" s="176"/>
      <c r="CQ471" s="176"/>
      <c r="CR471" s="176"/>
      <c r="CS471" s="176"/>
      <c r="CT471" s="176"/>
      <c r="CU471" s="176"/>
      <c r="CV471" s="176"/>
      <c r="CW471" s="167"/>
      <c r="CX471" s="168"/>
      <c r="CY471" s="168"/>
      <c r="CZ471" s="168"/>
      <c r="DA471" s="168"/>
      <c r="DB471" s="168"/>
      <c r="DC471" s="168"/>
      <c r="DD471" s="172"/>
      <c r="DE471" s="172"/>
      <c r="DF471" s="172"/>
      <c r="DG471" s="172"/>
      <c r="DH471" s="172"/>
      <c r="DI471" s="172"/>
      <c r="DJ471" s="172"/>
      <c r="DK471" s="80" t="s">
        <v>415</v>
      </c>
      <c r="DL471" s="129"/>
      <c r="DM471" s="129"/>
      <c r="DN471" s="129"/>
      <c r="DO471" s="129"/>
      <c r="DP471" s="129"/>
      <c r="DQ471" s="129"/>
      <c r="DR471" s="129"/>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5" t="s">
        <v>1727</v>
      </c>
      <c r="B472" s="5" t="s">
        <v>726</v>
      </c>
      <c r="C472" s="5" t="s">
        <v>534</v>
      </c>
      <c r="D472" s="5" t="s">
        <v>727</v>
      </c>
      <c r="E472" s="5" t="s">
        <v>1713</v>
      </c>
      <c r="F472" s="5" t="s">
        <v>537</v>
      </c>
      <c r="G472" s="47" t="s">
        <v>1728</v>
      </c>
      <c r="H472" s="47" t="s">
        <v>1162</v>
      </c>
      <c r="I472" s="101">
        <v>4750</v>
      </c>
      <c r="J472" s="101">
        <v>4750</v>
      </c>
      <c r="K472" s="101">
        <v>4750</v>
      </c>
      <c r="L472" s="101">
        <v>4750</v>
      </c>
      <c r="M472" s="101">
        <v>4750</v>
      </c>
      <c r="N472" s="101">
        <v>4750</v>
      </c>
      <c r="O472" s="101">
        <v>4750</v>
      </c>
      <c r="P472" s="93">
        <v>0</v>
      </c>
      <c r="Q472" s="101">
        <v>0</v>
      </c>
      <c r="R472" s="101">
        <v>0</v>
      </c>
      <c r="S472" s="101">
        <v>0</v>
      </c>
      <c r="T472" s="101">
        <v>0</v>
      </c>
      <c r="U472" s="101">
        <v>0</v>
      </c>
      <c r="V472" s="101">
        <v>0</v>
      </c>
      <c r="W472" s="101">
        <v>0</v>
      </c>
      <c r="X472" s="101">
        <v>0</v>
      </c>
      <c r="Y472" s="101">
        <v>0</v>
      </c>
      <c r="Z472" s="101">
        <v>0</v>
      </c>
      <c r="AA472" s="101">
        <v>0</v>
      </c>
      <c r="AB472" s="101">
        <v>0</v>
      </c>
      <c r="AC472" s="101">
        <v>0</v>
      </c>
      <c r="AD472" s="101">
        <v>0</v>
      </c>
      <c r="AE472" s="186">
        <v>0.08</v>
      </c>
      <c r="AF472" s="93">
        <v>0</v>
      </c>
      <c r="AG472" s="93">
        <v>20</v>
      </c>
      <c r="AH472" s="93">
        <v>20</v>
      </c>
      <c r="AI472" s="16">
        <v>1</v>
      </c>
      <c r="AJ472" s="16" t="s">
        <v>662</v>
      </c>
      <c r="AK472" s="16" t="s">
        <v>745</v>
      </c>
      <c r="AL472" s="16"/>
      <c r="AM472" s="60"/>
      <c r="AN472" s="60"/>
      <c r="AO472" s="60"/>
      <c r="AP472" s="60"/>
      <c r="AQ472" s="60"/>
      <c r="AR472" s="60"/>
      <c r="AS472" s="63"/>
      <c r="AT472" s="63"/>
      <c r="AU472" s="63"/>
      <c r="AV472" s="131"/>
      <c r="AW472" s="131"/>
      <c r="AX472" s="131"/>
      <c r="AY472" s="27" t="s">
        <v>662</v>
      </c>
      <c r="AZ472" s="27"/>
      <c r="BA472" s="27"/>
      <c r="BB472" s="30"/>
      <c r="BC472" s="30"/>
      <c r="BD472" s="30"/>
      <c r="BE472" s="30"/>
      <c r="BF472" s="30"/>
      <c r="BG472" s="30"/>
      <c r="BH472" s="107"/>
      <c r="BI472" s="107"/>
      <c r="BJ472" s="107"/>
      <c r="BK472" s="107"/>
      <c r="BL472" s="136"/>
      <c r="BM472" s="122"/>
      <c r="BN472" s="138">
        <v>0</v>
      </c>
      <c r="BO472" s="93"/>
      <c r="BP472" s="93"/>
      <c r="BQ472" s="93"/>
      <c r="BR472" s="93"/>
      <c r="BS472" s="93"/>
      <c r="BT472" s="93"/>
      <c r="BU472" s="27">
        <f t="shared" si="331"/>
        <v>0</v>
      </c>
      <c r="BV472" s="27"/>
      <c r="BW472" s="27"/>
      <c r="BX472" s="27"/>
      <c r="BY472" s="27"/>
      <c r="BZ472" s="27"/>
      <c r="CA472" s="27"/>
      <c r="CB472" s="97">
        <v>0.39</v>
      </c>
      <c r="CC472" s="97">
        <v>0.4107784019886998</v>
      </c>
      <c r="CD472" s="97">
        <v>0.3</v>
      </c>
      <c r="CE472" s="97">
        <f t="shared" si="365"/>
        <v>0.3</v>
      </c>
      <c r="CF472" s="97">
        <f t="shared" si="366"/>
        <v>0.3</v>
      </c>
      <c r="CG472" s="97">
        <f t="shared" si="367"/>
        <v>0.3</v>
      </c>
      <c r="CH472" s="97">
        <v>0.3</v>
      </c>
      <c r="CI472" s="173"/>
      <c r="CJ472" s="173"/>
      <c r="CK472" s="173"/>
      <c r="CL472" s="173"/>
      <c r="CM472" s="173"/>
      <c r="CN472" s="173"/>
      <c r="CO472" s="173"/>
      <c r="CP472" s="174"/>
      <c r="CQ472" s="174"/>
      <c r="CR472" s="174"/>
      <c r="CS472" s="174"/>
      <c r="CT472" s="174"/>
      <c r="CU472" s="174"/>
      <c r="CV472" s="174"/>
      <c r="CW472" s="165"/>
      <c r="CX472" s="166"/>
      <c r="CY472" s="166"/>
      <c r="CZ472" s="166"/>
      <c r="DA472" s="166"/>
      <c r="DB472" s="166"/>
      <c r="DC472" s="166"/>
      <c r="DD472" s="171"/>
      <c r="DE472" s="171"/>
      <c r="DF472" s="171"/>
      <c r="DG472" s="171"/>
      <c r="DH472" s="171"/>
      <c r="DI472" s="171"/>
      <c r="DJ472" s="171"/>
      <c r="DK472" s="79" t="s">
        <v>415</v>
      </c>
      <c r="DL472" s="128"/>
      <c r="DM472" s="128"/>
      <c r="DN472" s="128"/>
      <c r="DO472" s="128"/>
      <c r="DP472" s="128"/>
      <c r="DQ472" s="128"/>
      <c r="DR472" s="128"/>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6" t="s">
        <v>1729</v>
      </c>
      <c r="B473" s="6" t="s">
        <v>726</v>
      </c>
      <c r="C473" s="6" t="s">
        <v>534</v>
      </c>
      <c r="D473" s="6" t="s">
        <v>727</v>
      </c>
      <c r="E473" s="6" t="s">
        <v>1713</v>
      </c>
      <c r="F473" s="6" t="s">
        <v>537</v>
      </c>
      <c r="G473" s="48" t="s">
        <v>1715</v>
      </c>
      <c r="H473" s="48" t="s">
        <v>1162</v>
      </c>
      <c r="I473" s="102">
        <v>125</v>
      </c>
      <c r="J473" s="102">
        <v>125</v>
      </c>
      <c r="K473" s="102">
        <v>125</v>
      </c>
      <c r="L473" s="102">
        <v>125</v>
      </c>
      <c r="M473" s="102">
        <v>125</v>
      </c>
      <c r="N473" s="102">
        <v>125</v>
      </c>
      <c r="O473" s="102">
        <v>125</v>
      </c>
      <c r="P473" s="94">
        <v>0</v>
      </c>
      <c r="Q473" s="102">
        <v>0</v>
      </c>
      <c r="R473" s="102">
        <v>0</v>
      </c>
      <c r="S473" s="102">
        <v>0</v>
      </c>
      <c r="T473" s="102">
        <v>0</v>
      </c>
      <c r="U473" s="102">
        <v>0</v>
      </c>
      <c r="V473" s="102">
        <v>0</v>
      </c>
      <c r="W473" s="102">
        <v>0</v>
      </c>
      <c r="X473" s="102">
        <v>0</v>
      </c>
      <c r="Y473" s="102">
        <v>0</v>
      </c>
      <c r="Z473" s="102">
        <v>0</v>
      </c>
      <c r="AA473" s="102">
        <v>0</v>
      </c>
      <c r="AB473" s="102">
        <v>0</v>
      </c>
      <c r="AC473" s="102">
        <v>0</v>
      </c>
      <c r="AD473" s="102">
        <v>0</v>
      </c>
      <c r="AE473" s="186">
        <v>0.08</v>
      </c>
      <c r="AF473" s="94">
        <v>0</v>
      </c>
      <c r="AG473" s="94">
        <v>20</v>
      </c>
      <c r="AH473" s="94">
        <v>20</v>
      </c>
      <c r="AI473" s="17">
        <v>1</v>
      </c>
      <c r="AJ473" s="17" t="s">
        <v>662</v>
      </c>
      <c r="AK473" s="17" t="s">
        <v>745</v>
      </c>
      <c r="AL473" s="17"/>
      <c r="AM473" s="61"/>
      <c r="AN473" s="61"/>
      <c r="AO473" s="61"/>
      <c r="AP473" s="61"/>
      <c r="AQ473" s="61"/>
      <c r="AR473" s="61"/>
      <c r="AS473" s="64"/>
      <c r="AT473" s="64"/>
      <c r="AU473" s="64"/>
      <c r="AV473" s="132"/>
      <c r="AW473" s="132"/>
      <c r="AX473" s="132"/>
      <c r="AY473" s="28" t="s">
        <v>662</v>
      </c>
      <c r="AZ473" s="28"/>
      <c r="BA473" s="28"/>
      <c r="BB473" s="28"/>
      <c r="BC473" s="28"/>
      <c r="BD473" s="28"/>
      <c r="BE473" s="28"/>
      <c r="BF473" s="28"/>
      <c r="BG473" s="28"/>
      <c r="BH473" s="106"/>
      <c r="BI473" s="106"/>
      <c r="BJ473" s="106"/>
      <c r="BK473" s="106"/>
      <c r="BL473" s="137"/>
      <c r="BM473" s="123"/>
      <c r="BN473" s="139">
        <v>0</v>
      </c>
      <c r="BO473" s="94"/>
      <c r="BP473" s="94"/>
      <c r="BQ473" s="94"/>
      <c r="BR473" s="94"/>
      <c r="BS473" s="94"/>
      <c r="BT473" s="94"/>
      <c r="BU473" s="28">
        <f t="shared" si="331"/>
        <v>0</v>
      </c>
      <c r="BV473" s="28"/>
      <c r="BW473" s="28"/>
      <c r="BX473" s="28"/>
      <c r="BY473" s="28"/>
      <c r="BZ473" s="28"/>
      <c r="CA473" s="28"/>
      <c r="CB473" s="99">
        <v>0.9880000000000001</v>
      </c>
      <c r="CC473" s="99">
        <v>0.85458333333333347</v>
      </c>
      <c r="CD473" s="99">
        <v>0.36</v>
      </c>
      <c r="CE473" s="99">
        <f t="shared" si="365"/>
        <v>0.3</v>
      </c>
      <c r="CF473" s="99">
        <f t="shared" si="366"/>
        <v>0.23</v>
      </c>
      <c r="CG473" s="99">
        <f t="shared" si="367"/>
        <v>0.17</v>
      </c>
      <c r="CH473" s="99">
        <v>0.1</v>
      </c>
      <c r="CI473" s="175"/>
      <c r="CJ473" s="175"/>
      <c r="CK473" s="175"/>
      <c r="CL473" s="175"/>
      <c r="CM473" s="175"/>
      <c r="CN473" s="175"/>
      <c r="CO473" s="175"/>
      <c r="CP473" s="176"/>
      <c r="CQ473" s="176"/>
      <c r="CR473" s="176"/>
      <c r="CS473" s="176"/>
      <c r="CT473" s="176"/>
      <c r="CU473" s="176"/>
      <c r="CV473" s="176"/>
      <c r="CW473" s="167"/>
      <c r="CX473" s="168"/>
      <c r="CY473" s="168"/>
      <c r="CZ473" s="168"/>
      <c r="DA473" s="168"/>
      <c r="DB473" s="168"/>
      <c r="DC473" s="168"/>
      <c r="DD473" s="172"/>
      <c r="DE473" s="172"/>
      <c r="DF473" s="172"/>
      <c r="DG473" s="172"/>
      <c r="DH473" s="172"/>
      <c r="DI473" s="172"/>
      <c r="DJ473" s="172"/>
      <c r="DK473" s="80" t="s">
        <v>415</v>
      </c>
      <c r="DL473" s="129"/>
      <c r="DM473" s="129"/>
      <c r="DN473" s="129"/>
      <c r="DO473" s="129"/>
      <c r="DP473" s="129"/>
      <c r="DQ473" s="129"/>
      <c r="DR473" s="129"/>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5" t="s">
        <v>1730</v>
      </c>
      <c r="B474" s="5" t="s">
        <v>726</v>
      </c>
      <c r="C474" s="5" t="s">
        <v>534</v>
      </c>
      <c r="D474" s="5" t="s">
        <v>727</v>
      </c>
      <c r="E474" s="5" t="s">
        <v>1731</v>
      </c>
      <c r="F474" s="5" t="s">
        <v>538</v>
      </c>
      <c r="G474" s="47" t="s">
        <v>538</v>
      </c>
      <c r="H474" s="47" t="s">
        <v>1162</v>
      </c>
      <c r="I474" s="101">
        <v>0</v>
      </c>
      <c r="J474" s="101">
        <v>0</v>
      </c>
      <c r="K474" s="101">
        <v>0</v>
      </c>
      <c r="L474" s="101">
        <v>0</v>
      </c>
      <c r="M474" s="101">
        <v>0</v>
      </c>
      <c r="N474" s="101">
        <v>0</v>
      </c>
      <c r="O474" s="101">
        <v>0</v>
      </c>
      <c r="P474" s="93">
        <v>0</v>
      </c>
      <c r="Q474" s="101">
        <v>0</v>
      </c>
      <c r="R474" s="101">
        <v>0</v>
      </c>
      <c r="S474" s="101">
        <v>0</v>
      </c>
      <c r="T474" s="101">
        <v>0</v>
      </c>
      <c r="U474" s="101">
        <v>0</v>
      </c>
      <c r="V474" s="101">
        <v>0</v>
      </c>
      <c r="W474" s="101">
        <v>0</v>
      </c>
      <c r="X474" s="101">
        <v>0</v>
      </c>
      <c r="Y474" s="101">
        <v>0</v>
      </c>
      <c r="Z474" s="101">
        <v>0</v>
      </c>
      <c r="AA474" s="101">
        <v>0</v>
      </c>
      <c r="AB474" s="101">
        <v>0</v>
      </c>
      <c r="AC474" s="101">
        <v>0</v>
      </c>
      <c r="AD474" s="101">
        <v>0</v>
      </c>
      <c r="AE474" s="186">
        <v>0.08</v>
      </c>
      <c r="AF474" s="93">
        <v>0</v>
      </c>
      <c r="AG474" s="93">
        <v>1</v>
      </c>
      <c r="AH474" s="93">
        <v>1</v>
      </c>
      <c r="AI474" s="16">
        <v>1</v>
      </c>
      <c r="AJ474" s="16" t="s">
        <v>662</v>
      </c>
      <c r="AK474" s="16" t="s">
        <v>745</v>
      </c>
      <c r="AL474" s="16"/>
      <c r="AM474" s="60"/>
      <c r="AN474" s="60"/>
      <c r="AO474" s="60"/>
      <c r="AP474" s="60"/>
      <c r="AQ474" s="60"/>
      <c r="AR474" s="60"/>
      <c r="AS474" s="63"/>
      <c r="AT474" s="63"/>
      <c r="AU474" s="63"/>
      <c r="AV474" s="131"/>
      <c r="AW474" s="131"/>
      <c r="AX474" s="131"/>
      <c r="AY474" s="27" t="s">
        <v>662</v>
      </c>
      <c r="AZ474" s="27"/>
      <c r="BA474" s="27"/>
      <c r="BB474" s="30"/>
      <c r="BC474" s="30"/>
      <c r="BD474" s="30"/>
      <c r="BE474" s="30"/>
      <c r="BF474" s="30"/>
      <c r="BG474" s="30"/>
      <c r="BH474" s="107"/>
      <c r="BI474" s="107"/>
      <c r="BJ474" s="107"/>
      <c r="BK474" s="107"/>
      <c r="BL474" s="136"/>
      <c r="BM474" s="122"/>
      <c r="BN474" s="138"/>
      <c r="BO474" s="93"/>
      <c r="BP474" s="93"/>
      <c r="BQ474" s="93"/>
      <c r="BR474" s="93"/>
      <c r="BS474" s="93"/>
      <c r="BT474" s="93"/>
      <c r="BU474" s="27">
        <f t="shared" si="331"/>
        <v>0</v>
      </c>
      <c r="BV474" s="27"/>
      <c r="BW474" s="27"/>
      <c r="BX474" s="27"/>
      <c r="BY474" s="27"/>
      <c r="BZ474" s="27"/>
      <c r="CA474" s="27"/>
      <c r="CB474" s="97">
        <v>10</v>
      </c>
      <c r="CC474" s="97">
        <v>10</v>
      </c>
      <c r="CD474" s="97">
        <v>10</v>
      </c>
      <c r="CE474" s="97">
        <f t="shared" si="365"/>
        <v>10</v>
      </c>
      <c r="CF474" s="97">
        <f t="shared" si="366"/>
        <v>10</v>
      </c>
      <c r="CG474" s="97">
        <f t="shared" si="367"/>
        <v>10</v>
      </c>
      <c r="CH474" s="97">
        <v>10</v>
      </c>
      <c r="CI474" s="173"/>
      <c r="CJ474" s="173"/>
      <c r="CK474" s="173"/>
      <c r="CL474" s="173"/>
      <c r="CM474" s="173"/>
      <c r="CN474" s="173"/>
      <c r="CO474" s="173"/>
      <c r="CP474" s="174"/>
      <c r="CQ474" s="174"/>
      <c r="CR474" s="174"/>
      <c r="CS474" s="174"/>
      <c r="CT474" s="174"/>
      <c r="CU474" s="174"/>
      <c r="CV474" s="174"/>
      <c r="CW474" s="165"/>
      <c r="CX474" s="166"/>
      <c r="CY474" s="166"/>
      <c r="CZ474" s="166"/>
      <c r="DA474" s="166"/>
      <c r="DB474" s="166"/>
      <c r="DC474" s="166"/>
      <c r="DD474" s="171"/>
      <c r="DE474" s="171"/>
      <c r="DF474" s="171"/>
      <c r="DG474" s="171"/>
      <c r="DH474" s="171"/>
      <c r="DI474" s="171"/>
      <c r="DJ474" s="171"/>
      <c r="DK474" s="79" t="s">
        <v>415</v>
      </c>
      <c r="DL474" s="128"/>
      <c r="DM474" s="128"/>
      <c r="DN474" s="128"/>
      <c r="DO474" s="128"/>
      <c r="DP474" s="128"/>
      <c r="DQ474" s="128"/>
      <c r="DR474" s="128"/>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6" t="s">
        <v>1732</v>
      </c>
      <c r="B475" s="6" t="s">
        <v>726</v>
      </c>
      <c r="C475" s="6" t="s">
        <v>534</v>
      </c>
      <c r="D475" s="6" t="s">
        <v>727</v>
      </c>
      <c r="E475" s="6" t="s">
        <v>1731</v>
      </c>
      <c r="F475" s="6" t="s">
        <v>538</v>
      </c>
      <c r="G475" s="48" t="s">
        <v>1733</v>
      </c>
      <c r="H475" s="48" t="s">
        <v>1162</v>
      </c>
      <c r="I475" s="102">
        <v>25</v>
      </c>
      <c r="J475" s="102">
        <v>31.25</v>
      </c>
      <c r="K475" s="102">
        <v>37.5</v>
      </c>
      <c r="L475" s="102">
        <v>43.75</v>
      </c>
      <c r="M475" s="102">
        <v>50</v>
      </c>
      <c r="N475" s="102">
        <v>56.25</v>
      </c>
      <c r="O475" s="102">
        <v>62.5</v>
      </c>
      <c r="P475" s="94">
        <v>0</v>
      </c>
      <c r="Q475" s="102">
        <v>0</v>
      </c>
      <c r="R475" s="102">
        <v>0</v>
      </c>
      <c r="S475" s="102">
        <v>0</v>
      </c>
      <c r="T475" s="102">
        <v>0</v>
      </c>
      <c r="U475" s="102">
        <v>0</v>
      </c>
      <c r="V475" s="102">
        <v>0</v>
      </c>
      <c r="W475" s="102">
        <v>0</v>
      </c>
      <c r="X475" s="102">
        <v>0</v>
      </c>
      <c r="Y475" s="102">
        <v>0</v>
      </c>
      <c r="Z475" s="102">
        <v>0</v>
      </c>
      <c r="AA475" s="102">
        <v>0</v>
      </c>
      <c r="AB475" s="102">
        <v>0</v>
      </c>
      <c r="AC475" s="102">
        <v>0</v>
      </c>
      <c r="AD475" s="102">
        <v>0</v>
      </c>
      <c r="AE475" s="186">
        <v>0.08</v>
      </c>
      <c r="AF475" s="94">
        <v>0</v>
      </c>
      <c r="AG475" s="94">
        <v>20</v>
      </c>
      <c r="AH475" s="94">
        <v>20</v>
      </c>
      <c r="AI475" s="17">
        <v>1</v>
      </c>
      <c r="AJ475" s="17" t="s">
        <v>662</v>
      </c>
      <c r="AK475" s="17" t="s">
        <v>745</v>
      </c>
      <c r="AL475" s="17"/>
      <c r="AM475" s="61"/>
      <c r="AN475" s="61"/>
      <c r="AO475" s="61"/>
      <c r="AP475" s="61"/>
      <c r="AQ475" s="61"/>
      <c r="AR475" s="61"/>
      <c r="AS475" s="64"/>
      <c r="AT475" s="64"/>
      <c r="AU475" s="64"/>
      <c r="AV475" s="132"/>
      <c r="AW475" s="132"/>
      <c r="AX475" s="132"/>
      <c r="AY475" s="28" t="s">
        <v>662</v>
      </c>
      <c r="AZ475" s="28"/>
      <c r="BA475" s="28"/>
      <c r="BB475" s="28"/>
      <c r="BC475" s="28"/>
      <c r="BD475" s="28"/>
      <c r="BE475" s="28"/>
      <c r="BF475" s="28"/>
      <c r="BG475" s="28"/>
      <c r="BH475" s="106"/>
      <c r="BI475" s="106"/>
      <c r="BJ475" s="106"/>
      <c r="BK475" s="106"/>
      <c r="BL475" s="137"/>
      <c r="BM475" s="123"/>
      <c r="BN475" s="139">
        <v>0</v>
      </c>
      <c r="BO475" s="94"/>
      <c r="BP475" s="94"/>
      <c r="BQ475" s="94"/>
      <c r="BR475" s="94"/>
      <c r="BS475" s="94"/>
      <c r="BT475" s="94"/>
      <c r="BU475" s="28">
        <f t="shared" si="331"/>
        <v>0</v>
      </c>
      <c r="BV475" s="28"/>
      <c r="BW475" s="28"/>
      <c r="BX475" s="28"/>
      <c r="BY475" s="28"/>
      <c r="BZ475" s="28"/>
      <c r="CA475" s="28"/>
      <c r="CB475" s="99">
        <v>6.2000000000000006E-2</v>
      </c>
      <c r="CC475" s="99">
        <v>0.11016666666666668</v>
      </c>
      <c r="CD475" s="99">
        <v>0.1</v>
      </c>
      <c r="CE475" s="99">
        <f t="shared" si="365"/>
        <v>0.1</v>
      </c>
      <c r="CF475" s="99">
        <f t="shared" si="366"/>
        <v>0.09</v>
      </c>
      <c r="CG475" s="99">
        <f t="shared" si="367"/>
        <v>0.09</v>
      </c>
      <c r="CH475" s="99">
        <v>0.08</v>
      </c>
      <c r="CI475" s="175"/>
      <c r="CJ475" s="175"/>
      <c r="CK475" s="175"/>
      <c r="CL475" s="175"/>
      <c r="CM475" s="175"/>
      <c r="CN475" s="175"/>
      <c r="CO475" s="175"/>
      <c r="CP475" s="176"/>
      <c r="CQ475" s="176"/>
      <c r="CR475" s="176"/>
      <c r="CS475" s="176"/>
      <c r="CT475" s="176"/>
      <c r="CU475" s="176"/>
      <c r="CV475" s="176"/>
      <c r="CW475" s="167"/>
      <c r="CX475" s="168"/>
      <c r="CY475" s="168"/>
      <c r="CZ475" s="168"/>
      <c r="DA475" s="168"/>
      <c r="DB475" s="168"/>
      <c r="DC475" s="168"/>
      <c r="DD475" s="172"/>
      <c r="DE475" s="172"/>
      <c r="DF475" s="172"/>
      <c r="DG475" s="172"/>
      <c r="DH475" s="172"/>
      <c r="DI475" s="172"/>
      <c r="DJ475" s="172"/>
      <c r="DK475" s="80" t="s">
        <v>1519</v>
      </c>
      <c r="DL475" s="129"/>
      <c r="DM475" s="129"/>
      <c r="DN475" s="129"/>
      <c r="DO475" s="129"/>
      <c r="DP475" s="129"/>
      <c r="DQ475" s="129"/>
      <c r="DR475" s="129"/>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5" t="s">
        <v>1734</v>
      </c>
      <c r="B476" s="5" t="s">
        <v>726</v>
      </c>
      <c r="C476" s="5" t="s">
        <v>534</v>
      </c>
      <c r="D476" s="5" t="s">
        <v>727</v>
      </c>
      <c r="E476" s="5" t="s">
        <v>1731</v>
      </c>
      <c r="F476" s="5" t="s">
        <v>538</v>
      </c>
      <c r="G476" s="47" t="s">
        <v>1735</v>
      </c>
      <c r="H476" s="47" t="s">
        <v>1162</v>
      </c>
      <c r="I476" s="101">
        <v>812.5</v>
      </c>
      <c r="J476" s="101">
        <v>843.75</v>
      </c>
      <c r="K476" s="101">
        <v>875</v>
      </c>
      <c r="L476" s="101">
        <v>906.25</v>
      </c>
      <c r="M476" s="101">
        <v>937.5</v>
      </c>
      <c r="N476" s="101">
        <v>968.75</v>
      </c>
      <c r="O476" s="101">
        <v>1000</v>
      </c>
      <c r="P476" s="93">
        <v>0</v>
      </c>
      <c r="Q476" s="101">
        <v>0</v>
      </c>
      <c r="R476" s="101">
        <v>0</v>
      </c>
      <c r="S476" s="101">
        <v>0</v>
      </c>
      <c r="T476" s="101">
        <v>0</v>
      </c>
      <c r="U476" s="101">
        <v>0</v>
      </c>
      <c r="V476" s="101">
        <v>0</v>
      </c>
      <c r="W476" s="101">
        <v>0</v>
      </c>
      <c r="X476" s="101">
        <v>0</v>
      </c>
      <c r="Y476" s="101">
        <v>0</v>
      </c>
      <c r="Z476" s="101">
        <v>0</v>
      </c>
      <c r="AA476" s="101">
        <v>0</v>
      </c>
      <c r="AB476" s="101">
        <v>0</v>
      </c>
      <c r="AC476" s="101">
        <v>0</v>
      </c>
      <c r="AD476" s="101">
        <v>0</v>
      </c>
      <c r="AE476" s="186">
        <v>0.08</v>
      </c>
      <c r="AF476" s="93">
        <v>0</v>
      </c>
      <c r="AG476" s="93">
        <v>20</v>
      </c>
      <c r="AH476" s="93">
        <v>20</v>
      </c>
      <c r="AI476" s="16">
        <v>1</v>
      </c>
      <c r="AJ476" s="16" t="s">
        <v>662</v>
      </c>
      <c r="AK476" s="16" t="s">
        <v>745</v>
      </c>
      <c r="AL476" s="16"/>
      <c r="AM476" s="60"/>
      <c r="AN476" s="60"/>
      <c r="AO476" s="60"/>
      <c r="AP476" s="60"/>
      <c r="AQ476" s="60"/>
      <c r="AR476" s="60"/>
      <c r="AS476" s="63"/>
      <c r="AT476" s="63"/>
      <c r="AU476" s="63"/>
      <c r="AV476" s="131"/>
      <c r="AW476" s="131"/>
      <c r="AX476" s="131"/>
      <c r="AY476" s="27" t="s">
        <v>662</v>
      </c>
      <c r="AZ476" s="27"/>
      <c r="BA476" s="27"/>
      <c r="BB476" s="30"/>
      <c r="BC476" s="30"/>
      <c r="BD476" s="30"/>
      <c r="BE476" s="30"/>
      <c r="BF476" s="30"/>
      <c r="BG476" s="30"/>
      <c r="BH476" s="107"/>
      <c r="BI476" s="107"/>
      <c r="BJ476" s="107"/>
      <c r="BK476" s="107"/>
      <c r="BL476" s="136"/>
      <c r="BM476" s="122"/>
      <c r="BN476" s="138">
        <v>0</v>
      </c>
      <c r="BO476" s="93"/>
      <c r="BP476" s="93"/>
      <c r="BQ476" s="93"/>
      <c r="BR476" s="93"/>
      <c r="BS476" s="93"/>
      <c r="BT476" s="93"/>
      <c r="BU476" s="27">
        <f t="shared" si="331"/>
        <v>0</v>
      </c>
      <c r="BV476" s="27"/>
      <c r="BW476" s="27"/>
      <c r="BX476" s="27"/>
      <c r="BY476" s="27"/>
      <c r="BZ476" s="27"/>
      <c r="CA476" s="27"/>
      <c r="CB476" s="97">
        <v>0.15500000000000003</v>
      </c>
      <c r="CC476" s="97">
        <v>0.2506666666666667</v>
      </c>
      <c r="CD476" s="97">
        <v>0.2</v>
      </c>
      <c r="CE476" s="97">
        <f t="shared" si="365"/>
        <v>0.2</v>
      </c>
      <c r="CF476" s="97">
        <f t="shared" si="366"/>
        <v>0.19</v>
      </c>
      <c r="CG476" s="97">
        <f t="shared" si="367"/>
        <v>0.18</v>
      </c>
      <c r="CH476" s="97">
        <v>0.17</v>
      </c>
      <c r="CI476" s="173"/>
      <c r="CJ476" s="173"/>
      <c r="CK476" s="173"/>
      <c r="CL476" s="173"/>
      <c r="CM476" s="173"/>
      <c r="CN476" s="173"/>
      <c r="CO476" s="173"/>
      <c r="CP476" s="174"/>
      <c r="CQ476" s="174"/>
      <c r="CR476" s="174"/>
      <c r="CS476" s="174"/>
      <c r="CT476" s="174"/>
      <c r="CU476" s="174"/>
      <c r="CV476" s="174"/>
      <c r="CW476" s="165"/>
      <c r="CX476" s="166"/>
      <c r="CY476" s="166"/>
      <c r="CZ476" s="166"/>
      <c r="DA476" s="166"/>
      <c r="DB476" s="166"/>
      <c r="DC476" s="166"/>
      <c r="DD476" s="171"/>
      <c r="DE476" s="171"/>
      <c r="DF476" s="171"/>
      <c r="DG476" s="171"/>
      <c r="DH476" s="171"/>
      <c r="DI476" s="171"/>
      <c r="DJ476" s="171"/>
      <c r="DK476" s="79" t="s">
        <v>415</v>
      </c>
      <c r="DL476" s="128"/>
      <c r="DM476" s="128"/>
      <c r="DN476" s="128"/>
      <c r="DO476" s="128"/>
      <c r="DP476" s="128"/>
      <c r="DQ476" s="128"/>
      <c r="DR476" s="128"/>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6" t="s">
        <v>1736</v>
      </c>
      <c r="B477" s="6" t="s">
        <v>726</v>
      </c>
      <c r="C477" s="6" t="s">
        <v>534</v>
      </c>
      <c r="D477" s="6" t="s">
        <v>727</v>
      </c>
      <c r="E477" s="6" t="s">
        <v>1731</v>
      </c>
      <c r="F477" s="6" t="s">
        <v>538</v>
      </c>
      <c r="G477" s="48" t="s">
        <v>1737</v>
      </c>
      <c r="H477" s="48" t="s">
        <v>1162</v>
      </c>
      <c r="I477" s="102">
        <v>4750</v>
      </c>
      <c r="J477" s="102">
        <v>4750</v>
      </c>
      <c r="K477" s="102">
        <v>4750</v>
      </c>
      <c r="L477" s="102">
        <v>4750</v>
      </c>
      <c r="M477" s="102">
        <v>4750</v>
      </c>
      <c r="N477" s="102">
        <v>4750</v>
      </c>
      <c r="O477" s="102">
        <v>4750</v>
      </c>
      <c r="P477" s="94">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86">
        <v>0.08</v>
      </c>
      <c r="AF477" s="94">
        <v>0</v>
      </c>
      <c r="AG477" s="94">
        <v>20</v>
      </c>
      <c r="AH477" s="94">
        <v>20</v>
      </c>
      <c r="AI477" s="17">
        <v>1</v>
      </c>
      <c r="AJ477" s="17" t="s">
        <v>662</v>
      </c>
      <c r="AK477" s="17" t="s">
        <v>745</v>
      </c>
      <c r="AL477" s="17"/>
      <c r="AM477" s="61"/>
      <c r="AN477" s="61"/>
      <c r="AO477" s="61"/>
      <c r="AP477" s="61"/>
      <c r="AQ477" s="61"/>
      <c r="AR477" s="61"/>
      <c r="AS477" s="64"/>
      <c r="AT477" s="64"/>
      <c r="AU477" s="64"/>
      <c r="AV477" s="132"/>
      <c r="AW477" s="132"/>
      <c r="AX477" s="132"/>
      <c r="AY477" s="28" t="s">
        <v>662</v>
      </c>
      <c r="AZ477" s="28"/>
      <c r="BA477" s="28"/>
      <c r="BB477" s="28"/>
      <c r="BC477" s="28"/>
      <c r="BD477" s="28"/>
      <c r="BE477" s="28"/>
      <c r="BF477" s="28"/>
      <c r="BG477" s="28"/>
      <c r="BH477" s="106"/>
      <c r="BI477" s="106"/>
      <c r="BJ477" s="106"/>
      <c r="BK477" s="106"/>
      <c r="BL477" s="137"/>
      <c r="BM477" s="123"/>
      <c r="BN477" s="139">
        <v>0</v>
      </c>
      <c r="BO477" s="94"/>
      <c r="BP477" s="94"/>
      <c r="BQ477" s="94"/>
      <c r="BR477" s="94"/>
      <c r="BS477" s="94"/>
      <c r="BT477" s="94"/>
      <c r="BU477" s="28">
        <f t="shared" si="331"/>
        <v>0</v>
      </c>
      <c r="BV477" s="28"/>
      <c r="BW477" s="28"/>
      <c r="BX477" s="28"/>
      <c r="BY477" s="28"/>
      <c r="BZ477" s="28"/>
      <c r="CA477" s="28"/>
      <c r="CB477" s="99">
        <v>0</v>
      </c>
      <c r="CC477" s="99">
        <v>3.1500000000000007E-2</v>
      </c>
      <c r="CD477" s="99">
        <v>0.06</v>
      </c>
      <c r="CE477" s="99">
        <f t="shared" si="365"/>
        <v>0.06</v>
      </c>
      <c r="CF477" s="99">
        <f t="shared" si="366"/>
        <v>0.05</v>
      </c>
      <c r="CG477" s="99">
        <f t="shared" si="367"/>
        <v>0.05</v>
      </c>
      <c r="CH477" s="99">
        <v>0.04</v>
      </c>
      <c r="CI477" s="175"/>
      <c r="CJ477" s="175"/>
      <c r="CK477" s="175"/>
      <c r="CL477" s="175"/>
      <c r="CM477" s="175"/>
      <c r="CN477" s="175"/>
      <c r="CO477" s="175"/>
      <c r="CP477" s="176"/>
      <c r="CQ477" s="176"/>
      <c r="CR477" s="176"/>
      <c r="CS477" s="176"/>
      <c r="CT477" s="176"/>
      <c r="CU477" s="176"/>
      <c r="CV477" s="176"/>
      <c r="CW477" s="167"/>
      <c r="CX477" s="168"/>
      <c r="CY477" s="168"/>
      <c r="CZ477" s="168"/>
      <c r="DA477" s="168"/>
      <c r="DB477" s="168"/>
      <c r="DC477" s="168"/>
      <c r="DD477" s="172"/>
      <c r="DE477" s="172"/>
      <c r="DF477" s="172"/>
      <c r="DG477" s="172"/>
      <c r="DH477" s="172"/>
      <c r="DI477" s="172"/>
      <c r="DJ477" s="172"/>
      <c r="DK477" s="80" t="s">
        <v>415</v>
      </c>
      <c r="DL477" s="129"/>
      <c r="DM477" s="129"/>
      <c r="DN477" s="129"/>
      <c r="DO477" s="129"/>
      <c r="DP477" s="129"/>
      <c r="DQ477" s="129"/>
      <c r="DR477" s="129"/>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5" t="s">
        <v>1738</v>
      </c>
      <c r="B478" s="5" t="s">
        <v>726</v>
      </c>
      <c r="C478" s="5" t="s">
        <v>534</v>
      </c>
      <c r="D478" s="5" t="s">
        <v>727</v>
      </c>
      <c r="E478" s="5" t="s">
        <v>1731</v>
      </c>
      <c r="F478" s="5" t="s">
        <v>538</v>
      </c>
      <c r="G478" s="47" t="s">
        <v>1739</v>
      </c>
      <c r="H478" s="47" t="s">
        <v>1162</v>
      </c>
      <c r="I478" s="101">
        <v>187.5</v>
      </c>
      <c r="J478" s="101">
        <v>197.92</v>
      </c>
      <c r="K478" s="101">
        <v>208.33</v>
      </c>
      <c r="L478" s="101">
        <v>218.75</v>
      </c>
      <c r="M478" s="101">
        <v>229.17</v>
      </c>
      <c r="N478" s="101">
        <v>239.58</v>
      </c>
      <c r="O478" s="101">
        <v>250</v>
      </c>
      <c r="P478" s="93">
        <v>0</v>
      </c>
      <c r="Q478" s="101">
        <v>0</v>
      </c>
      <c r="R478" s="101">
        <v>0</v>
      </c>
      <c r="S478" s="101">
        <v>0</v>
      </c>
      <c r="T478" s="101">
        <v>0</v>
      </c>
      <c r="U478" s="101">
        <v>0</v>
      </c>
      <c r="V478" s="101">
        <v>0</v>
      </c>
      <c r="W478" s="101">
        <v>0</v>
      </c>
      <c r="X478" s="101">
        <v>0</v>
      </c>
      <c r="Y478" s="101">
        <v>0</v>
      </c>
      <c r="Z478" s="101">
        <v>0</v>
      </c>
      <c r="AA478" s="101">
        <v>0</v>
      </c>
      <c r="AB478" s="101">
        <v>0</v>
      </c>
      <c r="AC478" s="101">
        <v>0</v>
      </c>
      <c r="AD478" s="101">
        <v>0</v>
      </c>
      <c r="AE478" s="186">
        <v>0.08</v>
      </c>
      <c r="AF478" s="93">
        <v>0</v>
      </c>
      <c r="AG478" s="93">
        <v>20</v>
      </c>
      <c r="AH478" s="93">
        <v>20</v>
      </c>
      <c r="AI478" s="16">
        <v>1</v>
      </c>
      <c r="AJ478" s="16" t="s">
        <v>662</v>
      </c>
      <c r="AK478" s="16" t="s">
        <v>745</v>
      </c>
      <c r="AL478" s="16"/>
      <c r="AM478" s="60"/>
      <c r="AN478" s="60"/>
      <c r="AO478" s="60"/>
      <c r="AP478" s="60"/>
      <c r="AQ478" s="60"/>
      <c r="AR478" s="60"/>
      <c r="AS478" s="63"/>
      <c r="AT478" s="63"/>
      <c r="AU478" s="63"/>
      <c r="AV478" s="131"/>
      <c r="AW478" s="131"/>
      <c r="AX478" s="131"/>
      <c r="AY478" s="27" t="s">
        <v>662</v>
      </c>
      <c r="AZ478" s="27"/>
      <c r="BA478" s="27"/>
      <c r="BB478" s="30"/>
      <c r="BC478" s="30"/>
      <c r="BD478" s="30"/>
      <c r="BE478" s="30"/>
      <c r="BF478" s="30"/>
      <c r="BG478" s="30"/>
      <c r="BH478" s="107"/>
      <c r="BI478" s="107"/>
      <c r="BJ478" s="107"/>
      <c r="BK478" s="107"/>
      <c r="BL478" s="136"/>
      <c r="BM478" s="122"/>
      <c r="BN478" s="138">
        <v>0</v>
      </c>
      <c r="BO478" s="93"/>
      <c r="BP478" s="93"/>
      <c r="BQ478" s="93"/>
      <c r="BR478" s="93"/>
      <c r="BS478" s="93"/>
      <c r="BT478" s="93"/>
      <c r="BU478" s="27">
        <f t="shared" si="331"/>
        <v>0</v>
      </c>
      <c r="BV478" s="27"/>
      <c r="BW478" s="27"/>
      <c r="BX478" s="27"/>
      <c r="BY478" s="27"/>
      <c r="BZ478" s="27"/>
      <c r="CA478" s="27"/>
      <c r="CB478" s="97">
        <v>8.0000000000000016E-2</v>
      </c>
      <c r="CC478" s="97">
        <v>9.3901497133514242E-2</v>
      </c>
      <c r="CD478" s="97">
        <v>0.05</v>
      </c>
      <c r="CE478" s="97">
        <f t="shared" si="365"/>
        <v>0.05</v>
      </c>
      <c r="CF478" s="97">
        <f t="shared" si="366"/>
        <v>0.05</v>
      </c>
      <c r="CG478" s="97">
        <f t="shared" si="367"/>
        <v>0.05</v>
      </c>
      <c r="CH478" s="97">
        <v>0.04</v>
      </c>
      <c r="CI478" s="173"/>
      <c r="CJ478" s="173"/>
      <c r="CK478" s="173"/>
      <c r="CL478" s="173"/>
      <c r="CM478" s="173"/>
      <c r="CN478" s="173"/>
      <c r="CO478" s="173"/>
      <c r="CP478" s="174"/>
      <c r="CQ478" s="174"/>
      <c r="CR478" s="174"/>
      <c r="CS478" s="174"/>
      <c r="CT478" s="174"/>
      <c r="CU478" s="174"/>
      <c r="CV478" s="174"/>
      <c r="CW478" s="165"/>
      <c r="CX478" s="166"/>
      <c r="CY478" s="166"/>
      <c r="CZ478" s="166"/>
      <c r="DA478" s="166"/>
      <c r="DB478" s="166"/>
      <c r="DC478" s="166"/>
      <c r="DD478" s="171"/>
      <c r="DE478" s="171"/>
      <c r="DF478" s="171"/>
      <c r="DG478" s="171"/>
      <c r="DH478" s="171"/>
      <c r="DI478" s="171"/>
      <c r="DJ478" s="171"/>
      <c r="DK478" s="79" t="s">
        <v>415</v>
      </c>
      <c r="DL478" s="128"/>
      <c r="DM478" s="128"/>
      <c r="DN478" s="128"/>
      <c r="DO478" s="128"/>
      <c r="DP478" s="128"/>
      <c r="DQ478" s="128"/>
      <c r="DR478" s="128"/>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6" t="s">
        <v>1740</v>
      </c>
      <c r="B479" s="6" t="s">
        <v>726</v>
      </c>
      <c r="C479" s="6" t="s">
        <v>534</v>
      </c>
      <c r="D479" s="6" t="s">
        <v>727</v>
      </c>
      <c r="E479" s="6" t="s">
        <v>1731</v>
      </c>
      <c r="F479" s="6" t="s">
        <v>538</v>
      </c>
      <c r="G479" s="48" t="s">
        <v>1741</v>
      </c>
      <c r="H479" s="48" t="s">
        <v>1162</v>
      </c>
      <c r="I479" s="102">
        <v>812.5</v>
      </c>
      <c r="J479" s="102">
        <v>833.33</v>
      </c>
      <c r="K479" s="102">
        <v>854.17</v>
      </c>
      <c r="L479" s="102">
        <v>875</v>
      </c>
      <c r="M479" s="102">
        <v>895.83</v>
      </c>
      <c r="N479" s="102">
        <v>916.67</v>
      </c>
      <c r="O479" s="102">
        <v>937.5</v>
      </c>
      <c r="P479" s="94">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86">
        <v>0.08</v>
      </c>
      <c r="AF479" s="94">
        <v>0</v>
      </c>
      <c r="AG479" s="94">
        <v>20</v>
      </c>
      <c r="AH479" s="94">
        <v>20</v>
      </c>
      <c r="AI479" s="17">
        <v>1</v>
      </c>
      <c r="AJ479" s="17" t="s">
        <v>662</v>
      </c>
      <c r="AK479" s="17" t="s">
        <v>745</v>
      </c>
      <c r="AL479" s="17"/>
      <c r="AM479" s="61"/>
      <c r="AN479" s="61"/>
      <c r="AO479" s="61"/>
      <c r="AP479" s="61"/>
      <c r="AQ479" s="61"/>
      <c r="AR479" s="61"/>
      <c r="AS479" s="64"/>
      <c r="AT479" s="64"/>
      <c r="AU479" s="64"/>
      <c r="AV479" s="132"/>
      <c r="AW479" s="132"/>
      <c r="AX479" s="132"/>
      <c r="AY479" s="28" t="s">
        <v>662</v>
      </c>
      <c r="AZ479" s="28"/>
      <c r="BA479" s="28"/>
      <c r="BB479" s="28"/>
      <c r="BC479" s="28"/>
      <c r="BD479" s="28"/>
      <c r="BE479" s="28"/>
      <c r="BF479" s="28"/>
      <c r="BG479" s="28"/>
      <c r="BH479" s="106"/>
      <c r="BI479" s="106"/>
      <c r="BJ479" s="106"/>
      <c r="BK479" s="106"/>
      <c r="BL479" s="137"/>
      <c r="BM479" s="123"/>
      <c r="BN479" s="139">
        <v>0</v>
      </c>
      <c r="BO479" s="94"/>
      <c r="BP479" s="94"/>
      <c r="BQ479" s="94"/>
      <c r="BR479" s="94"/>
      <c r="BS479" s="94"/>
      <c r="BT479" s="94"/>
      <c r="BU479" s="28">
        <f t="shared" si="331"/>
        <v>0</v>
      </c>
      <c r="BV479" s="28"/>
      <c r="BW479" s="28"/>
      <c r="BX479" s="28"/>
      <c r="BY479" s="28"/>
      <c r="BZ479" s="28"/>
      <c r="CA479" s="28"/>
      <c r="CB479" s="99">
        <v>6.4000000000000001E-2</v>
      </c>
      <c r="CC479" s="99">
        <v>6.967423161344187E-2</v>
      </c>
      <c r="CD479" s="99">
        <v>0.04</v>
      </c>
      <c r="CE479" s="99">
        <f t="shared" si="365"/>
        <v>0.04</v>
      </c>
      <c r="CF479" s="99">
        <f t="shared" si="366"/>
        <v>0.04</v>
      </c>
      <c r="CG479" s="99">
        <f t="shared" si="367"/>
        <v>0.04</v>
      </c>
      <c r="CH479" s="99">
        <v>0.03</v>
      </c>
      <c r="CI479" s="175"/>
      <c r="CJ479" s="175"/>
      <c r="CK479" s="175"/>
      <c r="CL479" s="175"/>
      <c r="CM479" s="175"/>
      <c r="CN479" s="175"/>
      <c r="CO479" s="175"/>
      <c r="CP479" s="176"/>
      <c r="CQ479" s="176"/>
      <c r="CR479" s="176"/>
      <c r="CS479" s="176"/>
      <c r="CT479" s="176"/>
      <c r="CU479" s="176"/>
      <c r="CV479" s="176"/>
      <c r="CW479" s="167"/>
      <c r="CX479" s="168"/>
      <c r="CY479" s="168"/>
      <c r="CZ479" s="168"/>
      <c r="DA479" s="168"/>
      <c r="DB479" s="168"/>
      <c r="DC479" s="168"/>
      <c r="DD479" s="172"/>
      <c r="DE479" s="172"/>
      <c r="DF479" s="172"/>
      <c r="DG479" s="172"/>
      <c r="DH479" s="172"/>
      <c r="DI479" s="172"/>
      <c r="DJ479" s="172"/>
      <c r="DK479" s="80" t="s">
        <v>415</v>
      </c>
      <c r="DL479" s="129"/>
      <c r="DM479" s="129"/>
      <c r="DN479" s="129"/>
      <c r="DO479" s="129"/>
      <c r="DP479" s="129"/>
      <c r="DQ479" s="129"/>
      <c r="DR479" s="129"/>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5" t="s">
        <v>1742</v>
      </c>
      <c r="B480" s="5" t="s">
        <v>726</v>
      </c>
      <c r="C480" s="5" t="s">
        <v>534</v>
      </c>
      <c r="D480" s="5" t="s">
        <v>727</v>
      </c>
      <c r="E480" s="5" t="s">
        <v>1731</v>
      </c>
      <c r="F480" s="5" t="s">
        <v>538</v>
      </c>
      <c r="G480" s="47" t="s">
        <v>1743</v>
      </c>
      <c r="H480" s="47" t="s">
        <v>1162</v>
      </c>
      <c r="I480" s="101">
        <v>4750</v>
      </c>
      <c r="J480" s="101">
        <v>4750</v>
      </c>
      <c r="K480" s="101">
        <v>4750</v>
      </c>
      <c r="L480" s="101">
        <v>4750</v>
      </c>
      <c r="M480" s="101">
        <v>4750</v>
      </c>
      <c r="N480" s="101">
        <v>4750</v>
      </c>
      <c r="O480" s="101">
        <v>4750</v>
      </c>
      <c r="P480" s="93">
        <v>0</v>
      </c>
      <c r="Q480" s="101">
        <v>0</v>
      </c>
      <c r="R480" s="101">
        <v>0</v>
      </c>
      <c r="S480" s="101">
        <v>0</v>
      </c>
      <c r="T480" s="101">
        <v>0</v>
      </c>
      <c r="U480" s="101">
        <v>0</v>
      </c>
      <c r="V480" s="101">
        <v>0</v>
      </c>
      <c r="W480" s="101">
        <v>0</v>
      </c>
      <c r="X480" s="101">
        <v>0</v>
      </c>
      <c r="Y480" s="101">
        <v>0</v>
      </c>
      <c r="Z480" s="101">
        <v>0</v>
      </c>
      <c r="AA480" s="101">
        <v>0</v>
      </c>
      <c r="AB480" s="101">
        <v>0</v>
      </c>
      <c r="AC480" s="101">
        <v>0</v>
      </c>
      <c r="AD480" s="101">
        <v>0</v>
      </c>
      <c r="AE480" s="186">
        <v>0.08</v>
      </c>
      <c r="AF480" s="93">
        <v>0</v>
      </c>
      <c r="AG480" s="93">
        <v>20</v>
      </c>
      <c r="AH480" s="93">
        <v>20</v>
      </c>
      <c r="AI480" s="16">
        <v>1</v>
      </c>
      <c r="AJ480" s="16" t="s">
        <v>662</v>
      </c>
      <c r="AK480" s="16" t="s">
        <v>745</v>
      </c>
      <c r="AL480" s="16"/>
      <c r="AM480" s="60"/>
      <c r="AN480" s="60"/>
      <c r="AO480" s="60"/>
      <c r="AP480" s="60"/>
      <c r="AQ480" s="60"/>
      <c r="AR480" s="60"/>
      <c r="AS480" s="63"/>
      <c r="AT480" s="63"/>
      <c r="AU480" s="63"/>
      <c r="AV480" s="131"/>
      <c r="AW480" s="131"/>
      <c r="AX480" s="131"/>
      <c r="AY480" s="27" t="s">
        <v>662</v>
      </c>
      <c r="AZ480" s="27"/>
      <c r="BA480" s="27"/>
      <c r="BB480" s="30"/>
      <c r="BC480" s="30"/>
      <c r="BD480" s="30"/>
      <c r="BE480" s="30"/>
      <c r="BF480" s="30"/>
      <c r="BG480" s="30"/>
      <c r="BH480" s="107"/>
      <c r="BI480" s="107"/>
      <c r="BJ480" s="107"/>
      <c r="BK480" s="107"/>
      <c r="BL480" s="136"/>
      <c r="BM480" s="122"/>
      <c r="BN480" s="138">
        <v>0</v>
      </c>
      <c r="BO480" s="93"/>
      <c r="BP480" s="93"/>
      <c r="BQ480" s="93"/>
      <c r="BR480" s="93"/>
      <c r="BS480" s="93"/>
      <c r="BT480" s="93"/>
      <c r="BU480" s="27">
        <f t="shared" si="331"/>
        <v>0</v>
      </c>
      <c r="BV480" s="27"/>
      <c r="BW480" s="27"/>
      <c r="BX480" s="27"/>
      <c r="BY480" s="27"/>
      <c r="BZ480" s="27"/>
      <c r="CA480" s="27"/>
      <c r="CB480" s="97">
        <v>0</v>
      </c>
      <c r="CC480" s="97">
        <v>7.6257525307173177E-3</v>
      </c>
      <c r="CD480" s="97">
        <v>0.01</v>
      </c>
      <c r="CE480" s="97">
        <f t="shared" si="365"/>
        <v>0.02</v>
      </c>
      <c r="CF480" s="97">
        <f t="shared" si="366"/>
        <v>0.02</v>
      </c>
      <c r="CG480" s="97">
        <f t="shared" si="367"/>
        <v>0.02</v>
      </c>
      <c r="CH480" s="97">
        <v>0.02</v>
      </c>
      <c r="CI480" s="173"/>
      <c r="CJ480" s="173"/>
      <c r="CK480" s="173"/>
      <c r="CL480" s="173"/>
      <c r="CM480" s="173"/>
      <c r="CN480" s="173"/>
      <c r="CO480" s="173"/>
      <c r="CP480" s="174"/>
      <c r="CQ480" s="174"/>
      <c r="CR480" s="174"/>
      <c r="CS480" s="174"/>
      <c r="CT480" s="174"/>
      <c r="CU480" s="174"/>
      <c r="CV480" s="174"/>
      <c r="CW480" s="165"/>
      <c r="CX480" s="166"/>
      <c r="CY480" s="166"/>
      <c r="CZ480" s="166"/>
      <c r="DA480" s="166"/>
      <c r="DB480" s="166"/>
      <c r="DC480" s="166"/>
      <c r="DD480" s="171"/>
      <c r="DE480" s="171"/>
      <c r="DF480" s="171"/>
      <c r="DG480" s="171"/>
      <c r="DH480" s="171"/>
      <c r="DI480" s="171"/>
      <c r="DJ480" s="171"/>
      <c r="DK480" s="79" t="s">
        <v>415</v>
      </c>
      <c r="DL480" s="128"/>
      <c r="DM480" s="128"/>
      <c r="DN480" s="128"/>
      <c r="DO480" s="128"/>
      <c r="DP480" s="128"/>
      <c r="DQ480" s="128"/>
      <c r="DR480" s="128"/>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6" t="s">
        <v>1744</v>
      </c>
      <c r="B481" s="6" t="s">
        <v>726</v>
      </c>
      <c r="C481" s="6" t="s">
        <v>534</v>
      </c>
      <c r="D481" s="6" t="s">
        <v>727</v>
      </c>
      <c r="E481" s="6" t="s">
        <v>1731</v>
      </c>
      <c r="F481" s="6" t="s">
        <v>538</v>
      </c>
      <c r="G481" s="48" t="s">
        <v>1745</v>
      </c>
      <c r="H481" s="48" t="s">
        <v>1162</v>
      </c>
      <c r="I481" s="102">
        <v>187.5</v>
      </c>
      <c r="J481" s="102">
        <v>193.75</v>
      </c>
      <c r="K481" s="102">
        <v>200</v>
      </c>
      <c r="L481" s="102">
        <v>206.25</v>
      </c>
      <c r="M481" s="102">
        <v>212.5</v>
      </c>
      <c r="N481" s="102">
        <v>218.75</v>
      </c>
      <c r="O481" s="102">
        <v>225</v>
      </c>
      <c r="P481" s="94">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86">
        <v>0.08</v>
      </c>
      <c r="AF481" s="94">
        <v>0</v>
      </c>
      <c r="AG481" s="94">
        <v>20</v>
      </c>
      <c r="AH481" s="94">
        <v>20</v>
      </c>
      <c r="AI481" s="17">
        <v>1</v>
      </c>
      <c r="AJ481" s="17" t="s">
        <v>662</v>
      </c>
      <c r="AK481" s="17" t="s">
        <v>745</v>
      </c>
      <c r="AL481" s="17"/>
      <c r="AM481" s="61"/>
      <c r="AN481" s="61"/>
      <c r="AO481" s="61"/>
      <c r="AP481" s="61"/>
      <c r="AQ481" s="61"/>
      <c r="AR481" s="61"/>
      <c r="AS481" s="64"/>
      <c r="AT481" s="64"/>
      <c r="AU481" s="64"/>
      <c r="AV481" s="132"/>
      <c r="AW481" s="132"/>
      <c r="AX481" s="132"/>
      <c r="AY481" s="28" t="s">
        <v>662</v>
      </c>
      <c r="AZ481" s="28"/>
      <c r="BA481" s="28"/>
      <c r="BB481" s="28"/>
      <c r="BC481" s="28"/>
      <c r="BD481" s="28"/>
      <c r="BE481" s="28"/>
      <c r="BF481" s="28"/>
      <c r="BG481" s="28"/>
      <c r="BH481" s="106"/>
      <c r="BI481" s="106"/>
      <c r="BJ481" s="106"/>
      <c r="BK481" s="106"/>
      <c r="BL481" s="137"/>
      <c r="BM481" s="123"/>
      <c r="BN481" s="139">
        <v>0</v>
      </c>
      <c r="BO481" s="94"/>
      <c r="BP481" s="94"/>
      <c r="BQ481" s="94"/>
      <c r="BR481" s="94"/>
      <c r="BS481" s="94"/>
      <c r="BT481" s="94"/>
      <c r="BU481" s="28">
        <f t="shared" si="331"/>
        <v>0</v>
      </c>
      <c r="BV481" s="28"/>
      <c r="BW481" s="28"/>
      <c r="BX481" s="28"/>
      <c r="BY481" s="28"/>
      <c r="BZ481" s="28"/>
      <c r="CA481" s="28"/>
      <c r="CB481" s="99">
        <v>0.81200000000000006</v>
      </c>
      <c r="CC481" s="99">
        <v>0.95333333333333337</v>
      </c>
      <c r="CD481" s="99">
        <v>0.18</v>
      </c>
      <c r="CE481" s="99">
        <f t="shared" si="365"/>
        <v>0.16</v>
      </c>
      <c r="CF481" s="99">
        <f t="shared" si="366"/>
        <v>0.14000000000000001</v>
      </c>
      <c r="CG481" s="99">
        <f t="shared" si="367"/>
        <v>0.12</v>
      </c>
      <c r="CH481" s="99">
        <v>0.1</v>
      </c>
      <c r="CI481" s="175"/>
      <c r="CJ481" s="175"/>
      <c r="CK481" s="175"/>
      <c r="CL481" s="175"/>
      <c r="CM481" s="175"/>
      <c r="CN481" s="175"/>
      <c r="CO481" s="175"/>
      <c r="CP481" s="176"/>
      <c r="CQ481" s="176"/>
      <c r="CR481" s="176"/>
      <c r="CS481" s="176"/>
      <c r="CT481" s="176"/>
      <c r="CU481" s="176"/>
      <c r="CV481" s="176"/>
      <c r="CW481" s="167"/>
      <c r="CX481" s="168"/>
      <c r="CY481" s="168"/>
      <c r="CZ481" s="168"/>
      <c r="DA481" s="168"/>
      <c r="DB481" s="168"/>
      <c r="DC481" s="168"/>
      <c r="DD481" s="172"/>
      <c r="DE481" s="172"/>
      <c r="DF481" s="172"/>
      <c r="DG481" s="172"/>
      <c r="DH481" s="172"/>
      <c r="DI481" s="172"/>
      <c r="DJ481" s="172"/>
      <c r="DK481" s="80" t="s">
        <v>415</v>
      </c>
      <c r="DL481" s="129"/>
      <c r="DM481" s="129"/>
      <c r="DN481" s="129"/>
      <c r="DO481" s="129"/>
      <c r="DP481" s="129"/>
      <c r="DQ481" s="129"/>
      <c r="DR481" s="129"/>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5" t="s">
        <v>1746</v>
      </c>
      <c r="B482" s="5" t="s">
        <v>740</v>
      </c>
      <c r="C482" s="5" t="s">
        <v>534</v>
      </c>
      <c r="D482" s="5" t="s">
        <v>741</v>
      </c>
      <c r="E482" s="5" t="s">
        <v>1709</v>
      </c>
      <c r="F482" s="5" t="s">
        <v>539</v>
      </c>
      <c r="G482" s="47" t="s">
        <v>539</v>
      </c>
      <c r="H482" s="47" t="s">
        <v>1162</v>
      </c>
      <c r="I482" s="101">
        <v>0</v>
      </c>
      <c r="J482" s="101">
        <v>0</v>
      </c>
      <c r="K482" s="101">
        <v>0</v>
      </c>
      <c r="L482" s="101">
        <v>0</v>
      </c>
      <c r="M482" s="101">
        <v>0</v>
      </c>
      <c r="N482" s="101">
        <v>0</v>
      </c>
      <c r="O482" s="101">
        <v>0</v>
      </c>
      <c r="P482" s="93">
        <v>0</v>
      </c>
      <c r="Q482" s="101">
        <v>0</v>
      </c>
      <c r="R482" s="101">
        <v>0</v>
      </c>
      <c r="S482" s="101">
        <v>0</v>
      </c>
      <c r="T482" s="101">
        <v>0</v>
      </c>
      <c r="U482" s="101">
        <v>0</v>
      </c>
      <c r="V482" s="101">
        <v>0</v>
      </c>
      <c r="W482" s="101">
        <v>0</v>
      </c>
      <c r="X482" s="101">
        <v>0</v>
      </c>
      <c r="Y482" s="101">
        <v>0</v>
      </c>
      <c r="Z482" s="101">
        <v>0</v>
      </c>
      <c r="AA482" s="101">
        <v>0</v>
      </c>
      <c r="AB482" s="101">
        <v>0</v>
      </c>
      <c r="AC482" s="101">
        <v>0</v>
      </c>
      <c r="AD482" s="101">
        <v>0</v>
      </c>
      <c r="AE482" s="186">
        <v>0.08</v>
      </c>
      <c r="AF482" s="93">
        <v>0</v>
      </c>
      <c r="AG482" s="93">
        <v>1</v>
      </c>
      <c r="AH482" s="93">
        <v>1</v>
      </c>
      <c r="AI482" s="16">
        <v>1</v>
      </c>
      <c r="AJ482" s="16" t="s">
        <v>662</v>
      </c>
      <c r="AK482" s="16" t="s">
        <v>745</v>
      </c>
      <c r="AL482" s="16"/>
      <c r="AM482" s="60"/>
      <c r="AN482" s="60"/>
      <c r="AO482" s="60"/>
      <c r="AP482" s="60"/>
      <c r="AQ482" s="60"/>
      <c r="AR482" s="60"/>
      <c r="AS482" s="63"/>
      <c r="AT482" s="63"/>
      <c r="AU482" s="63"/>
      <c r="AV482" s="131"/>
      <c r="AW482" s="131"/>
      <c r="AX482" s="131"/>
      <c r="AY482" s="27" t="s">
        <v>662</v>
      </c>
      <c r="AZ482" s="27"/>
      <c r="BA482" s="27"/>
      <c r="BB482" s="30"/>
      <c r="BC482" s="30"/>
      <c r="BD482" s="30"/>
      <c r="BE482" s="30"/>
      <c r="BF482" s="30"/>
      <c r="BG482" s="30"/>
      <c r="BH482" s="107"/>
      <c r="BI482" s="107"/>
      <c r="BJ482" s="107"/>
      <c r="BK482" s="107"/>
      <c r="BL482" s="136"/>
      <c r="BM482" s="122"/>
      <c r="BN482" s="138"/>
      <c r="BO482" s="93"/>
      <c r="BP482" s="93"/>
      <c r="BQ482" s="93"/>
      <c r="BR482" s="93"/>
      <c r="BS482" s="93"/>
      <c r="BT482" s="93"/>
      <c r="BU482" s="27">
        <f t="shared" ref="BU482:BU487" si="370">IF(BL482=1,BN482,0)</f>
        <v>0</v>
      </c>
      <c r="BV482" s="27"/>
      <c r="BW482" s="27"/>
      <c r="BX482" s="27"/>
      <c r="BY482" s="27"/>
      <c r="BZ482" s="27"/>
      <c r="CA482" s="27"/>
      <c r="CB482" s="97">
        <v>15</v>
      </c>
      <c r="CC482" s="97">
        <v>15</v>
      </c>
      <c r="CD482" s="97">
        <v>15</v>
      </c>
      <c r="CE482" s="97">
        <f t="shared" si="365"/>
        <v>15</v>
      </c>
      <c r="CF482" s="97">
        <f t="shared" si="366"/>
        <v>15</v>
      </c>
      <c r="CG482" s="97">
        <f t="shared" si="367"/>
        <v>15</v>
      </c>
      <c r="CH482" s="97">
        <v>15</v>
      </c>
      <c r="CI482" s="173"/>
      <c r="CJ482" s="173"/>
      <c r="CK482" s="173"/>
      <c r="CL482" s="173"/>
      <c r="CM482" s="173"/>
      <c r="CN482" s="173"/>
      <c r="CO482" s="173"/>
      <c r="CP482" s="174"/>
      <c r="CQ482" s="174"/>
      <c r="CR482" s="174"/>
      <c r="CS482" s="174"/>
      <c r="CT482" s="174"/>
      <c r="CU482" s="174"/>
      <c r="CV482" s="174"/>
      <c r="CW482" s="165"/>
      <c r="CX482" s="166"/>
      <c r="CY482" s="166"/>
      <c r="CZ482" s="166"/>
      <c r="DA482" s="166"/>
      <c r="DB482" s="166"/>
      <c r="DC482" s="166"/>
      <c r="DD482" s="171"/>
      <c r="DE482" s="171"/>
      <c r="DF482" s="171"/>
      <c r="DG482" s="171"/>
      <c r="DH482" s="171"/>
      <c r="DI482" s="171"/>
      <c r="DJ482" s="171"/>
      <c r="DK482" s="79" t="s">
        <v>415</v>
      </c>
      <c r="DL482" s="128"/>
      <c r="DM482" s="128"/>
      <c r="DN482" s="128"/>
      <c r="DO482" s="128"/>
      <c r="DP482" s="128"/>
      <c r="DQ482" s="128"/>
      <c r="DR482" s="128"/>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6" t="s">
        <v>1747</v>
      </c>
      <c r="B483" s="6" t="s">
        <v>740</v>
      </c>
      <c r="C483" s="6" t="s">
        <v>534</v>
      </c>
      <c r="D483" s="6" t="s">
        <v>741</v>
      </c>
      <c r="E483" s="6" t="s">
        <v>1709</v>
      </c>
      <c r="F483" s="6" t="s">
        <v>539</v>
      </c>
      <c r="G483" s="48" t="s">
        <v>1711</v>
      </c>
      <c r="H483" s="48" t="s">
        <v>1162</v>
      </c>
      <c r="I483" s="102">
        <v>250</v>
      </c>
      <c r="J483" s="102">
        <v>250</v>
      </c>
      <c r="K483" s="102">
        <v>250</v>
      </c>
      <c r="L483" s="102">
        <v>250</v>
      </c>
      <c r="M483" s="102">
        <v>250</v>
      </c>
      <c r="N483" s="102">
        <v>250</v>
      </c>
      <c r="O483" s="102">
        <v>250</v>
      </c>
      <c r="P483" s="94">
        <v>0</v>
      </c>
      <c r="Q483" s="102">
        <v>0</v>
      </c>
      <c r="R483" s="102">
        <v>0</v>
      </c>
      <c r="S483" s="102">
        <v>0</v>
      </c>
      <c r="T483" s="102">
        <v>0</v>
      </c>
      <c r="U483" s="102">
        <v>0</v>
      </c>
      <c r="V483" s="102">
        <v>0</v>
      </c>
      <c r="W483" s="102">
        <v>0</v>
      </c>
      <c r="X483" s="102">
        <v>0</v>
      </c>
      <c r="Y483" s="102">
        <v>0</v>
      </c>
      <c r="Z483" s="102">
        <v>0</v>
      </c>
      <c r="AA483" s="102">
        <v>0</v>
      </c>
      <c r="AB483" s="102">
        <v>0</v>
      </c>
      <c r="AC483" s="102">
        <v>0</v>
      </c>
      <c r="AD483" s="102">
        <v>0</v>
      </c>
      <c r="AE483" s="186">
        <v>0.08</v>
      </c>
      <c r="AF483" s="94">
        <v>0</v>
      </c>
      <c r="AG483" s="94">
        <v>20</v>
      </c>
      <c r="AH483" s="94">
        <v>20</v>
      </c>
      <c r="AI483" s="17">
        <v>1</v>
      </c>
      <c r="AJ483" s="17" t="s">
        <v>662</v>
      </c>
      <c r="AK483" s="17" t="s">
        <v>745</v>
      </c>
      <c r="AL483" s="17"/>
      <c r="AM483" s="61"/>
      <c r="AN483" s="61"/>
      <c r="AO483" s="61"/>
      <c r="AP483" s="61"/>
      <c r="AQ483" s="61"/>
      <c r="AR483" s="61"/>
      <c r="AS483" s="64"/>
      <c r="AT483" s="64"/>
      <c r="AU483" s="64"/>
      <c r="AV483" s="132"/>
      <c r="AW483" s="132"/>
      <c r="AX483" s="132"/>
      <c r="AY483" s="28" t="s">
        <v>662</v>
      </c>
      <c r="AZ483" s="28"/>
      <c r="BA483" s="28"/>
      <c r="BB483" s="28"/>
      <c r="BC483" s="28"/>
      <c r="BD483" s="28"/>
      <c r="BE483" s="28"/>
      <c r="BF483" s="28"/>
      <c r="BG483" s="28"/>
      <c r="BH483" s="106"/>
      <c r="BI483" s="106"/>
      <c r="BJ483" s="106"/>
      <c r="BK483" s="106"/>
      <c r="BL483" s="137"/>
      <c r="BM483" s="123"/>
      <c r="BN483" s="139">
        <v>0</v>
      </c>
      <c r="BO483" s="94"/>
      <c r="BP483" s="94"/>
      <c r="BQ483" s="94"/>
      <c r="BR483" s="94"/>
      <c r="BS483" s="94"/>
      <c r="BT483" s="94"/>
      <c r="BU483" s="28">
        <f t="shared" si="370"/>
        <v>0</v>
      </c>
      <c r="BV483" s="28"/>
      <c r="BW483" s="28"/>
      <c r="BX483" s="28"/>
      <c r="BY483" s="28"/>
      <c r="BZ483" s="28"/>
      <c r="CA483" s="28"/>
      <c r="CB483" s="99">
        <v>0.66749999999999998</v>
      </c>
      <c r="CC483" s="99">
        <v>0.73958333333333337</v>
      </c>
      <c r="CD483" s="185">
        <f>CC483</f>
        <v>0.73958333333333337</v>
      </c>
      <c r="CE483" s="185">
        <f t="shared" si="365"/>
        <v>0.74</v>
      </c>
      <c r="CF483" s="185">
        <f t="shared" si="366"/>
        <v>0.74</v>
      </c>
      <c r="CG483" s="185">
        <f t="shared" si="367"/>
        <v>0.74</v>
      </c>
      <c r="CH483" s="185">
        <f>CC483</f>
        <v>0.73958333333333337</v>
      </c>
      <c r="CI483" s="175"/>
      <c r="CJ483" s="175"/>
      <c r="CK483" s="175"/>
      <c r="CL483" s="175"/>
      <c r="CM483" s="175"/>
      <c r="CN483" s="175"/>
      <c r="CO483" s="175"/>
      <c r="CP483" s="176"/>
      <c r="CQ483" s="176"/>
      <c r="CR483" s="176"/>
      <c r="CS483" s="176"/>
      <c r="CT483" s="176"/>
      <c r="CU483" s="176"/>
      <c r="CV483" s="176"/>
      <c r="CW483" s="167"/>
      <c r="CX483" s="168"/>
      <c r="CY483" s="168"/>
      <c r="CZ483" s="168"/>
      <c r="DA483" s="168"/>
      <c r="DB483" s="168"/>
      <c r="DC483" s="168"/>
      <c r="DD483" s="172"/>
      <c r="DE483" s="172"/>
      <c r="DF483" s="172"/>
      <c r="DG483" s="172"/>
      <c r="DH483" s="172"/>
      <c r="DI483" s="172"/>
      <c r="DJ483" s="172"/>
      <c r="DK483" s="80" t="s">
        <v>415</v>
      </c>
      <c r="DL483" s="129"/>
      <c r="DM483" s="129"/>
      <c r="DN483" s="129"/>
      <c r="DO483" s="129"/>
      <c r="DP483" s="129"/>
      <c r="DQ483" s="129"/>
      <c r="DR483" s="129"/>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5" t="s">
        <v>1748</v>
      </c>
      <c r="B484" s="5" t="s">
        <v>740</v>
      </c>
      <c r="C484" s="5" t="s">
        <v>534</v>
      </c>
      <c r="D484" s="5" t="s">
        <v>741</v>
      </c>
      <c r="E484" s="5" t="s">
        <v>1713</v>
      </c>
      <c r="F484" s="5" t="s">
        <v>540</v>
      </c>
      <c r="G484" s="47" t="s">
        <v>540</v>
      </c>
      <c r="H484" s="47" t="s">
        <v>1162</v>
      </c>
      <c r="I484" s="101">
        <v>0</v>
      </c>
      <c r="J484" s="101">
        <v>0</v>
      </c>
      <c r="K484" s="101">
        <v>0</v>
      </c>
      <c r="L484" s="101">
        <v>0</v>
      </c>
      <c r="M484" s="101">
        <v>0</v>
      </c>
      <c r="N484" s="101">
        <v>0</v>
      </c>
      <c r="O484" s="101">
        <v>0</v>
      </c>
      <c r="P484" s="93">
        <v>0</v>
      </c>
      <c r="Q484" s="101">
        <v>0</v>
      </c>
      <c r="R484" s="101">
        <v>0</v>
      </c>
      <c r="S484" s="101">
        <v>0</v>
      </c>
      <c r="T484" s="101">
        <v>0</v>
      </c>
      <c r="U484" s="101">
        <v>0</v>
      </c>
      <c r="V484" s="101">
        <v>0</v>
      </c>
      <c r="W484" s="101">
        <v>0</v>
      </c>
      <c r="X484" s="101">
        <v>0</v>
      </c>
      <c r="Y484" s="101">
        <v>0</v>
      </c>
      <c r="Z484" s="101">
        <v>0</v>
      </c>
      <c r="AA484" s="101">
        <v>0</v>
      </c>
      <c r="AB484" s="101">
        <v>0</v>
      </c>
      <c r="AC484" s="101">
        <v>0</v>
      </c>
      <c r="AD484" s="101">
        <v>0</v>
      </c>
      <c r="AE484" s="186">
        <v>0.08</v>
      </c>
      <c r="AF484" s="93">
        <v>0</v>
      </c>
      <c r="AG484" s="93">
        <v>1</v>
      </c>
      <c r="AH484" s="93">
        <v>1</v>
      </c>
      <c r="AI484" s="16">
        <v>1</v>
      </c>
      <c r="AJ484" s="16" t="s">
        <v>662</v>
      </c>
      <c r="AK484" s="16" t="s">
        <v>745</v>
      </c>
      <c r="AL484" s="16"/>
      <c r="AM484" s="60"/>
      <c r="AN484" s="60"/>
      <c r="AO484" s="60"/>
      <c r="AP484" s="60"/>
      <c r="AQ484" s="60"/>
      <c r="AR484" s="60"/>
      <c r="AS484" s="63"/>
      <c r="AT484" s="63"/>
      <c r="AU484" s="63"/>
      <c r="AV484" s="131"/>
      <c r="AW484" s="131"/>
      <c r="AX484" s="131"/>
      <c r="AY484" s="27" t="s">
        <v>662</v>
      </c>
      <c r="AZ484" s="27"/>
      <c r="BA484" s="27"/>
      <c r="BB484" s="30"/>
      <c r="BC484" s="30"/>
      <c r="BD484" s="30"/>
      <c r="BE484" s="30"/>
      <c r="BF484" s="30"/>
      <c r="BG484" s="30"/>
      <c r="BH484" s="107"/>
      <c r="BI484" s="107"/>
      <c r="BJ484" s="107"/>
      <c r="BK484" s="107"/>
      <c r="BL484" s="136"/>
      <c r="BM484" s="122"/>
      <c r="BN484" s="138"/>
      <c r="BO484" s="93"/>
      <c r="BP484" s="93"/>
      <c r="BQ484" s="93"/>
      <c r="BR484" s="93"/>
      <c r="BS484" s="93"/>
      <c r="BT484" s="93"/>
      <c r="BU484" s="27">
        <f t="shared" si="370"/>
        <v>0</v>
      </c>
      <c r="BV484" s="27"/>
      <c r="BW484" s="27"/>
      <c r="BX484" s="27"/>
      <c r="BY484" s="27"/>
      <c r="BZ484" s="27"/>
      <c r="CA484" s="27"/>
      <c r="CB484" s="97">
        <v>20</v>
      </c>
      <c r="CC484" s="97">
        <v>20</v>
      </c>
      <c r="CD484" s="97">
        <v>20</v>
      </c>
      <c r="CE484" s="97">
        <f t="shared" si="365"/>
        <v>20</v>
      </c>
      <c r="CF484" s="97">
        <f t="shared" si="366"/>
        <v>20</v>
      </c>
      <c r="CG484" s="97">
        <f t="shared" si="367"/>
        <v>20</v>
      </c>
      <c r="CH484" s="97">
        <v>20</v>
      </c>
      <c r="CI484" s="173"/>
      <c r="CJ484" s="173"/>
      <c r="CK484" s="173"/>
      <c r="CL484" s="173"/>
      <c r="CM484" s="173"/>
      <c r="CN484" s="173"/>
      <c r="CO484" s="173"/>
      <c r="CP484" s="174"/>
      <c r="CQ484" s="174"/>
      <c r="CR484" s="174"/>
      <c r="CS484" s="174"/>
      <c r="CT484" s="174"/>
      <c r="CU484" s="174"/>
      <c r="CV484" s="174"/>
      <c r="CW484" s="165"/>
      <c r="CX484" s="166"/>
      <c r="CY484" s="166"/>
      <c r="CZ484" s="166"/>
      <c r="DA484" s="166"/>
      <c r="DB484" s="166"/>
      <c r="DC484" s="166"/>
      <c r="DD484" s="171"/>
      <c r="DE484" s="171"/>
      <c r="DF484" s="171"/>
      <c r="DG484" s="171"/>
      <c r="DH484" s="171"/>
      <c r="DI484" s="171"/>
      <c r="DJ484" s="171"/>
      <c r="DK484" s="79" t="s">
        <v>415</v>
      </c>
      <c r="DL484" s="128"/>
      <c r="DM484" s="128"/>
      <c r="DN484" s="128"/>
      <c r="DO484" s="128"/>
      <c r="DP484" s="128"/>
      <c r="DQ484" s="128"/>
      <c r="DR484" s="128"/>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6" t="s">
        <v>1749</v>
      </c>
      <c r="B485" s="6" t="s">
        <v>740</v>
      </c>
      <c r="C485" s="6" t="s">
        <v>534</v>
      </c>
      <c r="D485" s="6" t="s">
        <v>741</v>
      </c>
      <c r="E485" s="6" t="s">
        <v>1713</v>
      </c>
      <c r="F485" s="6" t="s">
        <v>540</v>
      </c>
      <c r="G485" s="48" t="s">
        <v>1715</v>
      </c>
      <c r="H485" s="48" t="s">
        <v>1162</v>
      </c>
      <c r="I485" s="102">
        <v>125</v>
      </c>
      <c r="J485" s="102">
        <v>125</v>
      </c>
      <c r="K485" s="102">
        <v>125</v>
      </c>
      <c r="L485" s="102">
        <v>125</v>
      </c>
      <c r="M485" s="102">
        <v>125</v>
      </c>
      <c r="N485" s="102">
        <v>125</v>
      </c>
      <c r="O485" s="102">
        <v>125</v>
      </c>
      <c r="P485" s="94">
        <v>0</v>
      </c>
      <c r="Q485" s="102">
        <v>0</v>
      </c>
      <c r="R485" s="102">
        <v>0</v>
      </c>
      <c r="S485" s="102">
        <v>0</v>
      </c>
      <c r="T485" s="102">
        <v>0</v>
      </c>
      <c r="U485" s="102">
        <v>0</v>
      </c>
      <c r="V485" s="102">
        <v>0</v>
      </c>
      <c r="W485" s="102">
        <v>0</v>
      </c>
      <c r="X485" s="102">
        <v>0</v>
      </c>
      <c r="Y485" s="102">
        <v>0</v>
      </c>
      <c r="Z485" s="102">
        <v>0</v>
      </c>
      <c r="AA485" s="102">
        <v>0</v>
      </c>
      <c r="AB485" s="102">
        <v>0</v>
      </c>
      <c r="AC485" s="102">
        <v>0</v>
      </c>
      <c r="AD485" s="102">
        <v>0</v>
      </c>
      <c r="AE485" s="186">
        <v>0.08</v>
      </c>
      <c r="AF485" s="94">
        <v>0</v>
      </c>
      <c r="AG485" s="94">
        <v>20</v>
      </c>
      <c r="AH485" s="94">
        <v>20</v>
      </c>
      <c r="AI485" s="17">
        <v>1</v>
      </c>
      <c r="AJ485" s="17" t="s">
        <v>662</v>
      </c>
      <c r="AK485" s="17" t="s">
        <v>745</v>
      </c>
      <c r="AL485" s="17"/>
      <c r="AM485" s="61"/>
      <c r="AN485" s="61"/>
      <c r="AO485" s="61"/>
      <c r="AP485" s="61"/>
      <c r="AQ485" s="61"/>
      <c r="AR485" s="61"/>
      <c r="AS485" s="64"/>
      <c r="AT485" s="64"/>
      <c r="AU485" s="64"/>
      <c r="AV485" s="132"/>
      <c r="AW485" s="132"/>
      <c r="AX485" s="132"/>
      <c r="AY485" s="28" t="s">
        <v>662</v>
      </c>
      <c r="AZ485" s="28"/>
      <c r="BA485" s="28"/>
      <c r="BB485" s="28"/>
      <c r="BC485" s="28"/>
      <c r="BD485" s="28"/>
      <c r="BE485" s="28"/>
      <c r="BF485" s="28"/>
      <c r="BG485" s="28"/>
      <c r="BH485" s="106"/>
      <c r="BI485" s="106"/>
      <c r="BJ485" s="106"/>
      <c r="BK485" s="106"/>
      <c r="BL485" s="137"/>
      <c r="BM485" s="123"/>
      <c r="BN485" s="139">
        <v>0</v>
      </c>
      <c r="BO485" s="94"/>
      <c r="BP485" s="94"/>
      <c r="BQ485" s="94"/>
      <c r="BR485" s="94"/>
      <c r="BS485" s="94"/>
      <c r="BT485" s="94"/>
      <c r="BU485" s="28">
        <f t="shared" si="370"/>
        <v>0</v>
      </c>
      <c r="BV485" s="28"/>
      <c r="BW485" s="28"/>
      <c r="BX485" s="28"/>
      <c r="BY485" s="28"/>
      <c r="BZ485" s="28"/>
      <c r="CA485" s="28"/>
      <c r="CB485" s="99">
        <v>0.9880000000000001</v>
      </c>
      <c r="CC485" s="99">
        <v>0.85458333333333347</v>
      </c>
      <c r="CD485" s="99">
        <v>1.345</v>
      </c>
      <c r="CE485" s="99">
        <f t="shared" si="365"/>
        <v>1.35</v>
      </c>
      <c r="CF485" s="99">
        <f t="shared" si="366"/>
        <v>1.35</v>
      </c>
      <c r="CG485" s="99">
        <f t="shared" si="367"/>
        <v>1.35</v>
      </c>
      <c r="CH485" s="99">
        <v>1.345</v>
      </c>
      <c r="CI485" s="175"/>
      <c r="CJ485" s="175"/>
      <c r="CK485" s="175"/>
      <c r="CL485" s="175"/>
      <c r="CM485" s="175"/>
      <c r="CN485" s="175"/>
      <c r="CO485" s="175"/>
      <c r="CP485" s="176"/>
      <c r="CQ485" s="176"/>
      <c r="CR485" s="176"/>
      <c r="CS485" s="176"/>
      <c r="CT485" s="176"/>
      <c r="CU485" s="176"/>
      <c r="CV485" s="176"/>
      <c r="CW485" s="167"/>
      <c r="CX485" s="168"/>
      <c r="CY485" s="168"/>
      <c r="CZ485" s="168"/>
      <c r="DA485" s="168"/>
      <c r="DB485" s="168"/>
      <c r="DC485" s="168"/>
      <c r="DD485" s="172"/>
      <c r="DE485" s="172"/>
      <c r="DF485" s="172"/>
      <c r="DG485" s="172"/>
      <c r="DH485" s="172"/>
      <c r="DI485" s="172"/>
      <c r="DJ485" s="172"/>
      <c r="DK485" s="80" t="s">
        <v>415</v>
      </c>
      <c r="DL485" s="129"/>
      <c r="DM485" s="129"/>
      <c r="DN485" s="129"/>
      <c r="DO485" s="129"/>
      <c r="DP485" s="129"/>
      <c r="DQ485" s="129"/>
      <c r="DR485" s="129"/>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5" t="s">
        <v>1750</v>
      </c>
      <c r="B486" s="5" t="s">
        <v>740</v>
      </c>
      <c r="C486" s="5" t="s">
        <v>534</v>
      </c>
      <c r="D486" s="5" t="s">
        <v>741</v>
      </c>
      <c r="E486" s="5" t="s">
        <v>1731</v>
      </c>
      <c r="F486" s="5" t="s">
        <v>541</v>
      </c>
      <c r="G486" s="47" t="s">
        <v>541</v>
      </c>
      <c r="H486" s="47" t="s">
        <v>1162</v>
      </c>
      <c r="I486" s="101">
        <v>0</v>
      </c>
      <c r="J486" s="101">
        <v>0</v>
      </c>
      <c r="K486" s="101">
        <v>0</v>
      </c>
      <c r="L486" s="101">
        <v>0</v>
      </c>
      <c r="M486" s="101">
        <v>0</v>
      </c>
      <c r="N486" s="101">
        <v>0</v>
      </c>
      <c r="O486" s="101">
        <v>0</v>
      </c>
      <c r="P486" s="93">
        <v>0</v>
      </c>
      <c r="Q486" s="101">
        <v>0</v>
      </c>
      <c r="R486" s="101">
        <v>0</v>
      </c>
      <c r="S486" s="101">
        <v>0</v>
      </c>
      <c r="T486" s="101">
        <v>0</v>
      </c>
      <c r="U486" s="101">
        <v>0</v>
      </c>
      <c r="V486" s="101">
        <v>0</v>
      </c>
      <c r="W486" s="101">
        <v>0</v>
      </c>
      <c r="X486" s="101">
        <v>0</v>
      </c>
      <c r="Y486" s="101">
        <v>0</v>
      </c>
      <c r="Z486" s="101">
        <v>0</v>
      </c>
      <c r="AA486" s="101">
        <v>0</v>
      </c>
      <c r="AB486" s="101">
        <v>0</v>
      </c>
      <c r="AC486" s="101">
        <v>0</v>
      </c>
      <c r="AD486" s="101">
        <v>0</v>
      </c>
      <c r="AE486" s="186">
        <v>0.08</v>
      </c>
      <c r="AF486" s="93">
        <v>0</v>
      </c>
      <c r="AG486" s="93">
        <v>1</v>
      </c>
      <c r="AH486" s="93">
        <v>1</v>
      </c>
      <c r="AI486" s="16">
        <v>1</v>
      </c>
      <c r="AJ486" s="16" t="s">
        <v>662</v>
      </c>
      <c r="AK486" s="16" t="s">
        <v>745</v>
      </c>
      <c r="AL486" s="16"/>
      <c r="AM486" s="60"/>
      <c r="AN486" s="60"/>
      <c r="AO486" s="60"/>
      <c r="AP486" s="60"/>
      <c r="AQ486" s="60"/>
      <c r="AR486" s="60"/>
      <c r="AS486" s="63"/>
      <c r="AT486" s="63"/>
      <c r="AU486" s="63"/>
      <c r="AV486" s="131"/>
      <c r="AW486" s="131"/>
      <c r="AX486" s="131"/>
      <c r="AY486" s="27" t="s">
        <v>662</v>
      </c>
      <c r="AZ486" s="27"/>
      <c r="BA486" s="27"/>
      <c r="BB486" s="30"/>
      <c r="BC486" s="30"/>
      <c r="BD486" s="30"/>
      <c r="BE486" s="30"/>
      <c r="BF486" s="30"/>
      <c r="BG486" s="30"/>
      <c r="BH486" s="107"/>
      <c r="BI486" s="107"/>
      <c r="BJ486" s="107"/>
      <c r="BK486" s="107"/>
      <c r="BL486" s="136"/>
      <c r="BM486" s="122"/>
      <c r="BN486" s="138"/>
      <c r="BO486" s="93"/>
      <c r="BP486" s="93"/>
      <c r="BQ486" s="93"/>
      <c r="BR486" s="93"/>
      <c r="BS486" s="93"/>
      <c r="BT486" s="93"/>
      <c r="BU486" s="27">
        <f t="shared" si="370"/>
        <v>0</v>
      </c>
      <c r="BV486" s="27"/>
      <c r="BW486" s="27"/>
      <c r="BX486" s="27"/>
      <c r="BY486" s="27"/>
      <c r="BZ486" s="27"/>
      <c r="CA486" s="27"/>
      <c r="CB486" s="97">
        <v>10</v>
      </c>
      <c r="CC486" s="97">
        <v>10</v>
      </c>
      <c r="CD486" s="97">
        <v>10</v>
      </c>
      <c r="CE486" s="97">
        <f t="shared" si="365"/>
        <v>10</v>
      </c>
      <c r="CF486" s="97">
        <f t="shared" si="366"/>
        <v>10</v>
      </c>
      <c r="CG486" s="97">
        <f t="shared" si="367"/>
        <v>10</v>
      </c>
      <c r="CH486" s="97">
        <v>10</v>
      </c>
      <c r="CI486" s="173"/>
      <c r="CJ486" s="173"/>
      <c r="CK486" s="173"/>
      <c r="CL486" s="173"/>
      <c r="CM486" s="173"/>
      <c r="CN486" s="173"/>
      <c r="CO486" s="173"/>
      <c r="CP486" s="174"/>
      <c r="CQ486" s="174"/>
      <c r="CR486" s="174"/>
      <c r="CS486" s="174"/>
      <c r="CT486" s="174"/>
      <c r="CU486" s="174"/>
      <c r="CV486" s="174"/>
      <c r="CW486" s="165"/>
      <c r="CX486" s="166"/>
      <c r="CY486" s="166"/>
      <c r="CZ486" s="166"/>
      <c r="DA486" s="166"/>
      <c r="DB486" s="166"/>
      <c r="DC486" s="166"/>
      <c r="DD486" s="171"/>
      <c r="DE486" s="171"/>
      <c r="DF486" s="171"/>
      <c r="DG486" s="171"/>
      <c r="DH486" s="171"/>
      <c r="DI486" s="171"/>
      <c r="DJ486" s="171"/>
      <c r="DK486" s="79" t="s">
        <v>415</v>
      </c>
      <c r="DL486" s="128"/>
      <c r="DM486" s="128"/>
      <c r="DN486" s="128"/>
      <c r="DO486" s="128"/>
      <c r="DP486" s="128"/>
      <c r="DQ486" s="128"/>
      <c r="DR486" s="128"/>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6" t="s">
        <v>1751</v>
      </c>
      <c r="B487" s="6" t="s">
        <v>740</v>
      </c>
      <c r="C487" s="6" t="s">
        <v>534</v>
      </c>
      <c r="D487" s="6" t="s">
        <v>741</v>
      </c>
      <c r="E487" s="6" t="s">
        <v>1731</v>
      </c>
      <c r="F487" s="6" t="s">
        <v>541</v>
      </c>
      <c r="G487" s="48" t="s">
        <v>1745</v>
      </c>
      <c r="H487" s="48" t="s">
        <v>1162</v>
      </c>
      <c r="I487" s="102">
        <v>187.5</v>
      </c>
      <c r="J487" s="102">
        <v>193.75</v>
      </c>
      <c r="K487" s="102">
        <v>200</v>
      </c>
      <c r="L487" s="102">
        <v>206.25</v>
      </c>
      <c r="M487" s="102">
        <v>212.5</v>
      </c>
      <c r="N487" s="102">
        <v>218.75</v>
      </c>
      <c r="O487" s="102">
        <v>225</v>
      </c>
      <c r="P487" s="94">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86">
        <v>0.08</v>
      </c>
      <c r="AF487" s="94">
        <v>0</v>
      </c>
      <c r="AG487" s="94">
        <v>20</v>
      </c>
      <c r="AH487" s="94">
        <v>20</v>
      </c>
      <c r="AI487" s="17">
        <v>1</v>
      </c>
      <c r="AJ487" s="17" t="s">
        <v>662</v>
      </c>
      <c r="AK487" s="17" t="s">
        <v>745</v>
      </c>
      <c r="AL487" s="17"/>
      <c r="AM487" s="61"/>
      <c r="AN487" s="61"/>
      <c r="AO487" s="61"/>
      <c r="AP487" s="61"/>
      <c r="AQ487" s="61"/>
      <c r="AR487" s="61"/>
      <c r="AS487" s="64"/>
      <c r="AT487" s="64"/>
      <c r="AU487" s="64"/>
      <c r="AV487" s="132"/>
      <c r="AW487" s="132"/>
      <c r="AX487" s="132"/>
      <c r="AY487" s="28" t="s">
        <v>662</v>
      </c>
      <c r="AZ487" s="28"/>
      <c r="BA487" s="28"/>
      <c r="BB487" s="28"/>
      <c r="BC487" s="28"/>
      <c r="BD487" s="28"/>
      <c r="BE487" s="28"/>
      <c r="BF487" s="28"/>
      <c r="BG487" s="28"/>
      <c r="BH487" s="106"/>
      <c r="BI487" s="106"/>
      <c r="BJ487" s="106"/>
      <c r="BK487" s="106"/>
      <c r="BL487" s="137"/>
      <c r="BM487" s="123"/>
      <c r="BN487" s="139">
        <v>0</v>
      </c>
      <c r="BO487" s="94"/>
      <c r="BP487" s="94"/>
      <c r="BQ487" s="94"/>
      <c r="BR487" s="94"/>
      <c r="BS487" s="94"/>
      <c r="BT487" s="94"/>
      <c r="BU487" s="28">
        <f t="shared" si="370"/>
        <v>0</v>
      </c>
      <c r="BV487" s="28"/>
      <c r="BW487" s="28"/>
      <c r="BX487" s="28"/>
      <c r="BY487" s="28"/>
      <c r="BZ487" s="28"/>
      <c r="CA487" s="28"/>
      <c r="CB487" s="99">
        <v>0.81200000000000006</v>
      </c>
      <c r="CC487" s="99">
        <v>0.95333333333333337</v>
      </c>
      <c r="CD487" s="99">
        <v>0.35899999999999999</v>
      </c>
      <c r="CE487" s="99">
        <f t="shared" si="365"/>
        <v>0.36</v>
      </c>
      <c r="CF487" s="99">
        <f t="shared" si="366"/>
        <v>0.36</v>
      </c>
      <c r="CG487" s="99">
        <f t="shared" si="367"/>
        <v>0.36</v>
      </c>
      <c r="CH487" s="99">
        <v>0.35899999999999999</v>
      </c>
      <c r="CI487" s="175"/>
      <c r="CJ487" s="175"/>
      <c r="CK487" s="175"/>
      <c r="CL487" s="175"/>
      <c r="CM487" s="175"/>
      <c r="CN487" s="175"/>
      <c r="CO487" s="175"/>
      <c r="CP487" s="176"/>
      <c r="CQ487" s="176"/>
      <c r="CR487" s="176"/>
      <c r="CS487" s="176"/>
      <c r="CT487" s="176"/>
      <c r="CU487" s="176"/>
      <c r="CV487" s="176"/>
      <c r="CW487" s="167"/>
      <c r="CX487" s="168"/>
      <c r="CY487" s="168"/>
      <c r="CZ487" s="168"/>
      <c r="DA487" s="168"/>
      <c r="DB487" s="168"/>
      <c r="DC487" s="168"/>
      <c r="DD487" s="172"/>
      <c r="DE487" s="172"/>
      <c r="DF487" s="172"/>
      <c r="DG487" s="172"/>
      <c r="DH487" s="172"/>
      <c r="DI487" s="172"/>
      <c r="DJ487" s="172"/>
      <c r="DK487" s="80" t="s">
        <v>415</v>
      </c>
      <c r="DL487" s="129"/>
      <c r="DM487" s="129"/>
      <c r="DN487" s="129"/>
      <c r="DO487" s="129"/>
      <c r="DP487" s="129"/>
      <c r="DQ487" s="129"/>
      <c r="DR487" s="129"/>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5" t="s">
        <v>1752</v>
      </c>
      <c r="B488" s="5" t="s">
        <v>740</v>
      </c>
      <c r="C488" s="5" t="s">
        <v>534</v>
      </c>
      <c r="D488" s="5" t="s">
        <v>741</v>
      </c>
      <c r="E488" s="5" t="s">
        <v>1753</v>
      </c>
      <c r="F488" s="5" t="s">
        <v>542</v>
      </c>
      <c r="G488" s="47" t="s">
        <v>542</v>
      </c>
      <c r="H488" s="47" t="s">
        <v>1162</v>
      </c>
      <c r="I488" s="101">
        <v>0</v>
      </c>
      <c r="J488" s="101">
        <v>0</v>
      </c>
      <c r="K488" s="101">
        <v>0</v>
      </c>
      <c r="L488" s="101">
        <v>0</v>
      </c>
      <c r="M488" s="101">
        <v>0</v>
      </c>
      <c r="N488" s="101">
        <v>0</v>
      </c>
      <c r="O488" s="101">
        <v>0</v>
      </c>
      <c r="P488" s="93">
        <v>0</v>
      </c>
      <c r="Q488" s="101">
        <v>0</v>
      </c>
      <c r="R488" s="101">
        <v>0</v>
      </c>
      <c r="S488" s="101">
        <v>0</v>
      </c>
      <c r="T488" s="101">
        <v>0</v>
      </c>
      <c r="U488" s="101">
        <v>0</v>
      </c>
      <c r="V488" s="101">
        <v>0</v>
      </c>
      <c r="W488" s="101">
        <v>0</v>
      </c>
      <c r="X488" s="101">
        <v>0</v>
      </c>
      <c r="Y488" s="101">
        <v>0</v>
      </c>
      <c r="Z488" s="101">
        <v>0</v>
      </c>
      <c r="AA488" s="101">
        <v>0</v>
      </c>
      <c r="AB488" s="101">
        <v>0</v>
      </c>
      <c r="AC488" s="101">
        <v>0</v>
      </c>
      <c r="AD488" s="101">
        <v>0</v>
      </c>
      <c r="AE488" s="186">
        <v>0.08</v>
      </c>
      <c r="AF488" s="93">
        <v>0</v>
      </c>
      <c r="AG488" s="93">
        <v>1</v>
      </c>
      <c r="AH488" s="93">
        <v>1</v>
      </c>
      <c r="AI488" s="16">
        <v>1</v>
      </c>
      <c r="AJ488" s="16" t="s">
        <v>662</v>
      </c>
      <c r="AK488" s="16" t="s">
        <v>745</v>
      </c>
      <c r="AL488" s="16"/>
      <c r="AM488" s="60"/>
      <c r="AN488" s="60"/>
      <c r="AO488" s="60"/>
      <c r="AP488" s="60"/>
      <c r="AQ488" s="60"/>
      <c r="AR488" s="60"/>
      <c r="AS488" s="63"/>
      <c r="AT488" s="63"/>
      <c r="AU488" s="63"/>
      <c r="AV488" s="131"/>
      <c r="AW488" s="131"/>
      <c r="AX488" s="131"/>
      <c r="AY488" s="27" t="s">
        <v>662</v>
      </c>
      <c r="AZ488" s="27"/>
      <c r="BA488" s="27"/>
      <c r="BB488" s="30"/>
      <c r="BC488" s="30"/>
      <c r="BD488" s="30"/>
      <c r="BE488" s="30"/>
      <c r="BF488" s="30"/>
      <c r="BG488" s="30"/>
      <c r="BH488" s="107"/>
      <c r="BI488" s="107"/>
      <c r="BJ488" s="107"/>
      <c r="BK488" s="107"/>
      <c r="BL488" s="136"/>
      <c r="BM488" s="122"/>
      <c r="BN488" s="138"/>
      <c r="BO488" s="93"/>
      <c r="BP488" s="93"/>
      <c r="BQ488" s="93"/>
      <c r="BR488" s="93"/>
      <c r="BS488" s="93"/>
      <c r="BT488" s="93"/>
      <c r="BU488" s="27">
        <f t="shared" si="331"/>
        <v>0</v>
      </c>
      <c r="BV488" s="27"/>
      <c r="BW488" s="27"/>
      <c r="BX488" s="27"/>
      <c r="BY488" s="27"/>
      <c r="BZ488" s="27"/>
      <c r="CA488" s="27"/>
      <c r="CB488" s="97">
        <v>5</v>
      </c>
      <c r="CC488" s="97">
        <v>5</v>
      </c>
      <c r="CD488" s="97">
        <v>5</v>
      </c>
      <c r="CE488" s="97">
        <f t="shared" si="365"/>
        <v>5</v>
      </c>
      <c r="CF488" s="97">
        <f t="shared" si="366"/>
        <v>5</v>
      </c>
      <c r="CG488" s="97">
        <f t="shared" si="367"/>
        <v>5</v>
      </c>
      <c r="CH488" s="97">
        <v>5</v>
      </c>
      <c r="CI488" s="173"/>
      <c r="CJ488" s="173"/>
      <c r="CK488" s="173"/>
      <c r="CL488" s="173"/>
      <c r="CM488" s="173"/>
      <c r="CN488" s="173"/>
      <c r="CO488" s="173"/>
      <c r="CP488" s="174"/>
      <c r="CQ488" s="174"/>
      <c r="CR488" s="174"/>
      <c r="CS488" s="174"/>
      <c r="CT488" s="174"/>
      <c r="CU488" s="174"/>
      <c r="CV488" s="174"/>
      <c r="CW488" s="165"/>
      <c r="CX488" s="166"/>
      <c r="CY488" s="166"/>
      <c r="CZ488" s="166"/>
      <c r="DA488" s="166"/>
      <c r="DB488" s="166"/>
      <c r="DC488" s="166"/>
      <c r="DD488" s="171"/>
      <c r="DE488" s="171"/>
      <c r="DF488" s="171"/>
      <c r="DG488" s="171"/>
      <c r="DH488" s="171"/>
      <c r="DI488" s="171"/>
      <c r="DJ488" s="171"/>
      <c r="DK488" s="79" t="s">
        <v>415</v>
      </c>
      <c r="DL488" s="128"/>
      <c r="DM488" s="128"/>
      <c r="DN488" s="128"/>
      <c r="DO488" s="128"/>
      <c r="DP488" s="128"/>
      <c r="DQ488" s="128"/>
      <c r="DR488" s="128"/>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6" t="s">
        <v>1754</v>
      </c>
      <c r="B489" s="6" t="s">
        <v>740</v>
      </c>
      <c r="C489" s="6" t="s">
        <v>534</v>
      </c>
      <c r="D489" s="6" t="s">
        <v>741</v>
      </c>
      <c r="E489" s="6" t="s">
        <v>1753</v>
      </c>
      <c r="F489" s="6" t="s">
        <v>542</v>
      </c>
      <c r="G489" s="48" t="s">
        <v>1755</v>
      </c>
      <c r="H489" s="48" t="s">
        <v>1162</v>
      </c>
      <c r="I489" s="102">
        <v>120</v>
      </c>
      <c r="J489" s="102">
        <v>122.5</v>
      </c>
      <c r="K489" s="102">
        <v>125</v>
      </c>
      <c r="L489" s="102">
        <v>112.5</v>
      </c>
      <c r="M489" s="102">
        <v>100</v>
      </c>
      <c r="N489" s="102">
        <v>100</v>
      </c>
      <c r="O489" s="102">
        <v>100</v>
      </c>
      <c r="P489" s="94">
        <v>0</v>
      </c>
      <c r="Q489" s="102">
        <v>0</v>
      </c>
      <c r="R489" s="102">
        <v>0</v>
      </c>
      <c r="S489" s="102">
        <v>0</v>
      </c>
      <c r="T489" s="102">
        <v>0</v>
      </c>
      <c r="U489" s="102">
        <v>0</v>
      </c>
      <c r="V489" s="102">
        <v>0</v>
      </c>
      <c r="W489" s="102">
        <v>0</v>
      </c>
      <c r="X489" s="102">
        <v>0</v>
      </c>
      <c r="Y489" s="102">
        <v>0</v>
      </c>
      <c r="Z489" s="102">
        <v>0</v>
      </c>
      <c r="AA489" s="102">
        <v>0</v>
      </c>
      <c r="AB489" s="102">
        <v>0</v>
      </c>
      <c r="AC489" s="102">
        <v>0</v>
      </c>
      <c r="AD489" s="102">
        <v>0</v>
      </c>
      <c r="AE489" s="186">
        <v>0.08</v>
      </c>
      <c r="AF489" s="94">
        <v>0</v>
      </c>
      <c r="AG489" s="94">
        <v>20</v>
      </c>
      <c r="AH489" s="94">
        <v>20</v>
      </c>
      <c r="AI489" s="17">
        <v>1</v>
      </c>
      <c r="AJ489" s="17" t="s">
        <v>662</v>
      </c>
      <c r="AK489" s="17" t="s">
        <v>745</v>
      </c>
      <c r="AL489" s="17"/>
      <c r="AM489" s="61"/>
      <c r="AN489" s="61"/>
      <c r="AO489" s="61"/>
      <c r="AP489" s="61"/>
      <c r="AQ489" s="61"/>
      <c r="AR489" s="61"/>
      <c r="AS489" s="64"/>
      <c r="AT489" s="64"/>
      <c r="AU489" s="64"/>
      <c r="AV489" s="132"/>
      <c r="AW489" s="132"/>
      <c r="AX489" s="132"/>
      <c r="AY489" s="28" t="s">
        <v>662</v>
      </c>
      <c r="AZ489" s="28"/>
      <c r="BA489" s="28"/>
      <c r="BB489" s="28"/>
      <c r="BC489" s="28"/>
      <c r="BD489" s="28"/>
      <c r="BE489" s="28"/>
      <c r="BF489" s="28"/>
      <c r="BG489" s="28"/>
      <c r="BH489" s="106"/>
      <c r="BI489" s="106"/>
      <c r="BJ489" s="106"/>
      <c r="BK489" s="106"/>
      <c r="BL489" s="137"/>
      <c r="BM489" s="123"/>
      <c r="BN489" s="139">
        <v>0</v>
      </c>
      <c r="BO489" s="94"/>
      <c r="BP489" s="94"/>
      <c r="BQ489" s="94"/>
      <c r="BR489" s="94"/>
      <c r="BS489" s="94"/>
      <c r="BT489" s="94"/>
      <c r="BU489" s="28">
        <f t="shared" si="331"/>
        <v>0</v>
      </c>
      <c r="BV489" s="28"/>
      <c r="BW489" s="28"/>
      <c r="BX489" s="28"/>
      <c r="BY489" s="28"/>
      <c r="BZ489" s="28"/>
      <c r="CA489" s="28"/>
      <c r="CB489" s="99">
        <v>1.0499999999999998</v>
      </c>
      <c r="CC489" s="99">
        <v>1.0874999999999999</v>
      </c>
      <c r="CD489" s="185">
        <f>CC489</f>
        <v>1.0874999999999999</v>
      </c>
      <c r="CE489" s="185">
        <f t="shared" si="365"/>
        <v>1.0900000000000001</v>
      </c>
      <c r="CF489" s="185">
        <f t="shared" si="366"/>
        <v>1.0900000000000001</v>
      </c>
      <c r="CG489" s="185">
        <f t="shared" si="367"/>
        <v>1.0900000000000001</v>
      </c>
      <c r="CH489" s="185">
        <f>CC489</f>
        <v>1.0874999999999999</v>
      </c>
      <c r="CI489" s="175"/>
      <c r="CJ489" s="175"/>
      <c r="CK489" s="175"/>
      <c r="CL489" s="175"/>
      <c r="CM489" s="175"/>
      <c r="CN489" s="175"/>
      <c r="CO489" s="175"/>
      <c r="CP489" s="176"/>
      <c r="CQ489" s="176"/>
      <c r="CR489" s="176"/>
      <c r="CS489" s="176"/>
      <c r="CT489" s="176"/>
      <c r="CU489" s="176"/>
      <c r="CV489" s="176"/>
      <c r="CW489" s="167"/>
      <c r="CX489" s="168"/>
      <c r="CY489" s="168"/>
      <c r="CZ489" s="168"/>
      <c r="DA489" s="168"/>
      <c r="DB489" s="168"/>
      <c r="DC489" s="168"/>
      <c r="DD489" s="172"/>
      <c r="DE489" s="172"/>
      <c r="DF489" s="172"/>
      <c r="DG489" s="172"/>
      <c r="DH489" s="172"/>
      <c r="DI489" s="172"/>
      <c r="DJ489" s="172"/>
      <c r="DK489" s="80" t="s">
        <v>415</v>
      </c>
      <c r="DL489" s="129"/>
      <c r="DM489" s="129"/>
      <c r="DN489" s="129"/>
      <c r="DO489" s="129"/>
      <c r="DP489" s="129"/>
      <c r="DQ489" s="129"/>
      <c r="DR489" s="129"/>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5" t="s">
        <v>1756</v>
      </c>
      <c r="B490" s="5" t="s">
        <v>740</v>
      </c>
      <c r="C490" s="5" t="s">
        <v>534</v>
      </c>
      <c r="D490" s="5" t="s">
        <v>741</v>
      </c>
      <c r="E490" s="5" t="s">
        <v>1753</v>
      </c>
      <c r="F490" s="5" t="s">
        <v>542</v>
      </c>
      <c r="G490" s="47" t="s">
        <v>1757</v>
      </c>
      <c r="H490" s="47" t="s">
        <v>1162</v>
      </c>
      <c r="I490" s="101">
        <v>800</v>
      </c>
      <c r="J490" s="101">
        <v>681.25</v>
      </c>
      <c r="K490" s="101">
        <v>562.5</v>
      </c>
      <c r="L490" s="101">
        <v>456.25</v>
      </c>
      <c r="M490" s="101">
        <v>350</v>
      </c>
      <c r="N490" s="101">
        <v>350</v>
      </c>
      <c r="O490" s="101">
        <v>350</v>
      </c>
      <c r="P490" s="93">
        <v>0</v>
      </c>
      <c r="Q490" s="101">
        <v>0</v>
      </c>
      <c r="R490" s="101">
        <v>0</v>
      </c>
      <c r="S490" s="101">
        <v>0</v>
      </c>
      <c r="T490" s="101">
        <v>0</v>
      </c>
      <c r="U490" s="101">
        <v>0</v>
      </c>
      <c r="V490" s="101">
        <v>0</v>
      </c>
      <c r="W490" s="101">
        <v>0</v>
      </c>
      <c r="X490" s="101">
        <v>0</v>
      </c>
      <c r="Y490" s="101">
        <v>0</v>
      </c>
      <c r="Z490" s="101">
        <v>0</v>
      </c>
      <c r="AA490" s="101">
        <v>0</v>
      </c>
      <c r="AB490" s="101">
        <v>0</v>
      </c>
      <c r="AC490" s="101">
        <v>0</v>
      </c>
      <c r="AD490" s="101">
        <v>0</v>
      </c>
      <c r="AE490" s="186">
        <v>0.08</v>
      </c>
      <c r="AF490" s="93">
        <v>0</v>
      </c>
      <c r="AG490" s="93">
        <v>20</v>
      </c>
      <c r="AH490" s="93">
        <v>20</v>
      </c>
      <c r="AI490" s="16">
        <v>1</v>
      </c>
      <c r="AJ490" s="16" t="s">
        <v>662</v>
      </c>
      <c r="AK490" s="16" t="s">
        <v>745</v>
      </c>
      <c r="AL490" s="16"/>
      <c r="AM490" s="60"/>
      <c r="AN490" s="60"/>
      <c r="AO490" s="60"/>
      <c r="AP490" s="60"/>
      <c r="AQ490" s="60"/>
      <c r="AR490" s="60"/>
      <c r="AS490" s="63"/>
      <c r="AT490" s="63"/>
      <c r="AU490" s="63"/>
      <c r="AV490" s="131"/>
      <c r="AW490" s="131"/>
      <c r="AX490" s="131"/>
      <c r="AY490" s="27" t="s">
        <v>662</v>
      </c>
      <c r="AZ490" s="27"/>
      <c r="BA490" s="27"/>
      <c r="BB490" s="30"/>
      <c r="BC490" s="30"/>
      <c r="BD490" s="30"/>
      <c r="BE490" s="30"/>
      <c r="BF490" s="30"/>
      <c r="BG490" s="30"/>
      <c r="BH490" s="107"/>
      <c r="BI490" s="107"/>
      <c r="BJ490" s="107"/>
      <c r="BK490" s="107"/>
      <c r="BL490" s="136"/>
      <c r="BM490" s="122"/>
      <c r="BN490" s="138">
        <v>0</v>
      </c>
      <c r="BO490" s="93"/>
      <c r="BP490" s="93"/>
      <c r="BQ490" s="93"/>
      <c r="BR490" s="93"/>
      <c r="BS490" s="93"/>
      <c r="BT490" s="93"/>
      <c r="BU490" s="27">
        <f t="shared" si="331"/>
        <v>0</v>
      </c>
      <c r="BV490" s="27"/>
      <c r="BW490" s="27"/>
      <c r="BX490" s="27"/>
      <c r="BY490" s="27"/>
      <c r="BZ490" s="27"/>
      <c r="CA490" s="27"/>
      <c r="CB490" s="97">
        <v>0.15000000000000002</v>
      </c>
      <c r="CC490" s="97">
        <v>0.15750000000000003</v>
      </c>
      <c r="CD490" s="185">
        <f t="shared" ref="CD490:CD497" si="371">CC490</f>
        <v>0.15750000000000003</v>
      </c>
      <c r="CE490" s="185">
        <f t="shared" ref="CE490:CE491" si="372">ROUND((CD490+CF490)/2,2)</f>
        <v>0.16</v>
      </c>
      <c r="CF490" s="185">
        <f t="shared" ref="CF490:CF491" si="373">ROUND((CD490+CH490)/2,2)</f>
        <v>0.16</v>
      </c>
      <c r="CG490" s="185">
        <f t="shared" ref="CG490:CG491" si="374">ROUND((CF490+CH490)/2,2)</f>
        <v>0.16</v>
      </c>
      <c r="CH490" s="185">
        <f t="shared" ref="CH490:CH491" si="375">CC490</f>
        <v>0.15750000000000003</v>
      </c>
      <c r="CI490" s="173"/>
      <c r="CJ490" s="173"/>
      <c r="CK490" s="173"/>
      <c r="CL490" s="173"/>
      <c r="CM490" s="173"/>
      <c r="CN490" s="173"/>
      <c r="CO490" s="173"/>
      <c r="CP490" s="174"/>
      <c r="CQ490" s="174"/>
      <c r="CR490" s="174"/>
      <c r="CS490" s="174"/>
      <c r="CT490" s="174"/>
      <c r="CU490" s="174"/>
      <c r="CV490" s="174"/>
      <c r="CW490" s="165"/>
      <c r="CX490" s="166"/>
      <c r="CY490" s="166"/>
      <c r="CZ490" s="166"/>
      <c r="DA490" s="166"/>
      <c r="DB490" s="166"/>
      <c r="DC490" s="166"/>
      <c r="DD490" s="171"/>
      <c r="DE490" s="171"/>
      <c r="DF490" s="171"/>
      <c r="DG490" s="171"/>
      <c r="DH490" s="171"/>
      <c r="DI490" s="171"/>
      <c r="DJ490" s="171"/>
      <c r="DK490" s="79" t="s">
        <v>415</v>
      </c>
      <c r="DL490" s="128"/>
      <c r="DM490" s="128"/>
      <c r="DN490" s="128"/>
      <c r="DO490" s="128"/>
      <c r="DP490" s="128"/>
      <c r="DQ490" s="128"/>
      <c r="DR490" s="128"/>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6" t="s">
        <v>1758</v>
      </c>
      <c r="B491" s="6" t="s">
        <v>740</v>
      </c>
      <c r="C491" s="6" t="s">
        <v>534</v>
      </c>
      <c r="D491" s="6" t="s">
        <v>741</v>
      </c>
      <c r="E491" s="6" t="s">
        <v>1753</v>
      </c>
      <c r="F491" s="6" t="s">
        <v>542</v>
      </c>
      <c r="G491" s="48" t="s">
        <v>1759</v>
      </c>
      <c r="H491" s="48" t="s">
        <v>1162</v>
      </c>
      <c r="I491" s="102">
        <v>150</v>
      </c>
      <c r="J491" s="102">
        <v>141.66999999999999</v>
      </c>
      <c r="K491" s="102">
        <v>133.33000000000001</v>
      </c>
      <c r="L491" s="102">
        <v>125</v>
      </c>
      <c r="M491" s="102">
        <v>116.67</v>
      </c>
      <c r="N491" s="102">
        <v>108.33</v>
      </c>
      <c r="O491" s="102">
        <v>100</v>
      </c>
      <c r="P491" s="94">
        <v>0</v>
      </c>
      <c r="Q491" s="102">
        <v>0</v>
      </c>
      <c r="R491" s="102">
        <v>0</v>
      </c>
      <c r="S491" s="102">
        <v>0</v>
      </c>
      <c r="T491" s="102">
        <v>0</v>
      </c>
      <c r="U491" s="102">
        <v>0</v>
      </c>
      <c r="V491" s="102">
        <v>0</v>
      </c>
      <c r="W491" s="102">
        <v>0</v>
      </c>
      <c r="X491" s="102">
        <v>0</v>
      </c>
      <c r="Y491" s="102">
        <v>0</v>
      </c>
      <c r="Z491" s="102">
        <v>0</v>
      </c>
      <c r="AA491" s="102">
        <v>0</v>
      </c>
      <c r="AB491" s="102">
        <v>0</v>
      </c>
      <c r="AC491" s="102">
        <v>0</v>
      </c>
      <c r="AD491" s="102">
        <v>0</v>
      </c>
      <c r="AE491" s="186">
        <v>0.08</v>
      </c>
      <c r="AF491" s="94">
        <v>0</v>
      </c>
      <c r="AG491" s="94">
        <v>20</v>
      </c>
      <c r="AH491" s="94">
        <v>20</v>
      </c>
      <c r="AI491" s="17">
        <v>1</v>
      </c>
      <c r="AJ491" s="17" t="s">
        <v>662</v>
      </c>
      <c r="AK491" s="17" t="s">
        <v>745</v>
      </c>
      <c r="AL491" s="17"/>
      <c r="AM491" s="61"/>
      <c r="AN491" s="61"/>
      <c r="AO491" s="61"/>
      <c r="AP491" s="61"/>
      <c r="AQ491" s="61"/>
      <c r="AR491" s="61"/>
      <c r="AS491" s="64"/>
      <c r="AT491" s="64"/>
      <c r="AU491" s="64"/>
      <c r="AV491" s="132"/>
      <c r="AW491" s="132"/>
      <c r="AX491" s="132"/>
      <c r="AY491" s="28" t="s">
        <v>662</v>
      </c>
      <c r="AZ491" s="28"/>
      <c r="BA491" s="28"/>
      <c r="BB491" s="28"/>
      <c r="BC491" s="28"/>
      <c r="BD491" s="28"/>
      <c r="BE491" s="28"/>
      <c r="BF491" s="28"/>
      <c r="BG491" s="28"/>
      <c r="BH491" s="106"/>
      <c r="BI491" s="106"/>
      <c r="BJ491" s="106"/>
      <c r="BK491" s="106"/>
      <c r="BL491" s="137"/>
      <c r="BM491" s="123"/>
      <c r="BN491" s="139">
        <v>0</v>
      </c>
      <c r="BO491" s="94"/>
      <c r="BP491" s="94"/>
      <c r="BQ491" s="94"/>
      <c r="BR491" s="94"/>
      <c r="BS491" s="94"/>
      <c r="BT491" s="94"/>
      <c r="BU491" s="28">
        <f t="shared" si="331"/>
        <v>0</v>
      </c>
      <c r="BV491" s="28"/>
      <c r="BW491" s="28"/>
      <c r="BX491" s="28"/>
      <c r="BY491" s="28"/>
      <c r="BZ491" s="28"/>
      <c r="CA491" s="28"/>
      <c r="CB491" s="99">
        <v>0.32000000000000006</v>
      </c>
      <c r="CC491" s="99">
        <v>0.30000000000000004</v>
      </c>
      <c r="CD491" s="185">
        <f t="shared" si="371"/>
        <v>0.30000000000000004</v>
      </c>
      <c r="CE491" s="185">
        <f t="shared" si="372"/>
        <v>0.3</v>
      </c>
      <c r="CF491" s="185">
        <f t="shared" si="373"/>
        <v>0.3</v>
      </c>
      <c r="CG491" s="185">
        <f t="shared" si="374"/>
        <v>0.3</v>
      </c>
      <c r="CH491" s="185">
        <f t="shared" si="375"/>
        <v>0.30000000000000004</v>
      </c>
      <c r="CI491" s="175"/>
      <c r="CJ491" s="175"/>
      <c r="CK491" s="175"/>
      <c r="CL491" s="175"/>
      <c r="CM491" s="175"/>
      <c r="CN491" s="175"/>
      <c r="CO491" s="175"/>
      <c r="CP491" s="176"/>
      <c r="CQ491" s="176"/>
      <c r="CR491" s="176"/>
      <c r="CS491" s="176"/>
      <c r="CT491" s="176"/>
      <c r="CU491" s="176"/>
      <c r="CV491" s="176"/>
      <c r="CW491" s="167"/>
      <c r="CX491" s="168"/>
      <c r="CY491" s="168"/>
      <c r="CZ491" s="168"/>
      <c r="DA491" s="168"/>
      <c r="DB491" s="168"/>
      <c r="DC491" s="168"/>
      <c r="DD491" s="172"/>
      <c r="DE491" s="172"/>
      <c r="DF491" s="172"/>
      <c r="DG491" s="172"/>
      <c r="DH491" s="172"/>
      <c r="DI491" s="172"/>
      <c r="DJ491" s="172"/>
      <c r="DK491" s="80" t="s">
        <v>415</v>
      </c>
      <c r="DL491" s="129"/>
      <c r="DM491" s="129"/>
      <c r="DN491" s="129"/>
      <c r="DO491" s="129"/>
      <c r="DP491" s="129"/>
      <c r="DQ491" s="129"/>
      <c r="DR491" s="129"/>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5" t="s">
        <v>1760</v>
      </c>
      <c r="B492" s="5" t="s">
        <v>734</v>
      </c>
      <c r="C492" s="5" t="s">
        <v>534</v>
      </c>
      <c r="D492" s="5" t="s">
        <v>1029</v>
      </c>
      <c r="E492" s="5" t="s">
        <v>1713</v>
      </c>
      <c r="F492" s="5" t="s">
        <v>543</v>
      </c>
      <c r="G492" s="47" t="s">
        <v>543</v>
      </c>
      <c r="H492" s="47" t="s">
        <v>1162</v>
      </c>
      <c r="I492" s="101">
        <v>0</v>
      </c>
      <c r="J492" s="101">
        <v>0</v>
      </c>
      <c r="K492" s="101">
        <v>0</v>
      </c>
      <c r="L492" s="101">
        <v>0</v>
      </c>
      <c r="M492" s="101">
        <v>0</v>
      </c>
      <c r="N492" s="101">
        <v>0</v>
      </c>
      <c r="O492" s="101">
        <v>0</v>
      </c>
      <c r="P492" s="93">
        <v>0</v>
      </c>
      <c r="Q492" s="101">
        <v>0</v>
      </c>
      <c r="R492" s="101">
        <v>0</v>
      </c>
      <c r="S492" s="101">
        <v>0</v>
      </c>
      <c r="T492" s="101">
        <v>0</v>
      </c>
      <c r="U492" s="101">
        <v>0</v>
      </c>
      <c r="V492" s="101">
        <v>0</v>
      </c>
      <c r="W492" s="101">
        <v>0</v>
      </c>
      <c r="X492" s="101">
        <v>0</v>
      </c>
      <c r="Y492" s="101">
        <v>0</v>
      </c>
      <c r="Z492" s="101">
        <v>0</v>
      </c>
      <c r="AA492" s="101">
        <v>0</v>
      </c>
      <c r="AB492" s="101">
        <v>0</v>
      </c>
      <c r="AC492" s="101">
        <v>0</v>
      </c>
      <c r="AD492" s="101">
        <v>0</v>
      </c>
      <c r="AE492" s="186">
        <v>0.08</v>
      </c>
      <c r="AF492" s="93">
        <v>0</v>
      </c>
      <c r="AG492" s="93">
        <v>1</v>
      </c>
      <c r="AH492" s="93">
        <v>1</v>
      </c>
      <c r="AI492" s="16">
        <v>1</v>
      </c>
      <c r="AJ492" s="16" t="s">
        <v>662</v>
      </c>
      <c r="AK492" s="16" t="s">
        <v>745</v>
      </c>
      <c r="AL492" s="16"/>
      <c r="AM492" s="60"/>
      <c r="AN492" s="60"/>
      <c r="AO492" s="60"/>
      <c r="AP492" s="60"/>
      <c r="AQ492" s="60"/>
      <c r="AR492" s="60"/>
      <c r="AS492" s="63"/>
      <c r="AT492" s="63"/>
      <c r="AU492" s="63"/>
      <c r="AV492" s="131"/>
      <c r="AW492" s="131"/>
      <c r="AX492" s="131"/>
      <c r="AY492" s="27" t="s">
        <v>662</v>
      </c>
      <c r="AZ492" s="27"/>
      <c r="BA492" s="27"/>
      <c r="BB492" s="30"/>
      <c r="BC492" s="30"/>
      <c r="BD492" s="30"/>
      <c r="BE492" s="30"/>
      <c r="BF492" s="30"/>
      <c r="BG492" s="30"/>
      <c r="BH492" s="107"/>
      <c r="BI492" s="107"/>
      <c r="BJ492" s="107"/>
      <c r="BK492" s="107"/>
      <c r="BL492" s="136"/>
      <c r="BM492" s="122"/>
      <c r="BN492" s="138"/>
      <c r="BO492" s="93"/>
      <c r="BP492" s="93"/>
      <c r="BQ492" s="93"/>
      <c r="BR492" s="93"/>
      <c r="BS492" s="93"/>
      <c r="BT492" s="93"/>
      <c r="BU492" s="27">
        <f t="shared" si="331"/>
        <v>0</v>
      </c>
      <c r="BV492" s="27"/>
      <c r="BW492" s="27"/>
      <c r="BX492" s="27"/>
      <c r="BY492" s="27"/>
      <c r="BZ492" s="27"/>
      <c r="CA492" s="27"/>
      <c r="CB492" s="97">
        <v>20</v>
      </c>
      <c r="CC492" s="97">
        <v>20</v>
      </c>
      <c r="CD492" s="97">
        <v>20</v>
      </c>
      <c r="CE492" s="97">
        <f t="shared" si="365"/>
        <v>20</v>
      </c>
      <c r="CF492" s="97">
        <f t="shared" si="366"/>
        <v>20</v>
      </c>
      <c r="CG492" s="97">
        <f t="shared" si="367"/>
        <v>20</v>
      </c>
      <c r="CH492" s="97">
        <v>20</v>
      </c>
      <c r="CI492" s="173"/>
      <c r="CJ492" s="173"/>
      <c r="CK492" s="173"/>
      <c r="CL492" s="173"/>
      <c r="CM492" s="173"/>
      <c r="CN492" s="173"/>
      <c r="CO492" s="173"/>
      <c r="CP492" s="174"/>
      <c r="CQ492" s="174"/>
      <c r="CR492" s="174"/>
      <c r="CS492" s="174"/>
      <c r="CT492" s="174"/>
      <c r="CU492" s="174"/>
      <c r="CV492" s="174"/>
      <c r="CW492" s="165"/>
      <c r="CX492" s="166"/>
      <c r="CY492" s="166"/>
      <c r="CZ492" s="166"/>
      <c r="DA492" s="166"/>
      <c r="DB492" s="166"/>
      <c r="DC492" s="166"/>
      <c r="DD492" s="171"/>
      <c r="DE492" s="171"/>
      <c r="DF492" s="171"/>
      <c r="DG492" s="171"/>
      <c r="DH492" s="171"/>
      <c r="DI492" s="171"/>
      <c r="DJ492" s="171"/>
      <c r="DK492" s="79" t="s">
        <v>415</v>
      </c>
      <c r="DL492" s="128"/>
      <c r="DM492" s="128"/>
      <c r="DN492" s="128"/>
      <c r="DO492" s="128"/>
      <c r="DP492" s="128"/>
      <c r="DQ492" s="128"/>
      <c r="DR492" s="128"/>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6" t="s">
        <v>1761</v>
      </c>
      <c r="B493" s="6" t="s">
        <v>734</v>
      </c>
      <c r="C493" s="6" t="s">
        <v>534</v>
      </c>
      <c r="D493" s="6" t="s">
        <v>1029</v>
      </c>
      <c r="E493" s="6" t="s">
        <v>1713</v>
      </c>
      <c r="F493" s="6" t="s">
        <v>543</v>
      </c>
      <c r="G493" s="48" t="s">
        <v>1715</v>
      </c>
      <c r="H493" s="48" t="s">
        <v>1162</v>
      </c>
      <c r="I493" s="102">
        <v>125</v>
      </c>
      <c r="J493" s="102">
        <v>125</v>
      </c>
      <c r="K493" s="102">
        <v>125</v>
      </c>
      <c r="L493" s="102">
        <v>125</v>
      </c>
      <c r="M493" s="102">
        <v>125</v>
      </c>
      <c r="N493" s="102">
        <v>125</v>
      </c>
      <c r="O493" s="102">
        <v>125</v>
      </c>
      <c r="P493" s="94">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86">
        <v>0.08</v>
      </c>
      <c r="AF493" s="94">
        <v>0</v>
      </c>
      <c r="AG493" s="94">
        <v>20</v>
      </c>
      <c r="AH493" s="94">
        <v>20</v>
      </c>
      <c r="AI493" s="17">
        <v>1</v>
      </c>
      <c r="AJ493" s="17" t="s">
        <v>662</v>
      </c>
      <c r="AK493" s="17" t="s">
        <v>745</v>
      </c>
      <c r="AL493" s="17"/>
      <c r="AM493" s="61"/>
      <c r="AN493" s="61"/>
      <c r="AO493" s="61"/>
      <c r="AP493" s="61"/>
      <c r="AQ493" s="61"/>
      <c r="AR493" s="61"/>
      <c r="AS493" s="64"/>
      <c r="AT493" s="64"/>
      <c r="AU493" s="64"/>
      <c r="AV493" s="132"/>
      <c r="AW493" s="132"/>
      <c r="AX493" s="132"/>
      <c r="AY493" s="28" t="s">
        <v>662</v>
      </c>
      <c r="AZ493" s="28"/>
      <c r="BA493" s="28"/>
      <c r="BB493" s="28"/>
      <c r="BC493" s="28"/>
      <c r="BD493" s="28"/>
      <c r="BE493" s="28"/>
      <c r="BF493" s="28"/>
      <c r="BG493" s="28"/>
      <c r="BH493" s="106"/>
      <c r="BI493" s="106"/>
      <c r="BJ493" s="106"/>
      <c r="BK493" s="106"/>
      <c r="BL493" s="137"/>
      <c r="BM493" s="123"/>
      <c r="BN493" s="139">
        <v>0</v>
      </c>
      <c r="BO493" s="94"/>
      <c r="BP493" s="94"/>
      <c r="BQ493" s="94"/>
      <c r="BR493" s="94"/>
      <c r="BS493" s="94"/>
      <c r="BT493" s="94"/>
      <c r="BU493" s="28">
        <f t="shared" si="331"/>
        <v>0</v>
      </c>
      <c r="BV493" s="28"/>
      <c r="BW493" s="28"/>
      <c r="BX493" s="28"/>
      <c r="BY493" s="28"/>
      <c r="BZ493" s="28"/>
      <c r="CA493" s="28"/>
      <c r="CB493" s="99">
        <v>0.9880000000000001</v>
      </c>
      <c r="CC493" s="99">
        <v>0.85458333333333347</v>
      </c>
      <c r="CD493" s="185">
        <f t="shared" si="371"/>
        <v>0.85458333333333347</v>
      </c>
      <c r="CE493" s="185">
        <f t="shared" si="365"/>
        <v>0.85</v>
      </c>
      <c r="CF493" s="185">
        <f t="shared" si="366"/>
        <v>0.85</v>
      </c>
      <c r="CG493" s="185">
        <f t="shared" si="367"/>
        <v>0.85</v>
      </c>
      <c r="CH493" s="185">
        <f t="shared" ref="CH493" si="376">CC493</f>
        <v>0.85458333333333347</v>
      </c>
      <c r="CI493" s="175"/>
      <c r="CJ493" s="175"/>
      <c r="CK493" s="175"/>
      <c r="CL493" s="175"/>
      <c r="CM493" s="175"/>
      <c r="CN493" s="175"/>
      <c r="CO493" s="175"/>
      <c r="CP493" s="176"/>
      <c r="CQ493" s="176"/>
      <c r="CR493" s="176"/>
      <c r="CS493" s="176"/>
      <c r="CT493" s="176"/>
      <c r="CU493" s="176"/>
      <c r="CV493" s="176"/>
      <c r="CW493" s="167"/>
      <c r="CX493" s="168"/>
      <c r="CY493" s="168"/>
      <c r="CZ493" s="168"/>
      <c r="DA493" s="168"/>
      <c r="DB493" s="168"/>
      <c r="DC493" s="168"/>
      <c r="DD493" s="172"/>
      <c r="DE493" s="172"/>
      <c r="DF493" s="172"/>
      <c r="DG493" s="172"/>
      <c r="DH493" s="172"/>
      <c r="DI493" s="172"/>
      <c r="DJ493" s="172"/>
      <c r="DK493" s="80" t="s">
        <v>415</v>
      </c>
      <c r="DL493" s="129"/>
      <c r="DM493" s="129"/>
      <c r="DN493" s="129"/>
      <c r="DO493" s="129"/>
      <c r="DP493" s="129"/>
      <c r="DQ493" s="129"/>
      <c r="DR493" s="129"/>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5" t="s">
        <v>1762</v>
      </c>
      <c r="B494" s="5" t="s">
        <v>734</v>
      </c>
      <c r="C494" s="5" t="s">
        <v>534</v>
      </c>
      <c r="D494" s="5" t="s">
        <v>1029</v>
      </c>
      <c r="E494" s="5" t="s">
        <v>1731</v>
      </c>
      <c r="F494" s="5" t="s">
        <v>544</v>
      </c>
      <c r="G494" s="47" t="s">
        <v>544</v>
      </c>
      <c r="H494" s="47" t="s">
        <v>1162</v>
      </c>
      <c r="I494" s="101">
        <v>0</v>
      </c>
      <c r="J494" s="101">
        <v>0</v>
      </c>
      <c r="K494" s="101">
        <v>0</v>
      </c>
      <c r="L494" s="101">
        <v>0</v>
      </c>
      <c r="M494" s="101">
        <v>0</v>
      </c>
      <c r="N494" s="101">
        <v>0</v>
      </c>
      <c r="O494" s="101">
        <v>0</v>
      </c>
      <c r="P494" s="93">
        <v>0</v>
      </c>
      <c r="Q494" s="101">
        <v>0</v>
      </c>
      <c r="R494" s="101">
        <v>0</v>
      </c>
      <c r="S494" s="101">
        <v>0</v>
      </c>
      <c r="T494" s="101">
        <v>0</v>
      </c>
      <c r="U494" s="101">
        <v>0</v>
      </c>
      <c r="V494" s="101">
        <v>0</v>
      </c>
      <c r="W494" s="101">
        <v>0</v>
      </c>
      <c r="X494" s="101">
        <v>0</v>
      </c>
      <c r="Y494" s="101">
        <v>0</v>
      </c>
      <c r="Z494" s="101">
        <v>0</v>
      </c>
      <c r="AA494" s="101">
        <v>0</v>
      </c>
      <c r="AB494" s="101">
        <v>0</v>
      </c>
      <c r="AC494" s="101">
        <v>0</v>
      </c>
      <c r="AD494" s="101">
        <v>0</v>
      </c>
      <c r="AE494" s="186">
        <v>0.08</v>
      </c>
      <c r="AF494" s="93">
        <v>0</v>
      </c>
      <c r="AG494" s="93">
        <v>1</v>
      </c>
      <c r="AH494" s="93">
        <v>1</v>
      </c>
      <c r="AI494" s="16">
        <v>1</v>
      </c>
      <c r="AJ494" s="16" t="s">
        <v>662</v>
      </c>
      <c r="AK494" s="16" t="s">
        <v>745</v>
      </c>
      <c r="AL494" s="16"/>
      <c r="AM494" s="60"/>
      <c r="AN494" s="60"/>
      <c r="AO494" s="60"/>
      <c r="AP494" s="60"/>
      <c r="AQ494" s="60"/>
      <c r="AR494" s="60"/>
      <c r="AS494" s="63"/>
      <c r="AT494" s="63"/>
      <c r="AU494" s="63"/>
      <c r="AV494" s="131"/>
      <c r="AW494" s="131"/>
      <c r="AX494" s="131"/>
      <c r="AY494" s="27" t="s">
        <v>662</v>
      </c>
      <c r="AZ494" s="27"/>
      <c r="BA494" s="27"/>
      <c r="BB494" s="30"/>
      <c r="BC494" s="30"/>
      <c r="BD494" s="30"/>
      <c r="BE494" s="30"/>
      <c r="BF494" s="30"/>
      <c r="BG494" s="30"/>
      <c r="BH494" s="107"/>
      <c r="BI494" s="107"/>
      <c r="BJ494" s="107"/>
      <c r="BK494" s="107"/>
      <c r="BL494" s="136"/>
      <c r="BM494" s="122"/>
      <c r="BN494" s="138"/>
      <c r="BO494" s="93"/>
      <c r="BP494" s="93"/>
      <c r="BQ494" s="93"/>
      <c r="BR494" s="93"/>
      <c r="BS494" s="93"/>
      <c r="BT494" s="93"/>
      <c r="BU494" s="27">
        <f t="shared" si="331"/>
        <v>0</v>
      </c>
      <c r="BV494" s="27"/>
      <c r="BW494" s="27"/>
      <c r="BX494" s="27"/>
      <c r="BY494" s="27"/>
      <c r="BZ494" s="27"/>
      <c r="CA494" s="27"/>
      <c r="CB494" s="97">
        <v>10</v>
      </c>
      <c r="CC494" s="97">
        <v>10</v>
      </c>
      <c r="CD494" s="97">
        <v>10</v>
      </c>
      <c r="CE494" s="97">
        <f t="shared" si="365"/>
        <v>10</v>
      </c>
      <c r="CF494" s="97">
        <f t="shared" si="366"/>
        <v>10</v>
      </c>
      <c r="CG494" s="97">
        <f t="shared" si="367"/>
        <v>10</v>
      </c>
      <c r="CH494" s="97">
        <v>10</v>
      </c>
      <c r="CI494" s="173"/>
      <c r="CJ494" s="173"/>
      <c r="CK494" s="173"/>
      <c r="CL494" s="173"/>
      <c r="CM494" s="173"/>
      <c r="CN494" s="173"/>
      <c r="CO494" s="173"/>
      <c r="CP494" s="174"/>
      <c r="CQ494" s="174"/>
      <c r="CR494" s="174"/>
      <c r="CS494" s="174"/>
      <c r="CT494" s="174"/>
      <c r="CU494" s="174"/>
      <c r="CV494" s="174"/>
      <c r="CW494" s="165"/>
      <c r="CX494" s="166"/>
      <c r="CY494" s="166"/>
      <c r="CZ494" s="166"/>
      <c r="DA494" s="166"/>
      <c r="DB494" s="166"/>
      <c r="DC494" s="166"/>
      <c r="DD494" s="171"/>
      <c r="DE494" s="171"/>
      <c r="DF494" s="171"/>
      <c r="DG494" s="171"/>
      <c r="DH494" s="171"/>
      <c r="DI494" s="171"/>
      <c r="DJ494" s="171"/>
      <c r="DK494" s="79" t="s">
        <v>415</v>
      </c>
      <c r="DL494" s="128"/>
      <c r="DM494" s="128"/>
      <c r="DN494" s="128"/>
      <c r="DO494" s="128"/>
      <c r="DP494" s="128"/>
      <c r="DQ494" s="128"/>
      <c r="DR494" s="128"/>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6" t="s">
        <v>1763</v>
      </c>
      <c r="B495" s="6" t="s">
        <v>734</v>
      </c>
      <c r="C495" s="6" t="s">
        <v>534</v>
      </c>
      <c r="D495" s="6" t="s">
        <v>1029</v>
      </c>
      <c r="E495" s="6" t="s">
        <v>1731</v>
      </c>
      <c r="F495" s="6" t="s">
        <v>544</v>
      </c>
      <c r="G495" s="48" t="s">
        <v>1745</v>
      </c>
      <c r="H495" s="48" t="s">
        <v>1162</v>
      </c>
      <c r="I495" s="102">
        <v>187.5</v>
      </c>
      <c r="J495" s="102">
        <v>193.75</v>
      </c>
      <c r="K495" s="102">
        <v>200</v>
      </c>
      <c r="L495" s="102">
        <v>206.25</v>
      </c>
      <c r="M495" s="102">
        <v>212.5</v>
      </c>
      <c r="N495" s="102">
        <v>218.75</v>
      </c>
      <c r="O495" s="102">
        <v>225</v>
      </c>
      <c r="P495" s="94">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86">
        <v>0.08</v>
      </c>
      <c r="AF495" s="94">
        <v>0</v>
      </c>
      <c r="AG495" s="94">
        <v>20</v>
      </c>
      <c r="AH495" s="94">
        <v>20</v>
      </c>
      <c r="AI495" s="17">
        <v>1</v>
      </c>
      <c r="AJ495" s="17" t="s">
        <v>662</v>
      </c>
      <c r="AK495" s="17" t="s">
        <v>745</v>
      </c>
      <c r="AL495" s="17"/>
      <c r="AM495" s="61"/>
      <c r="AN495" s="61"/>
      <c r="AO495" s="61"/>
      <c r="AP495" s="61"/>
      <c r="AQ495" s="61"/>
      <c r="AR495" s="61"/>
      <c r="AS495" s="64"/>
      <c r="AT495" s="64"/>
      <c r="AU495" s="64"/>
      <c r="AV495" s="132"/>
      <c r="AW495" s="132"/>
      <c r="AX495" s="132"/>
      <c r="AY495" s="28" t="s">
        <v>662</v>
      </c>
      <c r="AZ495" s="28"/>
      <c r="BA495" s="28"/>
      <c r="BB495" s="28"/>
      <c r="BC495" s="28"/>
      <c r="BD495" s="28"/>
      <c r="BE495" s="28"/>
      <c r="BF495" s="28"/>
      <c r="BG495" s="28"/>
      <c r="BH495" s="106"/>
      <c r="BI495" s="106"/>
      <c r="BJ495" s="106"/>
      <c r="BK495" s="106"/>
      <c r="BL495" s="137"/>
      <c r="BM495" s="123"/>
      <c r="BN495" s="139">
        <v>0</v>
      </c>
      <c r="BO495" s="94"/>
      <c r="BP495" s="94"/>
      <c r="BQ495" s="94"/>
      <c r="BR495" s="94"/>
      <c r="BS495" s="94"/>
      <c r="BT495" s="94"/>
      <c r="BU495" s="28">
        <f t="shared" si="331"/>
        <v>0</v>
      </c>
      <c r="BV495" s="28"/>
      <c r="BW495" s="28"/>
      <c r="BX495" s="28"/>
      <c r="BY495" s="28"/>
      <c r="BZ495" s="28"/>
      <c r="CA495" s="28"/>
      <c r="CB495" s="99">
        <v>0.81200000000000006</v>
      </c>
      <c r="CC495" s="99">
        <v>0.95333333333333337</v>
      </c>
      <c r="CD495" s="185">
        <f t="shared" si="371"/>
        <v>0.95333333333333337</v>
      </c>
      <c r="CE495" s="185">
        <f t="shared" si="365"/>
        <v>0.95</v>
      </c>
      <c r="CF495" s="185">
        <f t="shared" si="366"/>
        <v>0.95</v>
      </c>
      <c r="CG495" s="185">
        <f t="shared" si="367"/>
        <v>0.95</v>
      </c>
      <c r="CH495" s="185">
        <f t="shared" ref="CH495" si="377">CC495</f>
        <v>0.95333333333333337</v>
      </c>
      <c r="CI495" s="175"/>
      <c r="CJ495" s="175"/>
      <c r="CK495" s="175"/>
      <c r="CL495" s="175"/>
      <c r="CM495" s="175"/>
      <c r="CN495" s="175"/>
      <c r="CO495" s="175"/>
      <c r="CP495" s="176"/>
      <c r="CQ495" s="176"/>
      <c r="CR495" s="176"/>
      <c r="CS495" s="176"/>
      <c r="CT495" s="176"/>
      <c r="CU495" s="176"/>
      <c r="CV495" s="176"/>
      <c r="CW495" s="167"/>
      <c r="CX495" s="168"/>
      <c r="CY495" s="168"/>
      <c r="CZ495" s="168"/>
      <c r="DA495" s="168"/>
      <c r="DB495" s="168"/>
      <c r="DC495" s="168"/>
      <c r="DD495" s="172"/>
      <c r="DE495" s="172"/>
      <c r="DF495" s="172"/>
      <c r="DG495" s="172"/>
      <c r="DH495" s="172"/>
      <c r="DI495" s="172"/>
      <c r="DJ495" s="172"/>
      <c r="DK495" s="80" t="s">
        <v>415</v>
      </c>
      <c r="DL495" s="129"/>
      <c r="DM495" s="129"/>
      <c r="DN495" s="129"/>
      <c r="DO495" s="129"/>
      <c r="DP495" s="129"/>
      <c r="DQ495" s="129"/>
      <c r="DR495" s="129"/>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5" t="s">
        <v>1764</v>
      </c>
      <c r="B496" s="5" t="s">
        <v>734</v>
      </c>
      <c r="C496" s="5" t="s">
        <v>534</v>
      </c>
      <c r="D496" s="5" t="s">
        <v>1029</v>
      </c>
      <c r="E496" s="5" t="s">
        <v>1753</v>
      </c>
      <c r="F496" s="5" t="s">
        <v>545</v>
      </c>
      <c r="G496" s="47" t="s">
        <v>545</v>
      </c>
      <c r="H496" s="47" t="s">
        <v>1162</v>
      </c>
      <c r="I496" s="101">
        <v>0</v>
      </c>
      <c r="J496" s="101">
        <v>0</v>
      </c>
      <c r="K496" s="101">
        <v>0</v>
      </c>
      <c r="L496" s="101">
        <v>0</v>
      </c>
      <c r="M496" s="101">
        <v>0</v>
      </c>
      <c r="N496" s="101">
        <v>0</v>
      </c>
      <c r="O496" s="101">
        <v>0</v>
      </c>
      <c r="P496" s="93">
        <v>0</v>
      </c>
      <c r="Q496" s="101">
        <v>0</v>
      </c>
      <c r="R496" s="101">
        <v>0</v>
      </c>
      <c r="S496" s="101">
        <v>0</v>
      </c>
      <c r="T496" s="101">
        <v>0</v>
      </c>
      <c r="U496" s="101">
        <v>0</v>
      </c>
      <c r="V496" s="101">
        <v>0</v>
      </c>
      <c r="W496" s="101">
        <v>0</v>
      </c>
      <c r="X496" s="101">
        <v>0</v>
      </c>
      <c r="Y496" s="101">
        <v>0</v>
      </c>
      <c r="Z496" s="101">
        <v>0</v>
      </c>
      <c r="AA496" s="101">
        <v>0</v>
      </c>
      <c r="AB496" s="101">
        <v>0</v>
      </c>
      <c r="AC496" s="101">
        <v>0</v>
      </c>
      <c r="AD496" s="101">
        <v>0</v>
      </c>
      <c r="AE496" s="186">
        <v>0.08</v>
      </c>
      <c r="AF496" s="93">
        <v>0</v>
      </c>
      <c r="AG496" s="93">
        <v>1</v>
      </c>
      <c r="AH496" s="93">
        <v>1</v>
      </c>
      <c r="AI496" s="16">
        <v>1</v>
      </c>
      <c r="AJ496" s="16" t="s">
        <v>662</v>
      </c>
      <c r="AK496" s="16" t="s">
        <v>745</v>
      </c>
      <c r="AL496" s="16"/>
      <c r="AM496" s="60"/>
      <c r="AN496" s="60"/>
      <c r="AO496" s="60"/>
      <c r="AP496" s="60"/>
      <c r="AQ496" s="60"/>
      <c r="AR496" s="60"/>
      <c r="AS496" s="63"/>
      <c r="AT496" s="63"/>
      <c r="AU496" s="63"/>
      <c r="AV496" s="131"/>
      <c r="AW496" s="131"/>
      <c r="AX496" s="131"/>
      <c r="AY496" s="27" t="s">
        <v>662</v>
      </c>
      <c r="AZ496" s="27"/>
      <c r="BA496" s="27"/>
      <c r="BB496" s="30"/>
      <c r="BC496" s="30"/>
      <c r="BD496" s="30"/>
      <c r="BE496" s="30"/>
      <c r="BF496" s="30"/>
      <c r="BG496" s="30"/>
      <c r="BH496" s="107"/>
      <c r="BI496" s="107"/>
      <c r="BJ496" s="107"/>
      <c r="BK496" s="107"/>
      <c r="BL496" s="136"/>
      <c r="BM496" s="122"/>
      <c r="BN496" s="138"/>
      <c r="BO496" s="93"/>
      <c r="BP496" s="93"/>
      <c r="BQ496" s="93"/>
      <c r="BR496" s="93"/>
      <c r="BS496" s="93"/>
      <c r="BT496" s="93"/>
      <c r="BU496" s="27">
        <f t="shared" ref="BU496:BU499" si="378">IF(BL496=1,BN496,0)</f>
        <v>0</v>
      </c>
      <c r="BV496" s="27"/>
      <c r="BW496" s="27"/>
      <c r="BX496" s="27"/>
      <c r="BY496" s="27"/>
      <c r="BZ496" s="27"/>
      <c r="CA496" s="27"/>
      <c r="CB496" s="97">
        <v>5</v>
      </c>
      <c r="CC496" s="97">
        <v>5</v>
      </c>
      <c r="CD496" s="97">
        <v>5</v>
      </c>
      <c r="CE496" s="97">
        <f t="shared" si="365"/>
        <v>5</v>
      </c>
      <c r="CF496" s="97">
        <f t="shared" si="366"/>
        <v>5</v>
      </c>
      <c r="CG496" s="97">
        <f t="shared" si="367"/>
        <v>5</v>
      </c>
      <c r="CH496" s="97">
        <v>5</v>
      </c>
      <c r="CI496" s="173"/>
      <c r="CJ496" s="173"/>
      <c r="CK496" s="173"/>
      <c r="CL496" s="173"/>
      <c r="CM496" s="173"/>
      <c r="CN496" s="173"/>
      <c r="CO496" s="173"/>
      <c r="CP496" s="174"/>
      <c r="CQ496" s="174"/>
      <c r="CR496" s="174"/>
      <c r="CS496" s="174"/>
      <c r="CT496" s="174"/>
      <c r="CU496" s="174"/>
      <c r="CV496" s="174"/>
      <c r="CW496" s="165"/>
      <c r="CX496" s="166"/>
      <c r="CY496" s="166"/>
      <c r="CZ496" s="166"/>
      <c r="DA496" s="166"/>
      <c r="DB496" s="166"/>
      <c r="DC496" s="166"/>
      <c r="DD496" s="171"/>
      <c r="DE496" s="171"/>
      <c r="DF496" s="171"/>
      <c r="DG496" s="171"/>
      <c r="DH496" s="171"/>
      <c r="DI496" s="171"/>
      <c r="DJ496" s="171"/>
      <c r="DK496" s="79" t="s">
        <v>415</v>
      </c>
      <c r="DL496" s="128"/>
      <c r="DM496" s="128"/>
      <c r="DN496" s="128"/>
      <c r="DO496" s="128"/>
      <c r="DP496" s="128"/>
      <c r="DQ496" s="128"/>
      <c r="DR496" s="128"/>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6" t="s">
        <v>1765</v>
      </c>
      <c r="B497" s="6" t="s">
        <v>734</v>
      </c>
      <c r="C497" s="6" t="s">
        <v>534</v>
      </c>
      <c r="D497" s="6" t="s">
        <v>1029</v>
      </c>
      <c r="E497" s="6" t="s">
        <v>1753</v>
      </c>
      <c r="F497" s="6" t="s">
        <v>545</v>
      </c>
      <c r="G497" s="48" t="s">
        <v>1759</v>
      </c>
      <c r="H497" s="48" t="s">
        <v>1162</v>
      </c>
      <c r="I497" s="102">
        <v>150</v>
      </c>
      <c r="J497" s="102">
        <v>141.66999999999999</v>
      </c>
      <c r="K497" s="102">
        <v>133.33000000000001</v>
      </c>
      <c r="L497" s="102">
        <v>125</v>
      </c>
      <c r="M497" s="102">
        <v>116.67</v>
      </c>
      <c r="N497" s="102">
        <v>108.33</v>
      </c>
      <c r="O497" s="102">
        <v>100</v>
      </c>
      <c r="P497" s="94">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86">
        <v>0.08</v>
      </c>
      <c r="AF497" s="94">
        <v>0</v>
      </c>
      <c r="AG497" s="94">
        <v>20</v>
      </c>
      <c r="AH497" s="94">
        <v>20</v>
      </c>
      <c r="AI497" s="17">
        <v>1</v>
      </c>
      <c r="AJ497" s="17" t="s">
        <v>662</v>
      </c>
      <c r="AK497" s="17" t="s">
        <v>745</v>
      </c>
      <c r="AL497" s="17"/>
      <c r="AM497" s="61"/>
      <c r="AN497" s="61"/>
      <c r="AO497" s="61"/>
      <c r="AP497" s="61"/>
      <c r="AQ497" s="61"/>
      <c r="AR497" s="61"/>
      <c r="AS497" s="64"/>
      <c r="AT497" s="64"/>
      <c r="AU497" s="64"/>
      <c r="AV497" s="132"/>
      <c r="AW497" s="132"/>
      <c r="AX497" s="132"/>
      <c r="AY497" s="28" t="s">
        <v>662</v>
      </c>
      <c r="AZ497" s="28"/>
      <c r="BA497" s="28"/>
      <c r="BB497" s="28"/>
      <c r="BC497" s="28"/>
      <c r="BD497" s="28"/>
      <c r="BE497" s="28"/>
      <c r="BF497" s="28"/>
      <c r="BG497" s="28"/>
      <c r="BH497" s="106"/>
      <c r="BI497" s="106"/>
      <c r="BJ497" s="106"/>
      <c r="BK497" s="106"/>
      <c r="BL497" s="137"/>
      <c r="BM497" s="123"/>
      <c r="BN497" s="139">
        <v>0</v>
      </c>
      <c r="BO497" s="94"/>
      <c r="BP497" s="94"/>
      <c r="BQ497" s="94"/>
      <c r="BR497" s="94"/>
      <c r="BS497" s="94"/>
      <c r="BT497" s="94"/>
      <c r="BU497" s="28">
        <f t="shared" si="378"/>
        <v>0</v>
      </c>
      <c r="BV497" s="28"/>
      <c r="BW497" s="28"/>
      <c r="BX497" s="28"/>
      <c r="BY497" s="28"/>
      <c r="BZ497" s="28"/>
      <c r="CA497" s="28"/>
      <c r="CB497" s="99">
        <v>0.32000000000000006</v>
      </c>
      <c r="CC497" s="99">
        <v>0.30000000000000004</v>
      </c>
      <c r="CD497" s="185">
        <f t="shared" si="371"/>
        <v>0.30000000000000004</v>
      </c>
      <c r="CE497" s="185">
        <f t="shared" si="365"/>
        <v>0.3</v>
      </c>
      <c r="CF497" s="185">
        <f t="shared" si="366"/>
        <v>0.3</v>
      </c>
      <c r="CG497" s="185">
        <f t="shared" si="367"/>
        <v>0.3</v>
      </c>
      <c r="CH497" s="185">
        <f t="shared" ref="CH497" si="379">CC497</f>
        <v>0.30000000000000004</v>
      </c>
      <c r="CI497" s="175"/>
      <c r="CJ497" s="175"/>
      <c r="CK497" s="175"/>
      <c r="CL497" s="175"/>
      <c r="CM497" s="175"/>
      <c r="CN497" s="175"/>
      <c r="CO497" s="175"/>
      <c r="CP497" s="176"/>
      <c r="CQ497" s="176"/>
      <c r="CR497" s="176"/>
      <c r="CS497" s="176"/>
      <c r="CT497" s="176"/>
      <c r="CU497" s="176"/>
      <c r="CV497" s="176"/>
      <c r="CW497" s="167"/>
      <c r="CX497" s="168"/>
      <c r="CY497" s="168"/>
      <c r="CZ497" s="168"/>
      <c r="DA497" s="168"/>
      <c r="DB497" s="168"/>
      <c r="DC497" s="168"/>
      <c r="DD497" s="172"/>
      <c r="DE497" s="172"/>
      <c r="DF497" s="172"/>
      <c r="DG497" s="172"/>
      <c r="DH497" s="172"/>
      <c r="DI497" s="172"/>
      <c r="DJ497" s="172"/>
      <c r="DK497" s="80" t="s">
        <v>415</v>
      </c>
      <c r="DL497" s="129"/>
      <c r="DM497" s="129"/>
      <c r="DN497" s="129"/>
      <c r="DO497" s="129"/>
      <c r="DP497" s="129"/>
      <c r="DQ497" s="129"/>
      <c r="DR497" s="129"/>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5" t="s">
        <v>1766</v>
      </c>
      <c r="B498" s="5" t="s">
        <v>1205</v>
      </c>
      <c r="C498" s="5" t="s">
        <v>534</v>
      </c>
      <c r="D498" s="5" t="s">
        <v>1206</v>
      </c>
      <c r="E498" s="5" t="s">
        <v>1709</v>
      </c>
      <c r="F498" s="5" t="s">
        <v>546</v>
      </c>
      <c r="G498" s="47" t="s">
        <v>546</v>
      </c>
      <c r="H498" s="47" t="s">
        <v>1162</v>
      </c>
      <c r="I498" s="101">
        <v>0</v>
      </c>
      <c r="J498" s="101">
        <v>0</v>
      </c>
      <c r="K498" s="101">
        <v>0</v>
      </c>
      <c r="L498" s="101">
        <v>0</v>
      </c>
      <c r="M498" s="101">
        <v>0</v>
      </c>
      <c r="N498" s="101">
        <v>0</v>
      </c>
      <c r="O498" s="101">
        <v>0</v>
      </c>
      <c r="P498" s="93">
        <v>0</v>
      </c>
      <c r="Q498" s="101">
        <v>0</v>
      </c>
      <c r="R498" s="101">
        <v>0</v>
      </c>
      <c r="S498" s="101">
        <v>0</v>
      </c>
      <c r="T498" s="101">
        <v>0</v>
      </c>
      <c r="U498" s="101">
        <v>0</v>
      </c>
      <c r="V498" s="101">
        <v>0</v>
      </c>
      <c r="W498" s="101">
        <v>0</v>
      </c>
      <c r="X498" s="101">
        <v>0</v>
      </c>
      <c r="Y498" s="101">
        <v>0</v>
      </c>
      <c r="Z498" s="101">
        <v>0</v>
      </c>
      <c r="AA498" s="101">
        <v>0</v>
      </c>
      <c r="AB498" s="101">
        <v>0</v>
      </c>
      <c r="AC498" s="101">
        <v>0</v>
      </c>
      <c r="AD498" s="101">
        <v>0</v>
      </c>
      <c r="AE498" s="186">
        <v>0.08</v>
      </c>
      <c r="AF498" s="93">
        <v>0</v>
      </c>
      <c r="AG498" s="93">
        <v>1</v>
      </c>
      <c r="AH498" s="93">
        <v>1</v>
      </c>
      <c r="AI498" s="16">
        <v>1</v>
      </c>
      <c r="AJ498" s="16" t="s">
        <v>662</v>
      </c>
      <c r="AK498" s="16" t="s">
        <v>745</v>
      </c>
      <c r="AL498" s="16"/>
      <c r="AM498" s="60"/>
      <c r="AN498" s="60"/>
      <c r="AO498" s="60"/>
      <c r="AP498" s="60"/>
      <c r="AQ498" s="60"/>
      <c r="AR498" s="60"/>
      <c r="AS498" s="63"/>
      <c r="AT498" s="63"/>
      <c r="AU498" s="63"/>
      <c r="AV498" s="131"/>
      <c r="AW498" s="131"/>
      <c r="AX498" s="131"/>
      <c r="AY498" s="27" t="s">
        <v>662</v>
      </c>
      <c r="AZ498" s="27"/>
      <c r="BA498" s="27"/>
      <c r="BB498" s="30"/>
      <c r="BC498" s="30"/>
      <c r="BD498" s="30"/>
      <c r="BE498" s="30"/>
      <c r="BF498" s="30"/>
      <c r="BG498" s="30"/>
      <c r="BH498" s="107"/>
      <c r="BI498" s="107"/>
      <c r="BJ498" s="107"/>
      <c r="BK498" s="107"/>
      <c r="BL498" s="136"/>
      <c r="BM498" s="122"/>
      <c r="BN498" s="138"/>
      <c r="BO498" s="93"/>
      <c r="BP498" s="93"/>
      <c r="BQ498" s="93"/>
      <c r="BR498" s="93"/>
      <c r="BS498" s="93"/>
      <c r="BT498" s="93"/>
      <c r="BU498" s="27">
        <f t="shared" si="378"/>
        <v>0</v>
      </c>
      <c r="BV498" s="27"/>
      <c r="BW498" s="27"/>
      <c r="BX498" s="27"/>
      <c r="BY498" s="27"/>
      <c r="BZ498" s="27"/>
      <c r="CA498" s="27"/>
      <c r="CB498" s="97">
        <v>15</v>
      </c>
      <c r="CC498" s="97">
        <v>15</v>
      </c>
      <c r="CD498" s="97">
        <v>15</v>
      </c>
      <c r="CE498" s="97">
        <f t="shared" si="365"/>
        <v>15</v>
      </c>
      <c r="CF498" s="97">
        <f t="shared" si="366"/>
        <v>15</v>
      </c>
      <c r="CG498" s="97">
        <f t="shared" si="367"/>
        <v>15</v>
      </c>
      <c r="CH498" s="97">
        <v>15</v>
      </c>
      <c r="CI498" s="173"/>
      <c r="CJ498" s="173"/>
      <c r="CK498" s="173"/>
      <c r="CL498" s="173"/>
      <c r="CM498" s="173"/>
      <c r="CN498" s="173"/>
      <c r="CO498" s="173"/>
      <c r="CP498" s="174"/>
      <c r="CQ498" s="174"/>
      <c r="CR498" s="174"/>
      <c r="CS498" s="174"/>
      <c r="CT498" s="174"/>
      <c r="CU498" s="174"/>
      <c r="CV498" s="174"/>
      <c r="CW498" s="165"/>
      <c r="CX498" s="166"/>
      <c r="CY498" s="166"/>
      <c r="CZ498" s="166"/>
      <c r="DA498" s="166"/>
      <c r="DB498" s="166"/>
      <c r="DC498" s="166"/>
      <c r="DD498" s="171"/>
      <c r="DE498" s="171"/>
      <c r="DF498" s="171"/>
      <c r="DG498" s="171"/>
      <c r="DH498" s="171"/>
      <c r="DI498" s="171"/>
      <c r="DJ498" s="171"/>
      <c r="DK498" s="79" t="s">
        <v>415</v>
      </c>
      <c r="DL498" s="128"/>
      <c r="DM498" s="128"/>
      <c r="DN498" s="128"/>
      <c r="DO498" s="128"/>
      <c r="DP498" s="128"/>
      <c r="DQ498" s="128"/>
      <c r="DR498" s="128"/>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6" t="s">
        <v>1767</v>
      </c>
      <c r="B499" s="6" t="s">
        <v>1205</v>
      </c>
      <c r="C499" s="6" t="s">
        <v>534</v>
      </c>
      <c r="D499" s="6" t="s">
        <v>1206</v>
      </c>
      <c r="E499" s="6" t="s">
        <v>1709</v>
      </c>
      <c r="F499" s="6" t="s">
        <v>546</v>
      </c>
      <c r="G499" s="48" t="s">
        <v>1711</v>
      </c>
      <c r="H499" s="48" t="s">
        <v>1162</v>
      </c>
      <c r="I499" s="102">
        <v>200</v>
      </c>
      <c r="J499" s="102">
        <v>200</v>
      </c>
      <c r="K499" s="102">
        <v>200</v>
      </c>
      <c r="L499" s="102">
        <v>200</v>
      </c>
      <c r="M499" s="102">
        <v>225</v>
      </c>
      <c r="N499" s="102">
        <v>250</v>
      </c>
      <c r="O499" s="102">
        <v>250</v>
      </c>
      <c r="P499" s="94">
        <v>0</v>
      </c>
      <c r="Q499" s="102">
        <v>0</v>
      </c>
      <c r="R499" s="102">
        <v>0</v>
      </c>
      <c r="S499" s="102">
        <v>0</v>
      </c>
      <c r="T499" s="102">
        <v>0</v>
      </c>
      <c r="U499" s="102">
        <v>0</v>
      </c>
      <c r="V499" s="102">
        <v>0</v>
      </c>
      <c r="W499" s="102">
        <v>0</v>
      </c>
      <c r="X499" s="102">
        <v>0</v>
      </c>
      <c r="Y499" s="102">
        <v>0</v>
      </c>
      <c r="Z499" s="102">
        <v>0</v>
      </c>
      <c r="AA499" s="102">
        <v>0</v>
      </c>
      <c r="AB499" s="102">
        <v>0</v>
      </c>
      <c r="AC499" s="102">
        <v>0</v>
      </c>
      <c r="AD499" s="102">
        <v>0</v>
      </c>
      <c r="AE499" s="186">
        <v>0.08</v>
      </c>
      <c r="AF499" s="94">
        <v>0</v>
      </c>
      <c r="AG499" s="94">
        <v>20</v>
      </c>
      <c r="AH499" s="94">
        <v>20</v>
      </c>
      <c r="AI499" s="17">
        <v>1</v>
      </c>
      <c r="AJ499" s="17" t="s">
        <v>662</v>
      </c>
      <c r="AK499" s="17" t="s">
        <v>745</v>
      </c>
      <c r="AL499" s="17"/>
      <c r="AM499" s="61"/>
      <c r="AN499" s="61"/>
      <c r="AO499" s="61"/>
      <c r="AP499" s="61"/>
      <c r="AQ499" s="61"/>
      <c r="AR499" s="61"/>
      <c r="AS499" s="64"/>
      <c r="AT499" s="64"/>
      <c r="AU499" s="64"/>
      <c r="AV499" s="132"/>
      <c r="AW499" s="132"/>
      <c r="AX499" s="132"/>
      <c r="AY499" s="28" t="s">
        <v>662</v>
      </c>
      <c r="AZ499" s="28"/>
      <c r="BA499" s="28"/>
      <c r="BB499" s="28"/>
      <c r="BC499" s="28"/>
      <c r="BD499" s="28"/>
      <c r="BE499" s="28"/>
      <c r="BF499" s="28"/>
      <c r="BG499" s="28"/>
      <c r="BH499" s="106"/>
      <c r="BI499" s="106"/>
      <c r="BJ499" s="106"/>
      <c r="BK499" s="106"/>
      <c r="BL499" s="137"/>
      <c r="BM499" s="123"/>
      <c r="BN499" s="139">
        <v>0</v>
      </c>
      <c r="BO499" s="94"/>
      <c r="BP499" s="94"/>
      <c r="BQ499" s="94"/>
      <c r="BR499" s="94"/>
      <c r="BS499" s="94"/>
      <c r="BT499" s="94"/>
      <c r="BU499" s="28">
        <f t="shared" si="378"/>
        <v>0</v>
      </c>
      <c r="BV499" s="28"/>
      <c r="BW499" s="28"/>
      <c r="BX499" s="28"/>
      <c r="BY499" s="28"/>
      <c r="BZ499" s="28"/>
      <c r="CA499" s="28"/>
      <c r="CB499" s="99">
        <v>0.66749999999999998</v>
      </c>
      <c r="CC499" s="99">
        <v>0.73958333333333337</v>
      </c>
      <c r="CD499" s="99">
        <v>1.6040000000000001</v>
      </c>
      <c r="CE499" s="99">
        <f t="shared" ref="CE499" si="380">ROUND((CD499+CF499)/2,2)</f>
        <v>1.6</v>
      </c>
      <c r="CF499" s="99">
        <f t="shared" ref="CF499" si="381">ROUND((CD499+CH499)/2,2)</f>
        <v>1.6</v>
      </c>
      <c r="CG499" s="99">
        <f t="shared" ref="CG499" si="382">ROUND((CF499+CH499)/2,2)</f>
        <v>1.6</v>
      </c>
      <c r="CH499" s="99">
        <v>1.6040000000000001</v>
      </c>
      <c r="CI499" s="175"/>
      <c r="CJ499" s="175"/>
      <c r="CK499" s="175"/>
      <c r="CL499" s="175"/>
      <c r="CM499" s="175"/>
      <c r="CN499" s="175"/>
      <c r="CO499" s="175"/>
      <c r="CP499" s="176"/>
      <c r="CQ499" s="176"/>
      <c r="CR499" s="176"/>
      <c r="CS499" s="176"/>
      <c r="CT499" s="176"/>
      <c r="CU499" s="176"/>
      <c r="CV499" s="176"/>
      <c r="CW499" s="167"/>
      <c r="CX499" s="168"/>
      <c r="CY499" s="168"/>
      <c r="CZ499" s="168"/>
      <c r="DA499" s="168"/>
      <c r="DB499" s="168"/>
      <c r="DC499" s="168"/>
      <c r="DD499" s="172"/>
      <c r="DE499" s="172"/>
      <c r="DF499" s="172"/>
      <c r="DG499" s="172"/>
      <c r="DH499" s="172"/>
      <c r="DI499" s="172"/>
      <c r="DJ499" s="172"/>
      <c r="DK499" s="80" t="s">
        <v>415</v>
      </c>
      <c r="DL499" s="129"/>
      <c r="DM499" s="129"/>
      <c r="DN499" s="129"/>
      <c r="DO499" s="129"/>
      <c r="DP499" s="129"/>
      <c r="DQ499" s="129"/>
      <c r="DR499" s="129"/>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223" t="s">
        <v>1768</v>
      </c>
      <c r="B500" s="223" t="s">
        <v>740</v>
      </c>
      <c r="C500" s="223" t="s">
        <v>534</v>
      </c>
      <c r="D500" s="223" t="s">
        <v>741</v>
      </c>
      <c r="E500" s="223" t="s">
        <v>1769</v>
      </c>
      <c r="F500" s="223" t="s">
        <v>548</v>
      </c>
      <c r="G500" s="224" t="s">
        <v>1770</v>
      </c>
      <c r="H500" s="224" t="s">
        <v>1771</v>
      </c>
      <c r="I500" s="101">
        <v>0</v>
      </c>
      <c r="J500" s="101">
        <v>0</v>
      </c>
      <c r="K500" s="101">
        <v>0</v>
      </c>
      <c r="L500" s="101">
        <v>0</v>
      </c>
      <c r="M500" s="101">
        <v>0</v>
      </c>
      <c r="N500" s="101">
        <v>0</v>
      </c>
      <c r="O500" s="101">
        <v>0</v>
      </c>
      <c r="P500" s="93">
        <v>0</v>
      </c>
      <c r="Q500" s="101">
        <v>0</v>
      </c>
      <c r="R500" s="101">
        <v>0</v>
      </c>
      <c r="S500" s="101">
        <v>0</v>
      </c>
      <c r="T500" s="101">
        <v>0</v>
      </c>
      <c r="U500" s="101">
        <v>0</v>
      </c>
      <c r="V500" s="101">
        <v>0</v>
      </c>
      <c r="W500" s="101">
        <v>0</v>
      </c>
      <c r="X500" s="101">
        <v>20</v>
      </c>
      <c r="Y500" s="101">
        <v>20</v>
      </c>
      <c r="Z500" s="101">
        <v>20</v>
      </c>
      <c r="AA500" s="101">
        <v>20</v>
      </c>
      <c r="AB500" s="101">
        <v>20</v>
      </c>
      <c r="AC500" s="101">
        <v>20</v>
      </c>
      <c r="AD500" s="101">
        <v>20</v>
      </c>
      <c r="AE500" s="186">
        <v>0.08</v>
      </c>
      <c r="AF500" s="93">
        <v>0</v>
      </c>
      <c r="AG500" s="93">
        <v>1</v>
      </c>
      <c r="AH500" s="93">
        <v>1</v>
      </c>
      <c r="AI500" s="16">
        <v>1</v>
      </c>
      <c r="AJ500" s="16" t="s">
        <v>1569</v>
      </c>
      <c r="AK500" s="16" t="s">
        <v>745</v>
      </c>
      <c r="AL500" s="16"/>
      <c r="AM500" s="60"/>
      <c r="AN500" s="60"/>
      <c r="AO500" s="60"/>
      <c r="AP500" s="60"/>
      <c r="AQ500" s="60"/>
      <c r="AR500" s="60"/>
      <c r="AS500" s="63"/>
      <c r="AT500" s="63"/>
      <c r="AU500" s="63"/>
      <c r="AV500" s="131"/>
      <c r="AW500" s="131"/>
      <c r="AX500" s="131"/>
      <c r="AY500" s="27" t="s">
        <v>662</v>
      </c>
      <c r="AZ500" s="27"/>
      <c r="BA500" s="27"/>
      <c r="BB500" s="30"/>
      <c r="BC500" s="30"/>
      <c r="BD500" s="30"/>
      <c r="BE500" s="30"/>
      <c r="BF500" s="30"/>
      <c r="BG500" s="30"/>
      <c r="BH500" s="107"/>
      <c r="BI500" s="107"/>
      <c r="BJ500" s="107"/>
      <c r="BK500" s="107"/>
      <c r="BL500" s="136"/>
      <c r="BM500" s="122"/>
      <c r="BN500" s="138"/>
      <c r="BO500" s="93"/>
      <c r="BP500" s="93"/>
      <c r="BQ500" s="93"/>
      <c r="BR500" s="93"/>
      <c r="BS500" s="93"/>
      <c r="BT500" s="93"/>
      <c r="BU500" s="27">
        <f t="shared" si="331"/>
        <v>0</v>
      </c>
      <c r="BV500" s="27"/>
      <c r="BW500" s="27"/>
      <c r="BX500" s="27"/>
      <c r="BY500" s="27"/>
      <c r="BZ500" s="27"/>
      <c r="CA500" s="27"/>
      <c r="CB500" s="244"/>
      <c r="CC500" s="244">
        <f t="shared" ref="CC500" si="383">ROUND((CB500+CD500)/2,2)</f>
        <v>4.8499999999999996</v>
      </c>
      <c r="CD500" s="244">
        <v>9.6999999999999993</v>
      </c>
      <c r="CE500" s="244">
        <v>24</v>
      </c>
      <c r="CF500" s="244">
        <v>40</v>
      </c>
      <c r="CG500" s="244">
        <v>45</v>
      </c>
      <c r="CH500" s="244">
        <v>50</v>
      </c>
      <c r="CI500" s="173"/>
      <c r="CJ500" s="173"/>
      <c r="CK500" s="173"/>
      <c r="CL500" s="173"/>
      <c r="CM500" s="173"/>
      <c r="CN500" s="173"/>
      <c r="CO500" s="173"/>
      <c r="CP500" s="174"/>
      <c r="CQ500" s="174"/>
      <c r="CR500" s="174"/>
      <c r="CS500" s="174"/>
      <c r="CT500" s="174"/>
      <c r="CU500" s="174"/>
      <c r="CV500" s="174"/>
      <c r="CW500" s="165"/>
      <c r="CX500" s="166"/>
      <c r="CY500" s="166"/>
      <c r="CZ500" s="166"/>
      <c r="DA500" s="166"/>
      <c r="DB500" s="166"/>
      <c r="DC500" s="166"/>
      <c r="DD500" s="171"/>
      <c r="DE500" s="171"/>
      <c r="DF500" s="171"/>
      <c r="DG500" s="171"/>
      <c r="DH500" s="171"/>
      <c r="DI500" s="171"/>
      <c r="DJ500" s="171"/>
      <c r="DK500" s="79" t="s">
        <v>415</v>
      </c>
      <c r="DL500" s="128"/>
      <c r="DM500" s="128"/>
      <c r="DN500" s="128"/>
      <c r="DO500" s="128"/>
      <c r="DP500" s="128"/>
      <c r="DQ500" s="128"/>
      <c r="DR500" s="128"/>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6" t="s">
        <v>1772</v>
      </c>
      <c r="B501" s="6" t="s">
        <v>740</v>
      </c>
      <c r="C501" s="6" t="s">
        <v>534</v>
      </c>
      <c r="D501" s="6" t="s">
        <v>741</v>
      </c>
      <c r="E501" s="6" t="s">
        <v>1773</v>
      </c>
      <c r="F501" s="6" t="s">
        <v>548</v>
      </c>
      <c r="G501" s="48" t="s">
        <v>1774</v>
      </c>
      <c r="H501" s="48" t="s">
        <v>1771</v>
      </c>
      <c r="I501" s="102">
        <v>1251.4000000000001</v>
      </c>
      <c r="J501" s="102">
        <v>938.55</v>
      </c>
      <c r="K501" s="102">
        <v>625.70000000000005</v>
      </c>
      <c r="L501" s="102">
        <v>521.41999999999996</v>
      </c>
      <c r="M501" s="102">
        <v>437.99</v>
      </c>
      <c r="N501" s="102">
        <v>364.99</v>
      </c>
      <c r="O501" s="102">
        <v>312.85000000000002</v>
      </c>
      <c r="P501" s="94">
        <v>0</v>
      </c>
      <c r="Q501" s="102">
        <v>50.06</v>
      </c>
      <c r="R501" s="102">
        <v>37.54</v>
      </c>
      <c r="S501" s="102">
        <v>25.03</v>
      </c>
      <c r="T501" s="102">
        <v>20.86</v>
      </c>
      <c r="U501" s="102">
        <v>17.52</v>
      </c>
      <c r="V501" s="102">
        <v>14.6</v>
      </c>
      <c r="W501" s="102">
        <v>12.51</v>
      </c>
      <c r="X501" s="102">
        <v>0</v>
      </c>
      <c r="Y501" s="102">
        <v>0</v>
      </c>
      <c r="Z501" s="102">
        <v>0</v>
      </c>
      <c r="AA501" s="102">
        <v>0</v>
      </c>
      <c r="AB501" s="102">
        <v>0</v>
      </c>
      <c r="AC501" s="102">
        <v>0</v>
      </c>
      <c r="AD501" s="102">
        <v>0</v>
      </c>
      <c r="AE501" s="186">
        <v>0.08</v>
      </c>
      <c r="AF501" s="94">
        <v>0</v>
      </c>
      <c r="AG501" s="94">
        <v>20</v>
      </c>
      <c r="AH501" s="94">
        <v>20</v>
      </c>
      <c r="AI501" s="17">
        <v>1</v>
      </c>
      <c r="AJ501" s="17" t="s">
        <v>660</v>
      </c>
      <c r="AK501" s="17" t="s">
        <v>745</v>
      </c>
      <c r="AL501" s="17"/>
      <c r="AM501" s="61"/>
      <c r="AN501" s="61"/>
      <c r="AO501" s="61"/>
      <c r="AP501" s="61"/>
      <c r="AQ501" s="61"/>
      <c r="AR501" s="61"/>
      <c r="AS501" s="64"/>
      <c r="AT501" s="64"/>
      <c r="AU501" s="64"/>
      <c r="AV501" s="132"/>
      <c r="AW501" s="132"/>
      <c r="AX501" s="132"/>
      <c r="AY501" s="28" t="s">
        <v>662</v>
      </c>
      <c r="AZ501" s="28"/>
      <c r="BA501" s="28"/>
      <c r="BB501" s="28"/>
      <c r="BC501" s="28"/>
      <c r="BD501" s="28"/>
      <c r="BE501" s="28"/>
      <c r="BF501" s="28"/>
      <c r="BG501" s="28"/>
      <c r="BH501" s="106"/>
      <c r="BI501" s="106"/>
      <c r="BJ501" s="106"/>
      <c r="BK501" s="106"/>
      <c r="BL501" s="137"/>
      <c r="BM501" s="123"/>
      <c r="BN501" s="139">
        <v>0</v>
      </c>
      <c r="BO501" s="94"/>
      <c r="BP501" s="94"/>
      <c r="BQ501" s="94"/>
      <c r="BR501" s="94"/>
      <c r="BS501" s="94"/>
      <c r="BT501" s="94"/>
      <c r="BU501" s="28">
        <f t="shared" si="331"/>
        <v>0</v>
      </c>
      <c r="BV501" s="28"/>
      <c r="BW501" s="28"/>
      <c r="BX501" s="28"/>
      <c r="BY501" s="28"/>
      <c r="BZ501" s="28"/>
      <c r="CA501" s="28"/>
      <c r="CB501" s="185">
        <v>0</v>
      </c>
      <c r="CC501" s="185">
        <v>0</v>
      </c>
      <c r="CD501" s="185"/>
      <c r="CE501" s="185">
        <v>2.5</v>
      </c>
      <c r="CF501" s="185">
        <v>5</v>
      </c>
      <c r="CG501" s="185">
        <v>7.5</v>
      </c>
      <c r="CH501" s="185">
        <v>10</v>
      </c>
      <c r="CI501" s="175"/>
      <c r="CJ501" s="175"/>
      <c r="CK501" s="175"/>
      <c r="CL501" s="175"/>
      <c r="CM501" s="175"/>
      <c r="CN501" s="175"/>
      <c r="CO501" s="175"/>
      <c r="CP501" s="176"/>
      <c r="CQ501" s="176"/>
      <c r="CR501" s="176"/>
      <c r="CS501" s="176"/>
      <c r="CT501" s="176"/>
      <c r="CU501" s="176"/>
      <c r="CV501" s="176"/>
      <c r="CW501" s="167"/>
      <c r="CX501" s="168"/>
      <c r="CY501" s="168"/>
      <c r="CZ501" s="168"/>
      <c r="DA501" s="168"/>
      <c r="DB501" s="168"/>
      <c r="DC501" s="168"/>
      <c r="DD501" s="172"/>
      <c r="DE501" s="172"/>
      <c r="DF501" s="172"/>
      <c r="DG501" s="172"/>
      <c r="DH501" s="172"/>
      <c r="DI501" s="172"/>
      <c r="DJ501" s="172"/>
      <c r="DK501" s="80" t="s">
        <v>415</v>
      </c>
      <c r="DL501" s="129"/>
      <c r="DM501" s="129"/>
      <c r="DN501" s="129"/>
      <c r="DO501" s="129"/>
      <c r="DP501" s="129"/>
      <c r="DQ501" s="129"/>
      <c r="DR501" s="129"/>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5" t="s">
        <v>1775</v>
      </c>
      <c r="B502" s="5" t="s">
        <v>740</v>
      </c>
      <c r="C502" s="5" t="s">
        <v>534</v>
      </c>
      <c r="D502" s="5" t="s">
        <v>741</v>
      </c>
      <c r="E502" s="5" t="s">
        <v>1773</v>
      </c>
      <c r="F502" s="5" t="s">
        <v>548</v>
      </c>
      <c r="G502" s="47" t="s">
        <v>1776</v>
      </c>
      <c r="H502" s="47" t="s">
        <v>1771</v>
      </c>
      <c r="I502" s="101">
        <v>1251.4000000000001</v>
      </c>
      <c r="J502" s="101">
        <v>938.55</v>
      </c>
      <c r="K502" s="101">
        <v>625.70000000000005</v>
      </c>
      <c r="L502" s="101">
        <v>521.41999999999996</v>
      </c>
      <c r="M502" s="101">
        <v>437.99</v>
      </c>
      <c r="N502" s="101">
        <v>364.99</v>
      </c>
      <c r="O502" s="101">
        <v>312.85000000000002</v>
      </c>
      <c r="P502" s="93">
        <v>0</v>
      </c>
      <c r="Q502" s="101">
        <v>50.06</v>
      </c>
      <c r="R502" s="101">
        <v>37.54</v>
      </c>
      <c r="S502" s="101">
        <v>25.03</v>
      </c>
      <c r="T502" s="101">
        <v>20.86</v>
      </c>
      <c r="U502" s="101">
        <v>17.52</v>
      </c>
      <c r="V502" s="101">
        <v>14.6</v>
      </c>
      <c r="W502" s="101">
        <v>12.51</v>
      </c>
      <c r="X502" s="101">
        <v>0</v>
      </c>
      <c r="Y502" s="101">
        <v>0</v>
      </c>
      <c r="Z502" s="101">
        <v>0</v>
      </c>
      <c r="AA502" s="101">
        <v>0</v>
      </c>
      <c r="AB502" s="101">
        <v>0</v>
      </c>
      <c r="AC502" s="101">
        <v>0</v>
      </c>
      <c r="AD502" s="101">
        <v>0</v>
      </c>
      <c r="AE502" s="186">
        <v>0.08</v>
      </c>
      <c r="AF502" s="93">
        <v>0</v>
      </c>
      <c r="AG502" s="93">
        <v>20</v>
      </c>
      <c r="AH502" s="93">
        <v>20</v>
      </c>
      <c r="AI502" s="16">
        <v>1</v>
      </c>
      <c r="AJ502" s="16" t="s">
        <v>660</v>
      </c>
      <c r="AK502" s="16" t="s">
        <v>745</v>
      </c>
      <c r="AL502" s="16"/>
      <c r="AM502" s="60"/>
      <c r="AN502" s="60"/>
      <c r="AO502" s="60"/>
      <c r="AP502" s="60"/>
      <c r="AQ502" s="60"/>
      <c r="AR502" s="60"/>
      <c r="AS502" s="63"/>
      <c r="AT502" s="63"/>
      <c r="AU502" s="63"/>
      <c r="AV502" s="131"/>
      <c r="AW502" s="131"/>
      <c r="AX502" s="131"/>
      <c r="AY502" s="27" t="s">
        <v>662</v>
      </c>
      <c r="AZ502" s="27"/>
      <c r="BA502" s="27"/>
      <c r="BB502" s="30"/>
      <c r="BC502" s="30"/>
      <c r="BD502" s="30"/>
      <c r="BE502" s="30"/>
      <c r="BF502" s="30"/>
      <c r="BG502" s="30"/>
      <c r="BH502" s="107"/>
      <c r="BI502" s="107"/>
      <c r="BJ502" s="107"/>
      <c r="BK502" s="107"/>
      <c r="BL502" s="136"/>
      <c r="BM502" s="122"/>
      <c r="BN502" s="138">
        <v>0</v>
      </c>
      <c r="BO502" s="93"/>
      <c r="BP502" s="93"/>
      <c r="BQ502" s="93"/>
      <c r="BR502" s="93"/>
      <c r="BS502" s="93"/>
      <c r="BT502" s="93"/>
      <c r="BU502" s="27">
        <f t="shared" si="331"/>
        <v>0</v>
      </c>
      <c r="BV502" s="27"/>
      <c r="BW502" s="27"/>
      <c r="BX502" s="27"/>
      <c r="BY502" s="27"/>
      <c r="BZ502" s="27"/>
      <c r="CA502" s="27"/>
      <c r="CB502" s="185">
        <v>0</v>
      </c>
      <c r="CC502" s="185">
        <v>0</v>
      </c>
      <c r="CD502" s="185"/>
      <c r="CE502" s="185">
        <v>2.5</v>
      </c>
      <c r="CF502" s="185">
        <v>5</v>
      </c>
      <c r="CG502" s="185">
        <v>7.5</v>
      </c>
      <c r="CH502" s="185">
        <v>10</v>
      </c>
      <c r="CI502" s="173"/>
      <c r="CJ502" s="173"/>
      <c r="CK502" s="173"/>
      <c r="CL502" s="173"/>
      <c r="CM502" s="173"/>
      <c r="CN502" s="173"/>
      <c r="CO502" s="173"/>
      <c r="CP502" s="174"/>
      <c r="CQ502" s="174"/>
      <c r="CR502" s="174"/>
      <c r="CS502" s="174"/>
      <c r="CT502" s="174"/>
      <c r="CU502" s="174"/>
      <c r="CV502" s="174"/>
      <c r="CW502" s="165"/>
      <c r="CX502" s="166"/>
      <c r="CY502" s="166"/>
      <c r="CZ502" s="166"/>
      <c r="DA502" s="166"/>
      <c r="DB502" s="166"/>
      <c r="DC502" s="166"/>
      <c r="DD502" s="171"/>
      <c r="DE502" s="171"/>
      <c r="DF502" s="171"/>
      <c r="DG502" s="171"/>
      <c r="DH502" s="171"/>
      <c r="DI502" s="171"/>
      <c r="DJ502" s="171"/>
      <c r="DK502" s="79" t="s">
        <v>415</v>
      </c>
      <c r="DL502" s="128"/>
      <c r="DM502" s="128"/>
      <c r="DN502" s="128"/>
      <c r="DO502" s="128"/>
      <c r="DP502" s="128"/>
      <c r="DQ502" s="128"/>
      <c r="DR502" s="128"/>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6" t="s">
        <v>1777</v>
      </c>
      <c r="B503" s="6" t="s">
        <v>740</v>
      </c>
      <c r="C503" s="6" t="s">
        <v>534</v>
      </c>
      <c r="D503" s="6" t="s">
        <v>741</v>
      </c>
      <c r="E503" s="6" t="s">
        <v>1773</v>
      </c>
      <c r="F503" s="6" t="s">
        <v>548</v>
      </c>
      <c r="G503" s="48" t="s">
        <v>1778</v>
      </c>
      <c r="H503" s="48" t="s">
        <v>1779</v>
      </c>
      <c r="I503" s="102">
        <v>5.77</v>
      </c>
      <c r="J503" s="102">
        <v>5.77</v>
      </c>
      <c r="K503" s="102">
        <v>5.77</v>
      </c>
      <c r="L503" s="102">
        <v>5.77</v>
      </c>
      <c r="M503" s="102">
        <v>5.77</v>
      </c>
      <c r="N503" s="102">
        <v>5.77</v>
      </c>
      <c r="O503" s="102">
        <v>5.77</v>
      </c>
      <c r="P503" s="94">
        <v>0</v>
      </c>
      <c r="Q503" s="102">
        <v>0.17</v>
      </c>
      <c r="R503" s="102">
        <v>0.17</v>
      </c>
      <c r="S503" s="102">
        <v>0.17</v>
      </c>
      <c r="T503" s="102">
        <v>0.17</v>
      </c>
      <c r="U503" s="102">
        <v>0.17</v>
      </c>
      <c r="V503" s="102">
        <v>0.17</v>
      </c>
      <c r="W503" s="102">
        <v>0.17</v>
      </c>
      <c r="X503" s="102">
        <v>0</v>
      </c>
      <c r="Y503" s="102">
        <v>0</v>
      </c>
      <c r="Z503" s="102">
        <v>0</v>
      </c>
      <c r="AA503" s="102">
        <v>0</v>
      </c>
      <c r="AB503" s="102">
        <v>0</v>
      </c>
      <c r="AC503" s="102">
        <v>0</v>
      </c>
      <c r="AD503" s="102">
        <v>0</v>
      </c>
      <c r="AE503" s="186">
        <v>0.08</v>
      </c>
      <c r="AF503" s="94">
        <v>0</v>
      </c>
      <c r="AG503" s="94">
        <v>40</v>
      </c>
      <c r="AH503" s="94">
        <v>40</v>
      </c>
      <c r="AI503" s="17">
        <v>0.36499999999999999</v>
      </c>
      <c r="AJ503" s="17" t="s">
        <v>1575</v>
      </c>
      <c r="AK503" s="17" t="s">
        <v>745</v>
      </c>
      <c r="AL503" s="17"/>
      <c r="AM503" s="61"/>
      <c r="AN503" s="61"/>
      <c r="AO503" s="61"/>
      <c r="AP503" s="61"/>
      <c r="AQ503" s="61"/>
      <c r="AR503" s="61"/>
      <c r="AS503" s="64"/>
      <c r="AT503" s="64"/>
      <c r="AU503" s="64"/>
      <c r="AV503" s="132"/>
      <c r="AW503" s="132"/>
      <c r="AX503" s="132"/>
      <c r="AY503" s="28" t="s">
        <v>662</v>
      </c>
      <c r="AZ503" s="28"/>
      <c r="BA503" s="28"/>
      <c r="BB503" s="28"/>
      <c r="BC503" s="28"/>
      <c r="BD503" s="28"/>
      <c r="BE503" s="28"/>
      <c r="BF503" s="28"/>
      <c r="BG503" s="28"/>
      <c r="BH503" s="106" t="s">
        <v>548</v>
      </c>
      <c r="BI503" s="106">
        <v>1E-3</v>
      </c>
      <c r="BJ503" s="106">
        <v>1E-3</v>
      </c>
      <c r="BK503" s="106">
        <v>12</v>
      </c>
      <c r="BL503" s="137"/>
      <c r="BM503" s="123"/>
      <c r="BN503" s="139">
        <v>0</v>
      </c>
      <c r="BO503" s="94"/>
      <c r="BP503" s="94"/>
      <c r="BQ503" s="94"/>
      <c r="BR503" s="94"/>
      <c r="BS503" s="94"/>
      <c r="BT503" s="94"/>
      <c r="BU503" s="28">
        <f t="shared" si="331"/>
        <v>0</v>
      </c>
      <c r="BV503" s="28"/>
      <c r="BW503" s="28"/>
      <c r="BX503" s="28"/>
      <c r="BY503" s="28"/>
      <c r="BZ503" s="28"/>
      <c r="CA503" s="28"/>
      <c r="CB503" s="185">
        <v>100</v>
      </c>
      <c r="CC503" s="185">
        <v>100</v>
      </c>
      <c r="CD503" s="185">
        <v>100</v>
      </c>
      <c r="CE503" s="185">
        <v>100</v>
      </c>
      <c r="CF503" s="185">
        <v>100</v>
      </c>
      <c r="CG503" s="185">
        <v>100</v>
      </c>
      <c r="CH503" s="185">
        <v>100</v>
      </c>
      <c r="CI503" s="175"/>
      <c r="CJ503" s="175"/>
      <c r="CK503" s="175"/>
      <c r="CL503" s="175"/>
      <c r="CM503" s="175"/>
      <c r="CN503" s="175"/>
      <c r="CO503" s="175"/>
      <c r="CP503" s="176"/>
      <c r="CQ503" s="176"/>
      <c r="CR503" s="176"/>
      <c r="CS503" s="176"/>
      <c r="CT503" s="176"/>
      <c r="CU503" s="176"/>
      <c r="CV503" s="176"/>
      <c r="CW503" s="167"/>
      <c r="CX503" s="168"/>
      <c r="CY503" s="168"/>
      <c r="CZ503" s="168"/>
      <c r="DA503" s="168"/>
      <c r="DB503" s="168"/>
      <c r="DC503" s="168"/>
      <c r="DD503" s="172"/>
      <c r="DE503" s="172"/>
      <c r="DF503" s="172"/>
      <c r="DG503" s="172"/>
      <c r="DH503" s="172"/>
      <c r="DI503" s="172"/>
      <c r="DJ503" s="172"/>
      <c r="DK503" s="80" t="s">
        <v>415</v>
      </c>
      <c r="DL503" s="129"/>
      <c r="DM503" s="129"/>
      <c r="DN503" s="129"/>
      <c r="DO503" s="129"/>
      <c r="DP503" s="129"/>
      <c r="DQ503" s="129"/>
      <c r="DR503" s="129"/>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5" t="s">
        <v>1780</v>
      </c>
      <c r="B504" s="5"/>
      <c r="C504" s="5" t="s">
        <v>534</v>
      </c>
      <c r="D504" s="5" t="s">
        <v>534</v>
      </c>
      <c r="E504" s="5" t="s">
        <v>1781</v>
      </c>
      <c r="F504" s="5" t="s">
        <v>551</v>
      </c>
      <c r="G504" s="47" t="s">
        <v>1782</v>
      </c>
      <c r="H504" s="47" t="s">
        <v>1771</v>
      </c>
      <c r="I504" s="101">
        <v>0</v>
      </c>
      <c r="J504" s="101">
        <v>0</v>
      </c>
      <c r="K504" s="101">
        <v>0</v>
      </c>
      <c r="L504" s="101">
        <v>0</v>
      </c>
      <c r="M504" s="101">
        <v>0</v>
      </c>
      <c r="N504" s="101">
        <v>0</v>
      </c>
      <c r="O504" s="101">
        <v>0</v>
      </c>
      <c r="P504" s="93">
        <v>0</v>
      </c>
      <c r="Q504" s="101">
        <v>0</v>
      </c>
      <c r="R504" s="101">
        <v>0</v>
      </c>
      <c r="S504" s="101">
        <v>0</v>
      </c>
      <c r="T504" s="101">
        <v>0</v>
      </c>
      <c r="U504" s="101">
        <v>0</v>
      </c>
      <c r="V504" s="101">
        <v>0</v>
      </c>
      <c r="W504" s="101">
        <v>0</v>
      </c>
      <c r="X504" s="184">
        <f>41.75</f>
        <v>41.75</v>
      </c>
      <c r="Y504" s="184">
        <v>87.9</v>
      </c>
      <c r="Z504" s="184">
        <v>152.1</v>
      </c>
      <c r="AA504" s="184">
        <v>152.1</v>
      </c>
      <c r="AB504" s="184">
        <v>152.1</v>
      </c>
      <c r="AC504" s="184">
        <v>152.1</v>
      </c>
      <c r="AD504" s="184">
        <v>152.1</v>
      </c>
      <c r="AE504" s="186">
        <v>0.08</v>
      </c>
      <c r="AF504" s="93">
        <v>0</v>
      </c>
      <c r="AG504" s="93">
        <v>1</v>
      </c>
      <c r="AH504" s="93">
        <v>1</v>
      </c>
      <c r="AI504" s="16">
        <v>1</v>
      </c>
      <c r="AJ504" s="16" t="s">
        <v>662</v>
      </c>
      <c r="AK504" s="16" t="s">
        <v>745</v>
      </c>
      <c r="AL504" s="16"/>
      <c r="AM504" s="60"/>
      <c r="AN504" s="60"/>
      <c r="AO504" s="60"/>
      <c r="AP504" s="60"/>
      <c r="AQ504" s="60"/>
      <c r="AR504" s="60"/>
      <c r="AS504" s="63"/>
      <c r="AT504" s="63"/>
      <c r="AU504" s="63"/>
      <c r="AV504" s="131"/>
      <c r="AW504" s="131"/>
      <c r="AX504" s="131"/>
      <c r="AY504" s="27" t="s">
        <v>662</v>
      </c>
      <c r="AZ504" s="27"/>
      <c r="BA504" s="27"/>
      <c r="BB504" s="30"/>
      <c r="BC504" s="30"/>
      <c r="BD504" s="30"/>
      <c r="BE504" s="30"/>
      <c r="BF504" s="30"/>
      <c r="BG504" s="30"/>
      <c r="BH504" s="107"/>
      <c r="BI504" s="107"/>
      <c r="BJ504" s="107"/>
      <c r="BK504" s="107"/>
      <c r="BL504" s="136"/>
      <c r="BM504" s="122"/>
      <c r="BN504" s="138"/>
      <c r="BO504" s="93"/>
      <c r="BP504" s="93"/>
      <c r="BQ504" s="93"/>
      <c r="BR504" s="93"/>
      <c r="BS504" s="93"/>
      <c r="BT504" s="93"/>
      <c r="BU504" s="28">
        <f t="shared" si="331"/>
        <v>0</v>
      </c>
      <c r="BV504" s="27"/>
      <c r="BW504" s="27"/>
      <c r="BX504" s="27"/>
      <c r="BY504" s="27"/>
      <c r="BZ504" s="27"/>
      <c r="CA504" s="27"/>
      <c r="CB504" s="185">
        <v>0</v>
      </c>
      <c r="CC504" s="185">
        <v>0</v>
      </c>
      <c r="CD504" s="185">
        <v>0</v>
      </c>
      <c r="CE504" s="185">
        <v>0</v>
      </c>
      <c r="CF504" s="185">
        <v>0</v>
      </c>
      <c r="CG504" s="185">
        <v>0</v>
      </c>
      <c r="CH504" s="185">
        <v>0</v>
      </c>
      <c r="CI504" s="173"/>
      <c r="CJ504" s="173"/>
      <c r="CK504" s="173"/>
      <c r="CL504" s="173"/>
      <c r="CM504" s="173"/>
      <c r="CN504" s="173"/>
      <c r="CO504" s="173"/>
      <c r="CP504" s="174"/>
      <c r="CQ504" s="174"/>
      <c r="CR504" s="174"/>
      <c r="CS504" s="174"/>
      <c r="CT504" s="174"/>
      <c r="CU504" s="174"/>
      <c r="CV504" s="174"/>
      <c r="CW504" s="165"/>
      <c r="CX504" s="166"/>
      <c r="CY504" s="166"/>
      <c r="CZ504" s="166"/>
      <c r="DA504" s="166"/>
      <c r="DB504" s="166"/>
      <c r="DC504" s="166"/>
      <c r="DD504" s="171"/>
      <c r="DE504" s="171"/>
      <c r="DF504" s="171"/>
      <c r="DG504" s="171"/>
      <c r="DH504" s="171"/>
      <c r="DI504" s="171"/>
      <c r="DJ504" s="171"/>
      <c r="DK504" s="79" t="s">
        <v>415</v>
      </c>
      <c r="DL504" s="128"/>
      <c r="DM504" s="128"/>
      <c r="DN504" s="128"/>
      <c r="DO504" s="128"/>
      <c r="DP504" s="128"/>
      <c r="DQ504" s="128"/>
      <c r="DR504" s="128"/>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6" t="s">
        <v>1783</v>
      </c>
      <c r="B505" s="6"/>
      <c r="C505" s="6" t="s">
        <v>534</v>
      </c>
      <c r="D505" s="6" t="s">
        <v>534</v>
      </c>
      <c r="E505" s="6" t="s">
        <v>1784</v>
      </c>
      <c r="F505" s="6" t="s">
        <v>552</v>
      </c>
      <c r="G505" s="48" t="s">
        <v>1785</v>
      </c>
      <c r="H505" s="48" t="s">
        <v>1771</v>
      </c>
      <c r="I505" s="102">
        <v>0</v>
      </c>
      <c r="J505" s="102">
        <v>0</v>
      </c>
      <c r="K505" s="102">
        <v>0</v>
      </c>
      <c r="L505" s="102">
        <v>0</v>
      </c>
      <c r="M505" s="102">
        <v>0</v>
      </c>
      <c r="N505" s="102">
        <v>0</v>
      </c>
      <c r="O505" s="102">
        <v>0</v>
      </c>
      <c r="P505" s="94">
        <v>0</v>
      </c>
      <c r="Q505" s="102">
        <v>0</v>
      </c>
      <c r="R505" s="102">
        <v>0</v>
      </c>
      <c r="S505" s="102">
        <v>0</v>
      </c>
      <c r="T505" s="102">
        <v>0</v>
      </c>
      <c r="U505" s="102">
        <v>0</v>
      </c>
      <c r="V505" s="102">
        <v>0</v>
      </c>
      <c r="W505" s="102">
        <v>0</v>
      </c>
      <c r="X505" s="102">
        <v>0</v>
      </c>
      <c r="Y505" s="102">
        <v>0</v>
      </c>
      <c r="Z505" s="102">
        <v>0</v>
      </c>
      <c r="AA505" s="102">
        <v>0</v>
      </c>
      <c r="AB505" s="102">
        <v>0</v>
      </c>
      <c r="AC505" s="102">
        <v>0</v>
      </c>
      <c r="AD505" s="102">
        <v>0</v>
      </c>
      <c r="AE505" s="186">
        <v>0.08</v>
      </c>
      <c r="AF505" s="94">
        <v>0</v>
      </c>
      <c r="AG505" s="94">
        <v>1</v>
      </c>
      <c r="AH505" s="94">
        <v>1</v>
      </c>
      <c r="AI505" s="17">
        <v>1</v>
      </c>
      <c r="AJ505" s="17" t="s">
        <v>662</v>
      </c>
      <c r="AK505" s="17" t="s">
        <v>745</v>
      </c>
      <c r="AL505" s="17"/>
      <c r="AM505" s="61"/>
      <c r="AN505" s="61"/>
      <c r="AO505" s="61"/>
      <c r="AP505" s="61"/>
      <c r="AQ505" s="61"/>
      <c r="AR505" s="61"/>
      <c r="AS505" s="64"/>
      <c r="AT505" s="64"/>
      <c r="AU505" s="64"/>
      <c r="AV505" s="132"/>
      <c r="AW505" s="132"/>
      <c r="AX505" s="132"/>
      <c r="AY505" s="28" t="s">
        <v>662</v>
      </c>
      <c r="AZ505" s="28"/>
      <c r="BA505" s="28"/>
      <c r="BB505" s="28"/>
      <c r="BC505" s="28"/>
      <c r="BD505" s="28"/>
      <c r="BE505" s="28"/>
      <c r="BF505" s="28"/>
      <c r="BG505" s="28"/>
      <c r="BH505" s="106"/>
      <c r="BI505" s="106"/>
      <c r="BJ505" s="106"/>
      <c r="BK505" s="106"/>
      <c r="BL505" s="137"/>
      <c r="BM505" s="123"/>
      <c r="BN505" s="139"/>
      <c r="BO505" s="94"/>
      <c r="BP505" s="94"/>
      <c r="BQ505" s="94"/>
      <c r="BR505" s="94"/>
      <c r="BS505" s="94"/>
      <c r="BT505" s="94"/>
      <c r="BU505" s="28">
        <f t="shared" ref="BU505:BU507" si="384">IF(BL505=1,BN505,0)</f>
        <v>0</v>
      </c>
      <c r="BV505" s="28"/>
      <c r="BW505" s="28"/>
      <c r="BX505" s="28"/>
      <c r="BY505" s="28"/>
      <c r="BZ505" s="28"/>
      <c r="CA505" s="28"/>
      <c r="CB505" s="185">
        <v>0</v>
      </c>
      <c r="CC505" s="185">
        <v>0</v>
      </c>
      <c r="CD505" s="185">
        <v>0</v>
      </c>
      <c r="CE505" s="185">
        <v>0</v>
      </c>
      <c r="CF505" s="185">
        <v>0</v>
      </c>
      <c r="CG505" s="185">
        <v>0</v>
      </c>
      <c r="CH505" s="185">
        <v>0</v>
      </c>
      <c r="CI505" s="175"/>
      <c r="CJ505" s="175"/>
      <c r="CK505" s="175"/>
      <c r="CL505" s="175"/>
      <c r="CM505" s="175"/>
      <c r="CN505" s="175"/>
      <c r="CO505" s="175"/>
      <c r="CP505" s="176"/>
      <c r="CQ505" s="176"/>
      <c r="CR505" s="176"/>
      <c r="CS505" s="176"/>
      <c r="CT505" s="176"/>
      <c r="CU505" s="176"/>
      <c r="CV505" s="176"/>
      <c r="CW505" s="167"/>
      <c r="CX505" s="168"/>
      <c r="CY505" s="168"/>
      <c r="CZ505" s="168"/>
      <c r="DA505" s="168"/>
      <c r="DB505" s="168"/>
      <c r="DC505" s="168"/>
      <c r="DD505" s="172"/>
      <c r="DE505" s="172"/>
      <c r="DF505" s="172"/>
      <c r="DG505" s="172"/>
      <c r="DH505" s="172"/>
      <c r="DI505" s="172"/>
      <c r="DJ505" s="172"/>
      <c r="DK505" s="80" t="s">
        <v>415</v>
      </c>
      <c r="DL505" s="129"/>
      <c r="DM505" s="129"/>
      <c r="DN505" s="129"/>
      <c r="DO505" s="129"/>
      <c r="DP505" s="129"/>
      <c r="DQ505" s="129"/>
      <c r="DR505" s="129"/>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5" t="s">
        <v>1786</v>
      </c>
      <c r="B506" s="5"/>
      <c r="C506" s="5" t="s">
        <v>534</v>
      </c>
      <c r="D506" s="5" t="s">
        <v>534</v>
      </c>
      <c r="E506" s="5" t="s">
        <v>1142</v>
      </c>
      <c r="F506" s="5" t="s">
        <v>553</v>
      </c>
      <c r="G506" s="47" t="s">
        <v>1787</v>
      </c>
      <c r="H506" s="47" t="s">
        <v>1771</v>
      </c>
      <c r="I506" s="101">
        <v>0</v>
      </c>
      <c r="J506" s="101">
        <v>0</v>
      </c>
      <c r="K506" s="101">
        <v>0</v>
      </c>
      <c r="L506" s="101">
        <v>0</v>
      </c>
      <c r="M506" s="101">
        <v>0</v>
      </c>
      <c r="N506" s="101">
        <v>0</v>
      </c>
      <c r="O506" s="101">
        <v>0</v>
      </c>
      <c r="P506" s="93">
        <v>0</v>
      </c>
      <c r="Q506" s="101">
        <v>0</v>
      </c>
      <c r="R506" s="101">
        <v>0</v>
      </c>
      <c r="S506" s="101">
        <v>0</v>
      </c>
      <c r="T506" s="101">
        <v>0</v>
      </c>
      <c r="U506" s="101">
        <v>0</v>
      </c>
      <c r="V506" s="101">
        <v>0</v>
      </c>
      <c r="W506" s="101">
        <v>0</v>
      </c>
      <c r="X506" s="101">
        <v>0</v>
      </c>
      <c r="Y506" s="101">
        <v>0</v>
      </c>
      <c r="Z506" s="101">
        <v>0</v>
      </c>
      <c r="AA506" s="101">
        <v>0</v>
      </c>
      <c r="AB506" s="101">
        <v>0</v>
      </c>
      <c r="AC506" s="101">
        <v>0</v>
      </c>
      <c r="AD506" s="101">
        <v>0</v>
      </c>
      <c r="AE506" s="186">
        <v>0.08</v>
      </c>
      <c r="AF506" s="93">
        <v>0</v>
      </c>
      <c r="AG506" s="93">
        <v>1</v>
      </c>
      <c r="AH506" s="93">
        <v>1</v>
      </c>
      <c r="AI506" s="16">
        <v>1</v>
      </c>
      <c r="AJ506" s="16" t="s">
        <v>662</v>
      </c>
      <c r="AK506" s="16" t="s">
        <v>745</v>
      </c>
      <c r="AL506" s="16"/>
      <c r="AM506" s="60"/>
      <c r="AN506" s="60"/>
      <c r="AO506" s="60"/>
      <c r="AP506" s="60"/>
      <c r="AQ506" s="60"/>
      <c r="AR506" s="60"/>
      <c r="AS506" s="63"/>
      <c r="AT506" s="63"/>
      <c r="AU506" s="63"/>
      <c r="AV506" s="131"/>
      <c r="AW506" s="131"/>
      <c r="AX506" s="131"/>
      <c r="AY506" s="27" t="s">
        <v>662</v>
      </c>
      <c r="AZ506" s="27"/>
      <c r="BA506" s="27"/>
      <c r="BB506" s="30"/>
      <c r="BC506" s="30"/>
      <c r="BD506" s="30"/>
      <c r="BE506" s="30"/>
      <c r="BF506" s="30"/>
      <c r="BG506" s="30"/>
      <c r="BH506" s="107"/>
      <c r="BI506" s="107"/>
      <c r="BJ506" s="107"/>
      <c r="BK506" s="107"/>
      <c r="BL506" s="136">
        <f t="shared" ref="BL506" si="385">IF(AH506=1,0,1)</f>
        <v>0</v>
      </c>
      <c r="BM506" s="122"/>
      <c r="BN506" s="138"/>
      <c r="BO506" s="93"/>
      <c r="BP506" s="93"/>
      <c r="BQ506" s="93"/>
      <c r="BR506" s="93"/>
      <c r="BS506" s="93"/>
      <c r="BT506" s="93"/>
      <c r="BU506" s="28">
        <f t="shared" si="384"/>
        <v>0</v>
      </c>
      <c r="BV506" s="27"/>
      <c r="BW506" s="27"/>
      <c r="BX506" s="27"/>
      <c r="BY506" s="27"/>
      <c r="BZ506" s="27"/>
      <c r="CA506" s="27"/>
      <c r="CB506" s="244"/>
      <c r="CC506" s="244"/>
      <c r="CD506" s="244"/>
      <c r="CE506" s="244"/>
      <c r="CF506" s="244"/>
      <c r="CG506" s="244"/>
      <c r="CH506" s="244"/>
      <c r="CI506" s="173"/>
      <c r="CJ506" s="173"/>
      <c r="CK506" s="173"/>
      <c r="CL506" s="173"/>
      <c r="CM506" s="173"/>
      <c r="CN506" s="173"/>
      <c r="CO506" s="173"/>
      <c r="CP506" s="174"/>
      <c r="CQ506" s="174"/>
      <c r="CR506" s="174"/>
      <c r="CS506" s="174"/>
      <c r="CT506" s="174"/>
      <c r="CU506" s="174"/>
      <c r="CV506" s="174"/>
      <c r="CW506" s="165"/>
      <c r="CX506" s="166"/>
      <c r="CY506" s="166"/>
      <c r="CZ506" s="166"/>
      <c r="DA506" s="166"/>
      <c r="DB506" s="166"/>
      <c r="DC506" s="166"/>
      <c r="DD506" s="171"/>
      <c r="DE506" s="171"/>
      <c r="DF506" s="171"/>
      <c r="DG506" s="171"/>
      <c r="DH506" s="171"/>
      <c r="DI506" s="171"/>
      <c r="DJ506" s="171"/>
      <c r="DK506" s="79" t="s">
        <v>1519</v>
      </c>
      <c r="DL506" s="128"/>
      <c r="DM506" s="128"/>
      <c r="DN506" s="128"/>
      <c r="DO506" s="128"/>
      <c r="DP506" s="128"/>
      <c r="DQ506" s="128"/>
      <c r="DR506" s="128"/>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6" t="s">
        <v>1788</v>
      </c>
      <c r="B507" s="6"/>
      <c r="C507" s="6" t="s">
        <v>534</v>
      </c>
      <c r="D507" s="6" t="s">
        <v>534</v>
      </c>
      <c r="E507" s="6" t="s">
        <v>1789</v>
      </c>
      <c r="F507" s="6" t="s">
        <v>555</v>
      </c>
      <c r="G507" s="48" t="s">
        <v>1790</v>
      </c>
      <c r="H507" s="48" t="s">
        <v>1771</v>
      </c>
      <c r="I507" s="102">
        <v>0</v>
      </c>
      <c r="J507" s="102">
        <v>0</v>
      </c>
      <c r="K507" s="102">
        <v>0</v>
      </c>
      <c r="L507" s="102">
        <v>0</v>
      </c>
      <c r="M507" s="102">
        <v>0</v>
      </c>
      <c r="N507" s="102">
        <v>0</v>
      </c>
      <c r="O507" s="102">
        <v>0</v>
      </c>
      <c r="P507" s="94">
        <v>0</v>
      </c>
      <c r="Q507" s="102">
        <v>0</v>
      </c>
      <c r="R507" s="102">
        <v>0</v>
      </c>
      <c r="S507" s="102">
        <v>0</v>
      </c>
      <c r="T507" s="102">
        <v>0</v>
      </c>
      <c r="U507" s="102">
        <v>0</v>
      </c>
      <c r="V507" s="102">
        <v>0</v>
      </c>
      <c r="W507" s="102">
        <v>0</v>
      </c>
      <c r="X507" s="102">
        <v>0</v>
      </c>
      <c r="Y507" s="102">
        <v>0</v>
      </c>
      <c r="Z507" s="102">
        <v>0</v>
      </c>
      <c r="AA507" s="102">
        <v>0</v>
      </c>
      <c r="AB507" s="102">
        <v>0</v>
      </c>
      <c r="AC507" s="102">
        <v>0</v>
      </c>
      <c r="AD507" s="102">
        <v>0</v>
      </c>
      <c r="AE507" s="186">
        <v>0.08</v>
      </c>
      <c r="AF507" s="94">
        <v>0</v>
      </c>
      <c r="AG507" s="94">
        <v>1</v>
      </c>
      <c r="AH507" s="94">
        <v>1</v>
      </c>
      <c r="AI507" s="17">
        <v>1</v>
      </c>
      <c r="AJ507" s="17" t="s">
        <v>662</v>
      </c>
      <c r="AK507" s="17" t="s">
        <v>745</v>
      </c>
      <c r="AL507" s="17"/>
      <c r="AM507" s="61"/>
      <c r="AN507" s="61"/>
      <c r="AO507" s="61"/>
      <c r="AP507" s="61"/>
      <c r="AQ507" s="61"/>
      <c r="AR507" s="61"/>
      <c r="AS507" s="64"/>
      <c r="AT507" s="64"/>
      <c r="AU507" s="64"/>
      <c r="AV507" s="132"/>
      <c r="AW507" s="132"/>
      <c r="AX507" s="132"/>
      <c r="AY507" s="28" t="s">
        <v>662</v>
      </c>
      <c r="AZ507" s="28"/>
      <c r="BA507" s="28"/>
      <c r="BB507" s="28"/>
      <c r="BC507" s="28"/>
      <c r="BD507" s="28"/>
      <c r="BE507" s="28"/>
      <c r="BF507" s="28"/>
      <c r="BG507" s="28"/>
      <c r="BH507" s="106"/>
      <c r="BI507" s="106"/>
      <c r="BJ507" s="106"/>
      <c r="BK507" s="106"/>
      <c r="BL507" s="137">
        <f t="shared" ref="BL507" si="386">IF(AH507=1,0,1)</f>
        <v>0</v>
      </c>
      <c r="BM507" s="123"/>
      <c r="BN507" s="139"/>
      <c r="BO507" s="94"/>
      <c r="BP507" s="94"/>
      <c r="BQ507" s="94"/>
      <c r="BR507" s="94"/>
      <c r="BS507" s="94"/>
      <c r="BT507" s="94"/>
      <c r="BU507" s="28">
        <f t="shared" si="384"/>
        <v>0</v>
      </c>
      <c r="BV507" s="28"/>
      <c r="BW507" s="28"/>
      <c r="BX507" s="28"/>
      <c r="BY507" s="28"/>
      <c r="BZ507" s="28"/>
      <c r="CA507" s="28"/>
      <c r="CB507" s="244"/>
      <c r="CC507" s="244"/>
      <c r="CD507" s="244"/>
      <c r="CE507" s="244"/>
      <c r="CF507" s="244"/>
      <c r="CG507" s="244"/>
      <c r="CH507" s="244"/>
      <c r="CI507" s="175"/>
      <c r="CJ507" s="175"/>
      <c r="CK507" s="175"/>
      <c r="CL507" s="175"/>
      <c r="CM507" s="175"/>
      <c r="CN507" s="175"/>
      <c r="CO507" s="175"/>
      <c r="CP507" s="176"/>
      <c r="CQ507" s="176"/>
      <c r="CR507" s="176"/>
      <c r="CS507" s="176"/>
      <c r="CT507" s="176"/>
      <c r="CU507" s="176"/>
      <c r="CV507" s="176"/>
      <c r="CW507" s="167"/>
      <c r="CX507" s="168"/>
      <c r="CY507" s="168"/>
      <c r="CZ507" s="168"/>
      <c r="DA507" s="168"/>
      <c r="DB507" s="168"/>
      <c r="DC507" s="168"/>
      <c r="DD507" s="172"/>
      <c r="DE507" s="172"/>
      <c r="DF507" s="172"/>
      <c r="DG507" s="172"/>
      <c r="DH507" s="172"/>
      <c r="DI507" s="172"/>
      <c r="DJ507" s="172"/>
      <c r="DK507" s="80" t="s">
        <v>1519</v>
      </c>
      <c r="DL507" s="129"/>
      <c r="DM507" s="129"/>
      <c r="DN507" s="129"/>
      <c r="DO507" s="129"/>
      <c r="DP507" s="129"/>
      <c r="DQ507" s="129"/>
      <c r="DR507" s="129"/>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10" spans="1:147" x14ac:dyDescent="0.35">
      <c r="CB510" s="133"/>
      <c r="CC510" s="133"/>
      <c r="CD510" s="133"/>
      <c r="CE510" s="133"/>
      <c r="CF510" s="133"/>
      <c r="CG510" s="133"/>
      <c r="CP510" s="133"/>
      <c r="CQ510" s="133"/>
      <c r="CR510" s="133"/>
      <c r="CS510" s="133"/>
      <c r="CT510" s="133"/>
      <c r="CU510" s="133"/>
    </row>
    <row r="511" spans="1:147" x14ac:dyDescent="0.35">
      <c r="CB511" s="133"/>
      <c r="CC511" s="133"/>
      <c r="CD511" s="133"/>
      <c r="CE511" s="133"/>
      <c r="CF511" s="133"/>
      <c r="CG511" s="133"/>
      <c r="CH511" s="133"/>
      <c r="CP511" s="133"/>
      <c r="CQ511" s="133"/>
      <c r="CR511" s="133"/>
      <c r="CS511" s="133"/>
      <c r="CT511" s="133"/>
      <c r="CU511" s="133"/>
      <c r="CV511" s="133"/>
    </row>
  </sheetData>
  <autoFilter ref="A6:DS507" xr:uid="{00000000-0001-0000-0300-000000000000}"/>
  <mergeCells count="21">
    <mergeCell ref="AV2:AX2"/>
    <mergeCell ref="A2:G2"/>
    <mergeCell ref="I2:AH2"/>
    <mergeCell ref="AI2:AL2"/>
    <mergeCell ref="AM2:AR2"/>
    <mergeCell ref="AS2:AU2"/>
    <mergeCell ref="AY2:BG2"/>
    <mergeCell ref="BO2:BT2"/>
    <mergeCell ref="BU2:CA2"/>
    <mergeCell ref="CB2:CH2"/>
    <mergeCell ref="DL2:DR2"/>
    <mergeCell ref="BH2:BK2"/>
    <mergeCell ref="DL3:DR3"/>
    <mergeCell ref="BL2:BN2"/>
    <mergeCell ref="BL4:BL5"/>
    <mergeCell ref="CI2:CO2"/>
    <mergeCell ref="CP2:CV2"/>
    <mergeCell ref="CW2:DC2"/>
    <mergeCell ref="CW3:DC3"/>
    <mergeCell ref="DD2:DJ2"/>
    <mergeCell ref="DD3:DJ3"/>
  </mergeCells>
  <phoneticPr fontId="26" type="noConversion"/>
  <conditionalFormatting sqref="X45:X46">
    <cfRule type="expression" dxfId="207" priority="490">
      <formula>$C45="Primary"</formula>
    </cfRule>
  </conditionalFormatting>
  <conditionalFormatting sqref="X102">
    <cfRule type="expression" dxfId="206" priority="120">
      <formula>$C102="Primary"</formula>
    </cfRule>
  </conditionalFormatting>
  <conditionalFormatting sqref="X236">
    <cfRule type="expression" dxfId="205" priority="222">
      <formula>$C236="Primary"</formula>
    </cfRule>
  </conditionalFormatting>
  <conditionalFormatting sqref="X348 X350 X352 X354:AD354 Y356:AD356 X356:X357 X358:AD358">
    <cfRule type="expression" dxfId="204" priority="224">
      <formula>$C348="Primary"</formula>
    </cfRule>
  </conditionalFormatting>
  <conditionalFormatting sqref="X367 X375:AD375 X377 X379 X381 X383 X388 X238 X240 X242 X244 X395 X397 X400 X402 X405 X410 X412:AD412 X414:AD414 X416:AD418 X422:AD422 X424:AD424 X426:AD426 X428:AD428 X431 X433 X435:AD435 X461 X463 X465 X467 X469 X471 X473 X475 X477 X479 X481 X483 X485 X487 X489 X491 X493 X495 X497 X499 X501 X503 X505 X507 X44 X267 X269 X271 X273 X275 X277 X279 X281 X283 X285 X287 X289 X291 X293 X295 X298 X300 X302 X305 X307 X309 X311 X313 X315 X317 X319 X321:X323 X325 X327 X329 X331 X333 X337 X339 X341 X360 X210 X212 X214 X216 X218 X220 X222 X224 X226 X228 X230 X232 X234 X32 X34 X36 X38 X40 X42 X48 X50">
    <cfRule type="expression" dxfId="203" priority="2711">
      <formula>$C32="Primary"</formula>
    </cfRule>
  </conditionalFormatting>
  <conditionalFormatting sqref="X10:AD10">
    <cfRule type="expression" dxfId="202" priority="669">
      <formula>$C10="Primary"</formula>
    </cfRule>
  </conditionalFormatting>
  <conditionalFormatting sqref="X33:AD43 X45:AD52 X365:AD365 X103:AD115 X7:AD7 X11:AD11 X13:AD13 X15:AD15 X17:AD17 X19:AD19 X21:AD21 X23:AD23 X25:AD25 X27:AD27 X29:AD29 X31:AD31 X117:AD117 X122:AD122 X146:AD146 X148:AD150 X152:AD152 X154:AD154 X156:AD156 X158:AD158 X162:AD162 X164:AD164 X166:AD166 X170:AD170 X172:AD172 X174:AD176 X178:AD178 X180:AD180 X182:AD182 X184:AD184 X186:AD186 X188:AD188 X204:AD204">
    <cfRule type="expression" dxfId="201" priority="2738">
      <formula>$C7="Primary"</formula>
    </cfRule>
  </conditionalFormatting>
  <conditionalFormatting sqref="X44:AD44">
    <cfRule type="expression" dxfId="200" priority="491">
      <formula>$C44="Primary"</formula>
    </cfRule>
  </conditionalFormatting>
  <conditionalFormatting sqref="X54:AD54 X56:AD56 X58:AD58 X60:AD60 X62:AD62 X64:AD64 X66:AD66 X68:AD68 X72:AD72 X74:AD74 X76:AD76 X78:AD78 X80:AD80 X82:AD82">
    <cfRule type="expression" dxfId="199" priority="164">
      <formula>$C54="Primary"</formula>
    </cfRule>
  </conditionalFormatting>
  <conditionalFormatting sqref="X55:AD55 X57:AD57 X59:AD59 X61:AD61 X63:AD63 X65:AD65 X67:AD67 X73:AD73 X75:AD75 X77:AD77 X79:AD79 X81:AD81 X83:AD83">
    <cfRule type="expression" dxfId="198" priority="163">
      <formula>$C55="Primary"</formula>
    </cfRule>
  </conditionalFormatting>
  <conditionalFormatting sqref="X69:AD71">
    <cfRule type="expression" dxfId="197" priority="154">
      <formula>$C69="Primary"</formula>
    </cfRule>
  </conditionalFormatting>
  <conditionalFormatting sqref="X84:AD84 X86:AD86 X88:AD88">
    <cfRule type="expression" dxfId="196" priority="147">
      <formula>$C84="Primary"</formula>
    </cfRule>
  </conditionalFormatting>
  <conditionalFormatting sqref="X85:AD85 X87:AD87 X89:AD89">
    <cfRule type="expression" dxfId="195" priority="146">
      <formula>$C85="Primary"</formula>
    </cfRule>
  </conditionalFormatting>
  <conditionalFormatting sqref="X90:AD90">
    <cfRule type="expression" dxfId="194" priority="130">
      <formula>$C90="Primary"</formula>
    </cfRule>
  </conditionalFormatting>
  <conditionalFormatting sqref="X91:AD94">
    <cfRule type="expression" dxfId="193" priority="56">
      <formula>$C91="Primary"</formula>
    </cfRule>
  </conditionalFormatting>
  <conditionalFormatting sqref="X95:AD96">
    <cfRule type="expression" dxfId="192" priority="29">
      <formula>$C95="Primary"</formula>
    </cfRule>
  </conditionalFormatting>
  <conditionalFormatting sqref="X97:AD97 X100:AD100 X102:AD114">
    <cfRule type="expression" dxfId="191" priority="119">
      <formula>$C97="Primary"</formula>
    </cfRule>
  </conditionalFormatting>
  <conditionalFormatting sqref="X98:AD98 X101:AD101">
    <cfRule type="expression" dxfId="190" priority="121">
      <formula>$C98="Primary"</formula>
    </cfRule>
  </conditionalFormatting>
  <conditionalFormatting sqref="X119:AD120">
    <cfRule type="expression" dxfId="189" priority="39">
      <formula>$C119="Primary"</formula>
    </cfRule>
  </conditionalFormatting>
  <conditionalFormatting sqref="X120:AD121">
    <cfRule type="expression" dxfId="188" priority="38">
      <formula>$C120="Primary"</formula>
    </cfRule>
  </conditionalFormatting>
  <conditionalFormatting sqref="X124:AD124 X126:AD126 X128:AD128 X134:AD134 X136:AD136">
    <cfRule type="expression" dxfId="187" priority="110">
      <formula>$C124="Primary"</formula>
    </cfRule>
  </conditionalFormatting>
  <conditionalFormatting sqref="X125:AD125 X127:AD127 X133:AD133 X135:AD135">
    <cfRule type="expression" dxfId="186" priority="109">
      <formula>$C125="Primary"</formula>
    </cfRule>
  </conditionalFormatting>
  <conditionalFormatting sqref="X129:AD129 X131:AD131">
    <cfRule type="expression" dxfId="185" priority="76">
      <formula>$C129="Primary"</formula>
    </cfRule>
  </conditionalFormatting>
  <conditionalFormatting sqref="X130:AD130 X132:AD132">
    <cfRule type="expression" dxfId="184" priority="77">
      <formula>$C130="Primary"</formula>
    </cfRule>
  </conditionalFormatting>
  <conditionalFormatting sqref="X137:AD138 X142:AD142">
    <cfRule type="expression" dxfId="183" priority="100">
      <formula>$C137="Primary"</formula>
    </cfRule>
  </conditionalFormatting>
  <conditionalFormatting sqref="X139:AD139 X141:AD141 X143:AD144">
    <cfRule type="expression" dxfId="182" priority="101">
      <formula>$C139="Primary"</formula>
    </cfRule>
  </conditionalFormatting>
  <conditionalFormatting sqref="X140:AD140">
    <cfRule type="expression" dxfId="181" priority="46">
      <formula>$C140="Primary"</formula>
    </cfRule>
  </conditionalFormatting>
  <conditionalFormatting sqref="X159:AD161">
    <cfRule type="expression" dxfId="180" priority="273">
      <formula>$C159="Primary"</formula>
    </cfRule>
  </conditionalFormatting>
  <conditionalFormatting sqref="X189:AD203">
    <cfRule type="expression" dxfId="179" priority="36">
      <formula>$C189="Primary"</formula>
    </cfRule>
  </conditionalFormatting>
  <conditionalFormatting sqref="X190:AD202">
    <cfRule type="expression" dxfId="178" priority="37">
      <formula>$C190="Primary"</formula>
    </cfRule>
  </conditionalFormatting>
  <conditionalFormatting sqref="X206:AD206">
    <cfRule type="expression" dxfId="177" priority="216">
      <formula>$C206="Primary"</formula>
    </cfRule>
  </conditionalFormatting>
  <conditionalFormatting sqref="X207:AD209">
    <cfRule type="expression" dxfId="176" priority="174">
      <formula>$C207="Primary"</formula>
    </cfRule>
  </conditionalFormatting>
  <conditionalFormatting sqref="X208:AD236">
    <cfRule type="expression" dxfId="175" priority="175">
      <formula>$C208="Primary"</formula>
    </cfRule>
  </conditionalFormatting>
  <conditionalFormatting sqref="X210:AD236">
    <cfRule type="expression" dxfId="174" priority="221">
      <formula>$C210="Primary"</formula>
    </cfRule>
  </conditionalFormatting>
  <conditionalFormatting sqref="X237:AD248 Y247:AD253 X247:X264 X250:AD252 Y256:AD263 X260:AD260 X262:AD262 X264:AD264 X32:AD44 X8:AD8 X12:AD12 X14:AD14 X16:AD16 X18:AD18 X20:AD20 X22:AD22 X24:AD24 X26:AD26 X28:AD28 X30:AD30 X46:AD50 X53:AD53 X116:AD116 X118:AD118 X123:AD123 X145:AD145 X147:AD147 X151:AD151 X153:AD153 X155:AD155 X157:AD157 X163:AD163 X165:AD165 X167:AD169 X171:AD171 X173:AD173 X177:AD177 X179:AD179 X181:AD181 X183:AD183 X185:AD185 X187:AD187 X205:AD205">
    <cfRule type="expression" dxfId="173" priority="2710">
      <formula>$C8="Primary"</formula>
    </cfRule>
  </conditionalFormatting>
  <conditionalFormatting sqref="X237:AD264 X394:AD428 X430:AD438 X461:AD507">
    <cfRule type="expression" dxfId="172" priority="610">
      <formula>$C237="Primary"</formula>
    </cfRule>
  </conditionalFormatting>
  <conditionalFormatting sqref="X254:AD258">
    <cfRule type="expression" dxfId="171" priority="456">
      <formula>$C254="Primary"</formula>
    </cfRule>
  </conditionalFormatting>
  <conditionalFormatting sqref="X265:AD265">
    <cfRule type="expression" dxfId="170" priority="209">
      <formula>$C265="Primary"</formula>
    </cfRule>
    <cfRule type="expression" dxfId="169" priority="210">
      <formula>$C265="Primary"</formula>
    </cfRule>
  </conditionalFormatting>
  <conditionalFormatting sqref="X266:AD364">
    <cfRule type="expression" dxfId="168" priority="225">
      <formula>$C266="Primary"</formula>
    </cfRule>
  </conditionalFormatting>
  <conditionalFormatting sqref="X266:AD383 X385:AD414">
    <cfRule type="expression" dxfId="167" priority="227">
      <formula>$C266="Primary"</formula>
    </cfRule>
  </conditionalFormatting>
  <conditionalFormatting sqref="X366:AD366">
    <cfRule type="expression" dxfId="166" priority="66">
      <formula>$C366="Primary"</formula>
    </cfRule>
  </conditionalFormatting>
  <conditionalFormatting sqref="X367:AD383 X385:AD389 X9:AD9">
    <cfRule type="expression" dxfId="165" priority="671">
      <formula>$C9="Primary"</formula>
    </cfRule>
  </conditionalFormatting>
  <conditionalFormatting sqref="X384:AD384">
    <cfRule type="expression" dxfId="164" priority="22">
      <formula>$C384="Primary"</formula>
    </cfRule>
    <cfRule type="expression" dxfId="163" priority="24">
      <formula>$C384="Primary"</formula>
    </cfRule>
    <cfRule type="expression" dxfId="162" priority="28">
      <formula>$C384="Primary"</formula>
    </cfRule>
  </conditionalFormatting>
  <conditionalFormatting sqref="X390:AD393">
    <cfRule type="expression" dxfId="161" priority="79">
      <formula>$C390="Primary"</formula>
    </cfRule>
  </conditionalFormatting>
  <conditionalFormatting sqref="X416:AD438 X461:AD507">
    <cfRule type="expression" dxfId="160" priority="18">
      <formula>$C416="Primary"</formula>
    </cfRule>
  </conditionalFormatting>
  <conditionalFormatting sqref="X429:AD429">
    <cfRule type="expression" dxfId="159" priority="9">
      <formula>$C429="Primary"</formula>
    </cfRule>
    <cfRule type="expression" dxfId="158" priority="10">
      <formula>$C429="Primary"</formula>
    </cfRule>
  </conditionalFormatting>
  <conditionalFormatting sqref="X439:AD442">
    <cfRule type="expression" dxfId="157" priority="3">
      <formula>$C439="Primary"</formula>
    </cfRule>
    <cfRule type="expression" dxfId="156" priority="4">
      <formula>$C439="Primary"</formula>
    </cfRule>
  </conditionalFormatting>
  <conditionalFormatting sqref="Y427:Y428">
    <cfRule type="expression" dxfId="155" priority="249">
      <formula>$C427="Primary"</formula>
    </cfRule>
  </conditionalFormatting>
  <conditionalFormatting sqref="Y45:AD45">
    <cfRule type="expression" dxfId="154" priority="489">
      <formula>$C45="Primary"</formula>
    </cfRule>
  </conditionalFormatting>
  <conditionalFormatting sqref="Y92:AD93">
    <cfRule type="expression" dxfId="153" priority="132">
      <formula>$C92="Primary"</formula>
    </cfRule>
  </conditionalFormatting>
  <conditionalFormatting sqref="BM90:BM93">
    <cfRule type="expression" dxfId="152" priority="135">
      <formula>(BM90=0)</formula>
    </cfRule>
    <cfRule type="expression" dxfId="151" priority="138">
      <formula>(BM90=0)</formula>
    </cfRule>
  </conditionalFormatting>
  <conditionalFormatting sqref="BM90:BT93">
    <cfRule type="expression" dxfId="150" priority="137">
      <formula>($BK90=0)</formula>
    </cfRule>
  </conditionalFormatting>
  <conditionalFormatting sqref="BM90:CA93">
    <cfRule type="expression" dxfId="149" priority="139">
      <formula>($BK90=2)</formula>
    </cfRule>
  </conditionalFormatting>
  <conditionalFormatting sqref="BN7:BN53 BN103:BN119 BN121:BN123 BN193:BN200 BN203:BN207 BN210:BN235 BN248:BN264 BN266:BN364 BN367:BN383 BN385:BN428 BN461:BN507 BN133:BN191">
    <cfRule type="expression" dxfId="148" priority="1187">
      <formula>(BN7=0)</formula>
    </cfRule>
  </conditionalFormatting>
  <conditionalFormatting sqref="BN9:BN23 BO9:CA9 BN461:CA507 BN266:CA383 BN397:BU397 CI397:CO397">
    <cfRule type="expression" dxfId="147" priority="668">
      <formula>($BL9=2)</formula>
    </cfRule>
  </conditionalFormatting>
  <conditionalFormatting sqref="BN9:BN43">
    <cfRule type="expression" dxfId="146" priority="663">
      <formula>(BN9=0)</formula>
    </cfRule>
  </conditionalFormatting>
  <conditionalFormatting sqref="BN26:BN30">
    <cfRule type="expression" dxfId="145" priority="269">
      <formula>($BL26=0)</formula>
    </cfRule>
    <cfRule type="expression" dxfId="144" priority="270">
      <formula>($BL26=2)</formula>
    </cfRule>
  </conditionalFormatting>
  <conditionalFormatting sqref="BN54:BN69 BN71:BN83">
    <cfRule type="expression" dxfId="143" priority="160">
      <formula>(BN54=0)</formula>
    </cfRule>
  </conditionalFormatting>
  <conditionalFormatting sqref="BN54:BN83">
    <cfRule type="expression" dxfId="142" priority="152">
      <formula>(BN54=0)</formula>
    </cfRule>
  </conditionalFormatting>
  <conditionalFormatting sqref="BN70">
    <cfRule type="expression" dxfId="141" priority="150">
      <formula>(BN70=0)</formula>
    </cfRule>
  </conditionalFormatting>
  <conditionalFormatting sqref="BN84:BN89">
    <cfRule type="expression" dxfId="140" priority="143">
      <formula>(BN84=0)</formula>
    </cfRule>
  </conditionalFormatting>
  <conditionalFormatting sqref="BN84:BN95">
    <cfRule type="expression" dxfId="139" priority="54">
      <formula>(BN84=0)</formula>
    </cfRule>
  </conditionalFormatting>
  <conditionalFormatting sqref="BN94:BN95">
    <cfRule type="expression" dxfId="138" priority="52">
      <formula>(BN94=0)</formula>
    </cfRule>
  </conditionalFormatting>
  <conditionalFormatting sqref="BN96">
    <cfRule type="expression" dxfId="137" priority="126">
      <formula>(BN96=0)</formula>
    </cfRule>
  </conditionalFormatting>
  <conditionalFormatting sqref="BN96:BN102">
    <cfRule type="expression" dxfId="136" priority="116">
      <formula>(BN96=0)</formula>
    </cfRule>
  </conditionalFormatting>
  <conditionalFormatting sqref="BN97:BN102">
    <cfRule type="expression" dxfId="135" priority="112">
      <formula>(BN97=0)</formula>
    </cfRule>
  </conditionalFormatting>
  <conditionalFormatting sqref="BN120">
    <cfRule type="expression" dxfId="134" priority="43">
      <formula>(BN120=0)</formula>
    </cfRule>
  </conditionalFormatting>
  <conditionalFormatting sqref="BN124:BN128 BN133:BN136">
    <cfRule type="expression" dxfId="133" priority="106">
      <formula>(BN124=0)</formula>
    </cfRule>
  </conditionalFormatting>
  <conditionalFormatting sqref="BN141:BN144 BN124:BN128">
    <cfRule type="expression" dxfId="132" priority="97">
      <formula>(BN124=0)</formula>
    </cfRule>
  </conditionalFormatting>
  <conditionalFormatting sqref="BN140">
    <cfRule type="expression" dxfId="131" priority="47">
      <formula>(BN140=0)</formula>
    </cfRule>
  </conditionalFormatting>
  <conditionalFormatting sqref="BN192">
    <cfRule type="expression" dxfId="130" priority="33">
      <formula>(BN192=0)</formula>
    </cfRule>
  </conditionalFormatting>
  <conditionalFormatting sqref="BN201:BN202">
    <cfRule type="expression" dxfId="129" priority="187">
      <formula>(BN201=0)</formula>
    </cfRule>
  </conditionalFormatting>
  <conditionalFormatting sqref="BN207:BN209">
    <cfRule type="expression" dxfId="128" priority="182">
      <formula>(BN207=0)</formula>
    </cfRule>
  </conditionalFormatting>
  <conditionalFormatting sqref="BN208:BN209">
    <cfRule type="expression" dxfId="127" priority="176">
      <formula>(BN208=0)</formula>
    </cfRule>
  </conditionalFormatting>
  <conditionalFormatting sqref="BN214 BN218:BN219">
    <cfRule type="expression" dxfId="126" priority="464">
      <formula>(BN214=0)</formula>
    </cfRule>
  </conditionalFormatting>
  <conditionalFormatting sqref="BN221 BN146:BN158 BN161:BN181 BN183 BN185 BN187 BN194:BN198 BN204:BN205">
    <cfRule type="expression" dxfId="125" priority="483">
      <formula>(BN146=0)</formula>
    </cfRule>
  </conditionalFormatting>
  <conditionalFormatting sqref="BN236:BN246">
    <cfRule type="expression" dxfId="124" priority="218">
      <formula>(BN236=0)</formula>
    </cfRule>
  </conditionalFormatting>
  <conditionalFormatting sqref="BN256 BN259">
    <cfRule type="expression" dxfId="123" priority="474">
      <formula>(BN256=0)</formula>
    </cfRule>
  </conditionalFormatting>
  <conditionalFormatting sqref="BN265">
    <cfRule type="expression" dxfId="122" priority="200">
      <formula>(BN265=0)</formula>
    </cfRule>
    <cfRule type="expression" dxfId="121" priority="203">
      <formula>(BN265=0)</formula>
    </cfRule>
    <cfRule type="expression" dxfId="120" priority="206">
      <formula>(BN265=0)</formula>
    </cfRule>
  </conditionalFormatting>
  <conditionalFormatting sqref="BN365:BN366">
    <cfRule type="expression" dxfId="119" priority="60">
      <formula>(BN365=0)</formula>
    </cfRule>
  </conditionalFormatting>
  <conditionalFormatting sqref="BN384">
    <cfRule type="expression" dxfId="118" priority="26">
      <formula>(BN384=0)</formula>
    </cfRule>
  </conditionalFormatting>
  <conditionalFormatting sqref="BN429:BN436">
    <cfRule type="expression" dxfId="117" priority="16">
      <formula>(BN429=0)</formula>
    </cfRule>
  </conditionalFormatting>
  <conditionalFormatting sqref="BN437:BN460">
    <cfRule type="expression" dxfId="116" priority="7">
      <formula>(BN437=0)</formula>
    </cfRule>
  </conditionalFormatting>
  <conditionalFormatting sqref="BN461:BN507">
    <cfRule type="expression" dxfId="115" priority="303">
      <formula>(BN461=0)</formula>
    </cfRule>
  </conditionalFormatting>
  <conditionalFormatting sqref="BN33:BT43 BN193:BT200 BO9:BT9 BN9:BN23 BN266:BT365 BN367:BT383 BN385:BT428 BN461:BT507 BN25:BN30 BN31:BT31 BN45:BT52 BN148:BT150 BN146:BT146 BN152:BT152 BN154:BT154 BN156:BT156 BN158:BT158 BN162:BT162 BN164:BT164 BN166:BT166 BN170:BT170 BN172:BT172 BN174:BT176 BN178:BT178 BN180:BT180 BN204:BT204 BN210:BT235 BO247:BT247 BN248:BT264 BN103:BT115 BN7:BT7 BO11:BT29 BN117:BT117 BN122:BT122 BN182:BT182 BN184:BT184 BN186:BT186 BN188:BT188 BN206:BT206">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5:BT383 BS73:BT73 BS75:BT75 BS77:BT77 BS79:BT79 BN461:BT507">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8 BN142:BT142">
    <cfRule type="expression" dxfId="99" priority="95">
      <formula>($BL137=0)</formula>
    </cfRule>
  </conditionalFormatting>
  <conditionalFormatting sqref="BN139:BT139 BN141:BT141 BN143:BT144">
    <cfRule type="expression" dxfId="98" priority="96">
      <formula>($BL139=0)</formula>
    </cfRule>
  </conditionalFormatting>
  <conditionalFormatting sqref="BN140:BT140">
    <cfRule type="expression" dxfId="97" priority="48">
      <formula>($BL140=0)</formula>
    </cfRule>
  </conditionalFormatting>
  <conditionalFormatting sqref="BN159:BT160">
    <cfRule type="expression" dxfId="96" priority="271">
      <formula>($BL159=0)</formula>
    </cfRule>
  </conditionalFormatting>
  <conditionalFormatting sqref="BN189:BT192">
    <cfRule type="expression" dxfId="95" priority="31">
      <formula>($BL189=0)</formula>
    </cfRule>
  </conditionalFormatting>
  <conditionalFormatting sqref="BN190:BT192">
    <cfRule type="expression" dxfId="94" priority="32">
      <formula>($BL190=0)</formula>
    </cfRule>
  </conditionalFormatting>
  <conditionalFormatting sqref="BN201:BT202">
    <cfRule type="expression" dxfId="93" priority="186">
      <formula>($BL201=0)</formula>
    </cfRule>
  </conditionalFormatting>
  <conditionalFormatting sqref="BN201:BT203">
    <cfRule type="expression" dxfId="92" priority="185">
      <formula>($BL201=0)</formula>
    </cfRule>
  </conditionalFormatting>
  <conditionalFormatting sqref="BN207:BT207">
    <cfRule type="expression" dxfId="91" priority="194">
      <formula>($BL207=0)</formula>
    </cfRule>
  </conditionalFormatting>
  <conditionalFormatting sqref="BN208:BT209">
    <cfRule type="expression" dxfId="90" priority="177">
      <formula>($BL208=0)</formula>
    </cfRule>
  </conditionalFormatting>
  <conditionalFormatting sqref="BN236:BT246">
    <cfRule type="expression" dxfId="89" priority="215">
      <formula>($BL236=0)</formula>
    </cfRule>
    <cfRule type="expression" dxfId="88" priority="217">
      <formula>($BL236=0)</formula>
    </cfRule>
  </conditionalFormatting>
  <conditionalFormatting sqref="BN248:BT264 BN210:BT235 BN45:BT50 BO247:BT247">
    <cfRule type="expression" dxfId="87" priority="481">
      <formula>($BL45=0)</formula>
    </cfRule>
  </conditionalFormatting>
  <conditionalFormatting sqref="BN257:BT258">
    <cfRule type="expression" dxfId="86" priority="453">
      <formula>($BL257=0)</formula>
    </cfRule>
  </conditionalFormatting>
  <conditionalFormatting sqref="BN265:BT265">
    <cfRule type="expression" dxfId="85" priority="199">
      <formula>($BL265=0)</formula>
    </cfRule>
    <cfRule type="expression" dxfId="84" priority="201">
      <formula>($BL265=2)</formula>
    </cfRule>
    <cfRule type="expression" dxfId="83" priority="204">
      <formula>($BL265=0)</formula>
    </cfRule>
  </conditionalFormatting>
  <conditionalFormatting sqref="BN265:BT266">
    <cfRule type="expression" dxfId="82" priority="205">
      <formula>($BL265=0)</formula>
    </cfRule>
  </conditionalFormatting>
  <conditionalFormatting sqref="BN266:BT364 BN145:BT145">
    <cfRule type="expression" dxfId="81" priority="255">
      <formula>($BL145=0)</formula>
    </cfRule>
  </conditionalFormatting>
  <conditionalFormatting sqref="BN366:BT366">
    <cfRule type="expression" dxfId="80" priority="59">
      <formula>($BL366=0)</formula>
    </cfRule>
  </conditionalFormatting>
  <conditionalFormatting sqref="BN384:BT384">
    <cfRule type="expression" dxfId="79" priority="25">
      <formula>($BL384=0)</formula>
    </cfRule>
  </conditionalFormatting>
  <conditionalFormatting sqref="BN384:BT438">
    <cfRule type="expression" dxfId="78" priority="13">
      <formula>($BL384=0)</formula>
    </cfRule>
  </conditionalFormatting>
  <conditionalFormatting sqref="BN429:BT438">
    <cfRule type="expression" dxfId="77" priority="15">
      <formula>($BL429=0)</formula>
    </cfRule>
  </conditionalFormatting>
  <conditionalFormatting sqref="BN439:BT442">
    <cfRule type="expression" dxfId="76" priority="2">
      <formula>($BL439=0)</formula>
    </cfRule>
    <cfRule type="expression" dxfId="75" priority="6">
      <formula>($BL439=0)</formula>
    </cfRule>
  </conditionalFormatting>
  <conditionalFormatting sqref="BN8:CA8 BN24 BN32:CA44 BN46:CA50 BN53:CA53 BN103:CA114 BN116:CA116 BN118:CA118 BN121:CA121 BN123:CA123 BN145:CA145 BN147:CA147 BN151:CA151 BN153:CA153 BN155:CA155 BN157:CA157 BN161:CA161 BN163:CA163 BN165:CA165 BN167:CA169 BN171:CA171 BN173:CA173 BN177:CA177 BN179:CA179 BN181:CA181 BN183:CA183 BN185:CA185 BN187:CA187 BN189:CA191 BN193:CA200 BN203:CA203 BN205:CA205 BN210:CA235 BN234:CH234 BN248:CA260 BN261:CH261 BN262:CA264 BN266:CA365 BN367:CA383 BN385:CA396 BN397:BU397 BN398:CA428 BN461:CA507 BO247:BU247 BO10:CA10 BO30:CA30 CI397:CO397 BU12:CA12 BU14:CA14 BU16:CA16 BU18:CA18 BU20:CA20 BU22:CA22 BU24:CA24 BU26:CA26 BU28:CA28 BX247:CA247">
    <cfRule type="expression" dxfId="74" priority="2650">
      <formula>($BL8=2)</formula>
    </cfRule>
  </conditionalFormatting>
  <conditionalFormatting sqref="BN33:CA43 BN45:CA52 BN103:CA115 BN190:CA191 BN193:CA200 BN210:CA235 BN235:CH235 BO247:BU247 BX247:CA247 BN248:CA260 BN261:CH261 BN262:CA264 BN148:CA150 BN7:CA7 BN9:BN23 BN25:BN30 BN31:CA31 BN117:CA117 BN119:CA119 BN122:CA122 BN146:CA146 BN152:CA152 BN154:CA154 BN156:CA156 BN158:CA158 BN162:CA162 BN164:CA164 BN166:CA166 BN170:CA170 BN172:CA172 BN174:CA176 BN178:CA178 BN180:CA180 BN182:CA182 BN184:CA184 BN186:CA186 BN188:CA188 BN204:CA204 BN206:CA206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4">
      <formula>($BL120=2)</formula>
    </cfRule>
    <cfRule type="expression" dxfId="60" priority="45">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8 BN142:CA142">
    <cfRule type="expression" dxfId="57" priority="98">
      <formula>($BL137=2)</formula>
    </cfRule>
  </conditionalFormatting>
  <conditionalFormatting sqref="BN139:CA139 BN141:CA141 BN143:CA144">
    <cfRule type="expression" dxfId="56" priority="99">
      <formula>($BL139=2)</formula>
    </cfRule>
  </conditionalFormatting>
  <conditionalFormatting sqref="BN140:CA140">
    <cfRule type="expression" dxfId="55" priority="50">
      <formula>($BL140=2)</formula>
    </cfRule>
  </conditionalFormatting>
  <conditionalFormatting sqref="BN159:CA160">
    <cfRule type="expression" dxfId="54" priority="272">
      <formula>($BL159=2)</formula>
    </cfRule>
  </conditionalFormatting>
  <conditionalFormatting sqref="BN192:CA192">
    <cfRule type="expression" dxfId="53" priority="34">
      <formula>($BL192=2)</formula>
    </cfRule>
    <cfRule type="expression" dxfId="52" priority="35">
      <formula>($BL192=2)</formula>
    </cfRule>
  </conditionalFormatting>
  <conditionalFormatting sqref="BN201:CA202">
    <cfRule type="expression" dxfId="51" priority="188">
      <formula>($BL201=2)</formula>
    </cfRule>
    <cfRule type="expression" dxfId="50" priority="189">
      <formula>($BL201=2)</formula>
    </cfRule>
  </conditionalFormatting>
  <conditionalFormatting sqref="BN207:CA207">
    <cfRule type="expression" dxfId="49" priority="195">
      <formula>($BL207=2)</formula>
    </cfRule>
  </conditionalFormatting>
  <conditionalFormatting sqref="BN208:CA209">
    <cfRule type="expression" dxfId="48" priority="178">
      <formula>($BL208=2)</formula>
    </cfRule>
  </conditionalFormatting>
  <conditionalFormatting sqref="BN236:CA246">
    <cfRule type="expression" dxfId="47" priority="219">
      <formula>($BL236=2)</formula>
    </cfRule>
    <cfRule type="expression" dxfId="46" priority="220">
      <formula>($BL236=2)</formula>
    </cfRule>
  </conditionalFormatting>
  <conditionalFormatting sqref="BN257:CA258">
    <cfRule type="expression" dxfId="45" priority="455">
      <formula>($BL257=2)</formula>
    </cfRule>
  </conditionalFormatting>
  <conditionalFormatting sqref="BN265:CA265">
    <cfRule type="expression" dxfId="44" priority="207">
      <formula>($BL265=2)</formula>
    </cfRule>
  </conditionalFormatting>
  <conditionalFormatting sqref="BN265:CA266">
    <cfRule type="expression" dxfId="43" priority="208">
      <formula>($BL265=2)</formula>
    </cfRule>
  </conditionalFormatting>
  <conditionalFormatting sqref="BN366:CA366">
    <cfRule type="expression" dxfId="42" priority="61">
      <formula>($BL366=2)</formula>
    </cfRule>
  </conditionalFormatting>
  <conditionalFormatting sqref="BN384:CA384">
    <cfRule type="expression" dxfId="41" priority="27">
      <formula>($BL384=2)</formula>
    </cfRule>
  </conditionalFormatting>
  <conditionalFormatting sqref="BN384:CA396">
    <cfRule type="expression" dxfId="40" priority="23">
      <formula>($BL384=2)</formula>
    </cfRule>
  </conditionalFormatting>
  <conditionalFormatting sqref="BN398:CA438">
    <cfRule type="expression" dxfId="39" priority="14">
      <formula>($BL398=2)</formula>
    </cfRule>
  </conditionalFormatting>
  <conditionalFormatting sqref="BN429:CA438">
    <cfRule type="expression" dxfId="38" priority="17">
      <formula>($BL429=2)</formula>
    </cfRule>
  </conditionalFormatting>
  <conditionalFormatting sqref="BN439:CA442">
    <cfRule type="expression" dxfId="37" priority="5">
      <formula>($BL439=2)</formula>
    </cfRule>
    <cfRule type="expression" dxfId="36" priority="8">
      <formula>($BL439=2)</formula>
    </cfRule>
  </conditionalFormatting>
  <conditionalFormatting sqref="BO150:BQ150">
    <cfRule type="expression" dxfId="35" priority="484">
      <formula>(BO150=0)</formula>
    </cfRule>
    <cfRule type="expression" dxfId="34" priority="1188">
      <formula>(BO150=0)</formula>
    </cfRule>
  </conditionalFormatting>
  <conditionalFormatting sqref="BO9:BT9 BN9:BN23">
    <cfRule type="expression" dxfId="33" priority="662">
      <formula>($BL9=0)</formula>
    </cfRule>
  </conditionalFormatting>
  <conditionalFormatting sqref="BO10:BT10 BN24 BN32:BT44 BN147:BT147 BN151:BT151 BN153:BT153 BN155:BT155 BN157:BT157 BN161:BT161 BN163:BT163 BN165:BT165 BN167:BT169 BN171:BT171 BN173:BT173 BN177:BT177 BN179:BT179 BN181:BT181 BN183:BT183 BN185:BT185 BN187:BT187 BN193:BT200 BN205:BT205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41:BU144 BT90:BT93 BU133:BU139">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0">
    <cfRule type="expression" dxfId="22" priority="51">
      <formula>(BL140=1)</formula>
    </cfRule>
  </conditionalFormatting>
  <conditionalFormatting sqref="BU145:BU191 BU203:BU207">
    <cfRule type="expression" dxfId="21" priority="289">
      <formula>(BL145=1)</formula>
    </cfRule>
  </conditionalFormatting>
  <conditionalFormatting sqref="BU192:BU202">
    <cfRule type="expression" dxfId="20" priority="30">
      <formula>(BL192=1)</formula>
    </cfRule>
  </conditionalFormatting>
  <conditionalFormatting sqref="BU208:BU209">
    <cfRule type="expression" dxfId="19" priority="181">
      <formula>(BL208=1)</formula>
    </cfRule>
  </conditionalFormatting>
  <conditionalFormatting sqref="BU210:BU265 BV265:CA265 BV236:CH236">
    <cfRule type="expression" dxfId="18" priority="202">
      <formula>(BL210=1)</formula>
    </cfRule>
  </conditionalFormatting>
  <conditionalFormatting sqref="BU266:BU364 BU461:BU507">
    <cfRule type="expression" dxfId="17" priority="1118">
      <formula>(BL266=1)</formula>
    </cfRule>
  </conditionalFormatting>
  <conditionalFormatting sqref="BU365:BU442">
    <cfRule type="expression" dxfId="16" priority="1">
      <formula>(BL365=1)</formula>
    </cfRule>
  </conditionalFormatting>
  <conditionalFormatting sqref="BU265:CA265">
    <cfRule type="expression" dxfId="15" priority="197">
      <formula>(BL265=1)</formula>
    </cfRule>
    <cfRule type="expression" dxfId="14" priority="198">
      <formula>($BL265=2)</formula>
    </cfRule>
  </conditionalFormatting>
  <conditionalFormatting sqref="BU235:CH235">
    <cfRule type="expression" dxfId="13" priority="480">
      <formula>(BL235=1)</formula>
    </cfRule>
  </conditionalFormatting>
  <conditionalFormatting sqref="CB234:CH234">
    <cfRule type="expression" dxfId="12" priority="337">
      <formula>(BS234=1)</formula>
    </cfRule>
  </conditionalFormatting>
  <conditionalFormatting sqref="CB236:CH236">
    <cfRule type="expression" dxfId="11" priority="212">
      <formula>($BL236=2)</formula>
    </cfRule>
  </conditionalFormatting>
  <conditionalFormatting sqref="CI397">
    <cfRule type="expression" dxfId="10" priority="2744">
      <formula>(BL397=1)</formula>
    </cfRule>
  </conditionalFormatting>
  <conditionalFormatting sqref="DT7:DZ119 DW385:DZ401 DT385:DV428 DW402:EI402 DW403:EA428 DT121:DZ191">
    <cfRule type="cellIs" dxfId="9" priority="71" operator="equal">
      <formula>TRUE</formula>
    </cfRule>
  </conditionalFormatting>
  <conditionalFormatting sqref="DT193:DZ384">
    <cfRule type="cellIs" dxfId="8" priority="20" operator="equal">
      <formula>TRUE</formula>
    </cfRule>
  </conditionalFormatting>
  <conditionalFormatting sqref="DT429:EA438 DT461:EA507">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AU203:AU207 AU7:AU38 AU385:AU389 AU103:AU107 AU461:AU507 AU237:AU264 AU210:AU235 AU121:AU123 AU266:AU364 AU51:AU53 AU193:AU200 AU113:AU119 AU145:AU191 AU367:AU383 AU391:AU428 AU430:AU434</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AJ266:AJ364 AJ7:AJ45 AJ51:AJ53 AJ103:AJ107 AJ461:AJ507 AJ203:AJ207 AJ237:AJ264 AJ210:AJ235 AJ121:AJ123 AJ193:AJ200 AJ113:AJ119 AJ145:AJ191 AJ367:AJ383 AJ385:AJ428 AJ430:AJ434</xm:sqref>
        </x14:dataValidation>
        <x14:dataValidation type="list" allowBlank="1" showInputMessage="1" showErrorMessage="1" xr:uid="{00000000-0002-0000-0300-000005000000}">
          <x14:formula1>
            <xm:f>Types!$D$4:$D$9</xm:f>
          </x14:formula1>
          <xm:sqref>AY266:AY364 AY7:AY45 AY103:AY107 AY461:AY507 AY203:AY207 AY237:AY264 AY210:AY235 AY121:AY123 AY193:AY200 AY51:AY53 AY113:AY119 AY145:AY191 AY367:AY383 AY385:AY428 AY430:AY434</xm:sqref>
        </x14:dataValidation>
        <x14:dataValidation type="list" allowBlank="1" showInputMessage="1" showErrorMessage="1" xr:uid="{00000000-0002-0000-0300-000006000000}">
          <x14:formula1>
            <xm:f>IF($AJ7=Ranges!$A$3,Ranges!$A$4:$A$6,Ranges!$C$4)</xm:f>
          </x14:formula1>
          <xm:sqref>AP203:AP207 AP7:AP45 AP266:AP364 AP103:AP107 AP461:AP507 AP237:AP264 AP210:AP235 AP121:AP123 AP193:AP200 AP51:AP53 AP113:AP119 AP145:AP191 AP367:AP383 AP385:AP428 AP430:AP434</xm:sqref>
        </x14:dataValidation>
        <x14:dataValidation type="list" allowBlank="1" showInputMessage="1" showErrorMessage="1" xr:uid="{1A93677B-D379-4043-A485-1A16A4BB4AFA}">
          <x14:formula1>
            <xm:f>IF($AY7=Ranges!$C$3,Ranges!$C$4,IF($AY7=Ranges!$D$3,Ranges!$D$4,IF($AY7=Ranges!$G$3,Ranges!$G$4,Ranges!$E$4:$E$10)))</xm:f>
          </x14:formula1>
          <xm:sqref>BC266:BC364 BC237:BC264 BC210:BC235 BC121:BC123 BC203:BC207 BC461:BC507 BC193:BC200 BC7:BC53 BC103:BC119 BC145:BC191 BC367:BC383 BC385:BC428 BC430:BC436</xm:sqref>
        </x14:dataValidation>
        <x14:dataValidation type="list" allowBlank="1" showInputMessage="1" showErrorMessage="1" xr:uid="{6D500B1C-1E18-446D-BC87-0B3CF3FDE29C}">
          <x14:formula1>
            <xm:f>HourlyProfiles!$D$3:$Z$3</xm:f>
          </x14:formula1>
          <xm:sqref>AK370:AK383 AK385:AK428 AK430:AK438 AK461:AK507 AK7:AK368</xm:sqref>
        </x14:dataValidation>
        <x14:dataValidation type="list" allowBlank="1" showInputMessage="1" showErrorMessage="1" xr:uid="{D690B8B2-011D-4574-86A4-5670684C9803}">
          <x14:formula1>
            <xm:f>HourlyProfiles!$D$3:$AA$3</xm:f>
          </x14:formula1>
          <xm:sqref>AK369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8"/>
  <sheetViews>
    <sheetView tabSelected="1" zoomScale="70" zoomScaleNormal="70" workbookViewId="0">
      <pane xSplit="6" ySplit="6" topLeftCell="GA117" activePane="bottomRight" state="frozen"/>
      <selection pane="topRight" activeCell="B51" sqref="B51"/>
      <selection pane="bottomLeft" activeCell="B51" sqref="B51"/>
      <selection pane="bottomRight" activeCell="A138" sqref="A138:XFD138"/>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23" t="s">
        <v>556</v>
      </c>
      <c r="B2" s="423"/>
      <c r="C2" s="423"/>
      <c r="D2" s="423"/>
      <c r="E2" s="423"/>
      <c r="F2" s="423"/>
      <c r="G2" s="426"/>
      <c r="H2" s="426"/>
      <c r="I2" s="426"/>
      <c r="J2" s="426"/>
      <c r="K2" s="426"/>
      <c r="L2" s="426"/>
      <c r="M2" s="426"/>
      <c r="N2" s="426"/>
      <c r="O2" s="426"/>
      <c r="P2" s="77" t="s">
        <v>17</v>
      </c>
      <c r="Q2" s="32" t="s">
        <v>1791</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1792</v>
      </c>
      <c r="H3" s="15" t="s">
        <v>1793</v>
      </c>
      <c r="I3" s="15" t="s">
        <v>1794</v>
      </c>
      <c r="J3" s="15" t="s">
        <v>1795</v>
      </c>
      <c r="K3" s="15" t="s">
        <v>1796</v>
      </c>
      <c r="L3" s="15" t="s">
        <v>1797</v>
      </c>
      <c r="M3" s="15" t="s">
        <v>1798</v>
      </c>
      <c r="N3" s="15" t="s">
        <v>1799</v>
      </c>
      <c r="O3" s="15" t="s">
        <v>1800</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2017</v>
      </c>
      <c r="CE3" s="4" t="s">
        <v>2020</v>
      </c>
      <c r="CF3" s="4" t="s">
        <v>2022</v>
      </c>
      <c r="CG3" s="4" t="s">
        <v>2024</v>
      </c>
      <c r="CH3" s="4" t="s">
        <v>2026</v>
      </c>
      <c r="CI3" s="4" t="s">
        <v>2028</v>
      </c>
      <c r="CJ3" s="4" t="s">
        <v>2030</v>
      </c>
      <c r="CK3" s="4" t="s">
        <v>2032</v>
      </c>
      <c r="CL3" s="4" t="s">
        <v>2034</v>
      </c>
      <c r="CM3" s="4" t="s">
        <v>2035</v>
      </c>
      <c r="CN3" s="4" t="s">
        <v>2037</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1801</v>
      </c>
      <c r="J4" s="15" t="s">
        <v>1801</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1802</v>
      </c>
      <c r="H5" s="15" t="s">
        <v>1802</v>
      </c>
      <c r="I5" s="15" t="s">
        <v>1802</v>
      </c>
      <c r="J5" s="15" t="s">
        <v>1802</v>
      </c>
      <c r="K5" s="15" t="s">
        <v>1802</v>
      </c>
      <c r="L5" s="15" t="s">
        <v>1802</v>
      </c>
      <c r="M5" s="15" t="s">
        <v>1802</v>
      </c>
      <c r="N5" s="15" t="s">
        <v>1802</v>
      </c>
      <c r="O5" s="15" t="s">
        <v>1802</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1803</v>
      </c>
      <c r="G6" s="15" t="s">
        <v>315</v>
      </c>
      <c r="H6" s="15" t="s">
        <v>1804</v>
      </c>
      <c r="I6" s="15" t="s">
        <v>1804</v>
      </c>
      <c r="J6" s="15" t="s">
        <v>1804</v>
      </c>
      <c r="K6" s="15" t="s">
        <v>1804</v>
      </c>
      <c r="L6" s="15" t="s">
        <v>1804</v>
      </c>
      <c r="M6" s="15" t="s">
        <v>1805</v>
      </c>
      <c r="N6" s="15" t="s">
        <v>1806</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VLOOKUP($A7,Technologies!$A$7:$H$576,3,FALSE)</f>
        <v>Final</v>
      </c>
      <c r="D7" s="5" t="str">
        <f>VLOOKUP($A7,Technologies!$A$7:$H$576,4,FALSE)</f>
        <v>Residential</v>
      </c>
      <c r="E7" s="5" t="str">
        <f>VLOOKUP($A7,Technologies!$A$7:$H$576,6,FALSE)</f>
        <v>Electricity demand - Residential</v>
      </c>
      <c r="F7" s="5" t="str">
        <f>VLOOKUP($A7,Technologies!$A$7:$H$576,7,FALSE)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VLOOKUP($A8,Technologies!$A$7:$H$576,3,FALSE)</f>
        <v>Final</v>
      </c>
      <c r="D8" s="6" t="str">
        <f>VLOOKUP($A8,Technologies!$A$7:$H$576,4,FALSE)</f>
        <v>Residential</v>
      </c>
      <c r="E8" s="6" t="str">
        <f>VLOOKUP($A8,Technologies!$A$7:$H$576,6,FALSE)</f>
        <v>Electricity demand - Residential</v>
      </c>
      <c r="F8" s="48" t="str">
        <f>VLOOKUP($A8,Technologies!$A$7:$H$576,7,FALSE)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VLOOKUP($A9,Technologies!$A$7:$H$576,3,FALSE)</f>
        <v>Final</v>
      </c>
      <c r="D9" s="5" t="str">
        <f>VLOOKUP($A9,Technologies!$A$7:$H$576,4,FALSE)</f>
        <v>Residential</v>
      </c>
      <c r="E9" s="5" t="str">
        <f>VLOOKUP($A9,Technologies!$A$7:$H$576,6,FALSE)</f>
        <v>Houses - Residential Flats</v>
      </c>
      <c r="F9" s="5" t="str">
        <f>VLOOKUP($A9,Technologies!$A$7:$H$576,7,FALSE)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VLOOKUP($A10,Technologies!$A$7:$H$576,3,FALSE)</f>
        <v>Final</v>
      </c>
      <c r="D10" s="6" t="str">
        <f>VLOOKUP($A10,Technologies!$A$7:$H$576,4,FALSE)</f>
        <v>Residential</v>
      </c>
      <c r="E10" s="6" t="str">
        <f>VLOOKUP($A10,Technologies!$A$7:$H$576,6,FALSE)</f>
        <v>Houses - Residential Flats</v>
      </c>
      <c r="F10" s="48" t="str">
        <f>VLOOKUP($A10,Technologies!$A$7:$H$576,7,FALSE)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VLOOKUP($A11,Technologies!$A$7:$H$576,3,FALSE)</f>
        <v>Final</v>
      </c>
      <c r="D11" s="5" t="str">
        <f>VLOOKUP($A11,Technologies!$A$7:$H$576,4,FALSE)</f>
        <v>Residential</v>
      </c>
      <c r="E11" s="5" t="str">
        <f>VLOOKUP($A11,Technologies!$A$7:$H$576,6,FALSE)</f>
        <v>Houses - Residential Flats</v>
      </c>
      <c r="F11" s="5" t="str">
        <f>VLOOKUP($A11,Technologies!$A$7:$H$576,7,FALSE)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VLOOKUP($A12,Technologies!$A$7:$H$576,3,FALSE)</f>
        <v>Final</v>
      </c>
      <c r="D12" s="6" t="str">
        <f>VLOOKUP($A12,Technologies!$A$7:$H$576,4,FALSE)</f>
        <v>Residential</v>
      </c>
      <c r="E12" s="6" t="str">
        <f>VLOOKUP($A12,Technologies!$A$7:$H$576,6,FALSE)</f>
        <v>Houses - Residential Flats</v>
      </c>
      <c r="F12" s="48" t="str">
        <f>VLOOKUP($A12,Technologies!$A$7:$H$576,7,FALSE)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VLOOKUP($A13,Technologies!$A$7:$H$576,3,FALSE)</f>
        <v>Final</v>
      </c>
      <c r="D13" s="5" t="str">
        <f>VLOOKUP($A13,Technologies!$A$7:$H$576,4,FALSE)</f>
        <v>Residential</v>
      </c>
      <c r="E13" s="5" t="str">
        <f>VLOOKUP($A13,Technologies!$A$7:$H$576,6,FALSE)</f>
        <v>Houses - Residential Flats</v>
      </c>
      <c r="F13" s="5" t="str">
        <f>VLOOKUP($A13,Technologies!$A$7:$H$576,7,FALSE)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1807</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VLOOKUP($A14,Technologies!$A$7:$H$576,3,FALSE)</f>
        <v>Final</v>
      </c>
      <c r="D14" s="6" t="str">
        <f>VLOOKUP($A14,Technologies!$A$7:$H$576,4,FALSE)</f>
        <v>Residential</v>
      </c>
      <c r="E14" s="6" t="str">
        <f>VLOOKUP($A14,Technologies!$A$7:$H$576,6,FALSE)</f>
        <v>Houses - Residential Terrace</v>
      </c>
      <c r="F14" s="48" t="str">
        <f>VLOOKUP($A14,Technologies!$A$7:$H$576,7,FALSE)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1807</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VLOOKUP($A15,Technologies!$A$7:$H$576,3,FALSE)</f>
        <v>Final</v>
      </c>
      <c r="D15" s="5" t="str">
        <f>VLOOKUP($A15,Technologies!$A$7:$H$576,4,FALSE)</f>
        <v>Residential</v>
      </c>
      <c r="E15" s="5" t="str">
        <f>VLOOKUP($A15,Technologies!$A$7:$H$576,6,FALSE)</f>
        <v>Houses - Residential Terrace</v>
      </c>
      <c r="F15" s="5" t="str">
        <f>VLOOKUP($A15,Technologies!$A$7:$H$576,7,FALSE)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VLOOKUP($A16,Technologies!$A$7:$H$576,3,FALSE)</f>
        <v>Final</v>
      </c>
      <c r="D16" s="6" t="str">
        <f>VLOOKUP($A16,Technologies!$A$7:$H$576,4,FALSE)</f>
        <v>Residential</v>
      </c>
      <c r="E16" s="6" t="str">
        <f>VLOOKUP($A16,Technologies!$A$7:$H$576,6,FALSE)</f>
        <v>Houses - Residential Terrace</v>
      </c>
      <c r="F16" s="48" t="str">
        <f>VLOOKUP($A16,Technologies!$A$7:$H$576,7,FALSE)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VLOOKUP($A17,Technologies!$A$7:$H$576,3,FALSE)</f>
        <v>Final</v>
      </c>
      <c r="D17" s="5" t="str">
        <f>VLOOKUP($A17,Technologies!$A$7:$H$576,4,FALSE)</f>
        <v>Residential</v>
      </c>
      <c r="E17" s="5" t="str">
        <f>VLOOKUP($A17,Technologies!$A$7:$H$576,6,FALSE)</f>
        <v>Houses - Residential Terrace</v>
      </c>
      <c r="F17" s="5" t="str">
        <f>VLOOKUP($A17,Technologies!$A$7:$H$576,7,FALSE)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VLOOKUP($A18,Technologies!$A$7:$H$576,3,FALSE)</f>
        <v>Final</v>
      </c>
      <c r="D18" s="6" t="str">
        <f>VLOOKUP($A18,Technologies!$A$7:$H$576,4,FALSE)</f>
        <v>Residential</v>
      </c>
      <c r="E18" s="6" t="str">
        <f>VLOOKUP($A18,Technologies!$A$7:$H$576,6,FALSE)</f>
        <v>Houses - Residential Terrace</v>
      </c>
      <c r="F18" s="48" t="str">
        <f>VLOOKUP($A18,Technologies!$A$7:$H$576,7,FALSE)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VLOOKUP($A19,Technologies!$A$7:$H$576,3,FALSE)</f>
        <v>Final</v>
      </c>
      <c r="D19" s="5" t="str">
        <f>VLOOKUP($A19,Technologies!$A$7:$H$576,4,FALSE)</f>
        <v>Residential</v>
      </c>
      <c r="E19" s="5" t="str">
        <f>VLOOKUP($A19,Technologies!$A$7:$H$576,6,FALSE)</f>
        <v>Houses - Residential Dwellings</v>
      </c>
      <c r="F19" s="5" t="str">
        <f>VLOOKUP($A19,Technologies!$A$7:$H$576,7,FALSE)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VLOOKUP($A20,Technologies!$A$7:$H$576,3,FALSE)</f>
        <v>Final</v>
      </c>
      <c r="D20" s="6" t="str">
        <f>VLOOKUP($A20,Technologies!$A$7:$H$576,4,FALSE)</f>
        <v>Residential</v>
      </c>
      <c r="E20" s="6" t="str">
        <f>VLOOKUP($A20,Technologies!$A$7:$H$576,6,FALSE)</f>
        <v>Houses - Residential Dwellings</v>
      </c>
      <c r="F20" s="48" t="str">
        <f>VLOOKUP($A20,Technologies!$A$7:$H$576,7,FALSE)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VLOOKUP($A21,Technologies!$A$7:$H$576,3,FALSE)</f>
        <v>Final</v>
      </c>
      <c r="D21" s="5" t="str">
        <f>VLOOKUP($A21,Technologies!$A$7:$H$576,4,FALSE)</f>
        <v>Residential</v>
      </c>
      <c r="E21" s="5" t="str">
        <f>VLOOKUP($A21,Technologies!$A$7:$H$576,6,FALSE)</f>
        <v>Houses - Residential Dwellings</v>
      </c>
      <c r="F21" s="5" t="str">
        <f>VLOOKUP($A21,Technologies!$A$7:$H$576,7,FALSE)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1808</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VLOOKUP($A22,Technologies!$A$7:$H$576,3,FALSE)</f>
        <v>Final</v>
      </c>
      <c r="D22" s="6" t="str">
        <f>VLOOKUP($A22,Technologies!$A$7:$H$576,4,FALSE)</f>
        <v>Residential</v>
      </c>
      <c r="E22" s="6" t="str">
        <f>VLOOKUP($A22,Technologies!$A$7:$H$576,6,FALSE)</f>
        <v>Houses - Residential Dwellings</v>
      </c>
      <c r="F22" s="48" t="str">
        <f>VLOOKUP($A22,Technologies!$A$7:$H$576,7,FALSE)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1808</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VLOOKUP($A23,Technologies!$A$7:$H$576,3,FALSE)</f>
        <v>Final</v>
      </c>
      <c r="D23" s="5" t="str">
        <f>VLOOKUP($A23,Technologies!$A$7:$H$576,4,FALSE)</f>
        <v>Residential</v>
      </c>
      <c r="E23" s="5" t="str">
        <f>VLOOKUP($A23,Technologies!$A$7:$H$576,6,FALSE)</f>
        <v>Houses - Residential Dwellings</v>
      </c>
      <c r="F23" s="5" t="str">
        <f>VLOOKUP($A23,Technologies!$A$7:$H$576,7,FALSE)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VLOOKUP($A24,Technologies!$A$7:$H$576,3,FALSE)</f>
        <v>Final</v>
      </c>
      <c r="D24" s="6" t="str">
        <f>VLOOKUP($A24,Technologies!$A$7:$H$576,4,FALSE)</f>
        <v>Services</v>
      </c>
      <c r="E24" s="6" t="str">
        <f>VLOOKUP($A24,Technologies!$A$7:$H$576,6,FALSE)</f>
        <v>Electricity demand - Services</v>
      </c>
      <c r="F24" s="48" t="str">
        <f>VLOOKUP($A24,Technologies!$A$7:$H$576,7,FALSE)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VLOOKUP($A25,Technologies!$A$7:$H$576,3,FALSE)</f>
        <v>Final</v>
      </c>
      <c r="D25" s="5" t="str">
        <f>VLOOKUP($A25,Technologies!$A$7:$H$576,4,FALSE)</f>
        <v>Services</v>
      </c>
      <c r="E25" s="5" t="str">
        <f>VLOOKUP($A25,Technologies!$A$7:$H$576,6,FALSE)</f>
        <v>Electricity demand - Services</v>
      </c>
      <c r="F25" s="5" t="str">
        <f>VLOOKUP($A25,Technologies!$A$7:$H$576,7,FALSE)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VLOOKUP($A26,Technologies!$A$7:$H$576,3,FALSE)</f>
        <v>Final</v>
      </c>
      <c r="D26" s="6" t="str">
        <f>VLOOKUP($A26,Technologies!$A$7:$H$576,4,FALSE)</f>
        <v>Services</v>
      </c>
      <c r="E26" s="6" t="str">
        <f>VLOOKUP($A26,Technologies!$A$7:$H$576,6,FALSE)</f>
        <v>Space - Services</v>
      </c>
      <c r="F26" s="48" t="str">
        <f>VLOOKUP($A26,Technologies!$A$7:$H$576,7,FALSE)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1809</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VLOOKUP($A27,Technologies!$A$7:$H$576,3,FALSE)</f>
        <v>Final</v>
      </c>
      <c r="D27" s="5" t="str">
        <f>VLOOKUP($A27,Technologies!$A$7:$H$576,4,FALSE)</f>
        <v>Services</v>
      </c>
      <c r="E27" s="5" t="str">
        <f>VLOOKUP($A27,Technologies!$A$7:$H$576,6,FALSE)</f>
        <v>Space - Services</v>
      </c>
      <c r="F27" s="5" t="str">
        <f>VLOOKUP($A27,Technologies!$A$7:$H$576,7,FALSE)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1809</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VLOOKUP($A28,Technologies!$A$7:$H$576,3,FALSE)</f>
        <v>Final</v>
      </c>
      <c r="D28" s="6" t="str">
        <f>VLOOKUP($A28,Technologies!$A$7:$H$576,4,FALSE)</f>
        <v>Services</v>
      </c>
      <c r="E28" s="6" t="str">
        <f>VLOOKUP($A28,Technologies!$A$7:$H$576,6,FALSE)</f>
        <v>Space - Services</v>
      </c>
      <c r="F28" s="48" t="str">
        <f>VLOOKUP($A28,Technologies!$A$7:$H$576,7,FALSE)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1809</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VLOOKUP($A29,Technologies!$A$7:$H$576,3,FALSE)</f>
        <v>Final</v>
      </c>
      <c r="D29" s="5" t="str">
        <f>VLOOKUP($A29,Technologies!$A$7:$H$576,4,FALSE)</f>
        <v>Services</v>
      </c>
      <c r="E29" s="5" t="str">
        <f>VLOOKUP($A29,Technologies!$A$7:$H$576,6,FALSE)</f>
        <v>Space - Services</v>
      </c>
      <c r="F29" s="5" t="str">
        <f>VLOOKUP($A29,Technologies!$A$7:$H$576,7,FALSE)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1809</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VLOOKUP($A30,Technologies!$A$7:$H$576,3,FALSE)</f>
        <v>Final</v>
      </c>
      <c r="D30" s="6" t="str">
        <f>VLOOKUP($A30,Technologies!$A$7:$H$576,4,FALSE)</f>
        <v>Services</v>
      </c>
      <c r="E30" s="6" t="str">
        <f>VLOOKUP($A30,Technologies!$A$7:$H$576,6,FALSE)</f>
        <v>Space - Services</v>
      </c>
      <c r="F30" s="48" t="str">
        <f>VLOOKUP($A30,Technologies!$A$7:$H$576,7,FALSE)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1809</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VLOOKUP($A31,Technologies!$A$7:$H$576,3,FALSE)</f>
        <v>Final</v>
      </c>
      <c r="D31" s="5" t="str">
        <f>VLOOKUP($A31,Technologies!$A$7:$H$576,4,FALSE)</f>
        <v>Agriculture</v>
      </c>
      <c r="E31" s="5" t="str">
        <f>VLOOKUP($A31,Technologies!$A$7:$H$576,6,FALSE)</f>
        <v>Electricity demand - Agricuture</v>
      </c>
      <c r="F31" s="5" t="str">
        <f>VLOOKUP($A31,Technologies!$A$7:$H$576,7,FALSE)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1807</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VLOOKUP($A32,Technologies!$A$7:$H$576,3,FALSE)</f>
        <v>Final</v>
      </c>
      <c r="D32" s="6" t="str">
        <f>VLOOKUP($A32,Technologies!$A$7:$H$576,4,FALSE)</f>
        <v>Agriculture</v>
      </c>
      <c r="E32" s="6" t="str">
        <f>VLOOKUP($A32,Technologies!$A$7:$H$576,6,FALSE)</f>
        <v>Heat demand - Agriculture</v>
      </c>
      <c r="F32" s="48" t="str">
        <f>VLOOKUP($A32,Technologies!$A$7:$H$576,7,FALSE)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1807</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VLOOKUP($A33,Technologies!$A$7:$H$576,3,FALSE)</f>
        <v>Final</v>
      </c>
      <c r="D33" s="5" t="str">
        <f>VLOOKUP($A33,Technologies!$A$7:$H$576,4,FALSE)</f>
        <v>Agriculture</v>
      </c>
      <c r="E33" s="5" t="str">
        <f>VLOOKUP($A33,Technologies!$A$7:$H$576,6,FALSE)</f>
        <v>Machinery - Agriculture</v>
      </c>
      <c r="F33" s="5" t="str">
        <f>VLOOKUP($A33,Technologies!$A$7:$H$576,7,FALSE)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VLOOKUP($A34,Technologies!$A$7:$H$576,3,FALSE)</f>
        <v>Final</v>
      </c>
      <c r="D34" s="6" t="str">
        <f>VLOOKUP($A34,Technologies!$A$7:$H$576,4,FALSE)</f>
        <v>Agriculture</v>
      </c>
      <c r="E34" s="6" t="str">
        <f>VLOOKUP($A34,Technologies!$A$7:$H$576,6,FALSE)</f>
        <v>Machinery - Agriculture</v>
      </c>
      <c r="F34" s="48" t="str">
        <f>VLOOKUP($A34,Technologies!$A$7:$H$576,7,FALSE)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VLOOKUP($A35,Technologies!$A$7:$H$576,3,FALSE)</f>
        <v>Final</v>
      </c>
      <c r="D35" s="5" t="str">
        <f>VLOOKUP($A35,Technologies!$A$7:$H$576,4,FALSE)</f>
        <v>Industry</v>
      </c>
      <c r="E35" s="5" t="str">
        <f>VLOOKUP($A35,Technologies!$A$7:$H$576,6,FALSE)</f>
        <v>Steel production - Basic Metals Industry</v>
      </c>
      <c r="F35" s="5" t="str">
        <f>VLOOKUP($A35,Technologies!$A$7:$H$576,7,FALSE)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1810</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VLOOKUP($A36,Technologies!$A$7:$H$576,3,FALSE)</f>
        <v>Final</v>
      </c>
      <c r="D36" s="6" t="str">
        <f>VLOOKUP($A36,Technologies!$A$7:$H$576,4,FALSE)</f>
        <v>Industry</v>
      </c>
      <c r="E36" s="6" t="str">
        <f>VLOOKUP($A36,Technologies!$A$7:$H$576,6,FALSE)</f>
        <v>Steel production - Basic Metals Industry</v>
      </c>
      <c r="F36" s="48" t="str">
        <f>VLOOKUP($A36,Technologies!$A$7:$H$576,7,FALSE)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1810</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VLOOKUP($A37,Technologies!$A$7:$H$576,3,FALSE)</f>
        <v>Final</v>
      </c>
      <c r="D37" s="5" t="str">
        <f>VLOOKUP($A37,Technologies!$A$7:$H$576,4,FALSE)</f>
        <v>Industry</v>
      </c>
      <c r="E37" s="5" t="str">
        <f>VLOOKUP($A37,Technologies!$A$7:$H$576,6,FALSE)</f>
        <v>Steel production - Basic Metals Industry</v>
      </c>
      <c r="F37" s="5" t="str">
        <f>VLOOKUP($A37,Technologies!$A$7:$H$576,7,FALSE)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1810</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VLOOKUP($A38,Technologies!$A$7:$H$576,3,FALSE)</f>
        <v>Final</v>
      </c>
      <c r="D38" s="6" t="str">
        <f>VLOOKUP($A38,Technologies!$A$7:$H$576,4,FALSE)</f>
        <v>Industry</v>
      </c>
      <c r="E38" s="6" t="str">
        <f>VLOOKUP($A38,Technologies!$A$7:$H$576,6,FALSE)</f>
        <v>Steel production - Basic Metals Industry</v>
      </c>
      <c r="F38" s="48" t="str">
        <f>VLOOKUP($A38,Technologies!$A$7:$H$576,7,FALSE)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1810</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VLOOKUP($A39,Technologies!$A$7:$H$576,3,FALSE)</f>
        <v>Final</v>
      </c>
      <c r="D39" s="5" t="str">
        <f>VLOOKUP($A39,Technologies!$A$7:$H$576,4,FALSE)</f>
        <v>Industry</v>
      </c>
      <c r="E39" s="5" t="str">
        <f>VLOOKUP($A39,Technologies!$A$7:$H$576,6,FALSE)</f>
        <v>Steel production - Basic Metals Industry</v>
      </c>
      <c r="F39" s="5" t="str">
        <f>VLOOKUP($A39,Technologies!$A$7:$H$576,7,FALSE)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1810</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VLOOKUP($A40,Technologies!$A$7:$H$576,3,FALSE)</f>
        <v>Final</v>
      </c>
      <c r="D40" s="6" t="str">
        <f>VLOOKUP($A40,Technologies!$A$7:$H$576,4,FALSE)</f>
        <v>Industry</v>
      </c>
      <c r="E40" s="6" t="str">
        <f>VLOOKUP($A40,Technologies!$A$7:$H$576,6,FALSE)</f>
        <v>Steel production - Basic Metals Industry</v>
      </c>
      <c r="F40" s="48" t="str">
        <f>VLOOKUP($A40,Technologies!$A$7:$H$576,7,FALSE)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1810</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VLOOKUP($A41,Technologies!$A$7:$H$576,3,FALSE)</f>
        <v>Final</v>
      </c>
      <c r="D41" s="5" t="str">
        <f>VLOOKUP($A41,Technologies!$A$7:$H$576,4,FALSE)</f>
        <v>Industry</v>
      </c>
      <c r="E41" s="5" t="str">
        <f>VLOOKUP($A41,Technologies!$A$7:$H$576,6,FALSE)</f>
        <v>Steel production - Basic Metals Industry</v>
      </c>
      <c r="F41" s="5" t="str">
        <f>VLOOKUP($A41,Technologies!$A$7:$H$576,7,FALSE)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1810</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VLOOKUP($A42,Technologies!$A$7:$H$576,3,FALSE)</f>
        <v>Final</v>
      </c>
      <c r="D42" s="6" t="str">
        <f>VLOOKUP($A42,Technologies!$A$7:$H$576,4,FALSE)</f>
        <v>Industry</v>
      </c>
      <c r="E42" s="6" t="str">
        <f>VLOOKUP($A42,Technologies!$A$7:$H$576,6,FALSE)</f>
        <v>Steel production - Basic Metals Industry</v>
      </c>
      <c r="F42" s="48" t="str">
        <f>VLOOKUP($A42,Technologies!$A$7:$H$576,7,FALSE)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1810</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VLOOKUP($A43,Technologies!$A$7:$H$576,3,FALSE)</f>
        <v>Final</v>
      </c>
      <c r="D43" s="5" t="str">
        <f>VLOOKUP($A43,Technologies!$A$7:$H$576,4,FALSE)</f>
        <v>Industry</v>
      </c>
      <c r="E43" s="5" t="str">
        <f>VLOOKUP($A43,Technologies!$A$7:$H$576,6,FALSE)</f>
        <v>Steel production - Basic Metals Industry</v>
      </c>
      <c r="F43" s="5" t="str">
        <f>VLOOKUP($A43,Technologies!$A$7:$H$576,7,FALSE)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1810</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VLOOKUP($A44,Technologies!$A$7:$H$576,3,FALSE)</f>
        <v>Final</v>
      </c>
      <c r="D44" s="6" t="str">
        <f>VLOOKUP($A44,Technologies!$A$7:$H$576,4,FALSE)</f>
        <v>Industry</v>
      </c>
      <c r="E44" s="6" t="str">
        <f>VLOOKUP($A44,Technologies!$A$7:$H$576,6,FALSE)</f>
        <v>Steel production - Basic Metals Industry</v>
      </c>
      <c r="F44" s="48" t="str">
        <f>VLOOKUP($A44,Technologies!$A$7:$H$576,7,FALSE)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1810</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VLOOKUP($A45,Technologies!$A$7:$H$576,3,FALSE)</f>
        <v>Final</v>
      </c>
      <c r="D45" s="5" t="str">
        <f>VLOOKUP($A45,Technologies!$A$7:$H$576,4,FALSE)</f>
        <v>Industry</v>
      </c>
      <c r="E45" s="5" t="str">
        <f>VLOOKUP($A45,Technologies!$A$7:$H$576,6,FALSE)</f>
        <v>Steel production - Basic Metals Industry</v>
      </c>
      <c r="F45" s="5" t="str">
        <f>VLOOKUP($A45,Technologies!$A$7:$H$576,7,FALSE)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1810</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VLOOKUP($A46,Technologies!$A$7:$H$576,3,FALSE)</f>
        <v>Final</v>
      </c>
      <c r="D46" s="6" t="str">
        <f>VLOOKUP($A46,Technologies!$A$7:$H$576,4,FALSE)</f>
        <v>Industry</v>
      </c>
      <c r="E46" s="6" t="str">
        <f>VLOOKUP($A46,Technologies!$A$7:$H$576,6,FALSE)</f>
        <v>Steel production - Basic Metals Industry</v>
      </c>
      <c r="F46" s="48" t="str">
        <f>VLOOKUP($A46,Technologies!$A$7:$H$576,7,FALSE)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1810</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VLOOKUP($A47,Technologies!$A$7:$H$576,3,FALSE)</f>
        <v>Final</v>
      </c>
      <c r="D47" s="5" t="str">
        <f>VLOOKUP($A47,Technologies!$A$7:$H$576,4,FALSE)</f>
        <v>Industry</v>
      </c>
      <c r="E47" s="5" t="str">
        <f>VLOOKUP($A47,Technologies!$A$7:$H$576,6,FALSE)</f>
        <v>Steel production - Basic Metals Industry</v>
      </c>
      <c r="F47" s="5" t="str">
        <f>VLOOKUP($A47,Technologies!$A$7:$H$576,7,FALSE)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1810</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VLOOKUP($A48,Technologies!$A$7:$H$576,3,FALSE)</f>
        <v>Final</v>
      </c>
      <c r="D48" s="6" t="str">
        <f>VLOOKUP($A48,Technologies!$A$7:$H$576,4,FALSE)</f>
        <v>Industry</v>
      </c>
      <c r="E48" s="6" t="str">
        <f>VLOOKUP($A48,Technologies!$A$7:$H$576,6,FALSE)</f>
        <v>Steel production - Basic Metals Industry</v>
      </c>
      <c r="F48" s="48" t="str">
        <f>VLOOKUP($A48,Technologies!$A$7:$H$576,7,FALSE)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1810</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VLOOKUP($A49,Technologies!$A$7:$H$576,3,FALSE)</f>
        <v>Final</v>
      </c>
      <c r="D49" s="5" t="str">
        <f>VLOOKUP($A49,Technologies!$A$7:$H$576,4,FALSE)</f>
        <v>Industry</v>
      </c>
      <c r="E49" s="5" t="str">
        <f>VLOOKUP($A49,Technologies!$A$7:$H$576,6,FALSE)</f>
        <v>Steel production - Basic Metals Industry</v>
      </c>
      <c r="F49" s="5" t="str">
        <f>VLOOKUP($A49,Technologies!$A$7:$H$576,7,FALSE)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1810</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VLOOKUP($A50,Technologies!$A$7:$H$576,3,FALSE)</f>
        <v>Final</v>
      </c>
      <c r="D50" s="6" t="str">
        <f>VLOOKUP($A50,Technologies!$A$7:$H$576,4,FALSE)</f>
        <v>Industry</v>
      </c>
      <c r="E50" s="6" t="str">
        <f>VLOOKUP($A50,Technologies!$A$7:$H$576,6,FALSE)</f>
        <v>Steel production - Basic Metals Industry</v>
      </c>
      <c r="F50" s="48" t="str">
        <f>VLOOKUP($A50,Technologies!$A$7:$H$576,7,FALSE)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1810</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VLOOKUP($A51,Technologies!$A$7:$H$576,3,FALSE)</f>
        <v>Final</v>
      </c>
      <c r="D51" s="5" t="str">
        <f>VLOOKUP($A51,Technologies!$A$7:$H$576,4,FALSE)</f>
        <v>Industry</v>
      </c>
      <c r="E51" s="5" t="str">
        <f>VLOOKUP($A51,Technologies!$A$7:$H$576,6,FALSE)</f>
        <v>Nitric Acid production - Fertilizers Industry</v>
      </c>
      <c r="F51" s="5" t="str">
        <f>VLOOKUP($A51,Technologies!$A$7:$H$576,7,FALSE)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VLOOKUP($A52,Technologies!$A$7:$H$576,3,FALSE)</f>
        <v>Final</v>
      </c>
      <c r="D52" s="5" t="str">
        <f>VLOOKUP($A52,Technologies!$A$7:$H$576,4,FALSE)</f>
        <v>Industry</v>
      </c>
      <c r="E52" s="5" t="str">
        <f>VLOOKUP($A52,Technologies!$A$7:$H$576,6,FALSE)</f>
        <v>Urea production - Fertilizers Industry</v>
      </c>
      <c r="F52" s="5" t="str">
        <f>VLOOKUP($A52,Technologies!$A$7:$H$576,7,FALSE)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VLOOKUP($A53,Technologies!$A$7:$H$576,3,FALSE)</f>
        <v>Final</v>
      </c>
      <c r="D53" s="6" t="str">
        <f>VLOOKUP($A53,Technologies!$A$7:$H$576,4,FALSE)</f>
        <v>Industry</v>
      </c>
      <c r="E53" s="6" t="str">
        <f>VLOOKUP($A53,Technologies!$A$7:$H$576,6,FALSE)</f>
        <v>Other Ammonia based fertilizers - Fertilizers Industry</v>
      </c>
      <c r="F53" s="48" t="str">
        <f>VLOOKUP($A53,Technologies!$A$7:$H$576,7,FALSE)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VLOOKUP($A54,Technologies!$A$7:$H$576,3,FALSE)</f>
        <v>Conversion</v>
      </c>
      <c r="D54" s="5" t="str">
        <f>VLOOKUP($A54,Technologies!$A$7:$H$576,4,FALSE)</f>
        <v>Industry</v>
      </c>
      <c r="E54" s="5" t="str">
        <f>VLOOKUP($A54,Technologies!$A$7:$H$576,6,FALSE)</f>
        <v>Ethylene intermediate</v>
      </c>
      <c r="F54" s="5" t="str">
        <f>VLOOKUP($A54,Technologies!$A$7:$H$576,7,FALSE)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1811</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VLOOKUP($A55,Technologies!$A$7:$H$576,3,FALSE)</f>
        <v>Conversion</v>
      </c>
      <c r="D55" s="6" t="str">
        <f>VLOOKUP($A55,Technologies!$A$7:$H$576,4,FALSE)</f>
        <v>Industry</v>
      </c>
      <c r="E55" s="6" t="str">
        <f>VLOOKUP($A55,Technologies!$A$7:$H$576,6,FALSE)</f>
        <v>Ethylene intermediate</v>
      </c>
      <c r="F55" s="48" t="str">
        <f>VLOOKUP($A55,Technologies!$A$7:$H$576,7,FALSE)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1811</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VLOOKUP($A56,Technologies!$A$7:$H$576,3,FALSE)</f>
        <v>Conversion</v>
      </c>
      <c r="D56" s="5" t="str">
        <f>VLOOKUP($A56,Technologies!$A$7:$H$576,4,FALSE)</f>
        <v>Industry</v>
      </c>
      <c r="E56" s="5" t="str">
        <f>VLOOKUP($A56,Technologies!$A$7:$H$576,6,FALSE)</f>
        <v>Ethylene intermediate</v>
      </c>
      <c r="F56" s="5" t="str">
        <f>VLOOKUP($A56,Technologies!$A$7:$H$576,7,FALSE)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1811</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VLOOKUP($A57,Technologies!$A$7:$H$576,3,FALSE)</f>
        <v>Conversion</v>
      </c>
      <c r="D57" s="6" t="str">
        <f>VLOOKUP($A57,Technologies!$A$7:$H$576,4,FALSE)</f>
        <v>Industry</v>
      </c>
      <c r="E57" s="6" t="str">
        <f>VLOOKUP($A57,Technologies!$A$7:$H$576,6,FALSE)</f>
        <v>Ethylene intermediate</v>
      </c>
      <c r="F57" s="48" t="str">
        <f>VLOOKUP($A57,Technologies!$A$7:$H$576,7,FALSE)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1811</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VLOOKUP($A58,Technologies!$A$7:$H$576,3,FALSE)</f>
        <v>Conversion</v>
      </c>
      <c r="D58" s="5" t="str">
        <f>VLOOKUP($A58,Technologies!$A$7:$H$576,4,FALSE)</f>
        <v>Industry</v>
      </c>
      <c r="E58" s="5" t="str">
        <f>VLOOKUP($A58,Technologies!$A$7:$H$576,6,FALSE)</f>
        <v>Ethylene intermediate</v>
      </c>
      <c r="F58" s="5" t="str">
        <f>VLOOKUP($A58,Technologies!$A$7:$H$576,7,FALSE)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1811</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VLOOKUP($A59,Technologies!$A$7:$H$576,3,FALSE)</f>
        <v>Conversion</v>
      </c>
      <c r="D59" s="6" t="str">
        <f>VLOOKUP($A59,Technologies!$A$7:$H$576,4,FALSE)</f>
        <v>Industry</v>
      </c>
      <c r="E59" s="6" t="str">
        <f>VLOOKUP($A59,Technologies!$A$7:$H$576,6,FALSE)</f>
        <v>Ethylene intermediate</v>
      </c>
      <c r="F59" s="48" t="str">
        <f>VLOOKUP($A59,Technologies!$A$7:$H$576,7,FALSE)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1811</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VLOOKUP($A60,Technologies!$A$7:$H$576,3,FALSE)</f>
        <v>Conversion</v>
      </c>
      <c r="D60" s="5" t="str">
        <f>VLOOKUP($A60,Technologies!$A$7:$H$576,4,FALSE)</f>
        <v>Industry</v>
      </c>
      <c r="E60" s="5" t="str">
        <f>VLOOKUP($A60,Technologies!$A$7:$H$576,6,FALSE)</f>
        <v>Ethylene intermediate</v>
      </c>
      <c r="F60" s="5" t="str">
        <f>VLOOKUP($A60,Technologies!$A$7:$H$576,7,FALSE)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1811</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VLOOKUP($A61,Technologies!$A$7:$H$576,3,FALSE)</f>
        <v>Conversion</v>
      </c>
      <c r="D61" s="6" t="str">
        <f>VLOOKUP($A61,Technologies!$A$7:$H$576,4,FALSE)</f>
        <v>Industry</v>
      </c>
      <c r="E61" s="6" t="str">
        <f>VLOOKUP($A61,Technologies!$A$7:$H$576,6,FALSE)</f>
        <v>Ethylene intermediate</v>
      </c>
      <c r="F61" s="48" t="str">
        <f>VLOOKUP($A61,Technologies!$A$7:$H$576,7,FALSE)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1811</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VLOOKUP($A62,Technologies!$A$7:$H$576,3,FALSE)</f>
        <v>Conversion</v>
      </c>
      <c r="D62" s="5" t="str">
        <f>VLOOKUP($A62,Technologies!$A$7:$H$576,4,FALSE)</f>
        <v>Industry</v>
      </c>
      <c r="E62" s="5" t="str">
        <f>VLOOKUP($A62,Technologies!$A$7:$H$576,6,FALSE)</f>
        <v>Ethylene intermediate</v>
      </c>
      <c r="F62" s="5" t="str">
        <f>VLOOKUP($A62,Technologies!$A$7:$H$576,7,FALSE)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1811</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VLOOKUP($A63,Technologies!$A$7:$H$576,3,FALSE)</f>
        <v>Conversion</v>
      </c>
      <c r="D63" s="6" t="str">
        <f>VLOOKUP($A63,Technologies!$A$7:$H$576,4,FALSE)</f>
        <v>Industry</v>
      </c>
      <c r="E63" s="6" t="str">
        <f>VLOOKUP($A63,Technologies!$A$7:$H$576,6,FALSE)</f>
        <v>Ethylene intermediate</v>
      </c>
      <c r="F63" s="48" t="str">
        <f>VLOOKUP($A63,Technologies!$A$7:$H$576,7,FALSE)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1811</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VLOOKUP($A64,Technologies!$A$7:$H$576,3,FALSE)</f>
        <v>Conversion</v>
      </c>
      <c r="D64" s="5" t="str">
        <f>VLOOKUP($A64,Technologies!$A$7:$H$576,4,FALSE)</f>
        <v>Industry</v>
      </c>
      <c r="E64" s="5" t="str">
        <f>VLOOKUP($A64,Technologies!$A$7:$H$576,6,FALSE)</f>
        <v>Ethylene intermediate</v>
      </c>
      <c r="F64" s="5" t="str">
        <f>VLOOKUP($A64,Technologies!$A$7:$H$576,7,FALSE)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1811</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VLOOKUP($A65,Technologies!$A$7:$H$576,3,FALSE)</f>
        <v>Conversion</v>
      </c>
      <c r="D65" s="6" t="str">
        <f>VLOOKUP($A65,Technologies!$A$7:$H$576,4,FALSE)</f>
        <v>Industry</v>
      </c>
      <c r="E65" s="6" t="str">
        <f>VLOOKUP($A65,Technologies!$A$7:$H$576,6,FALSE)</f>
        <v>Propylene intermediate</v>
      </c>
      <c r="F65" s="48" t="str">
        <f>VLOOKUP($A65,Technologies!$A$7:$H$576,7,FALSE)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1811</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VLOOKUP($A66,Technologies!$A$7:$H$576,3,FALSE)</f>
        <v>Primary</v>
      </c>
      <c r="D66" s="5" t="str">
        <f>VLOOKUP($A66,Technologies!$A$7:$H$576,4,FALSE)</f>
        <v>Material</v>
      </c>
      <c r="E66" s="5" t="str">
        <f>VLOOKUP($A66,Technologies!$A$7:$H$576,6,FALSE)</f>
        <v>Ethylene intermediate</v>
      </c>
      <c r="F66" s="5" t="str">
        <f>VLOOKUP($A66,Technologies!$A$7:$H$576,7,FALSE)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VLOOKUP($A67,Technologies!$A$7:$H$576,3,FALSE)</f>
        <v>Conversion</v>
      </c>
      <c r="D67" s="6" t="str">
        <f>VLOOKUP($A67,Technologies!$A$7:$H$576,4,FALSE)</f>
        <v>Industry</v>
      </c>
      <c r="E67" s="6" t="str">
        <f>VLOOKUP($A67,Technologies!$A$7:$H$576,6,FALSE)</f>
        <v>Propylene intermediate</v>
      </c>
      <c r="F67" s="48" t="str">
        <f>VLOOKUP($A67,Technologies!$A$7:$H$576,7,FALSE)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1811</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VLOOKUP($A68,Technologies!$A$7:$H$576,3,FALSE)</f>
        <v>Conversion</v>
      </c>
      <c r="D68" s="5" t="str">
        <f>VLOOKUP($A68,Technologies!$A$7:$H$576,4,FALSE)</f>
        <v>Industry</v>
      </c>
      <c r="E68" s="5" t="str">
        <f>VLOOKUP($A68,Technologies!$A$7:$H$576,6,FALSE)</f>
        <v>Propylene intermediate</v>
      </c>
      <c r="F68" s="5" t="str">
        <f>VLOOKUP($A68,Technologies!$A$7:$H$576,7,FALSE)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VLOOKUP($A69,Technologies!$A$7:$H$576,3,FALSE)</f>
        <v>Primary</v>
      </c>
      <c r="D69" s="6" t="str">
        <f>VLOOKUP($A69,Technologies!$A$7:$H$576,4,FALSE)</f>
        <v>Material</v>
      </c>
      <c r="E69" s="6" t="str">
        <f>VLOOKUP($A69,Technologies!$A$7:$H$576,6,FALSE)</f>
        <v>Propylene intermediate</v>
      </c>
      <c r="F69" s="48" t="str">
        <f>VLOOKUP($A69,Technologies!$A$7:$H$576,7,FALSE)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VLOOKUP($A70,Technologies!$A$7:$H$576,3,FALSE)</f>
        <v>Primary</v>
      </c>
      <c r="D70" s="6" t="str">
        <f>VLOOKUP($A70,Technologies!$A$7:$H$576,4,FALSE)</f>
        <v>Material</v>
      </c>
      <c r="E70" s="6" t="str">
        <f>VLOOKUP($A70,Technologies!$A$7:$H$576,6,FALSE)</f>
        <v>Butadiene production - Chemical Industry</v>
      </c>
      <c r="F70" s="48" t="str">
        <f>VLOOKUP($A70,Technologies!$A$7:$H$576,7,FALSE)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VLOOKUP($A71,Technologies!$A$7:$H$576,3,FALSE)</f>
        <v>Final</v>
      </c>
      <c r="D71" s="6" t="str">
        <f>VLOOKUP($A71,Technologies!$A$7:$H$576,4,FALSE)</f>
        <v>Industry</v>
      </c>
      <c r="E71" s="6" t="str">
        <f>VLOOKUP($A71,Technologies!$A$7:$H$576,6,FALSE)</f>
        <v>LDPE production - Chemical Industry</v>
      </c>
      <c r="F71" s="48" t="str">
        <f>VLOOKUP($A71,Technologies!$A$7:$H$576,7,FALSE)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1812</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VLOOKUP($A72,Technologies!$A$7:$H$576,3,FALSE)</f>
        <v>Final</v>
      </c>
      <c r="D72" s="6" t="str">
        <f>VLOOKUP($A72,Technologies!$A$7:$H$576,4,FALSE)</f>
        <v>Industry</v>
      </c>
      <c r="E72" s="6" t="str">
        <f>VLOOKUP($A72,Technologies!$A$7:$H$576,6,FALSE)</f>
        <v>LLDPE production - Chemical Industry</v>
      </c>
      <c r="F72" s="48" t="str">
        <f>VLOOKUP($A72,Technologies!$A$7:$H$576,7,FALSE)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1812</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VLOOKUP($A73,Technologies!$A$7:$H$576,3,FALSE)</f>
        <v>Final</v>
      </c>
      <c r="D73" s="6" t="str">
        <f>VLOOKUP($A73,Technologies!$A$7:$H$576,4,FALSE)</f>
        <v>Industry</v>
      </c>
      <c r="E73" s="6" t="str">
        <f>VLOOKUP($A73,Technologies!$A$7:$H$576,6,FALSE)</f>
        <v>HDPE production - Chemical Industry</v>
      </c>
      <c r="F73" s="48" t="str">
        <f>VLOOKUP($A73,Technologies!$A$7:$H$576,7,FALSE)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1812</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VLOOKUP($A74,Technologies!$A$7:$H$576,3,FALSE)</f>
        <v>Final</v>
      </c>
      <c r="D74" s="6" t="str">
        <f>VLOOKUP($A74,Technologies!$A$7:$H$576,4,FALSE)</f>
        <v>Industry</v>
      </c>
      <c r="E74" s="6" t="str">
        <f>VLOOKUP($A74,Technologies!$A$7:$H$576,6,FALSE)</f>
        <v>Polypropylene production - Chemical Industry</v>
      </c>
      <c r="F74" s="48" t="str">
        <f>VLOOKUP($A74,Technologies!$A$7:$H$576,7,FALSE)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1812</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VLOOKUP($A75,Technologies!$A$7:$H$576,3,FALSE)</f>
        <v>Final</v>
      </c>
      <c r="D75" s="6" t="str">
        <f>VLOOKUP($A75,Technologies!$A$7:$H$576,4,FALSE)</f>
        <v>Industry</v>
      </c>
      <c r="E75" s="6" t="str">
        <f>VLOOKUP($A75,Technologies!$A$7:$H$576,6,FALSE)</f>
        <v>Propylene production - chemical industry</v>
      </c>
      <c r="F75" s="48" t="str">
        <f>VLOOKUP($A75,Technologies!$A$7:$H$576,7,FALSE)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VLOOKUP($A76,Technologies!$A$7:$H$576,3,FALSE)</f>
        <v>Final</v>
      </c>
      <c r="D76" s="6" t="str">
        <f>VLOOKUP($A76,Technologies!$A$7:$H$576,4,FALSE)</f>
        <v>Industry</v>
      </c>
      <c r="E76" s="6" t="str">
        <f>VLOOKUP($A76,Technologies!$A$7:$H$576,6,FALSE)</f>
        <v>Ethylene production - chemical industry</v>
      </c>
      <c r="F76" s="48" t="str">
        <f>VLOOKUP($A76,Technologies!$A$7:$H$576,7,FALSE)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VLOOKUP($A77,Technologies!$A$7:$H$576,3,FALSE)</f>
        <v>Final</v>
      </c>
      <c r="D77" s="6" t="str">
        <f>VLOOKUP($A77,Technologies!$A$7:$H$576,4,FALSE)</f>
        <v>Industry</v>
      </c>
      <c r="E77" s="6" t="str">
        <f>VLOOKUP($A77,Technologies!$A$7:$H$576,6,FALSE)</f>
        <v>PTA production - Chemical Industry</v>
      </c>
      <c r="F77" s="48" t="str">
        <f>VLOOKUP($A77,Technologies!$A$7:$H$576,7,FALSE)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VLOOKUP($A78,Technologies!$A$7:$H$576,3,FALSE)</f>
        <v>Conversion</v>
      </c>
      <c r="D78" s="6" t="str">
        <f>VLOOKUP($A78,Technologies!$A$7:$H$576,4,FALSE)</f>
        <v>Industry</v>
      </c>
      <c r="E78" s="6" t="str">
        <f>VLOOKUP($A78,Technologies!$A$7:$H$576,6,FALSE)</f>
        <v>PTA intermediate</v>
      </c>
      <c r="F78" s="48" t="str">
        <f>VLOOKUP($A78,Technologies!$A$7:$H$576,7,FALSE)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1813</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VLOOKUP($A79,Technologies!$A$7:$H$576,3,FALSE)</f>
        <v>Conversion</v>
      </c>
      <c r="D79" s="6" t="str">
        <f>VLOOKUP($A79,Technologies!$A$7:$H$576,4,FALSE)</f>
        <v>Industry</v>
      </c>
      <c r="E79" s="6" t="str">
        <f>VLOOKUP($A79,Technologies!$A$7:$H$576,6,FALSE)</f>
        <v>Polyethylene terephthalate (PET)</v>
      </c>
      <c r="F79" s="48" t="str">
        <f>VLOOKUP($A79,Technologies!$A$7:$H$576,7,FALSE)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1813</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VLOOKUP($A80,Technologies!$A$7:$H$576,3,FALSE)</f>
        <v>Final</v>
      </c>
      <c r="D80" s="6" t="str">
        <f>VLOOKUP($A80,Technologies!$A$7:$H$576,4,FALSE)</f>
        <v>Industry</v>
      </c>
      <c r="E80" s="6" t="str">
        <f>VLOOKUP($A80,Technologies!$A$7:$H$576,6,FALSE)</f>
        <v>PVC production - Chemical Industry</v>
      </c>
      <c r="F80" s="48" t="str">
        <f>VLOOKUP($A80,Technologies!$A$7:$H$576,7,FALSE)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1812</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VLOOKUP($A81,Technologies!$A$7:$H$576,3,FALSE)</f>
        <v>Final</v>
      </c>
      <c r="D81" s="6" t="str">
        <f>VLOOKUP($A81,Technologies!$A$7:$H$576,4,FALSE)</f>
        <v>Industry</v>
      </c>
      <c r="E81" s="6" t="str">
        <f>VLOOKUP($A81,Technologies!$A$7:$H$576,6,FALSE)</f>
        <v>PVC production - Chemical Industry</v>
      </c>
      <c r="F81" s="48" t="str">
        <f>VLOOKUP($A81,Technologies!$A$7:$H$576,7,FALSE)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1812</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VLOOKUP($A82,Technologies!$A$7:$H$576,3,FALSE)</f>
        <v>Conversion</v>
      </c>
      <c r="D82" s="5" t="str">
        <f>VLOOKUP($A82,Technologies!$A$7:$H$576,4,FALSE)</f>
        <v>Industry</v>
      </c>
      <c r="E82" s="5" t="str">
        <f>VLOOKUP($A82,Technologies!$A$7:$H$576,6,FALSE)</f>
        <v>Ethylene intermediate</v>
      </c>
      <c r="F82" s="5" t="str">
        <f>VLOOKUP($A82,Technologies!$A$7:$H$576,7,FALSE)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1811</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VLOOKUP($A83,Technologies!$A$7:$H$576,3,FALSE)</f>
        <v>Conversion</v>
      </c>
      <c r="D83" s="6" t="str">
        <f>VLOOKUP($A83,Technologies!$A$7:$H$576,4,FALSE)</f>
        <v>Industry</v>
      </c>
      <c r="E83" s="6" t="str">
        <f>VLOOKUP($A83,Technologies!$A$7:$H$576,6,FALSE)</f>
        <v>Ethylene intermediate</v>
      </c>
      <c r="F83" s="48" t="str">
        <f>VLOOKUP($A83,Technologies!$A$7:$H$576,7,FALSE)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1811</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5" si="21">$I83</f>
        <v>8.9166509900990079</v>
      </c>
    </row>
    <row r="84" spans="1:189" x14ac:dyDescent="0.35">
      <c r="A84" s="6" t="s">
        <v>865</v>
      </c>
      <c r="B84" s="6" t="str">
        <f>IF(Technologies!B84&lt;&gt;0,Technologies!B84,"")</f>
        <v>Industrie</v>
      </c>
      <c r="C84" s="6" t="str">
        <f>VLOOKUP($A84,Technologies!$A$7:$H$576,3,FALSE)</f>
        <v>Final</v>
      </c>
      <c r="D84" s="6" t="str">
        <f>VLOOKUP($A84,Technologies!$A$7:$H$576,4,FALSE)</f>
        <v>Industry</v>
      </c>
      <c r="E84" s="6" t="str">
        <f>VLOOKUP($A84,Technologies!$A$7:$H$576,6,FALSE)</f>
        <v>Polyethylene terephthalate (PET)</v>
      </c>
      <c r="F84" s="48" t="str">
        <f>VLOOKUP($A84,Technologies!$A$7:$H$576,7,FALSE)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1814</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VLOOKUP($A85,Technologies!$A$7:$H$576,3,FALSE)</f>
        <v>Final</v>
      </c>
      <c r="D85" s="6" t="str">
        <f>VLOOKUP($A85,Technologies!$A$7:$H$576,4,FALSE)</f>
        <v>Industry</v>
      </c>
      <c r="E85" s="6" t="str">
        <f>VLOOKUP($A85,Technologies!$A$7:$H$576,6,FALSE)</f>
        <v>Polyester production - Chemical Industry</v>
      </c>
      <c r="F85" s="48" t="str">
        <f>VLOOKUP($A85,Technologies!$A$7:$H$576,7,FALSE)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VLOOKUP($A86,Technologies!$A$7:$H$576,3,FALSE)</f>
        <v>Final</v>
      </c>
      <c r="D86" s="6" t="str">
        <f>VLOOKUP($A86,Technologies!$A$7:$H$576,4,FALSE)</f>
        <v>Industry</v>
      </c>
      <c r="E86" s="6" t="str">
        <f>VLOOKUP($A86,Technologies!$A$7:$H$576,6,FALSE)</f>
        <v>Polyester production - Chemical Industry</v>
      </c>
      <c r="F86" s="48" t="str">
        <f>VLOOKUP($A86,Technologies!$A$7:$H$576,7,FALSE)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VLOOKUP($A87,Technologies!$A$7:$H$576,3,FALSE)</f>
        <v>Conversion</v>
      </c>
      <c r="D87" s="6" t="str">
        <f>VLOOKUP($A87,Technologies!$A$7:$H$576,4,FALSE)</f>
        <v>Industry</v>
      </c>
      <c r="E87" s="6" t="str">
        <f>VLOOKUP($A87,Technologies!$A$7:$H$576,6,FALSE)</f>
        <v>Ethylene oxide intermediate</v>
      </c>
      <c r="F87" s="48" t="str">
        <f>VLOOKUP($A87,Technologies!$A$7:$H$576,7,FALSE)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1812</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VLOOKUP($A88,Technologies!$A$7:$H$576,3,FALSE)</f>
        <v>Conversion</v>
      </c>
      <c r="D88" s="6" t="str">
        <f>VLOOKUP($A88,Technologies!$A$7:$H$576,4,FALSE)</f>
        <v>Industry</v>
      </c>
      <c r="E88" s="6" t="str">
        <f>VLOOKUP($A88,Technologies!$A$7:$H$576,6,FALSE)</f>
        <v>Ethylene glycol</v>
      </c>
      <c r="F88" s="48" t="str">
        <f>VLOOKUP($A88,Technologies!$A$7:$H$576,7,FALSE)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1812</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VLOOKUP($A89,Technologies!$A$7:$H$576,3,FALSE)</f>
        <v>Final</v>
      </c>
      <c r="D89" s="6" t="str">
        <f>VLOOKUP($A89,Technologies!$A$7:$H$576,4,FALSE)</f>
        <v>Industry</v>
      </c>
      <c r="E89" s="6" t="str">
        <f>VLOOKUP($A89,Technologies!$A$7:$H$576,6,FALSE)</f>
        <v>Ethylene oxide production - Chemical Industry</v>
      </c>
      <c r="F89" s="48" t="str">
        <f>VLOOKUP($A89,Technologies!$A$7:$H$576,7,FALSE)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VLOOKUP($A90,Technologies!$A$7:$H$576,3,FALSE)</f>
        <v>Final</v>
      </c>
      <c r="D90" s="6" t="str">
        <f>VLOOKUP($A90,Technologies!$A$7:$H$576,4,FALSE)</f>
        <v>Industry</v>
      </c>
      <c r="E90" s="6" t="str">
        <f>VLOOKUP($A90,Technologies!$A$7:$H$576,6,FALSE)</f>
        <v>BTX aromatics production - Chemical Industry</v>
      </c>
      <c r="F90" s="48" t="str">
        <f>VLOOKUP($A90,Technologies!$A$7:$H$576,7,FALSE)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VLOOKUP($A91,Technologies!$A$7:$H$576,3,FALSE)</f>
        <v>Final</v>
      </c>
      <c r="D91" s="6" t="str">
        <f>VLOOKUP($A91,Technologies!$A$7:$H$576,4,FALSE)</f>
        <v>Industry</v>
      </c>
      <c r="E91" s="6" t="str">
        <f>VLOOKUP($A91,Technologies!$A$7:$H$576,6,FALSE)</f>
        <v>BTX aromatics production - Chemical Industry</v>
      </c>
      <c r="F91" s="48" t="str">
        <f>VLOOKUP($A91,Technologies!$A$7:$H$576,7,FALSE)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VLOOKUP($A92,Technologies!$A$7:$H$576,4,FALSE)</f>
        <v>Material</v>
      </c>
      <c r="E92" s="6" t="str">
        <f>VLOOKUP($A92,Technologies!$A$7:$H$576,6,FALSE)</f>
        <v>BTX aromatics production - Chemical Industry</v>
      </c>
      <c r="F92" s="48" t="str">
        <f>VLOOKUP($A92,Technologies!$A$7:$H$576,7,FALSE)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VLOOKUP($A93,Technologies!$A$7:$H$576,4,FALSE)</f>
        <v>Industry</v>
      </c>
      <c r="E93" s="6" t="str">
        <f>VLOOKUP($A93,Technologies!$A$7:$H$576,6,FALSE)</f>
        <v>Ethylene intermediate</v>
      </c>
      <c r="F93" s="48" t="str">
        <f>VLOOKUP($A93,Technologies!$A$7:$H$576,7,FALSE)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VLOOKUP($A94,Technologies!$A$7:$H$576,3,FALSE)</f>
        <v>Conversion</v>
      </c>
      <c r="D94" s="6" t="str">
        <f>VLOOKUP($A94,Technologies!$A$7:$H$576,4,FALSE)</f>
        <v>Industry</v>
      </c>
      <c r="E94" s="6" t="str">
        <f>VLOOKUP($A94,Technologies!$A$7:$H$576,6,FALSE)</f>
        <v>Propylene intermediate</v>
      </c>
      <c r="F94" s="48" t="str">
        <f>VLOOKUP($A94,Technologies!$A$7:$H$576,7,FALSE)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1811</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VLOOKUP($A95,Technologies!$A$7:$H$576,3,FALSE)</f>
        <v>Conversion</v>
      </c>
      <c r="D95" s="6" t="str">
        <f>VLOOKUP($A95,Technologies!$A$7:$H$576,4,FALSE)</f>
        <v>Industry</v>
      </c>
      <c r="E95" s="6" t="str">
        <f>VLOOKUP($A95,Technologies!$A$7:$H$576,6,FALSE)</f>
        <v>Ethylene intermediate</v>
      </c>
      <c r="F95" s="48" t="str">
        <f>VLOOKUP($A95,Technologies!$A$7:$H$576,7,FALSE)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1811</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VLOOKUP($A96,Technologies!$A$7:$H$576,4,FALSE)</f>
        <v>Industry</v>
      </c>
      <c r="E96" s="6" t="str">
        <f>VLOOKUP($A96,Technologies!$A$7:$H$576,6,FALSE)</f>
        <v>Bioplastics (PEF, PLA)</v>
      </c>
      <c r="F96" s="48" t="str">
        <f>VLOOKUP($A96,Technologies!$A$7:$H$576,7,FALSE)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VLOOKUP($A97,Technologies!$A$7:$H$576,3,FALSE)</f>
        <v>Conversion</v>
      </c>
      <c r="D97" s="6" t="str">
        <f>VLOOKUP($A97,Technologies!$A$7:$H$576,4,FALSE)</f>
        <v>Industry</v>
      </c>
      <c r="E97" s="6" t="str">
        <f>VLOOKUP($A97,Technologies!$A$7:$H$576,6,FALSE)</f>
        <v>Chlorine intermediate</v>
      </c>
      <c r="F97" s="48" t="str">
        <f>VLOOKUP($A97,Technologies!$A$7:$H$576,7,FALSE)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1815</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VLOOKUP($A98,Technologies!$A$7:$H$576,3,FALSE)</f>
        <v>Final</v>
      </c>
      <c r="D98" s="6" t="str">
        <f>VLOOKUP($A98,Technologies!$A$7:$H$576,4,FALSE)</f>
        <v>Industry</v>
      </c>
      <c r="E98" s="6" t="str">
        <f>VLOOKUP($A98,Technologies!$A$7:$H$576,6,FALSE)</f>
        <v>Chlorine production - Chemical Industry</v>
      </c>
      <c r="F98" s="48" t="str">
        <f>VLOOKUP($A98,Technologies!$A$7:$H$576,7,FALSE)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VLOOKUP($A99,Technologies!$A$7:$H$576,3,FALSE)</f>
        <v>Conversion</v>
      </c>
      <c r="D99" s="6" t="str">
        <f>VLOOKUP($A99,Technologies!$A$7:$H$576,4,FALSE)</f>
        <v>Industry</v>
      </c>
      <c r="E99" s="6" t="str">
        <f>VLOOKUP($A99,Technologies!$A$7:$H$576,6,FALSE)</f>
        <v>Chlorine intermediate</v>
      </c>
      <c r="F99" s="48" t="str">
        <f>VLOOKUP($A99,Technologies!$A$7:$H$576,7,FALSE)</f>
        <v>Chlor - alkali zero-gap brine electrolysis - Chlorine production</v>
      </c>
      <c r="G99" s="22"/>
      <c r="H99" s="22"/>
      <c r="I99" s="103"/>
      <c r="J99" s="103"/>
      <c r="K99" s="103"/>
      <c r="L99" s="103"/>
      <c r="M99" s="22">
        <v>1</v>
      </c>
      <c r="N99" s="22" t="s">
        <v>320</v>
      </c>
      <c r="O99" s="22"/>
      <c r="P99" s="79" t="s">
        <v>1815</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VLOOKUP($A100,Technologies!$A$7:$H$576,3,FALSE)</f>
        <v>Final</v>
      </c>
      <c r="D100" s="6" t="str">
        <f>VLOOKUP($A100,Technologies!$A$7:$H$576,4,FALSE)</f>
        <v>Industry</v>
      </c>
      <c r="E100" s="6" t="str">
        <f>VLOOKUP($A100,Technologies!$A$7:$H$576,6,FALSE)</f>
        <v>Other ETS chemicals - Chemical Industry</v>
      </c>
      <c r="F100" s="48" t="str">
        <f>VLOOKUP($A100,Technologies!$A$7:$H$576,7,FALSE)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VLOOKUP($A101,Technologies!$A$7:$H$576,3,FALSE)</f>
        <v>Final</v>
      </c>
      <c r="D101" s="5" t="str">
        <f>VLOOKUP($A101,Technologies!$A$7:$H$576,4,FALSE)</f>
        <v>Industry</v>
      </c>
      <c r="E101" s="5" t="str">
        <f>VLOOKUP($A101,Technologies!$A$7:$H$576,6,FALSE)</f>
        <v>Other ETS chemicals - Chemical Industry</v>
      </c>
      <c r="F101" s="5" t="str">
        <f>VLOOKUP($A101,Technologies!$A$7:$H$576,7,FALSE)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VLOOKUP($A102,Technologies!$A$7:$H$576,3,FALSE)</f>
        <v>Final</v>
      </c>
      <c r="D102" s="6" t="str">
        <f>VLOOKUP($A102,Technologies!$A$7:$H$576,4,FALSE)</f>
        <v>Industry</v>
      </c>
      <c r="E102" s="6" t="str">
        <f>VLOOKUP($A102,Technologies!$A$7:$H$576,6,FALSE)</f>
        <v>Other ETS chemicals - Chemical Industry</v>
      </c>
      <c r="F102" s="48" t="str">
        <f>VLOOKUP($A102,Technologies!$A$7:$H$576,7,FALSE)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VLOOKUP($A103,Technologies!$A$7:$H$576,3,FALSE)</f>
        <v>Final</v>
      </c>
      <c r="D103" s="5" t="str">
        <f>VLOOKUP($A103,Technologies!$A$7:$H$576,4,FALSE)</f>
        <v>Industry</v>
      </c>
      <c r="E103" s="5" t="str">
        <f>VLOOKUP($A103,Technologies!$A$7:$H$576,6,FALSE)</f>
        <v>Glass production - ETS Industry</v>
      </c>
      <c r="F103" s="5" t="str">
        <f>VLOOKUP($A103,Technologies!$A$7:$H$576,7,FALSE)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VLOOKUP($A104,Technologies!$A$7:$H$576,3,FALSE)</f>
        <v>Final</v>
      </c>
      <c r="D104" s="6" t="str">
        <f>VLOOKUP($A104,Technologies!$A$7:$H$576,4,FALSE)</f>
        <v>Industry</v>
      </c>
      <c r="E104" s="6" t="str">
        <f>VLOOKUP($A104,Technologies!$A$7:$H$576,6,FALSE)</f>
        <v>Glass production - ETS Industry</v>
      </c>
      <c r="F104" s="48" t="str">
        <f>VLOOKUP($A104,Technologies!$A$7:$H$576,7,FALSE)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VLOOKUP($A105,Technologies!$A$7:$H$576,3,FALSE)</f>
        <v>Final</v>
      </c>
      <c r="D105" s="5" t="str">
        <f>VLOOKUP($A105,Technologies!$A$7:$H$576,4,FALSE)</f>
        <v>Industry</v>
      </c>
      <c r="E105" s="5" t="str">
        <f>VLOOKUP($A105,Technologies!$A$7:$H$576,6,FALSE)</f>
        <v>Glass production - ETS Industry</v>
      </c>
      <c r="F105" s="5" t="str">
        <f>VLOOKUP($A105,Technologies!$A$7:$H$576,7,FALSE)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VLOOKUP($A106,Technologies!$A$7:$H$576,3,FALSE)</f>
        <v>Final</v>
      </c>
      <c r="D106" s="6" t="str">
        <f>VLOOKUP($A106,Technologies!$A$7:$H$576,4,FALSE)</f>
        <v>Industry</v>
      </c>
      <c r="E106" s="6" t="str">
        <f>VLOOKUP($A106,Technologies!$A$7:$H$576,6,FALSE)</f>
        <v>Ceramics production -ETS Industry</v>
      </c>
      <c r="F106" s="48" t="str">
        <f>VLOOKUP($A106,Technologies!$A$7:$H$576,7,FALSE)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VLOOKUP($A107,Technologies!$A$7:$H$576,3,FALSE)</f>
        <v>Final</v>
      </c>
      <c r="D107" s="5" t="str">
        <f>VLOOKUP($A107,Technologies!$A$7:$H$576,4,FALSE)</f>
        <v>Industry</v>
      </c>
      <c r="E107" s="5" t="str">
        <f>VLOOKUP($A107,Technologies!$A$7:$H$576,6,FALSE)</f>
        <v>Ceramics production -ETS Industry</v>
      </c>
      <c r="F107" s="5" t="str">
        <f>VLOOKUP($A107,Technologies!$A$7:$H$576,7,FALSE)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VLOOKUP($A108,Technologies!$A$7:$H$576,3,FALSE)</f>
        <v>Final</v>
      </c>
      <c r="D108" s="6" t="str">
        <f>VLOOKUP($A108,Technologies!$A$7:$H$576,4,FALSE)</f>
        <v>Industry</v>
      </c>
      <c r="E108" s="6" t="str">
        <f>VLOOKUP($A108,Technologies!$A$7:$H$576,6,FALSE)</f>
        <v>Paper production - ETS Industry</v>
      </c>
      <c r="F108" s="48" t="str">
        <f>VLOOKUP($A108,Technologies!$A$7:$H$576,7,FALSE)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1816</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VLOOKUP($A109,Technologies!$A$7:$H$576,3,FALSE)</f>
        <v>Final</v>
      </c>
      <c r="D109" s="5" t="str">
        <f>VLOOKUP($A109,Technologies!$A$7:$H$576,4,FALSE)</f>
        <v>Industry</v>
      </c>
      <c r="E109" s="5" t="str">
        <f>VLOOKUP($A109,Technologies!$A$7:$H$576,6,FALSE)</f>
        <v>Paper production - ETS Industry</v>
      </c>
      <c r="F109" s="5" t="str">
        <f>VLOOKUP($A109,Technologies!$A$7:$H$576,7,FALSE)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1816</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VLOOKUP($A110,Technologies!$A$7:$H$576,3,FALSE)</f>
        <v>Final</v>
      </c>
      <c r="D110" s="6" t="str">
        <f>VLOOKUP($A110,Technologies!$A$7:$H$576,4,FALSE)</f>
        <v>Industry</v>
      </c>
      <c r="E110" s="6" t="str">
        <f>VLOOKUP($A110,Technologies!$A$7:$H$576,6,FALSE)</f>
        <v>Paper production - ETS Industry</v>
      </c>
      <c r="F110" s="48" t="str">
        <f>VLOOKUP($A110,Technologies!$A$7:$H$576,7,FALSE)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1816</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VLOOKUP($A111,Technologies!$A$7:$H$576,3,FALSE)</f>
        <v>Final</v>
      </c>
      <c r="D111" s="5" t="str">
        <f>VLOOKUP($A111,Technologies!$A$7:$H$576,4,FALSE)</f>
        <v>Industry</v>
      </c>
      <c r="E111" s="5" t="str">
        <f>VLOOKUP($A111,Technologies!$A$7:$H$576,6,FALSE)</f>
        <v>Board production - ETS Industry</v>
      </c>
      <c r="F111" s="5" t="str">
        <f>VLOOKUP($A111,Technologies!$A$7:$H$576,7,FALSE)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1816</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VLOOKUP($A112,Technologies!$A$7:$H$576,3,FALSE)</f>
        <v>Final</v>
      </c>
      <c r="D112" s="6" t="str">
        <f>VLOOKUP($A112,Technologies!$A$7:$H$576,4,FALSE)</f>
        <v>Industry</v>
      </c>
      <c r="E112" s="6" t="str">
        <f>VLOOKUP($A112,Technologies!$A$7:$H$576,6,FALSE)</f>
        <v>Board production - ETS Industry</v>
      </c>
      <c r="F112" s="48" t="str">
        <f>VLOOKUP($A112,Technologies!$A$7:$H$576,7,FALSE)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1816</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VLOOKUP($A113,Technologies!$A$7:$H$576,3,FALSE)</f>
        <v>Final</v>
      </c>
      <c r="D113" s="5" t="str">
        <f>VLOOKUP($A113,Technologies!$A$7:$H$576,4,FALSE)</f>
        <v>Industry</v>
      </c>
      <c r="E113" s="5" t="str">
        <f>VLOOKUP($A113,Technologies!$A$7:$H$576,6,FALSE)</f>
        <v>Food production - non-ETS Industry</v>
      </c>
      <c r="F113" s="5" t="str">
        <f>VLOOKUP($A113,Technologies!$A$7:$H$576,7,FALSE)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VLOOKUP($A114,Technologies!$A$7:$H$576,3,FALSE)</f>
        <v>Final</v>
      </c>
      <c r="D114" s="6" t="str">
        <f>VLOOKUP($A114,Technologies!$A$7:$H$576,4,FALSE)</f>
        <v>Industry</v>
      </c>
      <c r="E114" s="6" t="str">
        <f>VLOOKUP($A114,Technologies!$A$7:$H$576,6,FALSE)</f>
        <v>Food production - non-ETS Industry</v>
      </c>
      <c r="F114" s="48" t="str">
        <f>VLOOKUP($A114,Technologies!$A$7:$H$576,7,FALSE)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VLOOKUP($A115,Technologies!$A$7:$H$576,3,FALSE)</f>
        <v>Final</v>
      </c>
      <c r="D115" s="5" t="str">
        <f>VLOOKUP($A115,Technologies!$A$7:$H$576,4,FALSE)</f>
        <v>Industry</v>
      </c>
      <c r="E115" s="5" t="str">
        <f>VLOOKUP($A115,Technologies!$A$7:$H$576,6,FALSE)</f>
        <v>Other ETS - Industry</v>
      </c>
      <c r="F115" s="5" t="str">
        <f>VLOOKUP($A115,Technologies!$A$7:$H$576,7,FALSE)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VLOOKUP($A116,Technologies!$A$7:$H$576,3,FALSE)</f>
        <v>Final</v>
      </c>
      <c r="D116" s="6" t="str">
        <f>VLOOKUP($A116,Technologies!$A$7:$H$576,4,FALSE)</f>
        <v>Industry</v>
      </c>
      <c r="E116" s="6" t="str">
        <f>VLOOKUP($A116,Technologies!$A$7:$H$576,6,FALSE)</f>
        <v>Other ETS - Industry</v>
      </c>
      <c r="F116" s="48" t="str">
        <f>VLOOKUP($A116,Technologies!$A$7:$H$576,7,FALSE)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VLOOKUP($A117,Technologies!$A$7:$H$576,3,FALSE)</f>
        <v>Final</v>
      </c>
      <c r="D117" s="5" t="str">
        <f>VLOOKUP($A117,Technologies!$A$7:$H$576,4,FALSE)</f>
        <v>Industry</v>
      </c>
      <c r="E117" s="5" t="str">
        <f>VLOOKUP($A117,Technologies!$A$7:$H$576,6,FALSE)</f>
        <v>Other non-ETS - Industry</v>
      </c>
      <c r="F117" s="5" t="str">
        <f>VLOOKUP($A117,Technologies!$A$7:$H$576,7,FALSE)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VLOOKUP($A118,Technologies!$A$7:$H$576,3,FALSE)</f>
        <v>Final</v>
      </c>
      <c r="D118" s="6" t="str">
        <f>VLOOKUP($A118,Technologies!$A$7:$H$576,4,FALSE)</f>
        <v>Industry</v>
      </c>
      <c r="E118" s="6" t="str">
        <f>VLOOKUP($A118,Technologies!$A$7:$H$576,6,FALSE)</f>
        <v>Other non-ETS - Industry</v>
      </c>
      <c r="F118" s="48" t="str">
        <f>VLOOKUP($A118,Technologies!$A$7:$H$576,7,FALSE)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VLOOKUP($A119,Technologies!$A$7:$H$576,3,FALSE)</f>
        <v>Final</v>
      </c>
      <c r="D119" s="5" t="str">
        <f>VLOOKUP($A119,Technologies!$A$7:$H$576,4,FALSE)</f>
        <v>Industry</v>
      </c>
      <c r="E119" s="5" t="str">
        <f>VLOOKUP($A119,Technologies!$A$7:$H$576,6,FALSE)</f>
        <v>Other non-ETS - Industry</v>
      </c>
      <c r="F119" s="5" t="str">
        <f>VLOOKUP($A119,Technologies!$A$7:$H$576,7,FALSE)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VLOOKUP($A120,Technologies!$A$7:$H$576,3,FALSE)</f>
        <v>Final</v>
      </c>
      <c r="D120" s="5" t="str">
        <f>VLOOKUP($A120,Technologies!$A$7:$H$576,4,FALSE)</f>
        <v>Industry</v>
      </c>
      <c r="E120" s="5" t="str">
        <f>VLOOKUP($A120,Technologies!$A$7:$H$576,6,FALSE)</f>
        <v>Renewable H2 Credit</v>
      </c>
      <c r="F120" s="5" t="str">
        <f>VLOOKUP($A120,Technologies!$A$7:$H$576,7,FALSE)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VLOOKUP($A121,Technologies!$A$7:$H$576,3,FALSE)</f>
        <v>Final</v>
      </c>
      <c r="D121" s="6" t="str">
        <f>VLOOKUP($A121,Technologies!$A$7:$H$576,4,FALSE)</f>
        <v>Industry</v>
      </c>
      <c r="E121" s="6" t="str">
        <f>VLOOKUP($A121,Technologies!$A$7:$H$576,6,FALSE)</f>
        <v>Machinery - Industry</v>
      </c>
      <c r="F121" s="48" t="str">
        <f>VLOOKUP($A121,Technologies!$A$7:$H$576,7,FALSE)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3" si="28">ROUND(IF($C121="Primary",0,-$G121*(SUMPRODUCT($Q$4:$GA$4,$Q121:$GA121)+$J121)-$H121)*IF($N121=GC$4,1,0),4)</f>
        <v>0</v>
      </c>
      <c r="GD121" s="179">
        <f t="shared" ref="GD121:GD143" si="29">ROUND(IF($C121="Primary",0,$M121*(1-$O121)*($G121*(SUMPRODUCT($Q$4:$GA$4,$Q121:$GA121)+$J121)+$H121-SUMPRODUCT($Q$5:$GA$5,$Q121:$GA121)-$I121+$K121))*IF($N121=GD$4,1,0),4)</f>
        <v>0</v>
      </c>
      <c r="GE121" s="179">
        <f t="shared" ref="GE121:GE143" si="30">ROUND(IF($C121="Primary",0,(1-$M121)*(1-$O121)*($G121*(SUMPRODUCT($Q$4:$GA$4,$Q121:$GA121)+$J121)+$H121-SUMPRODUCT($Q$5:$GA$5,$Q121:$GA121)-$I121+$L121))*IF($N121=GD$4,1,0),4)</f>
        <v>4.7899999999999998E-2</v>
      </c>
      <c r="GF121" s="179">
        <f t="shared" ref="GF121:GF143"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VLOOKUP($A122,Technologies!$A$7:$H$576,3,FALSE)</f>
        <v>Final</v>
      </c>
      <c r="D122" s="5" t="str">
        <f>VLOOKUP($A122,Technologies!$A$7:$H$576,4,FALSE)</f>
        <v>Industry</v>
      </c>
      <c r="E122" s="5" t="str">
        <f>VLOOKUP($A122,Technologies!$A$7:$H$576,6,FALSE)</f>
        <v>Machinery - Industry</v>
      </c>
      <c r="F122" s="5" t="str">
        <f>VLOOKUP($A122,Technologies!$A$7:$H$576,7,FALSE)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VLOOKUP($A123,Technologies!$A$7:$H$576,3,FALSE)</f>
        <v>Final</v>
      </c>
      <c r="D123" s="6" t="str">
        <f>VLOOKUP($A123,Technologies!$A$7:$H$576,4,FALSE)</f>
        <v>Industry</v>
      </c>
      <c r="E123" s="6" t="str">
        <f>VLOOKUP($A123,Technologies!$A$7:$H$576,6,FALSE)</f>
        <v>Machinery - Industry</v>
      </c>
      <c r="F123" s="48" t="str">
        <f>VLOOKUP($A123,Technologies!$A$7:$H$576,7,FALSE)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VLOOKUP($A124,Technologies!$A$7:$H$576,3,FALSE)</f>
        <v>Final</v>
      </c>
      <c r="D124" s="6" t="str">
        <f>VLOOKUP($A124,Technologies!$A$7:$H$576,4,FALSE)</f>
        <v>Industry</v>
      </c>
      <c r="E124" s="6" t="str">
        <f>VLOOKUP($A124,Technologies!$A$7:$H$576,6,FALSE)</f>
        <v>Waste Management</v>
      </c>
      <c r="F124" s="48" t="str">
        <f>VLOOKUP($A124,Technologies!$A$7:$H$576,7,FALSE)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1817</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VLOOKUP($A125,Technologies!$A$7:$H$576,3,FALSE)</f>
        <v>Final</v>
      </c>
      <c r="D125" s="6" t="str">
        <f>VLOOKUP($A125,Technologies!$A$7:$H$576,4,FALSE)</f>
        <v>Industry</v>
      </c>
      <c r="E125" s="6" t="str">
        <f>VLOOKUP($A125,Technologies!$A$7:$H$576,6,FALSE)</f>
        <v>Waste Management</v>
      </c>
      <c r="F125" s="48" t="str">
        <f>VLOOKUP($A125,Technologies!$A$7:$H$576,7,FALSE)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1817</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VLOOKUP($A126,Technologies!$A$7:$H$576,3,FALSE)</f>
        <v>Conversion</v>
      </c>
      <c r="D126" s="6" t="str">
        <f>VLOOKUP($A126,Technologies!$A$7:$H$576,4,FALSE)</f>
        <v>Industry</v>
      </c>
      <c r="E126" s="6" t="str">
        <f>VLOOKUP($A126,Technologies!$A$7:$H$576,6,FALSE)</f>
        <v>Mixed Plastic Waste</v>
      </c>
      <c r="F126" s="48" t="str">
        <f>VLOOKUP($A126,Technologies!$A$7:$H$576,7,FALSE)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1817</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VLOOKUP($A127,Technologies!$A$7:$H$576,3,FALSE)</f>
        <v>Conversion</v>
      </c>
      <c r="D127" s="6" t="str">
        <f>VLOOKUP($A127,Technologies!$A$7:$H$576,4,FALSE)</f>
        <v>Industry</v>
      </c>
      <c r="E127" s="6" t="str">
        <f>VLOOKUP($A127,Technologies!$A$7:$H$576,6,FALSE)</f>
        <v>Heat HT Industry</v>
      </c>
      <c r="F127" s="48" t="str">
        <f>VLOOKUP($A127,Technologies!$A$7:$H$576,7,FALSE)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1818</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VLOOKUP($A128,Technologies!$A$7:$H$576,3,FALSE)</f>
        <v>Conversion</v>
      </c>
      <c r="D128" s="6" t="str">
        <f>VLOOKUP($A128,Technologies!$A$7:$H$576,4,FALSE)</f>
        <v>Industry</v>
      </c>
      <c r="E128" s="6" t="str">
        <f>VLOOKUP($A128,Technologies!$A$7:$H$576,6,FALSE)</f>
        <v>Heat HT Industry</v>
      </c>
      <c r="F128" s="48" t="str">
        <f>VLOOKUP($A128,Technologies!$A$7:$H$576,7,FALSE)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1819</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VLOOKUP($A129,Technologies!$A$7:$H$576,3,FALSE)</f>
        <v>Conversion</v>
      </c>
      <c r="D129" s="6" t="str">
        <f>VLOOKUP($A129,Technologies!$A$7:$H$576,4,FALSE)</f>
        <v>Industry</v>
      </c>
      <c r="E129" s="6" t="str">
        <f>VLOOKUP($A129,Technologies!$A$7:$H$576,6,FALSE)</f>
        <v>Sorted PET</v>
      </c>
      <c r="F129" s="48" t="str">
        <f>VLOOKUP($A129,Technologies!$A$7:$H$576,7,FALSE)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VLOOKUP($A130,Technologies!$A$7:$H$576,3,FALSE)</f>
        <v>Final</v>
      </c>
      <c r="D130" s="6" t="str">
        <f>VLOOKUP($A130,Technologies!$A$7:$H$576,4,FALSE)</f>
        <v>Industry</v>
      </c>
      <c r="E130" s="6" t="str">
        <f>VLOOKUP($A130,Technologies!$A$7:$H$576,6,FALSE)</f>
        <v>Sorted polyethylene</v>
      </c>
      <c r="F130" s="48" t="str">
        <f>VLOOKUP($A130,Technologies!$A$7:$H$576,7,FALSE)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VLOOKUP($A131,Technologies!$A$7:$H$576,3,FALSE)</f>
        <v>Final</v>
      </c>
      <c r="D131" s="6" t="str">
        <f>VLOOKUP($A131,Technologies!$A$7:$H$576,4,FALSE)</f>
        <v>Industry</v>
      </c>
      <c r="E131" s="6" t="str">
        <f>VLOOKUP($A131,Technologies!$A$7:$H$576,6,FALSE)</f>
        <v>Sorted polypropylene</v>
      </c>
      <c r="F131" s="48" t="str">
        <f>VLOOKUP($A131,Technologies!$A$7:$H$576,7,FALSE)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VLOOKUP($A132,Technologies!$A$7:$H$576,3,FALSE)</f>
        <v>Final</v>
      </c>
      <c r="D132" s="6" t="str">
        <f>VLOOKUP($A132,Technologies!$A$7:$H$576,4,FALSE)</f>
        <v>Industry</v>
      </c>
      <c r="E132" s="6" t="str">
        <f>VLOOKUP($A132,Technologies!$A$7:$H$576,6,FALSE)</f>
        <v>Sorted PVC</v>
      </c>
      <c r="F132" s="48" t="str">
        <f>VLOOKUP($A132,Technologies!$A$7:$H$576,7,FALSE)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VLOOKUP($A133,Technologies!$A$7:$H$576,3,FALSE)</f>
        <v>Conversion</v>
      </c>
      <c r="D133" s="6" t="str">
        <f>VLOOKUP($A133,Technologies!$A$7:$H$576,4,FALSE)</f>
        <v>Industry</v>
      </c>
      <c r="E133" s="6" t="str">
        <f>VLOOKUP($A133,Technologies!$A$7:$H$576,6,FALSE)</f>
        <v>Syngas</v>
      </c>
      <c r="F133" s="48" t="str">
        <f>VLOOKUP($A133,Technologies!$A$7:$H$576,7,FALSE)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VLOOKUP($A134,Technologies!$A$7:$H$576,3,FALSE)</f>
        <v>Conversion</v>
      </c>
      <c r="D134" s="6" t="str">
        <f>VLOOKUP($A134,Technologies!$A$7:$H$576,4,FALSE)</f>
        <v>Industry</v>
      </c>
      <c r="E134" s="6" t="str">
        <f>VLOOKUP($A134,Technologies!$A$7:$H$576,6,FALSE)</f>
        <v>Syngas</v>
      </c>
      <c r="F134" s="48" t="str">
        <f>VLOOKUP($A134,Technologies!$A$7:$H$576,7,FALSE)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VLOOKUP($A135,Technologies!$A$7:$H$576,3,FALSE)</f>
        <v>Conversion</v>
      </c>
      <c r="D135" s="6" t="str">
        <f>VLOOKUP($A135,Technologies!$A$7:$H$576,4,FALSE)</f>
        <v>Industry</v>
      </c>
      <c r="E135" s="6" t="str">
        <f>VLOOKUP($A135,Technologies!$A$7:$H$576,6,FALSE)</f>
        <v>Plastic pyrolysis oil</v>
      </c>
      <c r="F135" s="48" t="str">
        <f>VLOOKUP($A135,Technologies!$A$7:$H$576,7,FALSE)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1820</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VLOOKUP($A136,Technologies!$A$7:$H$576,3,FALSE)</f>
        <v>Conversion</v>
      </c>
      <c r="D136" s="6" t="str">
        <f>VLOOKUP($A136,Technologies!$A$7:$H$576,4,FALSE)</f>
        <v>Industry</v>
      </c>
      <c r="E136" s="6" t="str">
        <f>VLOOKUP($A136,Technologies!$A$7:$H$576,6,FALSE)</f>
        <v>BHET</v>
      </c>
      <c r="F136" s="48" t="str">
        <f>VLOOKUP($A136,Technologies!$A$7:$H$576,7,FALSE)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1821</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VLOOKUP($A137,Technologies!$A$7:$H$576,3,FALSE)</f>
        <v>Conversion</v>
      </c>
      <c r="D137" s="6" t="str">
        <f>VLOOKUP($A137,Technologies!$A$7:$H$576,4,FALSE)</f>
        <v>Industry</v>
      </c>
      <c r="E137" s="6" t="str">
        <f>VLOOKUP($A137,Technologies!$A$7:$H$576,6,FALSE)</f>
        <v>BHET</v>
      </c>
      <c r="F137" s="48" t="str">
        <f>VLOOKUP($A137,Technologies!$A$7:$H$576,7,FALSE)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VLOOKUP($A138,Technologies!$A$7:$H$576,3,FALSE)</f>
        <v>Final</v>
      </c>
      <c r="D138" s="6" t="str">
        <f>VLOOKUP($A138,Technologies!$A$7:$H$576,4,FALSE)</f>
        <v>Industry</v>
      </c>
      <c r="E138" s="6" t="str">
        <f>VLOOKUP($A138,Technologies!$A$7:$H$576,6,FALSE)</f>
        <v>Sorted polypropylene</v>
      </c>
      <c r="F138" s="48" t="str">
        <f>VLOOKUP($A138,Technologies!$A$7:$H$576,7,FALSE)</f>
        <v>Dissolution PP</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6"/>
      <c r="AI138" s="36"/>
      <c r="AJ138" s="36"/>
      <c r="AK138" s="36">
        <f>1/1.11111111</f>
        <v>0.90000000089999999</v>
      </c>
      <c r="AL138" s="36"/>
      <c r="AM138" s="36"/>
      <c r="AN138" s="36"/>
      <c r="AO138" s="36"/>
      <c r="AP138" s="36"/>
      <c r="AQ138" s="36"/>
      <c r="AR138" s="36"/>
      <c r="AS138" s="36"/>
      <c r="AT138" s="36"/>
      <c r="AU138" s="36"/>
      <c r="AV138" s="36"/>
      <c r="AW138" s="36"/>
      <c r="AX138" s="36"/>
      <c r="AY138" s="36"/>
      <c r="AZ138" s="35"/>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f>-1</f>
        <v>-1</v>
      </c>
      <c r="DD138" s="36"/>
      <c r="DE138" s="36"/>
      <c r="DF138" s="36"/>
      <c r="DG138" s="36"/>
      <c r="DH138" s="36">
        <f>$DH$80*(1-0.47)</f>
        <v>-0.68937100000000007</v>
      </c>
      <c r="DI138" s="36"/>
      <c r="DJ138" s="36"/>
      <c r="DK138" s="36"/>
      <c r="DL138" s="36"/>
      <c r="DM138" s="36"/>
      <c r="DN138" s="36"/>
      <c r="DO138" s="36">
        <f>$DO$80*(1-0.47)</f>
        <v>-2.1739009999999999</v>
      </c>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36"/>
      <c r="EX138" s="36"/>
      <c r="EY138" s="36"/>
      <c r="EZ138" s="36"/>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VLOOKUP($A139,Technologies!$A$7:$H$576,3,FALSE)</f>
        <v>Final</v>
      </c>
      <c r="D139" s="6" t="str">
        <f>VLOOKUP($A139,Technologies!$A$7:$H$576,4,FALSE)</f>
        <v>Industry</v>
      </c>
      <c r="E139" s="6" t="str">
        <f>VLOOKUP($A139,Technologies!$A$7:$H$576,6,FALSE)</f>
        <v>Sorted PVC</v>
      </c>
      <c r="F139" s="48" t="str">
        <f>VLOOKUP($A139,Technologies!$A$7:$H$576,7,FALSE)</f>
        <v>Depolymerization PVC</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5"/>
      <c r="AI139" s="35"/>
      <c r="AJ139" s="35"/>
      <c r="AK139" s="35"/>
      <c r="AL139" s="35"/>
      <c r="AM139" s="35">
        <v>0.9</v>
      </c>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5"/>
      <c r="CX139" s="35"/>
      <c r="CY139" s="35"/>
      <c r="CZ139" s="35"/>
      <c r="DA139" s="35"/>
      <c r="DB139" s="35"/>
      <c r="DC139" s="35"/>
      <c r="DD139" s="35"/>
      <c r="DE139" s="35">
        <f>-1/0.95</f>
        <v>-1.0526315789473684</v>
      </c>
      <c r="DF139" s="36"/>
      <c r="DG139" s="36"/>
      <c r="DH139" s="35">
        <f>-1.40184/1.11111111</f>
        <v>-1.261656001261656</v>
      </c>
      <c r="DI139" s="35"/>
      <c r="DJ139" s="35"/>
      <c r="DK139" s="35"/>
      <c r="DL139" s="35"/>
      <c r="DM139" s="35"/>
      <c r="DN139" s="35"/>
      <c r="DO139" s="35">
        <f>-30.244239696/1.11111111</f>
        <v>-27.219815753619816</v>
      </c>
      <c r="DP139" s="35"/>
      <c r="DQ139" s="36"/>
      <c r="DR139" s="36"/>
      <c r="DS139" s="36"/>
      <c r="DT139" s="36"/>
      <c r="DU139" s="36"/>
      <c r="DV139" s="36"/>
      <c r="DW139" s="36"/>
      <c r="DX139" s="36"/>
      <c r="DY139" s="36"/>
      <c r="DZ139" s="36"/>
      <c r="EA139" s="36"/>
      <c r="EB139" s="36"/>
      <c r="EC139" s="36"/>
      <c r="ED139" s="35"/>
      <c r="EE139" s="36"/>
      <c r="EF139" s="36"/>
      <c r="EG139" s="35"/>
      <c r="EH139" s="36"/>
      <c r="EI139" s="36"/>
      <c r="EJ139" s="35"/>
      <c r="EK139" s="36"/>
      <c r="EL139" s="36"/>
      <c r="EM139" s="35"/>
      <c r="EN139" s="36"/>
      <c r="EO139" s="36"/>
      <c r="EP139" s="35"/>
      <c r="EQ139" s="36"/>
      <c r="ER139" s="36"/>
      <c r="ES139" s="36"/>
      <c r="ET139" s="36"/>
      <c r="EU139" s="36"/>
      <c r="EV139" s="36"/>
      <c r="EW139" s="35"/>
      <c r="EX139" s="35"/>
      <c r="EY139" s="35"/>
      <c r="EZ139" s="35"/>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VLOOKUP($A140,Technologies!$A$7:$H$576,3,FALSE)</f>
        <v>Final</v>
      </c>
      <c r="D140" s="6" t="str">
        <f>VLOOKUP($A140,Technologies!$A$7:$H$576,4,FALSE)</f>
        <v>Industry</v>
      </c>
      <c r="E140" s="6" t="str">
        <f>VLOOKUP($A140,Technologies!$A$7:$H$576,6,FALSE)</f>
        <v>Sorted polyethylene</v>
      </c>
      <c r="F140" s="48" t="str">
        <f>VLOOKUP($A140,Technologies!$A$7:$H$576,7,FALSE)</f>
        <v>Dissolution of PE waste streams</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6">
        <f>0.684210526315789/1.11111111</f>
        <v>0.61578947429999964</v>
      </c>
      <c r="AI140" s="36"/>
      <c r="AJ140" s="36">
        <f>0.315789473684211/1.11111111</f>
        <v>0.28421052660000046</v>
      </c>
      <c r="AK140" s="36"/>
      <c r="AL140" s="36"/>
      <c r="AM140" s="36"/>
      <c r="AN140" s="36"/>
      <c r="AO140" s="36"/>
      <c r="AP140" s="36"/>
      <c r="AQ140" s="36"/>
      <c r="AR140" s="36"/>
      <c r="AS140" s="36"/>
      <c r="AT140" s="36"/>
      <c r="AU140" s="36"/>
      <c r="AV140" s="36"/>
      <c r="AW140" s="36"/>
      <c r="AX140" s="36"/>
      <c r="AY140" s="36"/>
      <c r="AZ140" s="35"/>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v>-1</v>
      </c>
      <c r="DC140" s="36"/>
      <c r="DD140" s="36"/>
      <c r="DE140" s="36"/>
      <c r="DF140" s="36"/>
      <c r="DG140" s="36"/>
      <c r="DH140" s="36">
        <f>$DH$80*(1-0.47)</f>
        <v>-0.68937100000000007</v>
      </c>
      <c r="DI140" s="36"/>
      <c r="DJ140" s="36"/>
      <c r="DK140" s="36"/>
      <c r="DL140" s="36"/>
      <c r="DM140" s="36"/>
      <c r="DN140" s="36"/>
      <c r="DO140" s="36">
        <f>$DO$80*(1-0.47)</f>
        <v>-2.1739009999999999</v>
      </c>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1020</v>
      </c>
      <c r="B141" s="6" t="str">
        <f>IF(Technologies!B141&lt;&gt;0,Technologies!B141,"")</f>
        <v>Industrie</v>
      </c>
      <c r="C141" s="6" t="str">
        <f>VLOOKUP($A141,Technologies!$A$7:$H$576,3,FALSE)</f>
        <v>Conversion</v>
      </c>
      <c r="D141" s="6" t="str">
        <f>VLOOKUP($A141,Technologies!$A$7:$H$576,4,FALSE)</f>
        <v>Industry</v>
      </c>
      <c r="E141" s="6" t="str">
        <f>VLOOKUP($A141,Technologies!$A$7:$H$576,6,FALSE)</f>
        <v>Waste for incineration</v>
      </c>
      <c r="F141" s="48" t="str">
        <f>VLOOKUP($A141,Technologies!$A$7:$H$576,7,FALSE)</f>
        <v>Dummy - conversion of municipal waste to waste for incineration</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502</v>
      </c>
      <c r="Q141" s="36"/>
      <c r="R141" s="36"/>
      <c r="S141" s="36"/>
      <c r="T141" s="36"/>
      <c r="U141" s="36"/>
      <c r="V141" s="36"/>
      <c r="W141" s="36"/>
      <c r="X141" s="36"/>
      <c r="Y141" s="36"/>
      <c r="Z141" s="36"/>
      <c r="AA141" s="36"/>
      <c r="AB141" s="36"/>
      <c r="AC141" s="36"/>
      <c r="AD141" s="36"/>
      <c r="AE141" s="36"/>
      <c r="AF141" s="36"/>
      <c r="AG141" s="36"/>
      <c r="AH141" s="35"/>
      <c r="AI141" s="35"/>
      <c r="AJ141" s="35"/>
      <c r="AK141" s="35"/>
      <c r="AL141" s="35"/>
      <c r="AM141" s="35"/>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5"/>
      <c r="CX141" s="35"/>
      <c r="CY141" s="35"/>
      <c r="CZ141" s="35"/>
      <c r="DA141" s="35"/>
      <c r="DB141" s="35"/>
      <c r="DC141" s="35"/>
      <c r="DD141" s="35"/>
      <c r="DE141" s="35"/>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5"/>
      <c r="EE141" s="36"/>
      <c r="EF141" s="36"/>
      <c r="EG141" s="35"/>
      <c r="EH141" s="36"/>
      <c r="EI141" s="36"/>
      <c r="EJ141" s="35"/>
      <c r="EK141" s="36"/>
      <c r="EL141" s="36"/>
      <c r="EM141" s="35"/>
      <c r="EN141" s="36"/>
      <c r="EO141" s="36"/>
      <c r="EP141" s="35"/>
      <c r="EQ141" s="36"/>
      <c r="ER141" s="36"/>
      <c r="ES141" s="36"/>
      <c r="ET141" s="36"/>
      <c r="EU141" s="36"/>
      <c r="EV141" s="36"/>
      <c r="EW141" s="35">
        <v>-1</v>
      </c>
      <c r="EX141" s="35"/>
      <c r="EY141" s="35">
        <v>1</v>
      </c>
      <c r="EZ141" s="35"/>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-1.72E-2</v>
      </c>
      <c r="GF141" s="179">
        <f t="shared" si="31"/>
        <v>0</v>
      </c>
      <c r="GG141" s="179">
        <f t="shared" si="21"/>
        <v>0</v>
      </c>
    </row>
    <row r="142" spans="1:189" x14ac:dyDescent="0.35">
      <c r="A142" s="6" t="s">
        <v>1022</v>
      </c>
      <c r="B142" s="6" t="str">
        <f>IF(Technologies!B142&lt;&gt;0,Technologies!B142,"")</f>
        <v>Industrie</v>
      </c>
      <c r="C142" s="6" t="str">
        <f>VLOOKUP($A142,Technologies!$A$7:$H$576,3,FALSE)</f>
        <v>Conversion</v>
      </c>
      <c r="D142" s="6" t="str">
        <f>VLOOKUP($A142,Technologies!$A$7:$H$576,4,FALSE)</f>
        <v>Industry</v>
      </c>
      <c r="E142" s="6" t="str">
        <f>VLOOKUP($A142,Technologies!$A$7:$H$576,6,FALSE)</f>
        <v>Waste for incineration</v>
      </c>
      <c r="F142" s="48" t="str">
        <f>VLOOKUP($A142,Technologies!$A$7:$H$576,7,FALSE)</f>
        <v>Dummy - conversion of residual plastic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5"/>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v>1</v>
      </c>
      <c r="EZ142" s="36">
        <v>-1</v>
      </c>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-1.6999999999999999E-3</v>
      </c>
      <c r="GF142" s="179">
        <f t="shared" si="31"/>
        <v>0</v>
      </c>
      <c r="GG142" s="179">
        <f t="shared" si="21"/>
        <v>0</v>
      </c>
    </row>
    <row r="143" spans="1:189" x14ac:dyDescent="0.35">
      <c r="A143" s="6" t="s">
        <v>1024</v>
      </c>
      <c r="B143" s="6" t="str">
        <f>IF(Technologies!B143&lt;&gt;0,Technologies!B143,"")</f>
        <v>Industrie</v>
      </c>
      <c r="C143" s="6" t="str">
        <f>VLOOKUP($A143,Technologies!$A$7:$H$576,3,FALSE)</f>
        <v>Conversion</v>
      </c>
      <c r="D143" s="6" t="str">
        <f>VLOOKUP($A143,Technologies!$A$7:$H$576,4,FALSE)</f>
        <v>Industry</v>
      </c>
      <c r="E143" s="6" t="str">
        <f>VLOOKUP($A143,Technologies!$A$7:$H$576,6,FALSE)</f>
        <v>Waste for incineration</v>
      </c>
      <c r="F143" s="48" t="str">
        <f>VLOOKUP($A143,Technologies!$A$7:$H$576,7,FALSE)</f>
        <v>Dummy - conversion of mixed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5"/>
      <c r="AI143" s="35"/>
      <c r="AJ143" s="35"/>
      <c r="AK143" s="35"/>
      <c r="AL143" s="35"/>
      <c r="AM143" s="35"/>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5"/>
      <c r="CX143" s="35"/>
      <c r="CY143" s="35"/>
      <c r="CZ143" s="35"/>
      <c r="DA143" s="35"/>
      <c r="DB143" s="35"/>
      <c r="DC143" s="35">
        <f>-1.11111111111111/1.11111111</f>
        <v>-1.0000000009999992</v>
      </c>
      <c r="DD143" s="35"/>
      <c r="DE143" s="35"/>
      <c r="DF143" s="36"/>
      <c r="DG143" s="36"/>
      <c r="DH143" s="35"/>
      <c r="DI143" s="35"/>
      <c r="DJ143" s="35"/>
      <c r="DK143" s="35"/>
      <c r="DL143" s="35"/>
      <c r="DM143" s="35"/>
      <c r="DN143" s="35"/>
      <c r="DO143" s="35"/>
      <c r="DP143" s="35"/>
      <c r="DQ143" s="36"/>
      <c r="DR143" s="36"/>
      <c r="DS143" s="36"/>
      <c r="DT143" s="36"/>
      <c r="DU143" s="36"/>
      <c r="DV143" s="36"/>
      <c r="DW143" s="36"/>
      <c r="DX143" s="36"/>
      <c r="DY143" s="36"/>
      <c r="DZ143" s="36"/>
      <c r="EA143" s="36"/>
      <c r="EB143" s="36"/>
      <c r="EC143" s="36"/>
      <c r="ED143" s="35"/>
      <c r="EE143" s="36"/>
      <c r="EF143" s="36"/>
      <c r="EG143" s="35"/>
      <c r="EH143" s="36"/>
      <c r="EI143" s="36"/>
      <c r="EJ143" s="35"/>
      <c r="EK143" s="36"/>
      <c r="EL143" s="36"/>
      <c r="EM143" s="35"/>
      <c r="EN143" s="36"/>
      <c r="EO143" s="36"/>
      <c r="EP143" s="35"/>
      <c r="EQ143" s="36"/>
      <c r="ER143" s="36"/>
      <c r="ES143" s="36"/>
      <c r="ET143" s="36"/>
      <c r="EU143" s="36"/>
      <c r="EV143" s="36"/>
      <c r="EW143" s="35"/>
      <c r="EX143" s="35">
        <v>-1</v>
      </c>
      <c r="EY143" s="35">
        <v>19</v>
      </c>
      <c r="EZ143" s="35"/>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1.1545000000000001</v>
      </c>
      <c r="GF143" s="179">
        <f t="shared" si="31"/>
        <v>0</v>
      </c>
      <c r="GG143" s="179">
        <f t="shared" si="21"/>
        <v>0</v>
      </c>
    </row>
    <row r="144" spans="1:189" x14ac:dyDescent="0.35">
      <c r="A144" s="6" t="s">
        <v>1026</v>
      </c>
      <c r="B144" s="6" t="str">
        <f>IF(Technologies!B144&lt;&gt;0,Technologies!B144,"")</f>
        <v>Industrie</v>
      </c>
      <c r="C144" s="6" t="str">
        <f>VLOOKUP($A144,Technologies!$A$7:$H$576,3,FALSE)</f>
        <v>Final</v>
      </c>
      <c r="D144" s="6" t="str">
        <f>VLOOKUP($A144,Technologies!$A$7:$H$576,4,FALSE)</f>
        <v>Industry</v>
      </c>
      <c r="E144" s="6" t="str">
        <f>VLOOKUP($A144,Technologies!$A$7:$H$576,6,FALSE)</f>
        <v>Sorted polypropylene</v>
      </c>
      <c r="F144" s="48" t="str">
        <f>VLOOKUP($A144,Technologies!$A$7:$H$576,7,FALSE)</f>
        <v>Depolymerization PP</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1012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v>0.9</v>
      </c>
      <c r="CU144" s="36"/>
      <c r="CV144" s="36"/>
      <c r="CW144" s="35"/>
      <c r="CX144" s="35"/>
      <c r="CY144" s="35"/>
      <c r="CZ144" s="35"/>
      <c r="DA144" s="35"/>
      <c r="DB144" s="35"/>
      <c r="DC144" s="35"/>
      <c r="DD144" s="35"/>
      <c r="DE144" s="35"/>
      <c r="DF144" s="36"/>
      <c r="DG144" s="36"/>
      <c r="DH144" s="35">
        <f>-1.40184/1.11111111</f>
        <v>-1.261656001261656</v>
      </c>
      <c r="DI144" s="36"/>
      <c r="DJ144" s="36"/>
      <c r="DK144" s="36"/>
      <c r="DL144" s="36"/>
      <c r="DM144" s="36"/>
      <c r="DN144" s="36"/>
      <c r="DO144" s="35">
        <f>-30.244239696/1.11111111</f>
        <v>-27.219815753619816</v>
      </c>
      <c r="DP144" s="36"/>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c r="EY144" s="35"/>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c r="GD144" s="179"/>
      <c r="GE144" s="179"/>
      <c r="GF144" s="179"/>
      <c r="GG144" s="179">
        <f t="shared" si="21"/>
        <v>0</v>
      </c>
    </row>
    <row r="145" spans="1:189" x14ac:dyDescent="0.35">
      <c r="A145" s="6" t="s">
        <v>1028</v>
      </c>
      <c r="B145" s="6" t="str">
        <f>IF(Technologies!B145&lt;&gt;0,Technologies!B145,"")</f>
        <v>Mobiliteit</v>
      </c>
      <c r="C145" s="6" t="str">
        <f>VLOOKUP($A145,Technologies!$A$7:$H$576,3,FALSE)</f>
        <v>Final</v>
      </c>
      <c r="D145" s="6" t="str">
        <f>VLOOKUP($A145,Technologies!$A$7:$H$576,4,FALSE)</f>
        <v>Transport</v>
      </c>
      <c r="E145" s="6" t="str">
        <f>VLOOKUP($A145,Technologies!$A$7:$H$576,6,FALSE)</f>
        <v>Motorcycles</v>
      </c>
      <c r="F145" s="48" t="str">
        <f>VLOOKUP($A145,Technologies!$A$7:$H$576,7,FALSE)</f>
        <v>ICE Vehicle - Motorcycle</v>
      </c>
      <c r="G145" s="23"/>
      <c r="H145" s="23"/>
      <c r="I145" s="103" cm="1">
        <f t="array" ref="I145">-SUMPRODUCT((Feedstocks!$C$4:$C$141=A145)*Feedstocks!$E$4:$E$141,Feedstocks!$F$4:$F$141,Feedstocks!$H$4:$H$141,Feedstocks!$I$4:$I$141)</f>
        <v>0</v>
      </c>
      <c r="J145" s="103" cm="1">
        <f t="array" ref="J145">-SUMPRODUCT((Feedstocks!$C$4:$C$141=A145)*Feedstocks!$E$4:$E$141,Feedstocks!$H$4:$H$141,Feedstocks!$I$4:$I$141)</f>
        <v>0</v>
      </c>
      <c r="K145" s="103"/>
      <c r="L145" s="103"/>
      <c r="M145" s="22"/>
      <c r="N145" s="22" t="str">
        <f>VLOOKUP(E145,Activities!$A$9:$M$227,13,FALSE)</f>
        <v>NL</v>
      </c>
      <c r="O145" s="22"/>
      <c r="P145" s="80" t="s">
        <v>699</v>
      </c>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5"/>
      <c r="BA145" s="36">
        <v>1</v>
      </c>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v>-0.89</v>
      </c>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f t="shared" ref="GC145:GC191" si="32">ROUND(IF($C145="Primary",0,-$G145*(SUMPRODUCT($Q$4:$GA$4,$Q145:$GA145)+$J145)-$H145)*IF($N145=GC$4,1,0),4)</f>
        <v>0</v>
      </c>
      <c r="GD145" s="179">
        <f t="shared" ref="GD145:GD191" si="33">ROUND(IF($C145="Primary",0,$M145*(1-$O145)*($G145*(SUMPRODUCT($Q$4:$GA$4,$Q145:$GA145)+$J145)+$H145-SUMPRODUCT($Q$5:$GA$5,$Q145:$GA145)-$I145+$K145))*IF($N145=GD$4,1,0),4)</f>
        <v>0</v>
      </c>
      <c r="GE145" s="179">
        <f t="shared" ref="GE145:GE191" si="34">ROUND(IF($C145="Primary",0,(1-$M145)*(1-$O145)*($G145*(SUMPRODUCT($Q$4:$GA$4,$Q145:$GA145)+$J145)+$H145-SUMPRODUCT($Q$5:$GA$5,$Q145:$GA145)-$I145+$L145))*IF($N145=GD$4,1,0),4)</f>
        <v>6.5000000000000002E-2</v>
      </c>
      <c r="GF145" s="179">
        <f t="shared" ref="GF145:GF191" si="35">ROUND(IF($C145="Primary",0,$O145*($G145*(SUMPRODUCT($Q$4:$GA$4,$Q145:$GA145)+$J145)-SUMPRODUCT($Q$5:$GA$5,$Q145:$GA145)-$I145))*IF($N145=GD$4,1,0),4)</f>
        <v>0</v>
      </c>
      <c r="GG145" s="179">
        <f t="shared" si="21"/>
        <v>0</v>
      </c>
    </row>
    <row r="146" spans="1:189" x14ac:dyDescent="0.35">
      <c r="A146" s="5" t="s">
        <v>1033</v>
      </c>
      <c r="B146" s="5" t="str">
        <f>IF(Technologies!B146&lt;&gt;0,Technologies!B146,"")</f>
        <v>Mobiliteit</v>
      </c>
      <c r="C146" s="5" t="str">
        <f>VLOOKUP($A146,Technologies!$A$7:$H$576,3,FALSE)</f>
        <v>Final</v>
      </c>
      <c r="D146" s="5" t="str">
        <f>VLOOKUP($A146,Technologies!$A$7:$H$576,4,FALSE)</f>
        <v>Transport</v>
      </c>
      <c r="E146" s="5" t="str">
        <f>VLOOKUP($A146,Technologies!$A$7:$H$576,6,FALSE)</f>
        <v>Motorcycles</v>
      </c>
      <c r="F146" s="5" t="str">
        <f>VLOOKUP($A146,Technologies!$A$7:$H$576,7,FALSE)</f>
        <v>Electric Battery Vehicle - Motorcycle</v>
      </c>
      <c r="G146" s="23"/>
      <c r="H146" s="23"/>
      <c r="I146" s="104" cm="1">
        <f t="array" ref="I146">-SUMPRODUCT((Feedstocks!$C$4:$C$141=A146)*Feedstocks!$E$4:$E$141,Feedstocks!$F$4:$F$141,Feedstocks!$H$4:$H$141,Feedstocks!$I$4:$I$141)</f>
        <v>0</v>
      </c>
      <c r="J146" s="104" cm="1">
        <f t="array" ref="J146">-SUMPRODUCT((Feedstocks!$C$4:$C$141=A146)*Feedstocks!$E$4:$E$141,Feedstocks!$H$4:$H$141,Feedstocks!$I$4:$I$141)</f>
        <v>0</v>
      </c>
      <c r="K146" s="104"/>
      <c r="L146" s="104"/>
      <c r="M146" s="23"/>
      <c r="N146" s="23" t="str">
        <f>VLOOKUP(E146,Activities!$A$9:$M$227,13,FALSE)</f>
        <v>NL</v>
      </c>
      <c r="O146" s="23"/>
      <c r="P146" s="79" t="s">
        <v>699</v>
      </c>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6"/>
      <c r="BA146" s="35">
        <v>1</v>
      </c>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v>-0.32</v>
      </c>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18"/>
      <c r="GC146" s="178">
        <f t="shared" si="32"/>
        <v>0</v>
      </c>
      <c r="GD146" s="178">
        <f t="shared" si="33"/>
        <v>0</v>
      </c>
      <c r="GE146" s="178">
        <f t="shared" si="34"/>
        <v>0</v>
      </c>
      <c r="GF146" s="178">
        <f t="shared" si="35"/>
        <v>0</v>
      </c>
      <c r="GG146" s="178">
        <f t="shared" ref="GG146:GG209" si="36">$I146</f>
        <v>0</v>
      </c>
    </row>
    <row r="147" spans="1:189" x14ac:dyDescent="0.35">
      <c r="A147" s="6" t="s">
        <v>1036</v>
      </c>
      <c r="B147" s="6" t="str">
        <f>IF(Technologies!B147&lt;&gt;0,Technologies!B147,"")</f>
        <v>Mobiliteit</v>
      </c>
      <c r="C147" s="6" t="str">
        <f>VLOOKUP($A147,Technologies!$A$7:$H$576,3,FALSE)</f>
        <v>Final</v>
      </c>
      <c r="D147" s="6" t="str">
        <f>VLOOKUP($A147,Technologies!$A$7:$H$576,4,FALSE)</f>
        <v>Transport</v>
      </c>
      <c r="E147" s="6" t="str">
        <f>VLOOKUP($A147,Technologies!$A$7:$H$576,6,FALSE)</f>
        <v>Passenger Cars</v>
      </c>
      <c r="F147" s="48" t="str">
        <f>VLOOKUP($A147,Technologies!$A$7:$H$576,7,FALSE)</f>
        <v>ICE 2010 norm Vehicle - Cars</v>
      </c>
      <c r="G147" s="22"/>
      <c r="H147" s="22"/>
      <c r="I147" s="103" cm="1">
        <f t="array" ref="I147">-SUMPRODUCT((Feedstocks!$C$4:$C$141=A147)*Feedstocks!$E$4:$E$141,Feedstocks!$F$4:$F$141,Feedstocks!$H$4:$H$141,Feedstocks!$I$4:$I$141)</f>
        <v>0</v>
      </c>
      <c r="J147" s="103" cm="1">
        <f t="array" ref="J147">-SUMPRODUCT((Feedstocks!$C$4:$C$141=A147)*Feedstocks!$E$4:$E$141,Feedstocks!$H$4:$H$141,Feedstocks!$I$4:$I$141)</f>
        <v>0</v>
      </c>
      <c r="K147" s="103"/>
      <c r="L147" s="103"/>
      <c r="M147" s="22"/>
      <c r="N147" s="22" t="str">
        <f>VLOOKUP(E147,Activities!$A$9:$M$227,13,FALSE)</f>
        <v>NL</v>
      </c>
      <c r="O147" s="22"/>
      <c r="P147" s="80" t="s">
        <v>699</v>
      </c>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5"/>
      <c r="BA147" s="36"/>
      <c r="BB147" s="36">
        <v>1</v>
      </c>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v>-2.3653864947983001</v>
      </c>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c r="FJ147" s="36"/>
      <c r="FK147" s="36"/>
      <c r="FL147" s="36"/>
      <c r="FM147" s="36"/>
      <c r="FN147" s="36"/>
      <c r="FO147" s="36"/>
      <c r="FP147" s="36"/>
      <c r="FQ147" s="36"/>
      <c r="FR147" s="36"/>
      <c r="FS147" s="36"/>
      <c r="FT147" s="36"/>
      <c r="FU147" s="36"/>
      <c r="FV147" s="36"/>
      <c r="FW147" s="36"/>
      <c r="FX147" s="36"/>
      <c r="FY147" s="36"/>
      <c r="FZ147" s="36"/>
      <c r="GA147" s="36"/>
      <c r="GB147" s="319"/>
      <c r="GC147" s="179">
        <f t="shared" si="32"/>
        <v>0</v>
      </c>
      <c r="GD147" s="179">
        <f t="shared" si="33"/>
        <v>0</v>
      </c>
      <c r="GE147" s="179">
        <f t="shared" si="34"/>
        <v>0.17269999999999999</v>
      </c>
      <c r="GF147" s="179">
        <f t="shared" si="35"/>
        <v>0</v>
      </c>
      <c r="GG147" s="179">
        <f t="shared" si="36"/>
        <v>0</v>
      </c>
    </row>
    <row r="148" spans="1:189" x14ac:dyDescent="0.35">
      <c r="A148" s="5" t="s">
        <v>1038</v>
      </c>
      <c r="B148" s="6" t="str">
        <f>IF(Technologies!B148&lt;&gt;0,Technologies!B148,"")</f>
        <v>Mobiliteit</v>
      </c>
      <c r="C148" s="5" t="str">
        <f>VLOOKUP($A148,Technologies!$A$7:$H$576,3,FALSE)</f>
        <v>Final</v>
      </c>
      <c r="D148" s="5" t="str">
        <f>VLOOKUP($A148,Technologies!$A$7:$H$576,4,FALSE)</f>
        <v>Transport</v>
      </c>
      <c r="E148" s="5" t="str">
        <f>VLOOKUP($A148,Technologies!$A$7:$H$576,6,FALSE)</f>
        <v>Passenger Cars</v>
      </c>
      <c r="F148" s="5" t="str">
        <f>VLOOKUP($A148,Technologies!$A$7:$H$576,7,FALSE)</f>
        <v>ICE efficient Vehicle - Cars</v>
      </c>
      <c r="G148" s="23"/>
      <c r="H148" s="23"/>
      <c r="I148" s="104" cm="1">
        <f t="array" ref="I148">-SUMPRODUCT((Feedstocks!$C$4:$C$141=A148)*Feedstocks!$E$4:$E$141,Feedstocks!$F$4:$F$141,Feedstocks!$H$4:$H$141,Feedstocks!$I$4:$I$141)</f>
        <v>0</v>
      </c>
      <c r="J148" s="104" cm="1">
        <f t="array" ref="J148">-SUMPRODUCT((Feedstocks!$C$4:$C$141=A148)*Feedstocks!$E$4:$E$141,Feedstocks!$H$4:$H$141,Feedstocks!$I$4:$I$141)</f>
        <v>0</v>
      </c>
      <c r="K148" s="104"/>
      <c r="L148" s="104"/>
      <c r="M148" s="23"/>
      <c r="N148" s="23" t="str">
        <f>VLOOKUP(E148,Activities!$A$9:$M$227,13,FALSE)</f>
        <v>NL</v>
      </c>
      <c r="O148" s="23"/>
      <c r="P148" s="79" t="s">
        <v>699</v>
      </c>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v>1</v>
      </c>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v>-1.518</v>
      </c>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18"/>
      <c r="GC148" s="178">
        <f t="shared" si="32"/>
        <v>0</v>
      </c>
      <c r="GD148" s="178">
        <f t="shared" si="33"/>
        <v>0</v>
      </c>
      <c r="GE148" s="178">
        <f t="shared" si="34"/>
        <v>0.1108</v>
      </c>
      <c r="GF148" s="178">
        <f t="shared" si="35"/>
        <v>0</v>
      </c>
      <c r="GG148" s="178">
        <f t="shared" si="36"/>
        <v>0</v>
      </c>
    </row>
    <row r="149" spans="1:189" x14ac:dyDescent="0.35">
      <c r="A149" s="6" t="s">
        <v>1041</v>
      </c>
      <c r="B149" s="6" t="str">
        <f>IF(Technologies!B149&lt;&gt;0,Technologies!B149,"")</f>
        <v>Mobiliteit</v>
      </c>
      <c r="C149" s="6" t="str">
        <f>VLOOKUP($A149,Technologies!$A$7:$H$576,3,FALSE)</f>
        <v>Final</v>
      </c>
      <c r="D149" s="6" t="str">
        <f>VLOOKUP($A149,Technologies!$A$7:$H$576,4,FALSE)</f>
        <v>Transport</v>
      </c>
      <c r="E149" s="6" t="str">
        <f>VLOOKUP($A149,Technologies!$A$7:$H$576,6,FALSE)</f>
        <v>Passenger Cars</v>
      </c>
      <c r="F149" s="48" t="str">
        <f>VLOOKUP($A149,Technologies!$A$7:$H$576,7,FALSE)</f>
        <v>ICE Bio Diesel Vehicle - Cars</v>
      </c>
      <c r="G149" s="22"/>
      <c r="H149" s="22"/>
      <c r="I149" s="103" cm="1">
        <f t="array" ref="I149">-SUMPRODUCT((Feedstocks!$C$4:$C$141=A149)*Feedstocks!$E$4:$E$141,Feedstocks!$F$4:$F$141,Feedstocks!$H$4:$H$141,Feedstocks!$I$4:$I$141)</f>
        <v>0</v>
      </c>
      <c r="J149" s="103" cm="1">
        <f t="array" ref="J149">-SUMPRODUCT((Feedstocks!$C$4:$C$141=A149)*Feedstocks!$E$4:$E$141,Feedstocks!$H$4:$H$141,Feedstocks!$I$4:$I$141)</f>
        <v>0</v>
      </c>
      <c r="K149" s="103"/>
      <c r="L149" s="103"/>
      <c r="M149" s="22"/>
      <c r="N149" s="22" t="str">
        <f>VLOOKUP(E149,Activities!$A$9:$M$227,13,FALSE)</f>
        <v>NL</v>
      </c>
      <c r="O149" s="22"/>
      <c r="P149" s="80" t="s">
        <v>1040</v>
      </c>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v>1</v>
      </c>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v>-1.518</v>
      </c>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36"/>
      <c r="EX149" s="36"/>
      <c r="EY149" s="36"/>
      <c r="EZ149" s="36"/>
      <c r="FA149" s="36"/>
      <c r="FB149" s="36"/>
      <c r="FC149" s="36"/>
      <c r="FD149" s="36"/>
      <c r="FE149" s="36"/>
      <c r="FF149" s="36"/>
      <c r="FG149" s="36"/>
      <c r="FH149" s="36"/>
      <c r="FI149" s="36"/>
      <c r="FJ149" s="36"/>
      <c r="FK149" s="36"/>
      <c r="FL149" s="36"/>
      <c r="FM149" s="36"/>
      <c r="FN149" s="36"/>
      <c r="FO149" s="36"/>
      <c r="FP149" s="36"/>
      <c r="FQ149" s="36"/>
      <c r="FR149" s="36"/>
      <c r="FS149" s="36"/>
      <c r="FT149" s="36"/>
      <c r="FU149" s="36"/>
      <c r="FV149" s="36"/>
      <c r="FW149" s="36"/>
      <c r="FX149" s="36"/>
      <c r="FY149" s="36"/>
      <c r="FZ149" s="36"/>
      <c r="GA149" s="36"/>
      <c r="GB149" s="319"/>
      <c r="GC149" s="179">
        <f t="shared" si="32"/>
        <v>0</v>
      </c>
      <c r="GD149" s="179">
        <f t="shared" si="33"/>
        <v>0</v>
      </c>
      <c r="GE149" s="179">
        <f t="shared" si="34"/>
        <v>0</v>
      </c>
      <c r="GF149" s="179">
        <f t="shared" si="35"/>
        <v>0</v>
      </c>
      <c r="GG149" s="179">
        <f t="shared" si="36"/>
        <v>0</v>
      </c>
    </row>
    <row r="150" spans="1:189" x14ac:dyDescent="0.35">
      <c r="A150" s="5" t="s">
        <v>1043</v>
      </c>
      <c r="B150" s="5" t="str">
        <f>IF(Technologies!B150&lt;&gt;0,Technologies!B150,"")</f>
        <v>Mobiliteit</v>
      </c>
      <c r="C150" s="5" t="str">
        <f>VLOOKUP($A150,Technologies!$A$7:$H$576,3,FALSE)</f>
        <v>Final</v>
      </c>
      <c r="D150" s="5" t="str">
        <f>VLOOKUP($A150,Technologies!$A$7:$H$576,4,FALSE)</f>
        <v>Transport</v>
      </c>
      <c r="E150" s="5" t="str">
        <f>VLOOKUP($A150,Technologies!$A$7:$H$576,6,FALSE)</f>
        <v>Passenger Cars</v>
      </c>
      <c r="F150" s="5" t="str">
        <f>VLOOKUP($A150,Technologies!$A$7:$H$576,7,FALSE)</f>
        <v>ICE Syn Diesel Vehicle - Cars</v>
      </c>
      <c r="G150" s="23"/>
      <c r="H150" s="23"/>
      <c r="I150" s="104" cm="1">
        <f t="array" ref="I150">-SUMPRODUCT((Feedstocks!$C$4:$C$141=A150)*Feedstocks!$E$4:$E$141,Feedstocks!$F$4:$F$141,Feedstocks!$H$4:$H$141,Feedstocks!$I$4:$I$141)</f>
        <v>0</v>
      </c>
      <c r="J150" s="104" cm="1">
        <f t="array" ref="J150">-SUMPRODUCT((Feedstocks!$C$4:$C$141=A150)*Feedstocks!$E$4:$E$141,Feedstocks!$H$4:$H$141,Feedstocks!$I$4:$I$141)</f>
        <v>0</v>
      </c>
      <c r="K150" s="104"/>
      <c r="L150" s="104"/>
      <c r="M150" s="23"/>
      <c r="N150" s="23" t="str">
        <f>VLOOKUP(E150,Activities!$A$9:$M$227,13,FALSE)</f>
        <v>NL</v>
      </c>
      <c r="O150" s="23"/>
      <c r="P150" s="79" t="s">
        <v>1040</v>
      </c>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v>1</v>
      </c>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v>-1.518</v>
      </c>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18"/>
      <c r="GC150" s="178">
        <f t="shared" si="32"/>
        <v>0</v>
      </c>
      <c r="GD150" s="178">
        <f t="shared" si="33"/>
        <v>0</v>
      </c>
      <c r="GE150" s="178">
        <f t="shared" si="34"/>
        <v>0.1108</v>
      </c>
      <c r="GF150" s="178">
        <f t="shared" si="35"/>
        <v>0</v>
      </c>
      <c r="GG150" s="178">
        <f t="shared" si="36"/>
        <v>0</v>
      </c>
    </row>
    <row r="151" spans="1:189" x14ac:dyDescent="0.35">
      <c r="A151" s="6" t="s">
        <v>1045</v>
      </c>
      <c r="B151" s="6" t="str">
        <f>IF(Technologies!B151&lt;&gt;0,Technologies!B151,"")</f>
        <v>Mobiliteit</v>
      </c>
      <c r="C151" s="6" t="str">
        <f>VLOOKUP($A151,Technologies!$A$7:$H$576,3,FALSE)</f>
        <v>Final</v>
      </c>
      <c r="D151" s="6" t="str">
        <f>VLOOKUP($A151,Technologies!$A$7:$H$576,4,FALSE)</f>
        <v>Transport</v>
      </c>
      <c r="E151" s="6" t="str">
        <f>VLOOKUP($A151,Technologies!$A$7:$H$576,6,FALSE)</f>
        <v>Passenger Cars</v>
      </c>
      <c r="F151" s="48" t="str">
        <f>VLOOKUP($A151,Technologies!$A$7:$H$576,7,FALSE)</f>
        <v>ICE Hybrid Vehicle - Cars</v>
      </c>
      <c r="G151" s="22"/>
      <c r="H151" s="22"/>
      <c r="I151" s="103" cm="1">
        <f t="array" ref="I151">-SUMPRODUCT((Feedstocks!$C$4:$C$141=A151)*Feedstocks!$E$4:$E$141,Feedstocks!$F$4:$F$141,Feedstocks!$H$4:$H$141,Feedstocks!$I$4:$I$141)</f>
        <v>0</v>
      </c>
      <c r="J151" s="103" cm="1">
        <f t="array" ref="J151">-SUMPRODUCT((Feedstocks!$C$4:$C$141=A151)*Feedstocks!$E$4:$E$141,Feedstocks!$H$4:$H$141,Feedstocks!$I$4:$I$141)</f>
        <v>0</v>
      </c>
      <c r="K151" s="103"/>
      <c r="L151" s="103"/>
      <c r="M151" s="22"/>
      <c r="N151" s="22" t="str">
        <f>VLOOKUP(E151,Activities!$A$9:$M$227,13,FALSE)</f>
        <v>NL</v>
      </c>
      <c r="O151" s="22"/>
      <c r="P151" s="80" t="s">
        <v>1040</v>
      </c>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v>1</v>
      </c>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v>-1.57692432986553</v>
      </c>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36"/>
      <c r="EX151" s="36"/>
      <c r="EY151" s="36"/>
      <c r="EZ151" s="36"/>
      <c r="FA151" s="36"/>
      <c r="FB151" s="36"/>
      <c r="FC151" s="36"/>
      <c r="FD151" s="36"/>
      <c r="FE151" s="36"/>
      <c r="FF151" s="36"/>
      <c r="FG151" s="36"/>
      <c r="FH151" s="36"/>
      <c r="FI151" s="36"/>
      <c r="FJ151" s="36"/>
      <c r="FK151" s="36"/>
      <c r="FL151" s="36"/>
      <c r="FM151" s="36"/>
      <c r="FN151" s="36"/>
      <c r="FO151" s="36"/>
      <c r="FP151" s="36"/>
      <c r="FQ151" s="36"/>
      <c r="FR151" s="36"/>
      <c r="FS151" s="36"/>
      <c r="FT151" s="36"/>
      <c r="FU151" s="36"/>
      <c r="FV151" s="36"/>
      <c r="FW151" s="36"/>
      <c r="FX151" s="36"/>
      <c r="FY151" s="36"/>
      <c r="FZ151" s="36"/>
      <c r="GA151" s="36"/>
      <c r="GB151" s="319"/>
      <c r="GC151" s="179">
        <f t="shared" si="32"/>
        <v>0</v>
      </c>
      <c r="GD151" s="179">
        <f t="shared" si="33"/>
        <v>0</v>
      </c>
      <c r="GE151" s="179">
        <f t="shared" si="34"/>
        <v>0.11509999999999999</v>
      </c>
      <c r="GF151" s="179">
        <f t="shared" si="35"/>
        <v>0</v>
      </c>
      <c r="GG151" s="179">
        <f t="shared" si="36"/>
        <v>0</v>
      </c>
    </row>
    <row r="152" spans="1:189" x14ac:dyDescent="0.35">
      <c r="A152" s="5" t="s">
        <v>1047</v>
      </c>
      <c r="B152" s="5" t="str">
        <f>IF(Technologies!B152&lt;&gt;0,Technologies!B152,"")</f>
        <v>Mobiliteit</v>
      </c>
      <c r="C152" s="5" t="str">
        <f>VLOOKUP($A152,Technologies!$A$7:$H$576,3,FALSE)</f>
        <v>Final</v>
      </c>
      <c r="D152" s="5" t="str">
        <f>VLOOKUP($A152,Technologies!$A$7:$H$576,4,FALSE)</f>
        <v>Transport</v>
      </c>
      <c r="E152" s="5" t="str">
        <f>VLOOKUP($A152,Technologies!$A$7:$H$576,6,FALSE)</f>
        <v>Passenger Cars</v>
      </c>
      <c r="F152" s="5" t="str">
        <f>VLOOKUP($A152,Technologies!$A$7:$H$576,7,FALSE)</f>
        <v>ICE Natural Gas Vehicle - Cars</v>
      </c>
      <c r="G152" s="23"/>
      <c r="H152" s="23"/>
      <c r="I152" s="104" cm="1">
        <f t="array" ref="I152">-SUMPRODUCT((Feedstocks!$C$4:$C$141=A152)*Feedstocks!$E$4:$E$141,Feedstocks!$F$4:$F$141,Feedstocks!$H$4:$H$141,Feedstocks!$I$4:$I$141)</f>
        <v>0</v>
      </c>
      <c r="J152" s="104" cm="1">
        <f t="array" ref="J152">-SUMPRODUCT((Feedstocks!$C$4:$C$141=A152)*Feedstocks!$E$4:$E$141,Feedstocks!$H$4:$H$141,Feedstocks!$I$4:$I$141)</f>
        <v>0</v>
      </c>
      <c r="K152" s="104"/>
      <c r="L152" s="104"/>
      <c r="M152" s="23"/>
      <c r="N152" s="23" t="str">
        <f>VLOOKUP(E152,Activities!$A$9:$M$227,13,FALSE)</f>
        <v>NL</v>
      </c>
      <c r="O152" s="23"/>
      <c r="P152" s="79" t="s">
        <v>1040</v>
      </c>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v>1</v>
      </c>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v>-1.9</v>
      </c>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18"/>
      <c r="GC152" s="178">
        <f t="shared" si="32"/>
        <v>0</v>
      </c>
      <c r="GD152" s="178">
        <f t="shared" si="33"/>
        <v>0</v>
      </c>
      <c r="GE152" s="178">
        <f t="shared" si="34"/>
        <v>0.1075</v>
      </c>
      <c r="GF152" s="178">
        <f t="shared" si="35"/>
        <v>0</v>
      </c>
      <c r="GG152" s="178">
        <f t="shared" si="36"/>
        <v>0</v>
      </c>
    </row>
    <row r="153" spans="1:189" x14ac:dyDescent="0.35">
      <c r="A153" s="6" t="s">
        <v>1049</v>
      </c>
      <c r="B153" s="6" t="str">
        <f>IF(Technologies!B153&lt;&gt;0,Technologies!B153,"")</f>
        <v>Mobiliteit</v>
      </c>
      <c r="C153" s="6" t="str">
        <f>VLOOKUP($A153,Technologies!$A$7:$H$576,3,FALSE)</f>
        <v>Final</v>
      </c>
      <c r="D153" s="6" t="str">
        <f>VLOOKUP($A153,Technologies!$A$7:$H$576,4,FALSE)</f>
        <v>Transport</v>
      </c>
      <c r="E153" s="6" t="str">
        <f>VLOOKUP($A153,Technologies!$A$7:$H$576,6,FALSE)</f>
        <v>Passenger Cars</v>
      </c>
      <c r="F153" s="48" t="str">
        <f>VLOOKUP($A153,Technologies!$A$7:$H$576,7,FALSE)</f>
        <v>Plug-In Hybrid Vehicle - Cars</v>
      </c>
      <c r="G153" s="22"/>
      <c r="H153" s="22"/>
      <c r="I153" s="103" cm="1">
        <f t="array" ref="I153">-SUMPRODUCT((Feedstocks!$C$4:$C$141=A153)*Feedstocks!$E$4:$E$141,Feedstocks!$F$4:$F$141,Feedstocks!$H$4:$H$141,Feedstocks!$I$4:$I$141)</f>
        <v>0</v>
      </c>
      <c r="J153" s="103" cm="1">
        <f t="array" ref="J153">-SUMPRODUCT((Feedstocks!$C$4:$C$141=A153)*Feedstocks!$E$4:$E$141,Feedstocks!$H$4:$H$141,Feedstocks!$I$4:$I$141)</f>
        <v>0</v>
      </c>
      <c r="K153" s="103"/>
      <c r="L153" s="103"/>
      <c r="M153" s="22"/>
      <c r="N153" s="22" t="str">
        <f>VLOOKUP(E153,Activities!$A$9:$M$227,13,FALSE)</f>
        <v>NL</v>
      </c>
      <c r="O153" s="22"/>
      <c r="P153" s="80" t="s">
        <v>452</v>
      </c>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v>1</v>
      </c>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v>-0.4</v>
      </c>
      <c r="DJ153" s="36"/>
      <c r="DK153" s="36"/>
      <c r="DL153" s="36"/>
      <c r="DM153" s="36"/>
      <c r="DN153" s="36"/>
      <c r="DO153" s="36"/>
      <c r="DP153" s="36"/>
      <c r="DQ153" s="36"/>
      <c r="DR153" s="36"/>
      <c r="DS153" s="36"/>
      <c r="DT153" s="36"/>
      <c r="DU153" s="36">
        <v>-1.1038470309058701</v>
      </c>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c r="EZ153" s="36"/>
      <c r="FA153" s="36"/>
      <c r="FB153" s="36"/>
      <c r="FC153" s="36"/>
      <c r="FD153" s="36"/>
      <c r="FE153" s="36"/>
      <c r="FF153" s="36"/>
      <c r="FG153" s="36"/>
      <c r="FH153" s="36"/>
      <c r="FI153" s="36"/>
      <c r="FJ153" s="36"/>
      <c r="FK153" s="36"/>
      <c r="FL153" s="36"/>
      <c r="FM153" s="36"/>
      <c r="FN153" s="36"/>
      <c r="FO153" s="36"/>
      <c r="FP153" s="36"/>
      <c r="FQ153" s="36"/>
      <c r="FR153" s="36"/>
      <c r="FS153" s="36"/>
      <c r="FT153" s="36"/>
      <c r="FU153" s="36"/>
      <c r="FV153" s="36"/>
      <c r="FW153" s="36"/>
      <c r="FX153" s="36"/>
      <c r="FY153" s="36"/>
      <c r="FZ153" s="36"/>
      <c r="GA153" s="36"/>
      <c r="GB153" s="319"/>
      <c r="GC153" s="179">
        <f t="shared" si="32"/>
        <v>0</v>
      </c>
      <c r="GD153" s="179">
        <f t="shared" si="33"/>
        <v>0</v>
      </c>
      <c r="GE153" s="179">
        <f t="shared" si="34"/>
        <v>8.0600000000000005E-2</v>
      </c>
      <c r="GF153" s="179">
        <f t="shared" si="35"/>
        <v>0</v>
      </c>
      <c r="GG153" s="179">
        <f t="shared" si="36"/>
        <v>0</v>
      </c>
    </row>
    <row r="154" spans="1:189" x14ac:dyDescent="0.35">
      <c r="A154" s="5" t="s">
        <v>1051</v>
      </c>
      <c r="B154" s="5" t="str">
        <f>IF(Technologies!B154&lt;&gt;0,Technologies!B154,"")</f>
        <v>Mobiliteit</v>
      </c>
      <c r="C154" s="5" t="str">
        <f>VLOOKUP($A154,Technologies!$A$7:$H$576,3,FALSE)</f>
        <v>Final</v>
      </c>
      <c r="D154" s="5" t="str">
        <f>VLOOKUP($A154,Technologies!$A$7:$H$576,4,FALSE)</f>
        <v>Transport</v>
      </c>
      <c r="E154" s="5" t="str">
        <f>VLOOKUP($A154,Technologies!$A$7:$H$576,6,FALSE)</f>
        <v>Passenger Cars</v>
      </c>
      <c r="F154" s="5" t="str">
        <f>VLOOKUP($A154,Technologies!$A$7:$H$576,7,FALSE)</f>
        <v>Electric Battery Vehicle - Cars</v>
      </c>
      <c r="G154" s="23"/>
      <c r="H154" s="23"/>
      <c r="I154" s="104" cm="1">
        <f t="array" ref="I154">-SUMPRODUCT((Feedstocks!$C$4:$C$141=A154)*Feedstocks!$E$4:$E$141,Feedstocks!$F$4:$F$141,Feedstocks!$H$4:$H$141,Feedstocks!$I$4:$I$141)</f>
        <v>0</v>
      </c>
      <c r="J154" s="104" cm="1">
        <f t="array" ref="J154">-SUMPRODUCT((Feedstocks!$C$4:$C$141=A154)*Feedstocks!$E$4:$E$141,Feedstocks!$H$4:$H$141,Feedstocks!$I$4:$I$141)</f>
        <v>0</v>
      </c>
      <c r="K154" s="104"/>
      <c r="L154" s="104"/>
      <c r="M154" s="23"/>
      <c r="N154" s="23" t="str">
        <f>VLOOKUP(E154,Activities!$A$9:$M$227,13,FALSE)</f>
        <v>NL</v>
      </c>
      <c r="O154" s="23"/>
      <c r="P154" s="79" t="s">
        <v>452</v>
      </c>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v>1</v>
      </c>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v>-0.65</v>
      </c>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18"/>
      <c r="GC154" s="178">
        <f t="shared" si="32"/>
        <v>0</v>
      </c>
      <c r="GD154" s="178">
        <f t="shared" si="33"/>
        <v>0</v>
      </c>
      <c r="GE154" s="178">
        <f t="shared" si="34"/>
        <v>0</v>
      </c>
      <c r="GF154" s="178">
        <f t="shared" si="35"/>
        <v>0</v>
      </c>
      <c r="GG154" s="178">
        <f t="shared" si="36"/>
        <v>0</v>
      </c>
    </row>
    <row r="155" spans="1:189" x14ac:dyDescent="0.35">
      <c r="A155" s="6" t="s">
        <v>1053</v>
      </c>
      <c r="B155" s="6" t="str">
        <f>IF(Technologies!B155&lt;&gt;0,Technologies!B155,"")</f>
        <v>Mobiliteit</v>
      </c>
      <c r="C155" s="6" t="str">
        <f>VLOOKUP($A155,Technologies!$A$7:$H$576,3,FALSE)</f>
        <v>Final</v>
      </c>
      <c r="D155" s="6" t="str">
        <f>VLOOKUP($A155,Technologies!$A$7:$H$576,4,FALSE)</f>
        <v>Transport</v>
      </c>
      <c r="E155" s="6" t="str">
        <f>VLOOKUP($A155,Technologies!$A$7:$H$576,6,FALSE)</f>
        <v>Passenger Cars</v>
      </c>
      <c r="F155" s="48" t="str">
        <f>VLOOKUP($A155,Technologies!$A$7:$H$576,7,FALSE)</f>
        <v>Electric Battery Vehicle FLEX - Cars</v>
      </c>
      <c r="G155" s="22"/>
      <c r="H155" s="22"/>
      <c r="I155" s="103" cm="1">
        <f t="array" ref="I155">-SUMPRODUCT((Feedstocks!$C$4:$C$141=A155)*Feedstocks!$E$4:$E$141,Feedstocks!$F$4:$F$141,Feedstocks!$H$4:$H$141,Feedstocks!$I$4:$I$141)</f>
        <v>0</v>
      </c>
      <c r="J155" s="103" cm="1">
        <f t="array" ref="J155">-SUMPRODUCT((Feedstocks!$C$4:$C$141=A155)*Feedstocks!$E$4:$E$141,Feedstocks!$H$4:$H$141,Feedstocks!$I$4:$I$141)</f>
        <v>0</v>
      </c>
      <c r="K155" s="103"/>
      <c r="L155" s="103"/>
      <c r="M155" s="22"/>
      <c r="N155" s="22" t="str">
        <f>VLOOKUP(E155,Activities!$A$9:$M$227,13,FALSE)</f>
        <v>NL</v>
      </c>
      <c r="O155" s="22"/>
      <c r="P155" s="80" t="s">
        <v>452</v>
      </c>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v>1</v>
      </c>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v>-0.65</v>
      </c>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c r="FC155" s="36"/>
      <c r="FD155" s="36"/>
      <c r="FE155" s="36"/>
      <c r="FF155" s="36"/>
      <c r="FG155" s="36"/>
      <c r="FH155" s="36"/>
      <c r="FI155" s="36"/>
      <c r="FJ155" s="36"/>
      <c r="FK155" s="36"/>
      <c r="FL155" s="36"/>
      <c r="FM155" s="36"/>
      <c r="FN155" s="36"/>
      <c r="FO155" s="36"/>
      <c r="FP155" s="36"/>
      <c r="FQ155" s="36"/>
      <c r="FR155" s="36"/>
      <c r="FS155" s="36"/>
      <c r="FT155" s="36"/>
      <c r="FU155" s="36"/>
      <c r="FV155" s="36"/>
      <c r="FW155" s="36"/>
      <c r="FX155" s="36"/>
      <c r="FY155" s="36"/>
      <c r="FZ155" s="36"/>
      <c r="GA155" s="36"/>
      <c r="GB155" s="319"/>
      <c r="GC155" s="179">
        <f t="shared" si="32"/>
        <v>0</v>
      </c>
      <c r="GD155" s="179">
        <f t="shared" si="33"/>
        <v>0</v>
      </c>
      <c r="GE155" s="179">
        <f t="shared" si="34"/>
        <v>0</v>
      </c>
      <c r="GF155" s="179">
        <f t="shared" si="35"/>
        <v>0</v>
      </c>
      <c r="GG155" s="179">
        <f t="shared" si="36"/>
        <v>0</v>
      </c>
    </row>
    <row r="156" spans="1:189" x14ac:dyDescent="0.35">
      <c r="A156" s="5" t="s">
        <v>1056</v>
      </c>
      <c r="B156" s="5" t="str">
        <f>IF(Technologies!B156&lt;&gt;0,Technologies!B156,"")</f>
        <v>Mobiliteit</v>
      </c>
      <c r="C156" s="5" t="str">
        <f>VLOOKUP($A156,Technologies!$A$7:$H$576,3,FALSE)</f>
        <v>Final</v>
      </c>
      <c r="D156" s="5" t="str">
        <f>VLOOKUP($A156,Technologies!$A$7:$H$576,4,FALSE)</f>
        <v>Transport</v>
      </c>
      <c r="E156" s="5" t="str">
        <f>VLOOKUP($A156,Technologies!$A$7:$H$576,6,FALSE)</f>
        <v>Passenger Cars</v>
      </c>
      <c r="F156" s="5" t="str">
        <f>VLOOKUP($A156,Technologies!$A$7:$H$576,7,FALSE)</f>
        <v>Electric Battery Vehicle V2G - Cars</v>
      </c>
      <c r="G156" s="23"/>
      <c r="H156" s="23"/>
      <c r="I156" s="104" cm="1">
        <f t="array" ref="I156">-SUMPRODUCT((Feedstocks!$C$4:$C$141=A156)*Feedstocks!$E$4:$E$141,Feedstocks!$F$4:$F$141,Feedstocks!$H$4:$H$141,Feedstocks!$I$4:$I$141)</f>
        <v>0</v>
      </c>
      <c r="J156" s="104" cm="1">
        <f t="array" ref="J156">-SUMPRODUCT((Feedstocks!$C$4:$C$141=A156)*Feedstocks!$E$4:$E$141,Feedstocks!$H$4:$H$141,Feedstocks!$I$4:$I$141)</f>
        <v>0</v>
      </c>
      <c r="K156" s="104"/>
      <c r="L156" s="104"/>
      <c r="M156" s="23"/>
      <c r="N156" s="23" t="str">
        <f>VLOOKUP(E156,Activities!$A$9:$M$227,13,FALSE)</f>
        <v>NL</v>
      </c>
      <c r="O156" s="23"/>
      <c r="P156" s="79" t="s">
        <v>452</v>
      </c>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v>1</v>
      </c>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v>-0.65</v>
      </c>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18"/>
      <c r="GC156" s="178">
        <f t="shared" si="32"/>
        <v>0</v>
      </c>
      <c r="GD156" s="178">
        <f t="shared" si="33"/>
        <v>0</v>
      </c>
      <c r="GE156" s="178">
        <f t="shared" si="34"/>
        <v>0</v>
      </c>
      <c r="GF156" s="178">
        <f t="shared" si="35"/>
        <v>0</v>
      </c>
      <c r="GG156" s="178">
        <f t="shared" si="36"/>
        <v>0</v>
      </c>
    </row>
    <row r="157" spans="1:189" x14ac:dyDescent="0.35">
      <c r="A157" s="6" t="s">
        <v>1059</v>
      </c>
      <c r="B157" s="6" t="str">
        <f>IF(Technologies!B157&lt;&gt;0,Technologies!B157,"")</f>
        <v>Mobiliteit</v>
      </c>
      <c r="C157" s="6" t="str">
        <f>VLOOKUP($A157,Technologies!$A$7:$H$576,3,FALSE)</f>
        <v>Final</v>
      </c>
      <c r="D157" s="6" t="str">
        <f>VLOOKUP($A157,Technologies!$A$7:$H$576,4,FALSE)</f>
        <v>Transport</v>
      </c>
      <c r="E157" s="6" t="str">
        <f>VLOOKUP($A157,Technologies!$A$7:$H$576,6,FALSE)</f>
        <v>Passenger Cars</v>
      </c>
      <c r="F157" s="48" t="str">
        <f>VLOOKUP($A157,Technologies!$A$7:$H$576,7,FALSE)</f>
        <v>Hydrogen Fuel Cell Vehicle - Cars</v>
      </c>
      <c r="G157" s="22"/>
      <c r="H157" s="22"/>
      <c r="I157" s="103" cm="1">
        <f t="array" ref="I157">-SUMPRODUCT((Feedstocks!$C$4:$C$141=A157)*Feedstocks!$E$4:$E$141,Feedstocks!$F$4:$F$141,Feedstocks!$H$4:$H$141,Feedstocks!$I$4:$I$141)</f>
        <v>0</v>
      </c>
      <c r="J157" s="103" cm="1">
        <f t="array" ref="J157">-SUMPRODUCT((Feedstocks!$C$4:$C$141=A157)*Feedstocks!$E$4:$E$141,Feedstocks!$H$4:$H$141,Feedstocks!$I$4:$I$141)</f>
        <v>0</v>
      </c>
      <c r="K157" s="103"/>
      <c r="L157" s="103"/>
      <c r="M157" s="22"/>
      <c r="N157" s="22" t="str">
        <f>VLOOKUP(E157,Activities!$A$9:$M$227,13,FALSE)</f>
        <v>NL</v>
      </c>
      <c r="O157" s="22"/>
      <c r="P157" s="80" t="s">
        <v>452</v>
      </c>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v>1</v>
      </c>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v>-0.95</v>
      </c>
      <c r="EO157" s="36"/>
      <c r="EP157" s="36"/>
      <c r="EQ157" s="36"/>
      <c r="ER157" s="36"/>
      <c r="ES157" s="36"/>
      <c r="ET157" s="36"/>
      <c r="EU157" s="36"/>
      <c r="EV157" s="36"/>
      <c r="EW157" s="36"/>
      <c r="EX157" s="36"/>
      <c r="EY157" s="36"/>
      <c r="EZ157" s="36"/>
      <c r="FA157" s="36"/>
      <c r="FB157" s="36"/>
      <c r="FC157" s="36"/>
      <c r="FD157" s="36"/>
      <c r="FE157" s="36"/>
      <c r="FF157" s="36"/>
      <c r="FG157" s="36"/>
      <c r="FH157" s="36"/>
      <c r="FI157" s="36"/>
      <c r="FJ157" s="36"/>
      <c r="FK157" s="36"/>
      <c r="FL157" s="36"/>
      <c r="FM157" s="36"/>
      <c r="FN157" s="36"/>
      <c r="FO157" s="36"/>
      <c r="FP157" s="36"/>
      <c r="FQ157" s="36"/>
      <c r="FR157" s="36"/>
      <c r="FS157" s="36"/>
      <c r="FT157" s="36"/>
      <c r="FU157" s="36"/>
      <c r="FV157" s="36"/>
      <c r="FW157" s="36"/>
      <c r="FX157" s="36"/>
      <c r="FY157" s="36"/>
      <c r="FZ157" s="36"/>
      <c r="GA157" s="36"/>
      <c r="GB157" s="319"/>
      <c r="GC157" s="179">
        <f t="shared" si="32"/>
        <v>0</v>
      </c>
      <c r="GD157" s="179">
        <f t="shared" si="33"/>
        <v>0</v>
      </c>
      <c r="GE157" s="179">
        <f t="shared" si="34"/>
        <v>0</v>
      </c>
      <c r="GF157" s="179">
        <f t="shared" si="35"/>
        <v>0</v>
      </c>
      <c r="GG157" s="179">
        <f t="shared" si="36"/>
        <v>0</v>
      </c>
    </row>
    <row r="158" spans="1:189" x14ac:dyDescent="0.35">
      <c r="A158" s="5" t="s">
        <v>1061</v>
      </c>
      <c r="B158" s="5" t="str">
        <f>IF(Technologies!B158&lt;&gt;0,Technologies!B158,"")</f>
        <v>Mobiliteit</v>
      </c>
      <c r="C158" s="5" t="str">
        <f>VLOOKUP($A158,Technologies!$A$7:$H$576,3,FALSE)</f>
        <v>Final</v>
      </c>
      <c r="D158" s="5" t="str">
        <f>VLOOKUP($A158,Technologies!$A$7:$H$576,4,FALSE)</f>
        <v>Transport</v>
      </c>
      <c r="E158" s="5" t="str">
        <f>VLOOKUP($A158,Technologies!$A$7:$H$576,6,FALSE)</f>
        <v>Light-Duty Vehicles</v>
      </c>
      <c r="F158" s="5" t="str">
        <f>VLOOKUP($A158,Technologies!$A$7:$H$576,7,FALSE)</f>
        <v>ICE 2010 norm Vehicle - LDV</v>
      </c>
      <c r="G158" s="23"/>
      <c r="H158" s="23"/>
      <c r="I158" s="104" cm="1">
        <f t="array" ref="I158">-SUMPRODUCT((Feedstocks!$C$4:$C$141=A158)*Feedstocks!$E$4:$E$141,Feedstocks!$F$4:$F$141,Feedstocks!$H$4:$H$141,Feedstocks!$I$4:$I$141)</f>
        <v>0</v>
      </c>
      <c r="J158" s="104" cm="1">
        <f t="array" ref="J158">-SUMPRODUCT((Feedstocks!$C$4:$C$141=A158)*Feedstocks!$E$4:$E$141,Feedstocks!$H$4:$H$141,Feedstocks!$I$4:$I$141)</f>
        <v>0</v>
      </c>
      <c r="K158" s="104"/>
      <c r="L158" s="104"/>
      <c r="M158" s="23"/>
      <c r="N158" s="23" t="str">
        <f>VLOOKUP(E158,Activities!$A$9:$M$227,13,FALSE)</f>
        <v>NL</v>
      </c>
      <c r="O158" s="23"/>
      <c r="P158" s="79" t="s">
        <v>452</v>
      </c>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v>1</v>
      </c>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v>-3.72</v>
      </c>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18"/>
      <c r="GC158" s="178">
        <f t="shared" si="32"/>
        <v>0</v>
      </c>
      <c r="GD158" s="178">
        <f t="shared" si="33"/>
        <v>0</v>
      </c>
      <c r="GE158" s="178">
        <f t="shared" si="34"/>
        <v>0.27160000000000001</v>
      </c>
      <c r="GF158" s="178">
        <f t="shared" si="35"/>
        <v>0</v>
      </c>
      <c r="GG158" s="178">
        <f t="shared" si="36"/>
        <v>0</v>
      </c>
    </row>
    <row r="159" spans="1:189" x14ac:dyDescent="0.35">
      <c r="A159" s="6" t="s">
        <v>1063</v>
      </c>
      <c r="B159" s="6" t="str">
        <f>IF(Technologies!B159&lt;&gt;0,Technologies!B159,"")</f>
        <v>Mobiliteit</v>
      </c>
      <c r="C159" s="6" t="str">
        <f>VLOOKUP($A159,Technologies!$A$7:$H$576,3,FALSE)</f>
        <v>Final</v>
      </c>
      <c r="D159" s="6" t="str">
        <f>VLOOKUP($A159,Technologies!$A$7:$H$576,4,FALSE)</f>
        <v>Transport</v>
      </c>
      <c r="E159" s="6" t="str">
        <f>VLOOKUP($A159,Technologies!$A$7:$H$576,6,FALSE)</f>
        <v>Light-Duty Vehicles</v>
      </c>
      <c r="F159" s="48" t="str">
        <f>VLOOKUP($A159,Technologies!$A$7:$H$576,7,FALSE)</f>
        <v>ICE efficient Vehicle - LDV</v>
      </c>
      <c r="G159" s="22"/>
      <c r="H159" s="22"/>
      <c r="I159" s="103" cm="1">
        <f t="array" ref="I159">-SUMPRODUCT((Feedstocks!$C$4:$C$141=A159)*Feedstocks!$E$4:$E$141,Feedstocks!$F$4:$F$141,Feedstocks!$H$4:$H$141,Feedstocks!$I$4:$I$141)</f>
        <v>0</v>
      </c>
      <c r="J159" s="103" cm="1">
        <f t="array" ref="J159">-SUMPRODUCT((Feedstocks!$C$4:$C$141=A159)*Feedstocks!$E$4:$E$141,Feedstocks!$H$4:$H$141,Feedstocks!$I$4:$I$141)</f>
        <v>0</v>
      </c>
      <c r="K159" s="103"/>
      <c r="L159" s="103"/>
      <c r="M159" s="22"/>
      <c r="N159" s="22" t="str">
        <f>VLOOKUP(E159,Activities!$A$9:$M$227,13,FALSE)</f>
        <v>NL</v>
      </c>
      <c r="O159" s="22"/>
      <c r="P159" s="80" t="s">
        <v>687</v>
      </c>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v>1</v>
      </c>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v>-2.29</v>
      </c>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c r="FJ159" s="36"/>
      <c r="FK159" s="36"/>
      <c r="FL159" s="36"/>
      <c r="FM159" s="36"/>
      <c r="FN159" s="36"/>
      <c r="FO159" s="36"/>
      <c r="FP159" s="36"/>
      <c r="FQ159" s="36"/>
      <c r="FR159" s="36"/>
      <c r="FS159" s="36"/>
      <c r="FT159" s="36"/>
      <c r="FU159" s="36"/>
      <c r="FV159" s="36"/>
      <c r="FW159" s="36"/>
      <c r="FX159" s="36"/>
      <c r="FY159" s="36"/>
      <c r="FZ159" s="36"/>
      <c r="GA159" s="36"/>
      <c r="GB159" s="319"/>
      <c r="GC159" s="179">
        <f t="shared" si="32"/>
        <v>0</v>
      </c>
      <c r="GD159" s="179">
        <f t="shared" si="33"/>
        <v>0</v>
      </c>
      <c r="GE159" s="179">
        <f t="shared" si="34"/>
        <v>0.16719999999999999</v>
      </c>
      <c r="GF159" s="179">
        <f t="shared" si="35"/>
        <v>0</v>
      </c>
      <c r="GG159" s="179">
        <f t="shared" si="36"/>
        <v>0</v>
      </c>
    </row>
    <row r="160" spans="1:189" x14ac:dyDescent="0.35">
      <c r="A160" s="6" t="s">
        <v>1065</v>
      </c>
      <c r="B160" s="6" t="str">
        <f>IF(Technologies!B160&lt;&gt;0,Technologies!B160,"")</f>
        <v>Mobiliteit</v>
      </c>
      <c r="C160" s="6" t="str">
        <f>VLOOKUP($A160,Technologies!$A$7:$H$576,3,FALSE)</f>
        <v>Final</v>
      </c>
      <c r="D160" s="6" t="str">
        <f>VLOOKUP($A160,Technologies!$A$7:$H$576,4,FALSE)</f>
        <v>Transport</v>
      </c>
      <c r="E160" s="6" t="str">
        <f>VLOOKUP($A160,Technologies!$A$7:$H$576,6,FALSE)</f>
        <v>Light-Duty Vehicles</v>
      </c>
      <c r="F160" s="48" t="str">
        <f>VLOOKUP($A160,Technologies!$A$7:$H$576,7,FALSE)</f>
        <v>ICE Bio Diesel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v>-2.29</v>
      </c>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v>
      </c>
      <c r="GF160" s="179">
        <f t="shared" si="35"/>
        <v>0</v>
      </c>
      <c r="GG160" s="179">
        <f t="shared" si="36"/>
        <v>0</v>
      </c>
    </row>
    <row r="161" spans="1:189" x14ac:dyDescent="0.35">
      <c r="A161" s="6" t="s">
        <v>1067</v>
      </c>
      <c r="B161" s="6" t="str">
        <f>IF(Technologies!B161&lt;&gt;0,Technologies!B161,"")</f>
        <v>Mobiliteit</v>
      </c>
      <c r="C161" s="6" t="str">
        <f>VLOOKUP($A161,Technologies!$A$7:$H$576,3,FALSE)</f>
        <v>Final</v>
      </c>
      <c r="D161" s="6" t="str">
        <f>VLOOKUP($A161,Technologies!$A$7:$H$576,4,FALSE)</f>
        <v>Transport</v>
      </c>
      <c r="E161" s="6" t="str">
        <f>VLOOKUP($A161,Technologies!$A$7:$H$576,6,FALSE)</f>
        <v>Light-Duty Vehicles</v>
      </c>
      <c r="F161" s="48" t="str">
        <f>VLOOKUP($A161,Technologies!$A$7:$H$576,7,FALSE)</f>
        <v>ICE Syn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v>-2.29</v>
      </c>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0.16719999999999999</v>
      </c>
      <c r="GF161" s="179">
        <f t="shared" si="35"/>
        <v>0</v>
      </c>
      <c r="GG161" s="179">
        <f t="shared" si="36"/>
        <v>0</v>
      </c>
    </row>
    <row r="162" spans="1:189" x14ac:dyDescent="0.35">
      <c r="A162" s="5" t="s">
        <v>1069</v>
      </c>
      <c r="B162" s="5" t="str">
        <f>IF(Technologies!B162&lt;&gt;0,Technologies!B162,"")</f>
        <v>Mobiliteit</v>
      </c>
      <c r="C162" s="5" t="str">
        <f>VLOOKUP($A162,Technologies!$A$7:$H$576,3,FALSE)</f>
        <v>Final</v>
      </c>
      <c r="D162" s="5" t="str">
        <f>VLOOKUP($A162,Technologies!$A$7:$H$576,4,FALSE)</f>
        <v>Transport</v>
      </c>
      <c r="E162" s="5" t="str">
        <f>VLOOKUP($A162,Technologies!$A$7:$H$576,6,FALSE)</f>
        <v>Light-Duty Vehicles</v>
      </c>
      <c r="F162" s="5" t="str">
        <f>VLOOKUP($A162,Technologies!$A$7:$H$576,7,FALSE)</f>
        <v>Plug-In Hybrid Vehicle - LDV</v>
      </c>
      <c r="G162" s="23"/>
      <c r="H162" s="23"/>
      <c r="I162" s="104" cm="1">
        <f t="array" ref="I162">-SUMPRODUCT((Feedstocks!$C$4:$C$141=A162)*Feedstocks!$E$4:$E$141,Feedstocks!$F$4:$F$141,Feedstocks!$H$4:$H$141,Feedstocks!$I$4:$I$141)</f>
        <v>0</v>
      </c>
      <c r="J162" s="104" cm="1">
        <f t="array" ref="J162">-SUMPRODUCT((Feedstocks!$C$4:$C$141=A162)*Feedstocks!$E$4:$E$141,Feedstocks!$H$4:$H$141,Feedstocks!$I$4:$I$141)</f>
        <v>0</v>
      </c>
      <c r="K162" s="104"/>
      <c r="L162" s="104"/>
      <c r="M162" s="23"/>
      <c r="N162" s="23" t="str">
        <f>VLOOKUP(E162,Activities!$A$9:$M$227,13,FALSE)</f>
        <v>NL</v>
      </c>
      <c r="O162" s="23"/>
      <c r="P162" s="79" t="s">
        <v>687</v>
      </c>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v>1</v>
      </c>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v>-0.58223719092166903</v>
      </c>
      <c r="DJ162" s="35"/>
      <c r="DK162" s="35"/>
      <c r="DL162" s="35"/>
      <c r="DM162" s="35"/>
      <c r="DN162" s="35"/>
      <c r="DO162" s="35"/>
      <c r="DP162" s="35"/>
      <c r="DQ162" s="35"/>
      <c r="DR162" s="35"/>
      <c r="DS162" s="35"/>
      <c r="DT162" s="35"/>
      <c r="DU162" s="35">
        <v>-1.24</v>
      </c>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18"/>
      <c r="GC162" s="178">
        <f t="shared" si="32"/>
        <v>0</v>
      </c>
      <c r="GD162" s="178">
        <f t="shared" si="33"/>
        <v>0</v>
      </c>
      <c r="GE162" s="178">
        <f t="shared" si="34"/>
        <v>9.0499999999999997E-2</v>
      </c>
      <c r="GF162" s="178">
        <f t="shared" si="35"/>
        <v>0</v>
      </c>
      <c r="GG162" s="178">
        <f t="shared" si="36"/>
        <v>0</v>
      </c>
    </row>
    <row r="163" spans="1:189" x14ac:dyDescent="0.35">
      <c r="A163" s="6" t="s">
        <v>1072</v>
      </c>
      <c r="B163" s="6" t="str">
        <f>IF(Technologies!B163&lt;&gt;0,Technologies!B163,"")</f>
        <v>Mobiliteit</v>
      </c>
      <c r="C163" s="6" t="str">
        <f>VLOOKUP($A163,Technologies!$A$7:$H$576,3,FALSE)</f>
        <v>Final</v>
      </c>
      <c r="D163" s="6" t="str">
        <f>VLOOKUP($A163,Technologies!$A$7:$H$576,4,FALSE)</f>
        <v>Transport</v>
      </c>
      <c r="E163" s="6" t="str">
        <f>VLOOKUP($A163,Technologies!$A$7:$H$576,6,FALSE)</f>
        <v>Light-Duty Vehicles</v>
      </c>
      <c r="F163" s="48" t="str">
        <f>VLOOKUP($A163,Technologies!$A$7:$H$576,7,FALSE)</f>
        <v>Electric Battery Vehicle - LDV</v>
      </c>
      <c r="G163" s="22"/>
      <c r="H163" s="22"/>
      <c r="I163" s="103" cm="1">
        <f t="array" ref="I163">-SUMPRODUCT((Feedstocks!$C$4:$C$141=A163)*Feedstocks!$E$4:$E$141,Feedstocks!$F$4:$F$141,Feedstocks!$H$4:$H$141,Feedstocks!$I$4:$I$141)</f>
        <v>0</v>
      </c>
      <c r="J163" s="103" cm="1">
        <f t="array" ref="J163">-SUMPRODUCT((Feedstocks!$C$4:$C$141=A163)*Feedstocks!$E$4:$E$141,Feedstocks!$H$4:$H$141,Feedstocks!$I$4:$I$141)</f>
        <v>0</v>
      </c>
      <c r="K163" s="103"/>
      <c r="L163" s="103"/>
      <c r="M163" s="22"/>
      <c r="N163" s="22" t="str">
        <f>VLOOKUP(E163,Activities!$A$9:$M$227,13,FALSE)</f>
        <v>NL</v>
      </c>
      <c r="O163" s="22"/>
      <c r="P163" s="80" t="s">
        <v>687</v>
      </c>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v>1</v>
      </c>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v>-1.1644743818433401</v>
      </c>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c r="FJ163" s="36"/>
      <c r="FK163" s="36"/>
      <c r="FL163" s="36"/>
      <c r="FM163" s="36"/>
      <c r="FN163" s="36"/>
      <c r="FO163" s="36"/>
      <c r="FP163" s="36"/>
      <c r="FQ163" s="36"/>
      <c r="FR163" s="36"/>
      <c r="FS163" s="36"/>
      <c r="FT163" s="36"/>
      <c r="FU163" s="36"/>
      <c r="FV163" s="36"/>
      <c r="FW163" s="36"/>
      <c r="FX163" s="36"/>
      <c r="FY163" s="36"/>
      <c r="FZ163" s="36"/>
      <c r="GA163" s="36"/>
      <c r="GB163" s="319"/>
      <c r="GC163" s="179">
        <f t="shared" si="32"/>
        <v>0</v>
      </c>
      <c r="GD163" s="179">
        <f t="shared" si="33"/>
        <v>0</v>
      </c>
      <c r="GE163" s="179">
        <f t="shared" si="34"/>
        <v>0</v>
      </c>
      <c r="GF163" s="179">
        <f t="shared" si="35"/>
        <v>0</v>
      </c>
      <c r="GG163" s="179">
        <f t="shared" si="36"/>
        <v>0</v>
      </c>
    </row>
    <row r="164" spans="1:189" x14ac:dyDescent="0.35">
      <c r="A164" s="5" t="s">
        <v>1074</v>
      </c>
      <c r="B164" s="5" t="str">
        <f>IF(Technologies!B164&lt;&gt;0,Technologies!B164,"")</f>
        <v>Mobiliteit</v>
      </c>
      <c r="C164" s="5" t="str">
        <f>VLOOKUP($A164,Technologies!$A$7:$H$576,3,FALSE)</f>
        <v>Final</v>
      </c>
      <c r="D164" s="5" t="str">
        <f>VLOOKUP($A164,Technologies!$A$7:$H$576,4,FALSE)</f>
        <v>Transport</v>
      </c>
      <c r="E164" s="5" t="str">
        <f>VLOOKUP($A164,Technologies!$A$7:$H$576,6,FALSE)</f>
        <v>Light-Duty Vehicles</v>
      </c>
      <c r="F164" s="5" t="str">
        <f>VLOOKUP($A164,Technologies!$A$7:$H$576,7,FALSE)</f>
        <v>Electric Battery Vehicle FLEX - LDV</v>
      </c>
      <c r="G164" s="23"/>
      <c r="H164" s="23"/>
      <c r="I164" s="104" cm="1">
        <f t="array" ref="I164">-SUMPRODUCT((Feedstocks!$C$4:$C$141=A164)*Feedstocks!$E$4:$E$141,Feedstocks!$F$4:$F$141,Feedstocks!$H$4:$H$141,Feedstocks!$I$4:$I$141)</f>
        <v>0</v>
      </c>
      <c r="J164" s="104" cm="1">
        <f t="array" ref="J164">-SUMPRODUCT((Feedstocks!$C$4:$C$141=A164)*Feedstocks!$E$4:$E$141,Feedstocks!$H$4:$H$141,Feedstocks!$I$4:$I$141)</f>
        <v>0</v>
      </c>
      <c r="K164" s="104"/>
      <c r="L164" s="104"/>
      <c r="M164" s="23"/>
      <c r="N164" s="23" t="str">
        <f>VLOOKUP(E164,Activities!$A$9:$M$227,13,FALSE)</f>
        <v>NL</v>
      </c>
      <c r="O164" s="23"/>
      <c r="P164" s="79" t="s">
        <v>687</v>
      </c>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v>1</v>
      </c>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v>-1.1644743818433401</v>
      </c>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18"/>
      <c r="GC164" s="178">
        <f t="shared" si="32"/>
        <v>0</v>
      </c>
      <c r="GD164" s="178">
        <f t="shared" si="33"/>
        <v>0</v>
      </c>
      <c r="GE164" s="178">
        <f t="shared" si="34"/>
        <v>0</v>
      </c>
      <c r="GF164" s="178">
        <f t="shared" si="35"/>
        <v>0</v>
      </c>
      <c r="GG164" s="178">
        <f t="shared" si="36"/>
        <v>0</v>
      </c>
    </row>
    <row r="165" spans="1:189" x14ac:dyDescent="0.35">
      <c r="A165" s="6" t="s">
        <v>1076</v>
      </c>
      <c r="B165" s="6" t="str">
        <f>IF(Technologies!B165&lt;&gt;0,Technologies!B165,"")</f>
        <v>Mobiliteit</v>
      </c>
      <c r="C165" s="6" t="str">
        <f>VLOOKUP($A165,Technologies!$A$7:$H$576,3,FALSE)</f>
        <v>Final</v>
      </c>
      <c r="D165" s="6" t="str">
        <f>VLOOKUP($A165,Technologies!$A$7:$H$576,4,FALSE)</f>
        <v>Transport</v>
      </c>
      <c r="E165" s="6" t="str">
        <f>VLOOKUP($A165,Technologies!$A$7:$H$576,6,FALSE)</f>
        <v>Light-Duty Vehicles</v>
      </c>
      <c r="F165" s="48" t="str">
        <f>VLOOKUP($A165,Technologies!$A$7:$H$576,7,FALSE)</f>
        <v>Hydrogen Fuel Cell Vehicle - LDV</v>
      </c>
      <c r="G165" s="22"/>
      <c r="H165" s="22"/>
      <c r="I165" s="103" cm="1">
        <f t="array" ref="I165">-SUMPRODUCT((Feedstocks!$C$4:$C$141=A165)*Feedstocks!$E$4:$E$141,Feedstocks!$F$4:$F$141,Feedstocks!$H$4:$H$141,Feedstocks!$I$4:$I$141)</f>
        <v>0</v>
      </c>
      <c r="J165" s="103" cm="1">
        <f t="array" ref="J165">-SUMPRODUCT((Feedstocks!$C$4:$C$141=A165)*Feedstocks!$E$4:$E$141,Feedstocks!$H$4:$H$141,Feedstocks!$I$4:$I$141)</f>
        <v>0</v>
      </c>
      <c r="K165" s="103"/>
      <c r="L165" s="103"/>
      <c r="M165" s="22"/>
      <c r="N165" s="22" t="str">
        <f>VLOOKUP(E165,Activities!$A$9:$M$227,13,FALSE)</f>
        <v>NL</v>
      </c>
      <c r="O165" s="22"/>
      <c r="P165" s="80" t="s">
        <v>687</v>
      </c>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v>1</v>
      </c>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v>-1.488</v>
      </c>
      <c r="EO165" s="36"/>
      <c r="EP165" s="36"/>
      <c r="EQ165" s="36"/>
      <c r="ER165" s="36"/>
      <c r="ES165" s="36"/>
      <c r="ET165" s="36"/>
      <c r="EU165" s="36"/>
      <c r="EV165" s="36"/>
      <c r="EW165" s="36"/>
      <c r="EX165" s="36"/>
      <c r="EY165" s="36"/>
      <c r="EZ165" s="36"/>
      <c r="FA165" s="36"/>
      <c r="FB165" s="36"/>
      <c r="FC165" s="36"/>
      <c r="FD165" s="36"/>
      <c r="FE165" s="36"/>
      <c r="FF165" s="36"/>
      <c r="FG165" s="36"/>
      <c r="FH165" s="36"/>
      <c r="FI165" s="36"/>
      <c r="FJ165" s="36"/>
      <c r="FK165" s="36"/>
      <c r="FL165" s="36"/>
      <c r="FM165" s="36"/>
      <c r="FN165" s="36"/>
      <c r="FO165" s="36"/>
      <c r="FP165" s="36"/>
      <c r="FQ165" s="36"/>
      <c r="FR165" s="36"/>
      <c r="FS165" s="36"/>
      <c r="FT165" s="36"/>
      <c r="FU165" s="36"/>
      <c r="FV165" s="36"/>
      <c r="FW165" s="36"/>
      <c r="FX165" s="36"/>
      <c r="FY165" s="36"/>
      <c r="FZ165" s="36"/>
      <c r="GA165" s="36"/>
      <c r="GB165" s="319"/>
      <c r="GC165" s="179">
        <f t="shared" si="32"/>
        <v>0</v>
      </c>
      <c r="GD165" s="179">
        <f t="shared" si="33"/>
        <v>0</v>
      </c>
      <c r="GE165" s="179">
        <f t="shared" si="34"/>
        <v>0</v>
      </c>
      <c r="GF165" s="179">
        <f t="shared" si="35"/>
        <v>0</v>
      </c>
      <c r="GG165" s="179">
        <f t="shared" si="36"/>
        <v>0</v>
      </c>
    </row>
    <row r="166" spans="1:189" x14ac:dyDescent="0.35">
      <c r="A166" s="5" t="s">
        <v>1078</v>
      </c>
      <c r="B166" s="5" t="str">
        <f>IF(Technologies!B166&lt;&gt;0,Technologies!B166,"")</f>
        <v>Mobiliteit</v>
      </c>
      <c r="C166" s="5" t="str">
        <f>VLOOKUP($A166,Technologies!$A$7:$H$576,3,FALSE)</f>
        <v>Final</v>
      </c>
      <c r="D166" s="5" t="str">
        <f>VLOOKUP($A166,Technologies!$A$7:$H$576,4,FALSE)</f>
        <v>Transport</v>
      </c>
      <c r="E166" s="5" t="str">
        <f>VLOOKUP($A166,Technologies!$A$7:$H$576,6,FALSE)</f>
        <v>Heavy-Duty Vehicles</v>
      </c>
      <c r="F166" s="5" t="str">
        <f>VLOOKUP($A166,Technologies!$A$7:$H$576,7,FALSE)</f>
        <v>ICE 2010 norm Vehicle - HDV</v>
      </c>
      <c r="G166" s="23"/>
      <c r="H166" s="23"/>
      <c r="I166" s="104" cm="1">
        <f t="array" ref="I166">-SUMPRODUCT((Feedstocks!$C$4:$C$141=A166)*Feedstocks!$E$4:$E$141,Feedstocks!$F$4:$F$141,Feedstocks!$H$4:$H$141,Feedstocks!$I$4:$I$141)</f>
        <v>0</v>
      </c>
      <c r="J166" s="104" cm="1">
        <f t="array" ref="J166">-SUMPRODUCT((Feedstocks!$C$4:$C$141=A166)*Feedstocks!$E$4:$E$141,Feedstocks!$H$4:$H$141,Feedstocks!$I$4:$I$141)</f>
        <v>0</v>
      </c>
      <c r="K166" s="104"/>
      <c r="L166" s="104"/>
      <c r="M166" s="23"/>
      <c r="N166" s="23" t="str">
        <f>VLOOKUP(E166,Activities!$A$9:$M$227,13,FALSE)</f>
        <v>NL</v>
      </c>
      <c r="O166" s="23"/>
      <c r="P166" s="79" t="s">
        <v>452</v>
      </c>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v>1</v>
      </c>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v>-15.89</v>
      </c>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18"/>
      <c r="GC166" s="178">
        <f t="shared" si="32"/>
        <v>0</v>
      </c>
      <c r="GD166" s="178">
        <f t="shared" si="33"/>
        <v>0</v>
      </c>
      <c r="GE166" s="178">
        <f t="shared" si="34"/>
        <v>1.1599999999999999</v>
      </c>
      <c r="GF166" s="178">
        <f t="shared" si="35"/>
        <v>0</v>
      </c>
      <c r="GG166" s="178">
        <f t="shared" si="36"/>
        <v>0</v>
      </c>
    </row>
    <row r="167" spans="1:189" x14ac:dyDescent="0.35">
      <c r="A167" s="6" t="s">
        <v>1081</v>
      </c>
      <c r="B167" s="6" t="str">
        <f>IF(Technologies!B167&lt;&gt;0,Technologies!B167,"")</f>
        <v>Mobiliteit</v>
      </c>
      <c r="C167" s="6" t="str">
        <f>VLOOKUP($A167,Technologies!$A$7:$H$576,3,FALSE)</f>
        <v>Final</v>
      </c>
      <c r="D167" s="6" t="str">
        <f>VLOOKUP($A167,Technologies!$A$7:$H$576,4,FALSE)</f>
        <v>Transport</v>
      </c>
      <c r="E167" s="6" t="str">
        <f>VLOOKUP($A167,Technologies!$A$7:$H$576,6,FALSE)</f>
        <v>Heavy-Duty Vehicles</v>
      </c>
      <c r="F167" s="48" t="str">
        <f>VLOOKUP($A167,Technologies!$A$7:$H$576,7,FALSE)</f>
        <v>ICE efficient Vehicle - HDV</v>
      </c>
      <c r="G167" s="22"/>
      <c r="H167" s="22"/>
      <c r="I167" s="103" cm="1">
        <f t="array" ref="I167">-SUMPRODUCT((Feedstocks!$C$4:$C$141=A167)*Feedstocks!$E$4:$E$141,Feedstocks!$F$4:$F$141,Feedstocks!$H$4:$H$141,Feedstocks!$I$4:$I$141)</f>
        <v>0</v>
      </c>
      <c r="J167" s="103" cm="1">
        <f t="array" ref="J167">-SUMPRODUCT((Feedstocks!$C$4:$C$141=A167)*Feedstocks!$E$4:$E$141,Feedstocks!$H$4:$H$141,Feedstocks!$I$4:$I$141)</f>
        <v>0</v>
      </c>
      <c r="K167" s="103"/>
      <c r="L167" s="103"/>
      <c r="M167" s="22"/>
      <c r="N167" s="22" t="str">
        <f>VLOOKUP(E167,Activities!$A$9:$M$227,13,FALSE)</f>
        <v>NL</v>
      </c>
      <c r="O167" s="22"/>
      <c r="P167" s="80" t="s">
        <v>1808</v>
      </c>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v>1</v>
      </c>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v>-13.71</v>
      </c>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c r="FJ167" s="36"/>
      <c r="FK167" s="36"/>
      <c r="FL167" s="36"/>
      <c r="FM167" s="36"/>
      <c r="FN167" s="36"/>
      <c r="FO167" s="36"/>
      <c r="FP167" s="36"/>
      <c r="FQ167" s="36"/>
      <c r="FR167" s="36"/>
      <c r="FS167" s="36"/>
      <c r="FT167" s="36"/>
      <c r="FU167" s="36"/>
      <c r="FV167" s="36"/>
      <c r="FW167" s="36"/>
      <c r="FX167" s="36"/>
      <c r="FY167" s="36"/>
      <c r="FZ167" s="36"/>
      <c r="GA167" s="36"/>
      <c r="GB167" s="319"/>
      <c r="GC167" s="179">
        <f t="shared" si="32"/>
        <v>0</v>
      </c>
      <c r="GD167" s="179">
        <f t="shared" si="33"/>
        <v>0</v>
      </c>
      <c r="GE167" s="179">
        <f t="shared" si="34"/>
        <v>1.0007999999999999</v>
      </c>
      <c r="GF167" s="179">
        <f t="shared" si="35"/>
        <v>0</v>
      </c>
      <c r="GG167" s="179">
        <f t="shared" si="36"/>
        <v>0</v>
      </c>
    </row>
    <row r="168" spans="1:189" x14ac:dyDescent="0.35">
      <c r="A168" s="5" t="s">
        <v>1083</v>
      </c>
      <c r="B168" s="6" t="str">
        <f>IF(Technologies!B168&lt;&gt;0,Technologies!B168,"")</f>
        <v>Mobiliteit</v>
      </c>
      <c r="C168" s="6" t="str">
        <f>VLOOKUP($A168,Technologies!$A$7:$H$576,3,FALSE)</f>
        <v>Final</v>
      </c>
      <c r="D168" s="6" t="str">
        <f>VLOOKUP($A168,Technologies!$A$7:$H$576,4,FALSE)</f>
        <v>Transport</v>
      </c>
      <c r="E168" s="6" t="str">
        <f>VLOOKUP($A168,Technologies!$A$7:$H$576,6,FALSE)</f>
        <v>Heavy-Duty Vehicles</v>
      </c>
      <c r="F168" s="48" t="str">
        <f>VLOOKUP($A168,Technologies!$A$7:$H$576,7,FALSE)</f>
        <v>ICE Bio Diesel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1808</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v>-13.71</v>
      </c>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0</v>
      </c>
      <c r="GF168" s="179">
        <f t="shared" si="35"/>
        <v>0</v>
      </c>
      <c r="GG168" s="179">
        <f t="shared" si="36"/>
        <v>0</v>
      </c>
    </row>
    <row r="169" spans="1:189" x14ac:dyDescent="0.35">
      <c r="A169" s="6" t="s">
        <v>1085</v>
      </c>
      <c r="B169" s="6" t="str">
        <f>IF(Technologies!B169&lt;&gt;0,Technologies!B169,"")</f>
        <v>Mobiliteit</v>
      </c>
      <c r="C169" s="6" t="str">
        <f>VLOOKUP($A169,Technologies!$A$7:$H$576,3,FALSE)</f>
        <v>Final</v>
      </c>
      <c r="D169" s="6" t="str">
        <f>VLOOKUP($A169,Technologies!$A$7:$H$576,4,FALSE)</f>
        <v>Transport</v>
      </c>
      <c r="E169" s="6" t="str">
        <f>VLOOKUP($A169,Technologies!$A$7:$H$576,6,FALSE)</f>
        <v>Heavy-Duty Vehicles</v>
      </c>
      <c r="F169" s="48" t="str">
        <f>VLOOKUP($A169,Technologies!$A$7:$H$576,7,FALSE)</f>
        <v>ICE Syn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1808</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v>-13.71</v>
      </c>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1.0007999999999999</v>
      </c>
      <c r="GF169" s="179">
        <f t="shared" si="35"/>
        <v>0</v>
      </c>
      <c r="GG169" s="179">
        <f t="shared" si="36"/>
        <v>0</v>
      </c>
    </row>
    <row r="170" spans="1:189" x14ac:dyDescent="0.35">
      <c r="A170" s="5" t="s">
        <v>1087</v>
      </c>
      <c r="B170" s="5" t="str">
        <f>IF(Technologies!B170&lt;&gt;0,Technologies!B170,"")</f>
        <v>Mobiliteit</v>
      </c>
      <c r="C170" s="5" t="str">
        <f>VLOOKUP($A170,Technologies!$A$7:$H$576,3,FALSE)</f>
        <v>Final</v>
      </c>
      <c r="D170" s="5" t="str">
        <f>VLOOKUP($A170,Technologies!$A$7:$H$576,4,FALSE)</f>
        <v>Transport</v>
      </c>
      <c r="E170" s="5" t="str">
        <f>VLOOKUP($A170,Technologies!$A$7:$H$576,6,FALSE)</f>
        <v>Heavy-Duty Vehicles</v>
      </c>
      <c r="F170" s="5" t="str">
        <f>VLOOKUP($A170,Technologies!$A$7:$H$576,7,FALSE)</f>
        <v>ICE Natural Gas Vehicle - HDV</v>
      </c>
      <c r="G170" s="23"/>
      <c r="H170" s="23"/>
      <c r="I170" s="104" cm="1">
        <f t="array" ref="I170">-SUMPRODUCT((Feedstocks!$C$4:$C$141=A170)*Feedstocks!$E$4:$E$141,Feedstocks!$F$4:$F$141,Feedstocks!$H$4:$H$141,Feedstocks!$I$4:$I$141)</f>
        <v>0</v>
      </c>
      <c r="J170" s="104" cm="1">
        <f t="array" ref="J170">-SUMPRODUCT((Feedstocks!$C$4:$C$141=A170)*Feedstocks!$E$4:$E$141,Feedstocks!$H$4:$H$141,Feedstocks!$I$4:$I$141)</f>
        <v>0</v>
      </c>
      <c r="K170" s="104"/>
      <c r="L170" s="104"/>
      <c r="M170" s="23"/>
      <c r="N170" s="23" t="str">
        <f>VLOOKUP(E170,Activities!$A$9:$M$227,13,FALSE)</f>
        <v>NL</v>
      </c>
      <c r="O170" s="23"/>
      <c r="P170" s="79" t="s">
        <v>1808</v>
      </c>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v>1</v>
      </c>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v>-16.190000000000001</v>
      </c>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18"/>
      <c r="GC170" s="178">
        <f t="shared" si="32"/>
        <v>0</v>
      </c>
      <c r="GD170" s="178">
        <f t="shared" si="33"/>
        <v>0</v>
      </c>
      <c r="GE170" s="178">
        <f t="shared" si="34"/>
        <v>0.91639999999999999</v>
      </c>
      <c r="GF170" s="178">
        <f t="shared" si="35"/>
        <v>0</v>
      </c>
      <c r="GG170" s="178">
        <f t="shared" si="36"/>
        <v>0</v>
      </c>
    </row>
    <row r="171" spans="1:189" x14ac:dyDescent="0.35">
      <c r="A171" s="6" t="s">
        <v>1089</v>
      </c>
      <c r="B171" s="6" t="str">
        <f>IF(Technologies!B171&lt;&gt;0,Technologies!B171,"")</f>
        <v>Mobiliteit</v>
      </c>
      <c r="C171" s="6" t="str">
        <f>VLOOKUP($A171,Technologies!$A$7:$H$576,3,FALSE)</f>
        <v>Final</v>
      </c>
      <c r="D171" s="6" t="str">
        <f>VLOOKUP($A171,Technologies!$A$7:$H$576,4,FALSE)</f>
        <v>Transport</v>
      </c>
      <c r="E171" s="6" t="str">
        <f>VLOOKUP($A171,Technologies!$A$7:$H$576,6,FALSE)</f>
        <v>Heavy-Duty Vehicles</v>
      </c>
      <c r="F171" s="48" t="str">
        <f>VLOOKUP($A171,Technologies!$A$7:$H$576,7,FALSE)</f>
        <v>Electric Battery Vehicle - HDV</v>
      </c>
      <c r="G171" s="22"/>
      <c r="H171" s="22"/>
      <c r="I171" s="103" cm="1">
        <f t="array" ref="I171">-SUMPRODUCT((Feedstocks!$C$4:$C$141=A171)*Feedstocks!$E$4:$E$141,Feedstocks!$F$4:$F$141,Feedstocks!$H$4:$H$141,Feedstocks!$I$4:$I$141)</f>
        <v>0</v>
      </c>
      <c r="J171" s="103" cm="1">
        <f t="array" ref="J171">-SUMPRODUCT((Feedstocks!$C$4:$C$141=A171)*Feedstocks!$E$4:$E$141,Feedstocks!$H$4:$H$141,Feedstocks!$I$4:$I$141)</f>
        <v>0</v>
      </c>
      <c r="K171" s="103"/>
      <c r="L171" s="103"/>
      <c r="M171" s="22"/>
      <c r="N171" s="22" t="str">
        <f>VLOOKUP(E171,Activities!$A$9:$M$227,13,FALSE)</f>
        <v>NL</v>
      </c>
      <c r="O171" s="22"/>
      <c r="P171" s="80" t="s">
        <v>452</v>
      </c>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v>1</v>
      </c>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v>-8.7899999999999991</v>
      </c>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36"/>
      <c r="EX171" s="36"/>
      <c r="EY171" s="36"/>
      <c r="EZ171" s="36"/>
      <c r="FA171" s="36"/>
      <c r="FB171" s="36"/>
      <c r="FC171" s="36"/>
      <c r="FD171" s="36"/>
      <c r="FE171" s="36"/>
      <c r="FF171" s="36"/>
      <c r="FG171" s="36"/>
      <c r="FH171" s="36"/>
      <c r="FI171" s="36"/>
      <c r="FJ171" s="36"/>
      <c r="FK171" s="36"/>
      <c r="FL171" s="36"/>
      <c r="FM171" s="36"/>
      <c r="FN171" s="36"/>
      <c r="FO171" s="36"/>
      <c r="FP171" s="36"/>
      <c r="FQ171" s="36"/>
      <c r="FR171" s="36"/>
      <c r="FS171" s="36"/>
      <c r="FT171" s="36"/>
      <c r="FU171" s="36"/>
      <c r="FV171" s="36"/>
      <c r="FW171" s="36"/>
      <c r="FX171" s="36"/>
      <c r="FY171" s="36"/>
      <c r="FZ171" s="36"/>
      <c r="GA171" s="36"/>
      <c r="GB171" s="319"/>
      <c r="GC171" s="179">
        <f t="shared" si="32"/>
        <v>0</v>
      </c>
      <c r="GD171" s="179">
        <f t="shared" si="33"/>
        <v>0</v>
      </c>
      <c r="GE171" s="179">
        <f t="shared" si="34"/>
        <v>0</v>
      </c>
      <c r="GF171" s="179">
        <f t="shared" si="35"/>
        <v>0</v>
      </c>
      <c r="GG171" s="179">
        <f t="shared" si="36"/>
        <v>0</v>
      </c>
    </row>
    <row r="172" spans="1:189" x14ac:dyDescent="0.35">
      <c r="A172" s="5" t="s">
        <v>1092</v>
      </c>
      <c r="B172" s="5" t="str">
        <f>IF(Technologies!B172&lt;&gt;0,Technologies!B172,"")</f>
        <v>Mobiliteit</v>
      </c>
      <c r="C172" s="5" t="str">
        <f>VLOOKUP($A172,Technologies!$A$7:$H$576,3,FALSE)</f>
        <v>Final</v>
      </c>
      <c r="D172" s="5" t="str">
        <f>VLOOKUP($A172,Technologies!$A$7:$H$576,4,FALSE)</f>
        <v>Transport</v>
      </c>
      <c r="E172" s="5" t="str">
        <f>VLOOKUP($A172,Technologies!$A$7:$H$576,6,FALSE)</f>
        <v>Heavy-Duty Vehicles</v>
      </c>
      <c r="F172" s="5" t="str">
        <f>VLOOKUP($A172,Technologies!$A$7:$H$576,7,FALSE)</f>
        <v>Electric Battery Vehicle FLEX - HDV</v>
      </c>
      <c r="G172" s="23"/>
      <c r="H172" s="23"/>
      <c r="I172" s="104" cm="1">
        <f t="array" ref="I172">-SUMPRODUCT((Feedstocks!$C$4:$C$141=A172)*Feedstocks!$E$4:$E$141,Feedstocks!$F$4:$F$141,Feedstocks!$H$4:$H$141,Feedstocks!$I$4:$I$141)</f>
        <v>0</v>
      </c>
      <c r="J172" s="104" cm="1">
        <f t="array" ref="J172">-SUMPRODUCT((Feedstocks!$C$4:$C$141=A172)*Feedstocks!$E$4:$E$141,Feedstocks!$H$4:$H$141,Feedstocks!$I$4:$I$141)</f>
        <v>0</v>
      </c>
      <c r="K172" s="104"/>
      <c r="L172" s="104"/>
      <c r="M172" s="23"/>
      <c r="N172" s="23" t="str">
        <f>VLOOKUP(E172,Activities!$A$9:$M$227,13,FALSE)</f>
        <v>NL</v>
      </c>
      <c r="O172" s="23"/>
      <c r="P172" s="79" t="s">
        <v>710</v>
      </c>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v>1</v>
      </c>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v>-8.7899999999999991</v>
      </c>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18"/>
      <c r="GC172" s="178">
        <f t="shared" si="32"/>
        <v>0</v>
      </c>
      <c r="GD172" s="178">
        <f t="shared" si="33"/>
        <v>0</v>
      </c>
      <c r="GE172" s="178">
        <f t="shared" si="34"/>
        <v>0</v>
      </c>
      <c r="GF172" s="178">
        <f t="shared" si="35"/>
        <v>0</v>
      </c>
      <c r="GG172" s="178">
        <f t="shared" si="36"/>
        <v>0</v>
      </c>
    </row>
    <row r="173" spans="1:189" x14ac:dyDescent="0.35">
      <c r="A173" s="6" t="s">
        <v>1094</v>
      </c>
      <c r="B173" s="6" t="str">
        <f>IF(Technologies!B173&lt;&gt;0,Technologies!B173,"")</f>
        <v>Mobiliteit</v>
      </c>
      <c r="C173" s="6" t="str">
        <f>VLOOKUP($A173,Technologies!$A$7:$H$576,3,FALSE)</f>
        <v>Final</v>
      </c>
      <c r="D173" s="6" t="str">
        <f>VLOOKUP($A173,Technologies!$A$7:$H$576,4,FALSE)</f>
        <v>Transport</v>
      </c>
      <c r="E173" s="6" t="str">
        <f>VLOOKUP($A173,Technologies!$A$7:$H$576,6,FALSE)</f>
        <v>Heavy-Duty Vehicles</v>
      </c>
      <c r="F173" s="48" t="str">
        <f>VLOOKUP($A173,Technologies!$A$7:$H$576,7,FALSE)</f>
        <v>Hydrogen Fuel Cell Vehicle - HDV</v>
      </c>
      <c r="G173" s="22"/>
      <c r="H173" s="22"/>
      <c r="I173" s="103" cm="1">
        <f t="array" ref="I173">-SUMPRODUCT((Feedstocks!$C$4:$C$141=A173)*Feedstocks!$E$4:$E$141,Feedstocks!$F$4:$F$141,Feedstocks!$H$4:$H$141,Feedstocks!$I$4:$I$141)</f>
        <v>0</v>
      </c>
      <c r="J173" s="103" cm="1">
        <f t="array" ref="J173">-SUMPRODUCT((Feedstocks!$C$4:$C$141=A173)*Feedstocks!$E$4:$E$141,Feedstocks!$H$4:$H$141,Feedstocks!$I$4:$I$141)</f>
        <v>0</v>
      </c>
      <c r="K173" s="103"/>
      <c r="L173" s="103"/>
      <c r="M173" s="22"/>
      <c r="N173" s="22" t="str">
        <f>VLOOKUP(E173,Activities!$A$9:$M$227,13,FALSE)</f>
        <v>NL</v>
      </c>
      <c r="O173" s="22"/>
      <c r="P173" s="80" t="s">
        <v>710</v>
      </c>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v>1</v>
      </c>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v>-8</v>
      </c>
      <c r="EO173" s="36"/>
      <c r="EP173" s="36"/>
      <c r="EQ173" s="36"/>
      <c r="ER173" s="36"/>
      <c r="ES173" s="36"/>
      <c r="ET173" s="36"/>
      <c r="EU173" s="36"/>
      <c r="EV173" s="36"/>
      <c r="EW173" s="36"/>
      <c r="EX173" s="36"/>
      <c r="EY173" s="36"/>
      <c r="EZ173" s="36"/>
      <c r="FA173" s="36"/>
      <c r="FB173" s="36"/>
      <c r="FC173" s="36"/>
      <c r="FD173" s="36"/>
      <c r="FE173" s="36"/>
      <c r="FF173" s="36"/>
      <c r="FG173" s="36"/>
      <c r="FH173" s="36"/>
      <c r="FI173" s="36"/>
      <c r="FJ173" s="36"/>
      <c r="FK173" s="36"/>
      <c r="FL173" s="36"/>
      <c r="FM173" s="36"/>
      <c r="FN173" s="36"/>
      <c r="FO173" s="36"/>
      <c r="FP173" s="36"/>
      <c r="FQ173" s="36"/>
      <c r="FR173" s="36"/>
      <c r="FS173" s="36"/>
      <c r="FT173" s="36"/>
      <c r="FU173" s="36"/>
      <c r="FV173" s="36"/>
      <c r="FW173" s="36"/>
      <c r="FX173" s="36"/>
      <c r="FY173" s="36"/>
      <c r="FZ173" s="36"/>
      <c r="GA173" s="36"/>
      <c r="GB173" s="319"/>
      <c r="GC173" s="179">
        <f t="shared" si="32"/>
        <v>0</v>
      </c>
      <c r="GD173" s="179">
        <f t="shared" si="33"/>
        <v>0</v>
      </c>
      <c r="GE173" s="179">
        <f t="shared" si="34"/>
        <v>0</v>
      </c>
      <c r="GF173" s="179">
        <f t="shared" si="35"/>
        <v>0</v>
      </c>
      <c r="GG173" s="179">
        <f t="shared" si="36"/>
        <v>0</v>
      </c>
    </row>
    <row r="174" spans="1:189" x14ac:dyDescent="0.35">
      <c r="A174" s="5" t="s">
        <v>1096</v>
      </c>
      <c r="B174" s="5" t="str">
        <f>IF(Technologies!B174&lt;&gt;0,Technologies!B174,"")</f>
        <v>Mobiliteit</v>
      </c>
      <c r="C174" s="5" t="str">
        <f>VLOOKUP($A174,Technologies!$A$7:$H$576,3,FALSE)</f>
        <v>Final</v>
      </c>
      <c r="D174" s="5" t="str">
        <f>VLOOKUP($A174,Technologies!$A$7:$H$576,4,FALSE)</f>
        <v>Transport</v>
      </c>
      <c r="E174" s="5" t="str">
        <f>VLOOKUP($A174,Technologies!$A$7:$H$576,6,FALSE)</f>
        <v>Buses</v>
      </c>
      <c r="F174" s="5" t="str">
        <f>VLOOKUP($A174,Technologies!$A$7:$H$576,7,FALSE)</f>
        <v>ICE Vehicle - Bus</v>
      </c>
      <c r="G174" s="23"/>
      <c r="H174" s="23"/>
      <c r="I174" s="104" cm="1">
        <f t="array" ref="I174">-SUMPRODUCT((Feedstocks!$C$4:$C$141=A174)*Feedstocks!$E$4:$E$141,Feedstocks!$F$4:$F$141,Feedstocks!$H$4:$H$141,Feedstocks!$I$4:$I$141)</f>
        <v>0</v>
      </c>
      <c r="J174" s="104" cm="1">
        <f t="array" ref="J174">-SUMPRODUCT((Feedstocks!$C$4:$C$141=A174)*Feedstocks!$E$4:$E$141,Feedstocks!$H$4:$H$141,Feedstocks!$I$4:$I$141)</f>
        <v>0</v>
      </c>
      <c r="K174" s="104"/>
      <c r="L174" s="104"/>
      <c r="M174" s="23"/>
      <c r="N174" s="23" t="str">
        <f>VLOOKUP(E174,Activities!$A$9:$M$227,13,FALSE)</f>
        <v>NL</v>
      </c>
      <c r="O174" s="23"/>
      <c r="P174" s="79" t="s">
        <v>452</v>
      </c>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v>1</v>
      </c>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v>-1.6990000000000002E-2</v>
      </c>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18"/>
      <c r="GC174" s="178">
        <f t="shared" si="32"/>
        <v>0</v>
      </c>
      <c r="GD174" s="178">
        <f t="shared" si="33"/>
        <v>0</v>
      </c>
      <c r="GE174" s="178">
        <f t="shared" si="34"/>
        <v>1.1999999999999999E-3</v>
      </c>
      <c r="GF174" s="178">
        <f t="shared" si="35"/>
        <v>0</v>
      </c>
      <c r="GG174" s="178">
        <f t="shared" si="36"/>
        <v>0</v>
      </c>
    </row>
    <row r="175" spans="1:189" x14ac:dyDescent="0.35">
      <c r="A175" s="5" t="s">
        <v>1098</v>
      </c>
      <c r="B175" s="5" t="str">
        <f>IF(Technologies!B175&lt;&gt;0,Technologies!B175,"")</f>
        <v>Mobiliteit</v>
      </c>
      <c r="C175" s="5" t="str">
        <f>VLOOKUP($A175,Technologies!$A$7:$H$576,3,FALSE)</f>
        <v>Final</v>
      </c>
      <c r="D175" s="5" t="str">
        <f>VLOOKUP($A175,Technologies!$A$7:$H$576,4,FALSE)</f>
        <v>Transport</v>
      </c>
      <c r="E175" s="5" t="str">
        <f>VLOOKUP($A175,Technologies!$A$7:$H$576,6,FALSE)</f>
        <v>Buses</v>
      </c>
      <c r="F175" s="5" t="str">
        <f>VLOOKUP($A175,Technologies!$A$7:$H$576,7,FALSE)</f>
        <v>ICE Bio Diesel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v>-1.6990000000000002E-2</v>
      </c>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0</v>
      </c>
      <c r="GF175" s="178">
        <f t="shared" si="35"/>
        <v>0</v>
      </c>
      <c r="GG175" s="178">
        <f t="shared" si="36"/>
        <v>0</v>
      </c>
    </row>
    <row r="176" spans="1:189" x14ac:dyDescent="0.35">
      <c r="A176" s="5" t="s">
        <v>1100</v>
      </c>
      <c r="B176" s="5" t="str">
        <f>IF(Technologies!B176&lt;&gt;0,Technologies!B176,"")</f>
        <v>Mobiliteit</v>
      </c>
      <c r="C176" s="5" t="str">
        <f>VLOOKUP($A176,Technologies!$A$7:$H$576,3,FALSE)</f>
        <v>Final</v>
      </c>
      <c r="D176" s="5" t="str">
        <f>VLOOKUP($A176,Technologies!$A$7:$H$576,4,FALSE)</f>
        <v>Transport</v>
      </c>
      <c r="E176" s="5" t="str">
        <f>VLOOKUP($A176,Technologies!$A$7:$H$576,6,FALSE)</f>
        <v>Buses</v>
      </c>
      <c r="F176" s="5" t="str">
        <f>VLOOKUP($A176,Technologies!$A$7:$H$576,7,FALSE)</f>
        <v>ICE Syn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v>-1.6990000000000002E-2</v>
      </c>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1.1999999999999999E-3</v>
      </c>
      <c r="GF176" s="178">
        <f t="shared" si="35"/>
        <v>0</v>
      </c>
      <c r="GG176" s="178">
        <f t="shared" si="36"/>
        <v>0</v>
      </c>
    </row>
    <row r="177" spans="1:189" x14ac:dyDescent="0.35">
      <c r="A177" s="5" t="s">
        <v>1102</v>
      </c>
      <c r="B177" s="6" t="str">
        <f>IF(Technologies!B177&lt;&gt;0,Technologies!B177,"")</f>
        <v>Mobiliteit</v>
      </c>
      <c r="C177" s="6" t="str">
        <f>VLOOKUP($A177,Technologies!$A$7:$H$576,3,FALSE)</f>
        <v>Final</v>
      </c>
      <c r="D177" s="6" t="str">
        <f>VLOOKUP($A177,Technologies!$A$7:$H$576,4,FALSE)</f>
        <v>Transport</v>
      </c>
      <c r="E177" s="6" t="str">
        <f>VLOOKUP($A177,Technologies!$A$7:$H$576,6,FALSE)</f>
        <v>Buses</v>
      </c>
      <c r="F177" s="48" t="str">
        <f>VLOOKUP($A177,Technologies!$A$7:$H$576,7,FALSE)</f>
        <v>ICE Vehicle Natural Gas - Bus</v>
      </c>
      <c r="G177" s="22"/>
      <c r="H177" s="22"/>
      <c r="I177" s="103" cm="1">
        <f t="array" ref="I177">-SUMPRODUCT((Feedstocks!$C$4:$C$141=A177)*Feedstocks!$E$4:$E$141,Feedstocks!$F$4:$F$141,Feedstocks!$H$4:$H$141,Feedstocks!$I$4:$I$141)</f>
        <v>0</v>
      </c>
      <c r="J177" s="103" cm="1">
        <f t="array" ref="J177">-SUMPRODUCT((Feedstocks!$C$4:$C$141=A177)*Feedstocks!$E$4:$E$141,Feedstocks!$H$4:$H$141,Feedstocks!$I$4:$I$141)</f>
        <v>0</v>
      </c>
      <c r="K177" s="103"/>
      <c r="L177" s="103"/>
      <c r="M177" s="22"/>
      <c r="N177" s="22" t="str">
        <f>VLOOKUP(E177,Activities!$A$9:$M$227,13,FALSE)</f>
        <v>NL</v>
      </c>
      <c r="O177" s="22"/>
      <c r="P177" s="80" t="s">
        <v>1822</v>
      </c>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v>1</v>
      </c>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v>-1.4615E-2</v>
      </c>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c r="FJ177" s="36"/>
      <c r="FK177" s="36"/>
      <c r="FL177" s="36"/>
      <c r="FM177" s="36"/>
      <c r="FN177" s="36"/>
      <c r="FO177" s="36"/>
      <c r="FP177" s="36"/>
      <c r="FQ177" s="36"/>
      <c r="FR177" s="36"/>
      <c r="FS177" s="36"/>
      <c r="FT177" s="36"/>
      <c r="FU177" s="36"/>
      <c r="FV177" s="36"/>
      <c r="FW177" s="36"/>
      <c r="FX177" s="36"/>
      <c r="FY177" s="36"/>
      <c r="FZ177" s="36"/>
      <c r="GA177" s="36"/>
      <c r="GB177" s="319"/>
      <c r="GC177" s="179">
        <f t="shared" si="32"/>
        <v>0</v>
      </c>
      <c r="GD177" s="179">
        <f t="shared" si="33"/>
        <v>0</v>
      </c>
      <c r="GE177" s="179">
        <f t="shared" si="34"/>
        <v>8.0000000000000004E-4</v>
      </c>
      <c r="GF177" s="179">
        <f t="shared" si="35"/>
        <v>0</v>
      </c>
      <c r="GG177" s="179">
        <f t="shared" si="36"/>
        <v>0</v>
      </c>
    </row>
    <row r="178" spans="1:189" x14ac:dyDescent="0.35">
      <c r="A178" s="5" t="s">
        <v>1104</v>
      </c>
      <c r="B178" s="5" t="str">
        <f>IF(Technologies!B178&lt;&gt;0,Technologies!B178,"")</f>
        <v>Mobiliteit</v>
      </c>
      <c r="C178" s="5" t="str">
        <f>VLOOKUP($A178,Technologies!$A$7:$H$576,3,FALSE)</f>
        <v>Final</v>
      </c>
      <c r="D178" s="5" t="str">
        <f>VLOOKUP($A178,Technologies!$A$7:$H$576,4,FALSE)</f>
        <v>Transport</v>
      </c>
      <c r="E178" s="5" t="str">
        <f>VLOOKUP($A178,Technologies!$A$7:$H$576,6,FALSE)</f>
        <v>Buses</v>
      </c>
      <c r="F178" s="5" t="str">
        <f>VLOOKUP($A178,Technologies!$A$7:$H$576,7,FALSE)</f>
        <v>Plug-In Hybrid Vehicle - Bus</v>
      </c>
      <c r="G178" s="23"/>
      <c r="H178" s="23"/>
      <c r="I178" s="104" cm="1">
        <f t="array" ref="I178">-SUMPRODUCT((Feedstocks!$C$4:$C$141=A178)*Feedstocks!$E$4:$E$141,Feedstocks!$F$4:$F$141,Feedstocks!$H$4:$H$141,Feedstocks!$I$4:$I$141)</f>
        <v>0</v>
      </c>
      <c r="J178" s="104" cm="1">
        <f t="array" ref="J178">-SUMPRODUCT((Feedstocks!$C$4:$C$141=A178)*Feedstocks!$E$4:$E$141,Feedstocks!$H$4:$H$141,Feedstocks!$I$4:$I$141)</f>
        <v>0</v>
      </c>
      <c r="K178" s="104"/>
      <c r="L178" s="104"/>
      <c r="M178" s="23"/>
      <c r="N178" s="23" t="str">
        <f>VLOOKUP(E178,Activities!$A$9:$M$227,13,FALSE)</f>
        <v>NL</v>
      </c>
      <c r="O178" s="23"/>
      <c r="P178" s="79" t="s">
        <v>452</v>
      </c>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v>1</v>
      </c>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v>-5.0000000000000001E-3</v>
      </c>
      <c r="DJ178" s="35"/>
      <c r="DK178" s="35"/>
      <c r="DL178" s="35"/>
      <c r="DM178" s="35"/>
      <c r="DN178" s="35"/>
      <c r="DO178" s="35"/>
      <c r="DP178" s="35"/>
      <c r="DQ178" s="35"/>
      <c r="DR178" s="35"/>
      <c r="DS178" s="35"/>
      <c r="DT178" s="35"/>
      <c r="DU178" s="35">
        <v>-6.7000000000000002E-3</v>
      </c>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18"/>
      <c r="GC178" s="178">
        <f t="shared" si="32"/>
        <v>0</v>
      </c>
      <c r="GD178" s="178">
        <f t="shared" si="33"/>
        <v>0</v>
      </c>
      <c r="GE178" s="178">
        <f t="shared" si="34"/>
        <v>5.0000000000000001E-4</v>
      </c>
      <c r="GF178" s="178">
        <f t="shared" si="35"/>
        <v>0</v>
      </c>
      <c r="GG178" s="178">
        <f t="shared" si="36"/>
        <v>0</v>
      </c>
    </row>
    <row r="179" spans="1:189" x14ac:dyDescent="0.35">
      <c r="A179" s="5" t="s">
        <v>1106</v>
      </c>
      <c r="B179" s="6" t="str">
        <f>IF(Technologies!B179&lt;&gt;0,Technologies!B179,"")</f>
        <v>Mobiliteit</v>
      </c>
      <c r="C179" s="6" t="str">
        <f>VLOOKUP($A179,Technologies!$A$7:$H$576,3,FALSE)</f>
        <v>Final</v>
      </c>
      <c r="D179" s="6" t="str">
        <f>VLOOKUP($A179,Technologies!$A$7:$H$576,4,FALSE)</f>
        <v>Transport</v>
      </c>
      <c r="E179" s="6" t="str">
        <f>VLOOKUP($A179,Technologies!$A$7:$H$576,6,FALSE)</f>
        <v>Buses</v>
      </c>
      <c r="F179" s="48" t="str">
        <f>VLOOKUP($A179,Technologies!$A$7:$H$576,7,FALSE)</f>
        <v>Electric Battery Vehicle - Bus</v>
      </c>
      <c r="G179" s="22"/>
      <c r="H179" s="22"/>
      <c r="I179" s="103" cm="1">
        <f t="array" ref="I179">-SUMPRODUCT((Feedstocks!$C$4:$C$141=A179)*Feedstocks!$E$4:$E$141,Feedstocks!$F$4:$F$141,Feedstocks!$H$4:$H$141,Feedstocks!$I$4:$I$141)</f>
        <v>0</v>
      </c>
      <c r="J179" s="103" cm="1">
        <f t="array" ref="J179">-SUMPRODUCT((Feedstocks!$C$4:$C$141=A179)*Feedstocks!$E$4:$E$141,Feedstocks!$H$4:$H$141,Feedstocks!$I$4:$I$141)</f>
        <v>0</v>
      </c>
      <c r="K179" s="103"/>
      <c r="L179" s="103"/>
      <c r="M179" s="22"/>
      <c r="N179" s="22" t="str">
        <f>VLOOKUP(E179,Activities!$A$9:$M$227,13,FALSE)</f>
        <v>NL</v>
      </c>
      <c r="O179" s="22"/>
      <c r="P179" s="80" t="s">
        <v>452</v>
      </c>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v>1</v>
      </c>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v>-8.9999999999999993E-3</v>
      </c>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c r="FJ179" s="36"/>
      <c r="FK179" s="36"/>
      <c r="FL179" s="36"/>
      <c r="FM179" s="36"/>
      <c r="FN179" s="36"/>
      <c r="FO179" s="36"/>
      <c r="FP179" s="36"/>
      <c r="FQ179" s="36"/>
      <c r="FR179" s="36"/>
      <c r="FS179" s="36"/>
      <c r="FT179" s="36"/>
      <c r="FU179" s="36"/>
      <c r="FV179" s="36"/>
      <c r="FW179" s="36"/>
      <c r="FX179" s="36"/>
      <c r="FY179" s="36"/>
      <c r="FZ179" s="36"/>
      <c r="GA179" s="36"/>
      <c r="GB179" s="319"/>
      <c r="GC179" s="179">
        <f t="shared" si="32"/>
        <v>0</v>
      </c>
      <c r="GD179" s="179">
        <f t="shared" si="33"/>
        <v>0</v>
      </c>
      <c r="GE179" s="179">
        <f t="shared" si="34"/>
        <v>0</v>
      </c>
      <c r="GF179" s="179">
        <f t="shared" si="35"/>
        <v>0</v>
      </c>
      <c r="GG179" s="179">
        <f t="shared" si="36"/>
        <v>0</v>
      </c>
    </row>
    <row r="180" spans="1:189" x14ac:dyDescent="0.35">
      <c r="A180" s="5" t="s">
        <v>1108</v>
      </c>
      <c r="B180" s="5" t="str">
        <f>IF(Technologies!B180&lt;&gt;0,Technologies!B180,"")</f>
        <v>Mobiliteit</v>
      </c>
      <c r="C180" s="5" t="str">
        <f>VLOOKUP($A180,Technologies!$A$7:$H$576,3,FALSE)</f>
        <v>Final</v>
      </c>
      <c r="D180" s="5" t="str">
        <f>VLOOKUP($A180,Technologies!$A$7:$H$576,4,FALSE)</f>
        <v>Transport</v>
      </c>
      <c r="E180" s="5" t="str">
        <f>VLOOKUP($A180,Technologies!$A$7:$H$576,6,FALSE)</f>
        <v>Buses</v>
      </c>
      <c r="F180" s="5" t="str">
        <f>VLOOKUP($A180,Technologies!$A$7:$H$576,7,FALSE)</f>
        <v>Hydrogen Fuel Cell Vehicle - Bus</v>
      </c>
      <c r="G180" s="23"/>
      <c r="H180" s="23"/>
      <c r="I180" s="104" cm="1">
        <f t="array" ref="I180">-SUMPRODUCT((Feedstocks!$C$4:$C$141=A180)*Feedstocks!$E$4:$E$141,Feedstocks!$F$4:$F$141,Feedstocks!$H$4:$H$141,Feedstocks!$I$4:$I$141)</f>
        <v>0</v>
      </c>
      <c r="J180" s="104" cm="1">
        <f t="array" ref="J180">-SUMPRODUCT((Feedstocks!$C$4:$C$141=A180)*Feedstocks!$E$4:$E$141,Feedstocks!$H$4:$H$141,Feedstocks!$I$4:$I$141)</f>
        <v>0</v>
      </c>
      <c r="K180" s="104"/>
      <c r="L180" s="104"/>
      <c r="M180" s="23"/>
      <c r="N180" s="23" t="str">
        <f>VLOOKUP(E180,Activities!$A$9:$M$227,13,FALSE)</f>
        <v>NL</v>
      </c>
      <c r="O180" s="23"/>
      <c r="P180" s="79" t="s">
        <v>1807</v>
      </c>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v>1</v>
      </c>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v>-8.5000000000000006E-3</v>
      </c>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18"/>
      <c r="GC180" s="178">
        <f t="shared" si="32"/>
        <v>0</v>
      </c>
      <c r="GD180" s="178">
        <f t="shared" si="33"/>
        <v>0</v>
      </c>
      <c r="GE180" s="178">
        <f t="shared" si="34"/>
        <v>0</v>
      </c>
      <c r="GF180" s="178">
        <f t="shared" si="35"/>
        <v>0</v>
      </c>
      <c r="GG180" s="178">
        <f t="shared" si="36"/>
        <v>0</v>
      </c>
    </row>
    <row r="181" spans="1:189" x14ac:dyDescent="0.35">
      <c r="A181" s="6" t="s">
        <v>1110</v>
      </c>
      <c r="B181" s="6" t="str">
        <f>IF(Technologies!B181&lt;&gt;0,Technologies!B181,"")</f>
        <v>Mobiliteit</v>
      </c>
      <c r="C181" s="6" t="str">
        <f>VLOOKUP($A181,Technologies!$A$7:$H$576,3,FALSE)</f>
        <v>Final</v>
      </c>
      <c r="D181" s="6" t="str">
        <f>VLOOKUP($A181,Technologies!$A$7:$H$576,4,FALSE)</f>
        <v>Transport</v>
      </c>
      <c r="E181" s="6" t="str">
        <f>VLOOKUP($A181,Technologies!$A$7:$H$576,6,FALSE)</f>
        <v>Rail</v>
      </c>
      <c r="F181" s="48" t="str">
        <f>VLOOKUP($A181,Technologies!$A$7:$H$576,7,FALSE)</f>
        <v>Compression Ignition - Train</v>
      </c>
      <c r="G181" s="22"/>
      <c r="H181" s="22"/>
      <c r="I181" s="103" cm="1">
        <f t="array" ref="I181">-SUMPRODUCT((Feedstocks!$C$4:$C$141=A181)*Feedstocks!$E$4:$E$141,Feedstocks!$F$4:$F$141,Feedstocks!$H$4:$H$141,Feedstocks!$I$4:$I$141)</f>
        <v>0</v>
      </c>
      <c r="J181" s="103" cm="1">
        <f t="array" ref="J181">-SUMPRODUCT((Feedstocks!$C$4:$C$141=A181)*Feedstocks!$E$4:$E$141,Feedstocks!$H$4:$H$141,Feedstocks!$I$4:$I$141)</f>
        <v>0</v>
      </c>
      <c r="K181" s="103"/>
      <c r="L181" s="103"/>
      <c r="M181" s="22"/>
      <c r="N181" s="22" t="str">
        <f>VLOOKUP(E181,Activities!$A$9:$M$227,13,FALSE)</f>
        <v>NL</v>
      </c>
      <c r="O181" s="22"/>
      <c r="P181" s="80" t="s">
        <v>1807</v>
      </c>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v>1</v>
      </c>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v>-6.83E-2</v>
      </c>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36"/>
      <c r="EX181" s="36"/>
      <c r="EY181" s="36"/>
      <c r="EZ181" s="36"/>
      <c r="FA181" s="36"/>
      <c r="FB181" s="36"/>
      <c r="FC181" s="36"/>
      <c r="FD181" s="36"/>
      <c r="FE181" s="36"/>
      <c r="FF181" s="36"/>
      <c r="FG181" s="36"/>
      <c r="FH181" s="36"/>
      <c r="FI181" s="36"/>
      <c r="FJ181" s="36"/>
      <c r="FK181" s="36"/>
      <c r="FL181" s="36"/>
      <c r="FM181" s="36"/>
      <c r="FN181" s="36"/>
      <c r="FO181" s="36"/>
      <c r="FP181" s="36"/>
      <c r="FQ181" s="36"/>
      <c r="FR181" s="36"/>
      <c r="FS181" s="36"/>
      <c r="FT181" s="36"/>
      <c r="FU181" s="36"/>
      <c r="FV181" s="36"/>
      <c r="FW181" s="36"/>
      <c r="FX181" s="36"/>
      <c r="FY181" s="36"/>
      <c r="FZ181" s="36"/>
      <c r="GA181" s="36"/>
      <c r="GB181" s="319"/>
      <c r="GC181" s="179">
        <f t="shared" si="32"/>
        <v>0</v>
      </c>
      <c r="GD181" s="179">
        <f t="shared" si="33"/>
        <v>0</v>
      </c>
      <c r="GE181" s="179">
        <f t="shared" si="34"/>
        <v>5.0000000000000001E-3</v>
      </c>
      <c r="GF181" s="179">
        <f t="shared" si="35"/>
        <v>0</v>
      </c>
      <c r="GG181" s="179">
        <f t="shared" si="36"/>
        <v>0</v>
      </c>
    </row>
    <row r="182" spans="1:189" x14ac:dyDescent="0.35">
      <c r="A182" s="5" t="s">
        <v>1113</v>
      </c>
      <c r="B182" s="5" t="str">
        <f>IF(Technologies!B182&lt;&gt;0,Technologies!B182,"")</f>
        <v>Mobiliteit</v>
      </c>
      <c r="C182" s="5" t="str">
        <f>VLOOKUP($A182,Technologies!$A$7:$H$576,3,FALSE)</f>
        <v>Final</v>
      </c>
      <c r="D182" s="5" t="str">
        <f>VLOOKUP($A182,Technologies!$A$7:$H$576,4,FALSE)</f>
        <v>Transport</v>
      </c>
      <c r="E182" s="5" t="str">
        <f>VLOOKUP($A182,Technologies!$A$7:$H$576,6,FALSE)</f>
        <v>Rail</v>
      </c>
      <c r="F182" s="5" t="str">
        <f>VLOOKUP($A182,Technologies!$A$7:$H$576,7,FALSE)</f>
        <v>Conventional Electric - Train</v>
      </c>
      <c r="G182" s="23"/>
      <c r="H182" s="23"/>
      <c r="I182" s="104" cm="1">
        <f t="array" ref="I182">-SUMPRODUCT((Feedstocks!$C$4:$C$141=A182)*Feedstocks!$E$4:$E$141,Feedstocks!$F$4:$F$141,Feedstocks!$H$4:$H$141,Feedstocks!$I$4:$I$141)</f>
        <v>0</v>
      </c>
      <c r="J182" s="104" cm="1">
        <f t="array" ref="J182">-SUMPRODUCT((Feedstocks!$C$4:$C$141=A182)*Feedstocks!$E$4:$E$141,Feedstocks!$H$4:$H$141,Feedstocks!$I$4:$I$141)</f>
        <v>0</v>
      </c>
      <c r="K182" s="104"/>
      <c r="L182" s="104"/>
      <c r="M182" s="23"/>
      <c r="N182" s="23" t="str">
        <f>VLOOKUP(E182,Activities!$A$9:$M$227,13,FALSE)</f>
        <v>NL</v>
      </c>
      <c r="O182" s="23"/>
      <c r="P182" s="79" t="s">
        <v>1807</v>
      </c>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v>1</v>
      </c>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v>-3.7999999999999999E-2</v>
      </c>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18"/>
      <c r="GC182" s="178">
        <f t="shared" si="32"/>
        <v>0</v>
      </c>
      <c r="GD182" s="178">
        <f t="shared" si="33"/>
        <v>0</v>
      </c>
      <c r="GE182" s="178">
        <f t="shared" si="34"/>
        <v>0</v>
      </c>
      <c r="GF182" s="178">
        <f t="shared" si="35"/>
        <v>0</v>
      </c>
      <c r="GG182" s="178">
        <f t="shared" si="36"/>
        <v>0</v>
      </c>
    </row>
    <row r="183" spans="1:189" x14ac:dyDescent="0.35">
      <c r="A183" s="6" t="s">
        <v>1115</v>
      </c>
      <c r="B183" s="6" t="str">
        <f>IF(Technologies!B183&lt;&gt;0,Technologies!B183,"")</f>
        <v>Mobiliteit</v>
      </c>
      <c r="C183" s="6" t="str">
        <f>VLOOKUP($A183,Technologies!$A$7:$H$576,3,FALSE)</f>
        <v>Final</v>
      </c>
      <c r="D183" s="6" t="str">
        <f>VLOOKUP($A183,Technologies!$A$7:$H$576,4,FALSE)</f>
        <v>Transport</v>
      </c>
      <c r="E183" s="6" t="str">
        <f>VLOOKUP($A183,Technologies!$A$7:$H$576,6,FALSE)</f>
        <v>Domestic Navigation</v>
      </c>
      <c r="F183" s="48" t="str">
        <f>VLOOKUP($A183,Technologies!$A$7:$H$576,7,FALSE)</f>
        <v>Heavy Oil Ship - Inland</v>
      </c>
      <c r="G183" s="22"/>
      <c r="H183" s="22"/>
      <c r="I183" s="103" cm="1">
        <f t="array" ref="I183">-SUMPRODUCT((Feedstocks!$C$4:$C$141=A183)*Feedstocks!$E$4:$E$141,Feedstocks!$F$4:$F$141,Feedstocks!$H$4:$H$141,Feedstocks!$I$4:$I$141)</f>
        <v>0</v>
      </c>
      <c r="J183" s="103" cm="1">
        <f t="array" ref="J183">-SUMPRODUCT((Feedstocks!$C$4:$C$141=A183)*Feedstocks!$E$4:$E$141,Feedstocks!$H$4:$H$141,Feedstocks!$I$4:$I$141)</f>
        <v>0</v>
      </c>
      <c r="K183" s="103"/>
      <c r="L183" s="103"/>
      <c r="M183" s="22"/>
      <c r="N183" s="22" t="str">
        <f>VLOOKUP(E183,Activities!$A$9:$M$227,13,FALSE)</f>
        <v>NL</v>
      </c>
      <c r="O183" s="22"/>
      <c r="P183" s="80" t="s">
        <v>699</v>
      </c>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v>1</v>
      </c>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v>-0.215</v>
      </c>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36"/>
      <c r="EX183" s="36"/>
      <c r="EY183" s="36"/>
      <c r="EZ183" s="36"/>
      <c r="FA183" s="36"/>
      <c r="FB183" s="36"/>
      <c r="FC183" s="36"/>
      <c r="FD183" s="36"/>
      <c r="FE183" s="36"/>
      <c r="FF183" s="36"/>
      <c r="FG183" s="36"/>
      <c r="FH183" s="36"/>
      <c r="FI183" s="36"/>
      <c r="FJ183" s="36"/>
      <c r="FK183" s="36"/>
      <c r="FL183" s="36"/>
      <c r="FM183" s="36"/>
      <c r="FN183" s="36"/>
      <c r="FO183" s="36"/>
      <c r="FP183" s="36"/>
      <c r="FQ183" s="36"/>
      <c r="FR183" s="36"/>
      <c r="FS183" s="36"/>
      <c r="FT183" s="36"/>
      <c r="FU183" s="36"/>
      <c r="FV183" s="36"/>
      <c r="FW183" s="36"/>
      <c r="FX183" s="36"/>
      <c r="FY183" s="36"/>
      <c r="FZ183" s="36"/>
      <c r="GA183" s="36"/>
      <c r="GB183" s="319"/>
      <c r="GC183" s="179">
        <f t="shared" si="32"/>
        <v>0</v>
      </c>
      <c r="GD183" s="179">
        <f t="shared" si="33"/>
        <v>0</v>
      </c>
      <c r="GE183" s="179">
        <f t="shared" si="34"/>
        <v>1.66E-2</v>
      </c>
      <c r="GF183" s="179">
        <f t="shared" si="35"/>
        <v>0</v>
      </c>
      <c r="GG183" s="179">
        <f t="shared" si="36"/>
        <v>0</v>
      </c>
    </row>
    <row r="184" spans="1:189" x14ac:dyDescent="0.35">
      <c r="A184" s="5" t="s">
        <v>1119</v>
      </c>
      <c r="B184" s="5" t="str">
        <f>IF(Technologies!B184&lt;&gt;0,Technologies!B184,"")</f>
        <v>Mobiliteit</v>
      </c>
      <c r="C184" s="5" t="str">
        <f>VLOOKUP($A184,Technologies!$A$7:$H$576,3,FALSE)</f>
        <v>Final</v>
      </c>
      <c r="D184" s="5" t="str">
        <f>VLOOKUP($A184,Technologies!$A$7:$H$576,4,FALSE)</f>
        <v>Transport</v>
      </c>
      <c r="E184" s="5" t="str">
        <f>VLOOKUP($A184,Technologies!$A$7:$H$576,6,FALSE)</f>
        <v>Domestic Navigation</v>
      </c>
      <c r="F184" s="5" t="str">
        <f>VLOOKUP($A184,Technologies!$A$7:$H$576,7,FALSE)</f>
        <v>Vegetable Oil Ship - Inland</v>
      </c>
      <c r="G184" s="23"/>
      <c r="H184" s="23"/>
      <c r="I184" s="104" cm="1">
        <f t="array" ref="I184">-SUMPRODUCT((Feedstocks!$C$4:$C$141=A184)*Feedstocks!$E$4:$E$141,Feedstocks!$F$4:$F$141,Feedstocks!$H$4:$H$141,Feedstocks!$I$4:$I$141)</f>
        <v>0</v>
      </c>
      <c r="J184" s="104" cm="1">
        <f t="array" ref="J184">-SUMPRODUCT((Feedstocks!$C$4:$C$141=A184)*Feedstocks!$E$4:$E$141,Feedstocks!$H$4:$H$141,Feedstocks!$I$4:$I$141)</f>
        <v>0</v>
      </c>
      <c r="K184" s="104"/>
      <c r="L184" s="104"/>
      <c r="M184" s="23"/>
      <c r="N184" s="23" t="str">
        <f>VLOOKUP(E184,Activities!$A$9:$M$227,13,FALSE)</f>
        <v>NL</v>
      </c>
      <c r="O184" s="23"/>
      <c r="P184" s="79" t="s">
        <v>1121</v>
      </c>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v>1</v>
      </c>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v>-0.215</v>
      </c>
      <c r="FI184" s="35"/>
      <c r="FJ184" s="35"/>
      <c r="FK184" s="35"/>
      <c r="FL184" s="35"/>
      <c r="FM184" s="35"/>
      <c r="FN184" s="35"/>
      <c r="FO184" s="35"/>
      <c r="FP184" s="35"/>
      <c r="FQ184" s="35"/>
      <c r="FR184" s="35"/>
      <c r="FS184" s="35"/>
      <c r="FT184" s="35"/>
      <c r="FU184" s="35"/>
      <c r="FV184" s="35"/>
      <c r="FW184" s="35"/>
      <c r="FX184" s="35"/>
      <c r="FY184" s="35"/>
      <c r="FZ184" s="35"/>
      <c r="GA184" s="35"/>
      <c r="GB184" s="318"/>
      <c r="GC184" s="178">
        <f t="shared" si="32"/>
        <v>0</v>
      </c>
      <c r="GD184" s="178">
        <f t="shared" si="33"/>
        <v>0</v>
      </c>
      <c r="GE184" s="178">
        <f t="shared" si="34"/>
        <v>0</v>
      </c>
      <c r="GF184" s="178">
        <f t="shared" si="35"/>
        <v>0</v>
      </c>
      <c r="GG184" s="178">
        <f t="shared" si="36"/>
        <v>0</v>
      </c>
    </row>
    <row r="185" spans="1:189" x14ac:dyDescent="0.35">
      <c r="A185" s="6" t="s">
        <v>1122</v>
      </c>
      <c r="B185" s="6" t="str">
        <f>IF(Technologies!B185&lt;&gt;0,Technologies!B185,"")</f>
        <v>Mobiliteit</v>
      </c>
      <c r="C185" s="6" t="str">
        <f>VLOOKUP($A185,Technologies!$A$7:$H$576,3,FALSE)</f>
        <v>Final</v>
      </c>
      <c r="D185" s="6" t="str">
        <f>VLOOKUP($A185,Technologies!$A$7:$H$576,4,FALSE)</f>
        <v>Transport</v>
      </c>
      <c r="E185" s="6" t="str">
        <f>VLOOKUP($A185,Technologies!$A$7:$H$576,6,FALSE)</f>
        <v>Domestic Navigation</v>
      </c>
      <c r="F185" s="48" t="str">
        <f>VLOOKUP($A185,Technologies!$A$7:$H$576,7,FALSE)</f>
        <v>ICE Ship - Inland</v>
      </c>
      <c r="G185" s="22"/>
      <c r="H185" s="22"/>
      <c r="I185" s="103" cm="1">
        <f t="array" ref="I185">-SUMPRODUCT((Feedstocks!$C$4:$C$141=A185)*Feedstocks!$E$4:$E$141,Feedstocks!$F$4:$F$141,Feedstocks!$H$4:$H$141,Feedstocks!$I$4:$I$141)</f>
        <v>0</v>
      </c>
      <c r="J185" s="103" cm="1">
        <f t="array" ref="J185">-SUMPRODUCT((Feedstocks!$C$4:$C$141=A185)*Feedstocks!$E$4:$E$141,Feedstocks!$H$4:$H$141,Feedstocks!$I$4:$I$141)</f>
        <v>0</v>
      </c>
      <c r="K185" s="103"/>
      <c r="L185" s="103"/>
      <c r="M185" s="22"/>
      <c r="N185" s="22" t="str">
        <f>VLOOKUP(E185,Activities!$A$9:$M$227,13,FALSE)</f>
        <v>NL</v>
      </c>
      <c r="O185" s="22"/>
      <c r="P185" s="80" t="s">
        <v>1121</v>
      </c>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v>1</v>
      </c>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v>-0.20499999999999999</v>
      </c>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c r="FJ185" s="36"/>
      <c r="FK185" s="36"/>
      <c r="FL185" s="36"/>
      <c r="FM185" s="36"/>
      <c r="FN185" s="36"/>
      <c r="FO185" s="36"/>
      <c r="FP185" s="36"/>
      <c r="FQ185" s="36"/>
      <c r="FR185" s="36"/>
      <c r="FS185" s="36"/>
      <c r="FT185" s="36"/>
      <c r="FU185" s="36"/>
      <c r="FV185" s="36"/>
      <c r="FW185" s="36"/>
      <c r="FX185" s="36"/>
      <c r="FY185" s="36"/>
      <c r="FZ185" s="36"/>
      <c r="GA185" s="36"/>
      <c r="GB185" s="319"/>
      <c r="GC185" s="179">
        <f t="shared" si="32"/>
        <v>0</v>
      </c>
      <c r="GD185" s="179">
        <f t="shared" si="33"/>
        <v>0</v>
      </c>
      <c r="GE185" s="179">
        <f t="shared" si="34"/>
        <v>1.4999999999999999E-2</v>
      </c>
      <c r="GF185" s="179">
        <f t="shared" si="35"/>
        <v>0</v>
      </c>
      <c r="GG185" s="179">
        <f t="shared" si="36"/>
        <v>0</v>
      </c>
    </row>
    <row r="186" spans="1:189" x14ac:dyDescent="0.35">
      <c r="A186" s="5" t="s">
        <v>1124</v>
      </c>
      <c r="B186" s="5" t="str">
        <f>IF(Technologies!B186&lt;&gt;0,Technologies!B186,"")</f>
        <v>Mobiliteit</v>
      </c>
      <c r="C186" s="5" t="str">
        <f>VLOOKUP($A186,Technologies!$A$7:$H$576,3,FALSE)</f>
        <v>Final</v>
      </c>
      <c r="D186" s="5" t="str">
        <f>VLOOKUP($A186,Technologies!$A$7:$H$576,4,FALSE)</f>
        <v>Transport</v>
      </c>
      <c r="E186" s="5" t="str">
        <f>VLOOKUP($A186,Technologies!$A$7:$H$576,6,FALSE)</f>
        <v>Domestic Navigation</v>
      </c>
      <c r="F186" s="5" t="str">
        <f>VLOOKUP($A186,Technologies!$A$7:$H$576,7,FALSE)</f>
        <v>Biodiesel Ship - Inland</v>
      </c>
      <c r="G186" s="23"/>
      <c r="H186" s="23"/>
      <c r="I186" s="104" cm="1">
        <f t="array" ref="I186">-SUMPRODUCT((Feedstocks!$C$4:$C$141=A186)*Feedstocks!$E$4:$E$141,Feedstocks!$F$4:$F$141,Feedstocks!$H$4:$H$141,Feedstocks!$I$4:$I$141)</f>
        <v>0</v>
      </c>
      <c r="J186" s="104" cm="1">
        <f t="array" ref="J186">-SUMPRODUCT((Feedstocks!$C$4:$C$141=A186)*Feedstocks!$E$4:$E$141,Feedstocks!$H$4:$H$141,Feedstocks!$I$4:$I$141)</f>
        <v>0</v>
      </c>
      <c r="K186" s="104"/>
      <c r="L186" s="104"/>
      <c r="M186" s="23"/>
      <c r="N186" s="23" t="str">
        <f>VLOOKUP(E186,Activities!$A$9:$M$227,13,FALSE)</f>
        <v>NL</v>
      </c>
      <c r="O186" s="23"/>
      <c r="P186" s="79" t="s">
        <v>1121</v>
      </c>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v>1</v>
      </c>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v>-0.20499999999999999</v>
      </c>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18"/>
      <c r="GC186" s="178">
        <f t="shared" si="32"/>
        <v>0</v>
      </c>
      <c r="GD186" s="178">
        <f t="shared" si="33"/>
        <v>0</v>
      </c>
      <c r="GE186" s="178">
        <f t="shared" si="34"/>
        <v>0</v>
      </c>
      <c r="GF186" s="178">
        <f t="shared" si="35"/>
        <v>0</v>
      </c>
      <c r="GG186" s="178">
        <f t="shared" si="36"/>
        <v>0</v>
      </c>
    </row>
    <row r="187" spans="1:189" x14ac:dyDescent="0.35">
      <c r="A187" s="6" t="s">
        <v>1126</v>
      </c>
      <c r="B187" s="6" t="str">
        <f>IF(Technologies!B187&lt;&gt;0,Technologies!B187,"")</f>
        <v>Mobiliteit</v>
      </c>
      <c r="C187" s="6" t="str">
        <f>VLOOKUP($A187,Technologies!$A$7:$H$576,3,FALSE)</f>
        <v>Final</v>
      </c>
      <c r="D187" s="6" t="str">
        <f>VLOOKUP($A187,Technologies!$A$7:$H$576,4,FALSE)</f>
        <v>Transport</v>
      </c>
      <c r="E187" s="6" t="str">
        <f>VLOOKUP($A187,Technologies!$A$7:$H$576,6,FALSE)</f>
        <v>Domestic Navigation</v>
      </c>
      <c r="F187" s="48" t="str">
        <f>VLOOKUP($A187,Technologies!$A$7:$H$576,7,FALSE)</f>
        <v>Syn Diesel Ship - Inland</v>
      </c>
      <c r="G187" s="22"/>
      <c r="H187" s="22"/>
      <c r="I187" s="103" cm="1">
        <f t="array" ref="I187">-SUMPRODUCT((Feedstocks!$C$4:$C$141=A187)*Feedstocks!$E$4:$E$141,Feedstocks!$F$4:$F$141,Feedstocks!$H$4:$H$141,Feedstocks!$I$4:$I$141)</f>
        <v>0</v>
      </c>
      <c r="J187" s="103" cm="1">
        <f t="array" ref="J187">-SUMPRODUCT((Feedstocks!$C$4:$C$141=A187)*Feedstocks!$E$4:$E$141,Feedstocks!$H$4:$H$141,Feedstocks!$I$4:$I$141)</f>
        <v>0</v>
      </c>
      <c r="K187" s="103"/>
      <c r="L187" s="103"/>
      <c r="M187" s="22"/>
      <c r="N187" s="22" t="str">
        <f>VLOOKUP(E187,Activities!$A$9:$M$227,13,FALSE)</f>
        <v>NL</v>
      </c>
      <c r="O187" s="22"/>
      <c r="P187" s="80" t="s">
        <v>1121</v>
      </c>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v>1</v>
      </c>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v>-0.20499999999999999</v>
      </c>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c r="FJ187" s="36"/>
      <c r="FK187" s="36"/>
      <c r="FL187" s="36"/>
      <c r="FM187" s="36"/>
      <c r="FN187" s="36"/>
      <c r="FO187" s="36"/>
      <c r="FP187" s="36"/>
      <c r="FQ187" s="36"/>
      <c r="FR187" s="36"/>
      <c r="FS187" s="36"/>
      <c r="FT187" s="36"/>
      <c r="FU187" s="36"/>
      <c r="FV187" s="36"/>
      <c r="FW187" s="36"/>
      <c r="FX187" s="36"/>
      <c r="FY187" s="36"/>
      <c r="FZ187" s="36"/>
      <c r="GA187" s="36"/>
      <c r="GB187" s="319"/>
      <c r="GC187" s="179">
        <f t="shared" si="32"/>
        <v>0</v>
      </c>
      <c r="GD187" s="179">
        <f t="shared" si="33"/>
        <v>0</v>
      </c>
      <c r="GE187" s="179">
        <f t="shared" si="34"/>
        <v>1.4999999999999999E-2</v>
      </c>
      <c r="GF187" s="179">
        <f t="shared" si="35"/>
        <v>0</v>
      </c>
      <c r="GG187" s="179">
        <f t="shared" si="36"/>
        <v>0</v>
      </c>
    </row>
    <row r="188" spans="1:189" x14ac:dyDescent="0.35">
      <c r="A188" s="5" t="s">
        <v>1128</v>
      </c>
      <c r="B188" s="5" t="str">
        <f>IF(Technologies!B188&lt;&gt;0,Technologies!B188,"")</f>
        <v>Mobiliteit</v>
      </c>
      <c r="C188" s="5" t="str">
        <f>VLOOKUP($A188,Technologies!$A$7:$H$576,3,FALSE)</f>
        <v>Final</v>
      </c>
      <c r="D188" s="5" t="str">
        <f>VLOOKUP($A188,Technologies!$A$7:$H$576,4,FALSE)</f>
        <v>Transport</v>
      </c>
      <c r="E188" s="5" t="str">
        <f>VLOOKUP($A188,Technologies!$A$7:$H$576,6,FALSE)</f>
        <v>Domestic Navigation</v>
      </c>
      <c r="F188" s="5" t="str">
        <f>VLOOKUP($A188,Technologies!$A$7:$H$576,7,FALSE)</f>
        <v>CNG Ship - Inland</v>
      </c>
      <c r="G188" s="23"/>
      <c r="H188" s="23"/>
      <c r="I188" s="104" cm="1">
        <f t="array" ref="I188">-SUMPRODUCT((Feedstocks!$C$4:$C$141=A188)*Feedstocks!$E$4:$E$141,Feedstocks!$F$4:$F$141,Feedstocks!$H$4:$H$141,Feedstocks!$I$4:$I$141)</f>
        <v>0</v>
      </c>
      <c r="J188" s="104" cm="1">
        <f t="array" ref="J188">-SUMPRODUCT((Feedstocks!$C$4:$C$141=A188)*Feedstocks!$E$4:$E$141,Feedstocks!$H$4:$H$141,Feedstocks!$I$4:$I$141)</f>
        <v>0</v>
      </c>
      <c r="K188" s="104"/>
      <c r="L188" s="104"/>
      <c r="M188" s="23"/>
      <c r="N188" s="23" t="str">
        <f>VLOOKUP(E188,Activities!$A$9:$M$227,13,FALSE)</f>
        <v>NL</v>
      </c>
      <c r="O188" s="23"/>
      <c r="P188" s="79" t="s">
        <v>1121</v>
      </c>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v>1</v>
      </c>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v>-0.19800000000000001</v>
      </c>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18"/>
      <c r="GC188" s="178">
        <f t="shared" si="32"/>
        <v>0</v>
      </c>
      <c r="GD188" s="178">
        <f t="shared" si="33"/>
        <v>0</v>
      </c>
      <c r="GE188" s="178">
        <f t="shared" si="34"/>
        <v>1.12E-2</v>
      </c>
      <c r="GF188" s="178">
        <f t="shared" si="35"/>
        <v>0</v>
      </c>
      <c r="GG188" s="178">
        <f t="shared" si="36"/>
        <v>0</v>
      </c>
    </row>
    <row r="189" spans="1:189" x14ac:dyDescent="0.35">
      <c r="A189" s="6" t="s">
        <v>1130</v>
      </c>
      <c r="B189" s="6" t="str">
        <f>IF(Technologies!B189&lt;&gt;0,Technologies!B189,"")</f>
        <v>Mobiliteit</v>
      </c>
      <c r="C189" s="6" t="str">
        <f>VLOOKUP($A189,Technologies!$A$7:$H$576,3,FALSE)</f>
        <v>Final</v>
      </c>
      <c r="D189" s="6" t="str">
        <f>VLOOKUP($A189,Technologies!$A$7:$H$576,4,FALSE)</f>
        <v>Transport</v>
      </c>
      <c r="E189" s="6" t="str">
        <f>VLOOKUP($A189,Technologies!$A$7:$H$576,6,FALSE)</f>
        <v>Domestic Navigation</v>
      </c>
      <c r="F189" s="48" t="str">
        <f>VLOOKUP($A189,Technologies!$A$7:$H$576,7,FALSE)</f>
        <v>Ammonia Ship - Inland</v>
      </c>
      <c r="G189" s="22"/>
      <c r="H189" s="22"/>
      <c r="I189" s="103" cm="1">
        <f t="array" ref="I189">-SUMPRODUCT((Feedstocks!$C$4:$C$141=A189)*Feedstocks!$E$4:$E$141,Feedstocks!$F$4:$F$141,Feedstocks!$H$4:$H$141,Feedstocks!$I$4:$I$141)</f>
        <v>0</v>
      </c>
      <c r="J189" s="103" cm="1">
        <f t="array" ref="J189">-SUMPRODUCT((Feedstocks!$C$4:$C$141=A189)*Feedstocks!$E$4:$E$141,Feedstocks!$H$4:$H$141,Feedstocks!$I$4:$I$141)</f>
        <v>0</v>
      </c>
      <c r="K189" s="103"/>
      <c r="L189" s="103"/>
      <c r="M189" s="22"/>
      <c r="N189" s="22" t="str">
        <f>VLOOKUP(E189,Activities!$A$9:$M$227,13,FALSE)</f>
        <v>NL</v>
      </c>
      <c r="O189" s="22"/>
      <c r="P189" s="80" t="s">
        <v>502</v>
      </c>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v>1</v>
      </c>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v>-0.15</v>
      </c>
      <c r="ER189" s="36"/>
      <c r="ES189" s="36"/>
      <c r="ET189" s="36"/>
      <c r="EU189" s="36"/>
      <c r="EV189" s="36"/>
      <c r="EW189" s="36"/>
      <c r="EX189" s="36"/>
      <c r="EY189" s="36"/>
      <c r="EZ189" s="36"/>
      <c r="FA189" s="36"/>
      <c r="FB189" s="36"/>
      <c r="FC189" s="36"/>
      <c r="FD189" s="36"/>
      <c r="FE189" s="36"/>
      <c r="FF189" s="36"/>
      <c r="FG189" s="36"/>
      <c r="FH189" s="36"/>
      <c r="FI189" s="36"/>
      <c r="FJ189" s="36"/>
      <c r="FK189" s="36"/>
      <c r="FL189" s="36"/>
      <c r="FM189" s="36"/>
      <c r="FN189" s="36"/>
      <c r="FO189" s="36"/>
      <c r="FP189" s="36"/>
      <c r="FQ189" s="36"/>
      <c r="FR189" s="36"/>
      <c r="FS189" s="36"/>
      <c r="FT189" s="36"/>
      <c r="FU189" s="36"/>
      <c r="FV189" s="36"/>
      <c r="FW189" s="36"/>
      <c r="FX189" s="36"/>
      <c r="FY189" s="36"/>
      <c r="FZ189" s="36"/>
      <c r="GA189" s="36"/>
      <c r="GB189" s="319"/>
      <c r="GC189" s="179">
        <f t="shared" si="32"/>
        <v>0</v>
      </c>
      <c r="GD189" s="179">
        <f t="shared" si="33"/>
        <v>0</v>
      </c>
      <c r="GE189" s="179">
        <f t="shared" si="34"/>
        <v>0</v>
      </c>
      <c r="GF189" s="179">
        <f t="shared" si="35"/>
        <v>0</v>
      </c>
      <c r="GG189" s="179">
        <f t="shared" si="36"/>
        <v>0</v>
      </c>
    </row>
    <row r="190" spans="1:189" x14ac:dyDescent="0.35">
      <c r="A190" s="5" t="s">
        <v>1132</v>
      </c>
      <c r="B190" s="5" t="str">
        <f>IF(Technologies!B190&lt;&gt;0,Technologies!B190,"")</f>
        <v>Mobiliteit</v>
      </c>
      <c r="C190" s="5" t="str">
        <f>VLOOKUP($A190,Technologies!$A$7:$H$576,3,FALSE)</f>
        <v>Final</v>
      </c>
      <c r="D190" s="5" t="str">
        <f>VLOOKUP($A190,Technologies!$A$7:$H$576,4,FALSE)</f>
        <v>Transport</v>
      </c>
      <c r="E190" s="5" t="str">
        <f>VLOOKUP($A190,Technologies!$A$7:$H$576,6,FALSE)</f>
        <v>Other transport</v>
      </c>
      <c r="F190" s="5" t="str">
        <f>VLOOKUP($A190,Technologies!$A$7:$H$576,7,FALSE)</f>
        <v>Dummy consumption - Other Transport</v>
      </c>
      <c r="G190" s="23"/>
      <c r="H190" s="23"/>
      <c r="I190" s="104" cm="1">
        <f t="array" ref="I190">-SUMPRODUCT((Feedstocks!$C$4:$C$141=A190)*Feedstocks!$E$4:$E$141,Feedstocks!$F$4:$F$141,Feedstocks!$H$4:$H$141,Feedstocks!$I$4:$I$141)</f>
        <v>0</v>
      </c>
      <c r="J190" s="104" cm="1">
        <f t="array" ref="J190">-SUMPRODUCT((Feedstocks!$C$4:$C$141=A190)*Feedstocks!$E$4:$E$141,Feedstocks!$H$4:$H$141,Feedstocks!$I$4:$I$141)</f>
        <v>0</v>
      </c>
      <c r="K190" s="104"/>
      <c r="L190" s="104"/>
      <c r="M190" s="23"/>
      <c r="N190" s="23" t="str">
        <f>VLOOKUP(E190,Activities!$A$9:$M$227,13,FALSE)</f>
        <v>NL</v>
      </c>
      <c r="O190" s="23"/>
      <c r="P190" s="79" t="s">
        <v>663</v>
      </c>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v>1</v>
      </c>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v>-1</v>
      </c>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18"/>
      <c r="GC190" s="178">
        <f t="shared" si="32"/>
        <v>0</v>
      </c>
      <c r="GD190" s="178">
        <f t="shared" si="33"/>
        <v>0</v>
      </c>
      <c r="GE190" s="178">
        <f t="shared" si="34"/>
        <v>7.2999999999999995E-2</v>
      </c>
      <c r="GF190" s="178">
        <f t="shared" si="35"/>
        <v>0</v>
      </c>
      <c r="GG190" s="178">
        <f t="shared" si="36"/>
        <v>0</v>
      </c>
    </row>
    <row r="191" spans="1:189" x14ac:dyDescent="0.35">
      <c r="A191" s="5" t="s">
        <v>1136</v>
      </c>
      <c r="B191" s="5" t="str">
        <f>IF(Technologies!B191&lt;&gt;0,Technologies!B191,"")</f>
        <v>Mobiliteit</v>
      </c>
      <c r="C191" s="5" t="str">
        <f>VLOOKUP($A191,Technologies!$A$7:$H$576,3,FALSE)</f>
        <v>Final</v>
      </c>
      <c r="D191" s="5" t="str">
        <f>VLOOKUP($A191,Technologies!$A$7:$H$576,4,FALSE)</f>
        <v>Transport</v>
      </c>
      <c r="E191" s="5" t="str">
        <f>VLOOKUP($A191,Technologies!$A$7:$H$576,6,FALSE)</f>
        <v>Other transport</v>
      </c>
      <c r="F191" s="5" t="str">
        <f>VLOOKUP($A191,Technologies!$A$7:$H$576,7,FALSE)</f>
        <v>Dummy electrified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v>-1</v>
      </c>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0</v>
      </c>
      <c r="GF191" s="178">
        <f t="shared" si="35"/>
        <v>0</v>
      </c>
      <c r="GG191" s="178">
        <f t="shared" si="36"/>
        <v>0</v>
      </c>
    </row>
    <row r="192" spans="1:189" x14ac:dyDescent="0.35">
      <c r="A192" s="5" t="s">
        <v>1138</v>
      </c>
      <c r="B192" s="5" t="str">
        <f>IF(Technologies!B192&lt;&gt;0,Technologies!B192,"")</f>
        <v>Mobiliteit</v>
      </c>
      <c r="C192" s="5" t="str">
        <f>VLOOKUP($A192,Technologies!$A$7:$H$576,3,FALSE)</f>
        <v>Final</v>
      </c>
      <c r="D192" s="5" t="str">
        <f>VLOOKUP($A192,Technologies!$A$7:$H$576,4,FALSE)</f>
        <v>Transport</v>
      </c>
      <c r="E192" s="5" t="str">
        <f>VLOOKUP($A192,Technologies!$A$7:$H$576,6,FALSE)</f>
        <v>Renewable H2 Credit</v>
      </c>
      <c r="F192" s="5" t="str">
        <f>VLOOKUP($A192,Technologies!$A$7:$H$576,7,FALSE)</f>
        <v>H2 Credits for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
        <v>320</v>
      </c>
      <c r="O192" s="23"/>
      <c r="P192" s="79"/>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v>-1</v>
      </c>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c r="GD192" s="178"/>
      <c r="GE192" s="178"/>
      <c r="GF192" s="178"/>
      <c r="GG192" s="178">
        <f t="shared" si="36"/>
        <v>0</v>
      </c>
    </row>
    <row r="193" spans="1:342" x14ac:dyDescent="0.35">
      <c r="A193" s="6" t="s">
        <v>1140</v>
      </c>
      <c r="B193" s="6" t="str">
        <f>IF(Technologies!B193&lt;&gt;0,Technologies!B193,"")</f>
        <v>Bunkerbrandstoffen</v>
      </c>
      <c r="C193" s="6" t="str">
        <f>VLOOKUP($A193,Technologies!$A$7:$H$576,3,FALSE)</f>
        <v>Final</v>
      </c>
      <c r="D193" s="6" t="str">
        <f>VLOOKUP($A193,Technologies!$A$7:$H$576,4,FALSE)</f>
        <v>Transport</v>
      </c>
      <c r="E193" s="6" t="str">
        <f>VLOOKUP($A193,Technologies!$A$7:$H$576,6,FALSE)</f>
        <v>Bunker Navigation</v>
      </c>
      <c r="F193" s="48" t="str">
        <f>VLOOKUP($A193,Technologies!$A$7:$H$576,7,FALSE)</f>
        <v>Heavy Oil Ship - International</v>
      </c>
      <c r="G193" s="22"/>
      <c r="H193" s="22"/>
      <c r="I193" s="103" cm="1">
        <f t="array" ref="I193">-SUMPRODUCT((Feedstocks!$C$4:$C$141=A193)*Feedstocks!$E$4:$E$141,Feedstocks!$F$4:$F$141,Feedstocks!$H$4:$H$141,Feedstocks!$I$4:$I$141)</f>
        <v>0</v>
      </c>
      <c r="J193" s="103" cm="1">
        <f t="array" ref="J193">-SUMPRODUCT((Feedstocks!$C$4:$C$141=A193)*Feedstocks!$E$4:$E$141,Feedstocks!$H$4:$H$141,Feedstocks!$I$4:$I$141)</f>
        <v>0</v>
      </c>
      <c r="K193" s="103"/>
      <c r="L193" s="103"/>
      <c r="M193" s="22"/>
      <c r="N193" s="22" t="str">
        <f>VLOOKUP(E193,Activities!$A$9:$M$227,13,FALSE)</f>
        <v>NL</v>
      </c>
      <c r="O193" s="22">
        <v>1</v>
      </c>
      <c r="P193" s="80" t="s">
        <v>663</v>
      </c>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v>1</v>
      </c>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v>-4.22</v>
      </c>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c r="FJ193" s="36"/>
      <c r="FK193" s="36"/>
      <c r="FL193" s="36"/>
      <c r="FM193" s="36"/>
      <c r="FN193" s="36"/>
      <c r="FO193" s="36"/>
      <c r="FP193" s="36"/>
      <c r="FQ193" s="36"/>
      <c r="FR193" s="36"/>
      <c r="FS193" s="36"/>
      <c r="FT193" s="36"/>
      <c r="FU193" s="36"/>
      <c r="FV193" s="36"/>
      <c r="FW193" s="36"/>
      <c r="FX193" s="36"/>
      <c r="FY193" s="36"/>
      <c r="FZ193" s="36"/>
      <c r="GA193" s="36"/>
      <c r="GB193" s="319"/>
      <c r="GC193" s="179">
        <f t="shared" ref="GC193:GC224" si="37">ROUND(IF($C193="Primary",0,-$G193*(SUMPRODUCT($Q$4:$GA$4,$Q193:$GA193)+$J193)-$H193)*IF($N193=GC$4,1,0),4)</f>
        <v>0</v>
      </c>
      <c r="GD193" s="179">
        <f t="shared" ref="GD193:GD224" si="38">ROUND(IF($C193="Primary",0,$M193*(1-$O193)*($G193*(SUMPRODUCT($Q$4:$GA$4,$Q193:$GA193)+$J193)+$H193-SUMPRODUCT($Q$5:$GA$5,$Q193:$GA193)-$I193+$K193))*IF($N193=GD$4,1,0),4)</f>
        <v>0</v>
      </c>
      <c r="GE193" s="179">
        <f t="shared" ref="GE193:GE224" si="39">ROUND(IF($C193="Primary",0,(1-$M193)*(1-$O193)*($G193*(SUMPRODUCT($Q$4:$GA$4,$Q193:$GA193)+$J193)+$H193-SUMPRODUCT($Q$5:$GA$5,$Q193:$GA193)-$I193+$L193))*IF($N193=GD$4,1,0),4)</f>
        <v>0</v>
      </c>
      <c r="GF193" s="179">
        <f t="shared" ref="GF193:GF224" si="40">ROUND(IF($C193="Primary",0,$O193*($G193*(SUMPRODUCT($Q$4:$GA$4,$Q193:$GA193)+$J193)-SUMPRODUCT($Q$5:$GA$5,$Q193:$GA193)-$I193))*IF($N193=GD$4,1,0),4)</f>
        <v>0.32490000000000002</v>
      </c>
      <c r="GG193" s="179">
        <f t="shared" si="36"/>
        <v>0</v>
      </c>
    </row>
    <row r="194" spans="1:342" x14ac:dyDescent="0.35">
      <c r="A194" s="5" t="s">
        <v>1144</v>
      </c>
      <c r="B194" s="5" t="str">
        <f>IF(Technologies!B194&lt;&gt;0,Technologies!B194,"")</f>
        <v>Bunkerbrandstoffen</v>
      </c>
      <c r="C194" s="5" t="str">
        <f>VLOOKUP($A194,Technologies!$A$7:$H$576,3,FALSE)</f>
        <v>Final</v>
      </c>
      <c r="D194" s="5" t="str">
        <f>VLOOKUP($A194,Technologies!$A$7:$H$576,4,FALSE)</f>
        <v>Transport</v>
      </c>
      <c r="E194" s="5" t="str">
        <f>VLOOKUP($A194,Technologies!$A$7:$H$576,6,FALSE)</f>
        <v>Bunker Navigation</v>
      </c>
      <c r="F194" s="5" t="str">
        <f>VLOOKUP($A194,Technologies!$A$7:$H$576,7,FALSE)</f>
        <v>Vegetable Oil Ship - International</v>
      </c>
      <c r="G194" s="23"/>
      <c r="H194" s="23"/>
      <c r="I194" s="104" cm="1">
        <f t="array" ref="I194">-SUMPRODUCT((Feedstocks!$C$4:$C$141=A194)*Feedstocks!$E$4:$E$141,Feedstocks!$F$4:$F$141,Feedstocks!$H$4:$H$141,Feedstocks!$I$4:$I$141)</f>
        <v>0</v>
      </c>
      <c r="J194" s="104" cm="1">
        <f t="array" ref="J194">-SUMPRODUCT((Feedstocks!$C$4:$C$141=A194)*Feedstocks!$E$4:$E$141,Feedstocks!$H$4:$H$141,Feedstocks!$I$4:$I$141)</f>
        <v>0</v>
      </c>
      <c r="K194" s="104"/>
      <c r="L194" s="104"/>
      <c r="M194" s="23"/>
      <c r="N194" s="23" t="str">
        <f>VLOOKUP(E194,Activities!$A$9:$M$227,13,FALSE)</f>
        <v>NL</v>
      </c>
      <c r="O194" s="23">
        <v>1</v>
      </c>
      <c r="P194" s="79" t="s">
        <v>663</v>
      </c>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v>1</v>
      </c>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v>-4.22</v>
      </c>
      <c r="FI194" s="35"/>
      <c r="FJ194" s="35"/>
      <c r="FK194" s="35"/>
      <c r="FL194" s="35"/>
      <c r="FM194" s="35"/>
      <c r="FN194" s="35"/>
      <c r="FO194" s="35"/>
      <c r="FP194" s="35"/>
      <c r="FQ194" s="35"/>
      <c r="FR194" s="35"/>
      <c r="FS194" s="35"/>
      <c r="FT194" s="35"/>
      <c r="FU194" s="35"/>
      <c r="FV194" s="35"/>
      <c r="FW194" s="35"/>
      <c r="FX194" s="35"/>
      <c r="FY194" s="35"/>
      <c r="FZ194" s="35"/>
      <c r="GA194" s="35"/>
      <c r="GB194" s="318"/>
      <c r="GC194" s="178">
        <f t="shared" si="37"/>
        <v>0</v>
      </c>
      <c r="GD194" s="178">
        <f t="shared" si="38"/>
        <v>0</v>
      </c>
      <c r="GE194" s="178">
        <f t="shared" si="39"/>
        <v>0</v>
      </c>
      <c r="GF194" s="178">
        <f t="shared" si="40"/>
        <v>0</v>
      </c>
      <c r="GG194" s="178">
        <f t="shared" si="36"/>
        <v>0</v>
      </c>
    </row>
    <row r="195" spans="1:342" x14ac:dyDescent="0.35">
      <c r="A195" s="6" t="s">
        <v>1146</v>
      </c>
      <c r="B195" s="6" t="str">
        <f>IF(Technologies!B195&lt;&gt;0,Technologies!B195,"")</f>
        <v>Bunkerbrandstoffen</v>
      </c>
      <c r="C195" s="6" t="str">
        <f>VLOOKUP($A195,Technologies!$A$7:$H$576,3,FALSE)</f>
        <v>Final</v>
      </c>
      <c r="D195" s="6" t="str">
        <f>VLOOKUP($A195,Technologies!$A$7:$H$576,4,FALSE)</f>
        <v>Transport</v>
      </c>
      <c r="E195" s="6" t="str">
        <f>VLOOKUP($A195,Technologies!$A$7:$H$576,6,FALSE)</f>
        <v>Bunker Navigation</v>
      </c>
      <c r="F195" s="48" t="str">
        <f>VLOOKUP($A195,Technologies!$A$7:$H$576,7,FALSE)</f>
        <v>ICE Ship - International</v>
      </c>
      <c r="G195" s="22"/>
      <c r="H195" s="22"/>
      <c r="I195" s="103" cm="1">
        <f t="array" ref="I195">-SUMPRODUCT((Feedstocks!$C$4:$C$141=A195)*Feedstocks!$E$4:$E$141,Feedstocks!$F$4:$F$141,Feedstocks!$H$4:$H$141,Feedstocks!$I$4:$I$141)</f>
        <v>0</v>
      </c>
      <c r="J195" s="103" cm="1">
        <f t="array" ref="J195">-SUMPRODUCT((Feedstocks!$C$4:$C$141=A195)*Feedstocks!$E$4:$E$141,Feedstocks!$H$4:$H$141,Feedstocks!$I$4:$I$141)</f>
        <v>0</v>
      </c>
      <c r="K195" s="103"/>
      <c r="L195" s="103"/>
      <c r="M195" s="22"/>
      <c r="N195" s="22" t="str">
        <f>VLOOKUP(E195,Activities!$A$9:$M$227,13,FALSE)</f>
        <v>NL</v>
      </c>
      <c r="O195" s="22">
        <v>1</v>
      </c>
      <c r="P195" s="80" t="s">
        <v>663</v>
      </c>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v>1</v>
      </c>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v>-4.1399999999999997</v>
      </c>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c r="FJ195" s="36"/>
      <c r="FK195" s="36"/>
      <c r="FL195" s="36"/>
      <c r="FM195" s="36"/>
      <c r="FN195" s="36"/>
      <c r="FO195" s="36"/>
      <c r="FP195" s="36"/>
      <c r="FQ195" s="36"/>
      <c r="FR195" s="36"/>
      <c r="FS195" s="36"/>
      <c r="FT195" s="36"/>
      <c r="FU195" s="36"/>
      <c r="FV195" s="36"/>
      <c r="FW195" s="36"/>
      <c r="FX195" s="36"/>
      <c r="FY195" s="36"/>
      <c r="FZ195" s="36"/>
      <c r="GA195" s="36"/>
      <c r="GB195" s="319"/>
      <c r="GC195" s="179">
        <f t="shared" si="37"/>
        <v>0</v>
      </c>
      <c r="GD195" s="179">
        <f t="shared" si="38"/>
        <v>0</v>
      </c>
      <c r="GE195" s="179">
        <f t="shared" si="39"/>
        <v>0</v>
      </c>
      <c r="GF195" s="179">
        <f t="shared" si="40"/>
        <v>0.30220000000000002</v>
      </c>
      <c r="GG195" s="179">
        <f t="shared" si="36"/>
        <v>0</v>
      </c>
    </row>
    <row r="196" spans="1:342" x14ac:dyDescent="0.35">
      <c r="A196" s="5" t="s">
        <v>1148</v>
      </c>
      <c r="B196" s="5" t="str">
        <f>IF(Technologies!B196&lt;&gt;0,Technologies!B196,"")</f>
        <v>Bunkerbrandstoffen</v>
      </c>
      <c r="C196" s="5" t="str">
        <f>VLOOKUP($A196,Technologies!$A$7:$H$576,3,FALSE)</f>
        <v>Final</v>
      </c>
      <c r="D196" s="5" t="str">
        <f>VLOOKUP($A196,Technologies!$A$7:$H$576,4,FALSE)</f>
        <v>Transport</v>
      </c>
      <c r="E196" s="5" t="str">
        <f>VLOOKUP($A196,Technologies!$A$7:$H$576,6,FALSE)</f>
        <v>Bunker Navigation</v>
      </c>
      <c r="F196" s="5" t="str">
        <f>VLOOKUP($A196,Technologies!$A$7:$H$576,7,FALSE)</f>
        <v>Bio Diesel Ship - International</v>
      </c>
      <c r="G196" s="23"/>
      <c r="H196" s="23"/>
      <c r="I196" s="104" cm="1">
        <f t="array" ref="I196">-SUMPRODUCT((Feedstocks!$C$4:$C$141=A196)*Feedstocks!$E$4:$E$141,Feedstocks!$F$4:$F$141,Feedstocks!$H$4:$H$141,Feedstocks!$I$4:$I$141)</f>
        <v>0</v>
      </c>
      <c r="J196" s="104" cm="1">
        <f t="array" ref="J196">-SUMPRODUCT((Feedstocks!$C$4:$C$141=A196)*Feedstocks!$E$4:$E$141,Feedstocks!$H$4:$H$141,Feedstocks!$I$4:$I$141)</f>
        <v>0</v>
      </c>
      <c r="K196" s="104"/>
      <c r="L196" s="104"/>
      <c r="M196" s="23"/>
      <c r="N196" s="23" t="str">
        <f>VLOOKUP(E196,Activities!$A$9:$M$227,13,FALSE)</f>
        <v>NL</v>
      </c>
      <c r="O196" s="23">
        <v>1</v>
      </c>
      <c r="P196" s="79" t="s">
        <v>663</v>
      </c>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v>1</v>
      </c>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v>-4.1399999999999997</v>
      </c>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18"/>
      <c r="GC196" s="178">
        <f t="shared" si="37"/>
        <v>0</v>
      </c>
      <c r="GD196" s="178">
        <f t="shared" si="38"/>
        <v>0</v>
      </c>
      <c r="GE196" s="178">
        <f t="shared" si="39"/>
        <v>0</v>
      </c>
      <c r="GF196" s="178">
        <f t="shared" si="40"/>
        <v>0</v>
      </c>
      <c r="GG196" s="178">
        <f t="shared" si="36"/>
        <v>0</v>
      </c>
    </row>
    <row r="197" spans="1:342" x14ac:dyDescent="0.35">
      <c r="A197" s="6" t="s">
        <v>1150</v>
      </c>
      <c r="B197" s="6" t="str">
        <f>IF(Technologies!B197&lt;&gt;0,Technologies!B197,"")</f>
        <v>Bunkerbrandstoffen</v>
      </c>
      <c r="C197" s="6" t="str">
        <f>VLOOKUP($A197,Technologies!$A$7:$H$576,3,FALSE)</f>
        <v>Final</v>
      </c>
      <c r="D197" s="6" t="str">
        <f>VLOOKUP($A197,Technologies!$A$7:$H$576,4,FALSE)</f>
        <v>Transport</v>
      </c>
      <c r="E197" s="6" t="str">
        <f>VLOOKUP($A197,Technologies!$A$7:$H$576,6,FALSE)</f>
        <v>Bunker Navigation</v>
      </c>
      <c r="F197" s="48" t="str">
        <f>VLOOKUP($A197,Technologies!$A$7:$H$576,7,FALSE)</f>
        <v>Syn Diesel Ship - International</v>
      </c>
      <c r="G197" s="22"/>
      <c r="H197" s="22"/>
      <c r="I197" s="103" cm="1">
        <f t="array" ref="I197">-SUMPRODUCT((Feedstocks!$C$4:$C$141=A197)*Feedstocks!$E$4:$E$141,Feedstocks!$F$4:$F$141,Feedstocks!$H$4:$H$141,Feedstocks!$I$4:$I$141)</f>
        <v>0</v>
      </c>
      <c r="J197" s="103" cm="1">
        <f t="array" ref="J197">-SUMPRODUCT((Feedstocks!$C$4:$C$141=A197)*Feedstocks!$E$4:$E$141,Feedstocks!$H$4:$H$141,Feedstocks!$I$4:$I$141)</f>
        <v>0</v>
      </c>
      <c r="K197" s="103"/>
      <c r="L197" s="103"/>
      <c r="M197" s="22"/>
      <c r="N197" s="22" t="str">
        <f>VLOOKUP(E197,Activities!$A$9:$M$227,13,FALSE)</f>
        <v>NL</v>
      </c>
      <c r="O197" s="22">
        <v>1</v>
      </c>
      <c r="P197" s="80" t="s">
        <v>663</v>
      </c>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v>1</v>
      </c>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v>-4.1399999999999997</v>
      </c>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c r="FJ197" s="36"/>
      <c r="FK197" s="36"/>
      <c r="FL197" s="36"/>
      <c r="FM197" s="36"/>
      <c r="FN197" s="36"/>
      <c r="FO197" s="36"/>
      <c r="FP197" s="36"/>
      <c r="FQ197" s="36"/>
      <c r="FR197" s="36"/>
      <c r="FS197" s="36"/>
      <c r="FT197" s="36"/>
      <c r="FU197" s="36"/>
      <c r="FV197" s="36"/>
      <c r="FW197" s="36"/>
      <c r="FX197" s="36"/>
      <c r="FY197" s="36"/>
      <c r="FZ197" s="36"/>
      <c r="GA197" s="36"/>
      <c r="GB197" s="319"/>
      <c r="GC197" s="179">
        <f t="shared" si="37"/>
        <v>0</v>
      </c>
      <c r="GD197" s="179">
        <f t="shared" si="38"/>
        <v>0</v>
      </c>
      <c r="GE197" s="179">
        <f t="shared" si="39"/>
        <v>0</v>
      </c>
      <c r="GF197" s="179">
        <f t="shared" si="40"/>
        <v>0.30220000000000002</v>
      </c>
      <c r="GG197" s="179">
        <f t="shared" si="36"/>
        <v>0</v>
      </c>
    </row>
    <row r="198" spans="1:342" s="261" customFormat="1" x14ac:dyDescent="0.35">
      <c r="A198" s="256" t="s">
        <v>1152</v>
      </c>
      <c r="B198" s="256" t="str">
        <f>IF(Technologies!B198&lt;&gt;0,Technologies!B198,"")</f>
        <v>Bunkerbrandstoffen</v>
      </c>
      <c r="C198" s="256" t="str">
        <f>VLOOKUP($A198,Technologies!$A$7:$H$576,3,FALSE)</f>
        <v>Final</v>
      </c>
      <c r="D198" s="256" t="str">
        <f>VLOOKUP($A198,Technologies!$A$7:$H$576,4,FALSE)</f>
        <v>Transport</v>
      </c>
      <c r="E198" s="256" t="str">
        <f>VLOOKUP($A198,Technologies!$A$7:$H$576,6,FALSE)</f>
        <v>Bunker Navigation</v>
      </c>
      <c r="F198" s="256" t="str">
        <f>VLOOKUP($A198,Technologies!$A$7:$H$576,7,FALSE)</f>
        <v>LNG Ship - International</v>
      </c>
      <c r="G198" s="262"/>
      <c r="H198" s="262"/>
      <c r="I198" s="264" cm="1">
        <f t="array" ref="I198">-SUMPRODUCT((Feedstocks!$C$4:$C$141=A198)*Feedstocks!$E$4:$E$141,Feedstocks!$F$4:$F$141,Feedstocks!$H$4:$H$141,Feedstocks!$I$4:$I$141)</f>
        <v>0</v>
      </c>
      <c r="J198" s="264" cm="1">
        <f t="array" ref="J198">-SUMPRODUCT((Feedstocks!$C$4:$C$141=A198)*Feedstocks!$E$4:$E$141,Feedstocks!$H$4:$H$141,Feedstocks!$I$4:$I$141)</f>
        <v>0</v>
      </c>
      <c r="K198" s="264"/>
      <c r="L198" s="264"/>
      <c r="M198" s="262"/>
      <c r="N198" s="262" t="str">
        <f>VLOOKUP(E198,Activities!$A$9:$M$227,13,FALSE)</f>
        <v>NL</v>
      </c>
      <c r="O198" s="262">
        <v>1</v>
      </c>
      <c r="P198" s="265" t="s">
        <v>663</v>
      </c>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v>1</v>
      </c>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c r="DM198" s="266"/>
      <c r="DN198" s="266"/>
      <c r="DO198" s="266"/>
      <c r="DP198" s="266"/>
      <c r="DQ198" s="266"/>
      <c r="DR198" s="266"/>
      <c r="DS198" s="266"/>
      <c r="DT198" s="266"/>
      <c r="DU198" s="266"/>
      <c r="DV198" s="266"/>
      <c r="DW198" s="266"/>
      <c r="DX198" s="266"/>
      <c r="DY198" s="266"/>
      <c r="DZ198" s="266"/>
      <c r="EA198" s="266"/>
      <c r="EB198" s="266"/>
      <c r="EC198" s="266"/>
      <c r="ED198" s="266"/>
      <c r="EE198" s="266"/>
      <c r="EF198" s="266"/>
      <c r="EG198" s="266"/>
      <c r="EH198" s="266"/>
      <c r="EI198" s="266"/>
      <c r="EJ198" s="266"/>
      <c r="EK198" s="266"/>
      <c r="EL198" s="266">
        <v>-4.1399999999999997</v>
      </c>
      <c r="EM198" s="266"/>
      <c r="EN198" s="266"/>
      <c r="EO198" s="266"/>
      <c r="EP198" s="266"/>
      <c r="EQ198" s="266"/>
      <c r="ER198" s="266"/>
      <c r="ES198" s="266"/>
      <c r="ET198" s="266"/>
      <c r="EU198" s="266"/>
      <c r="EV198" s="266"/>
      <c r="EW198" s="266"/>
      <c r="EX198" s="266"/>
      <c r="EY198" s="266"/>
      <c r="EZ198" s="266"/>
      <c r="FA198" s="266"/>
      <c r="FB198" s="266"/>
      <c r="FC198" s="266"/>
      <c r="FD198" s="266"/>
      <c r="FE198" s="266"/>
      <c r="FF198" s="266"/>
      <c r="FG198" s="266"/>
      <c r="FH198" s="266"/>
      <c r="FI198" s="266"/>
      <c r="FJ198" s="266"/>
      <c r="FK198" s="266"/>
      <c r="FL198" s="266"/>
      <c r="FM198" s="266"/>
      <c r="FN198" s="266"/>
      <c r="FO198" s="266"/>
      <c r="FP198" s="266"/>
      <c r="FQ198" s="266"/>
      <c r="FR198" s="266"/>
      <c r="FS198" s="266"/>
      <c r="FT198" s="266"/>
      <c r="FU198" s="266"/>
      <c r="FV198" s="266"/>
      <c r="FW198" s="266"/>
      <c r="FX198" s="266"/>
      <c r="FY198" s="266"/>
      <c r="FZ198" s="266"/>
      <c r="GA198" s="266"/>
      <c r="GB198" s="321"/>
      <c r="GC198" s="267">
        <f t="shared" si="37"/>
        <v>0</v>
      </c>
      <c r="GD198" s="267">
        <f t="shared" si="38"/>
        <v>0</v>
      </c>
      <c r="GE198" s="267">
        <f t="shared" si="39"/>
        <v>0</v>
      </c>
      <c r="GF198" s="267">
        <f t="shared" si="40"/>
        <v>0.23430000000000001</v>
      </c>
      <c r="GG198" s="267">
        <f t="shared" si="36"/>
        <v>0</v>
      </c>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row>
    <row r="199" spans="1:342" x14ac:dyDescent="0.35">
      <c r="A199" s="6" t="s">
        <v>1154</v>
      </c>
      <c r="B199" s="6" t="str">
        <f>IF(Technologies!B199&lt;&gt;0,Technologies!B199,"")</f>
        <v>Bunkerbrandstoffen</v>
      </c>
      <c r="C199" s="6" t="str">
        <f>VLOOKUP($A199,Technologies!$A$7:$H$576,3,FALSE)</f>
        <v>Final</v>
      </c>
      <c r="D199" s="6" t="str">
        <f>VLOOKUP($A199,Technologies!$A$7:$H$576,4,FALSE)</f>
        <v>Transport</v>
      </c>
      <c r="E199" s="6" t="str">
        <f>VLOOKUP($A199,Technologies!$A$7:$H$576,6,FALSE)</f>
        <v>Bunker Navigation</v>
      </c>
      <c r="F199" s="48" t="str">
        <f>VLOOKUP($A199,Technologies!$A$7:$H$576,7,FALSE)</f>
        <v>Ammonia Ship - International</v>
      </c>
      <c r="G199" s="22"/>
      <c r="H199" s="22"/>
      <c r="I199" s="103" cm="1">
        <f t="array" ref="I199">-SUMPRODUCT((Feedstocks!$C$4:$C$141=A199)*Feedstocks!$E$4:$E$141,Feedstocks!$F$4:$F$141,Feedstocks!$H$4:$H$141,Feedstocks!$I$4:$I$141)</f>
        <v>0</v>
      </c>
      <c r="J199" s="103" cm="1">
        <f t="array" ref="J199">-SUMPRODUCT((Feedstocks!$C$4:$C$141=A199)*Feedstocks!$E$4:$E$141,Feedstocks!$H$4:$H$141,Feedstocks!$I$4:$I$141)</f>
        <v>0</v>
      </c>
      <c r="K199" s="103"/>
      <c r="L199" s="103"/>
      <c r="M199" s="22"/>
      <c r="N199" s="22" t="str">
        <f>VLOOKUP(E199,Activities!$A$9:$M$227,13,FALSE)</f>
        <v>NL</v>
      </c>
      <c r="O199" s="22">
        <v>1</v>
      </c>
      <c r="P199" s="80" t="s">
        <v>502</v>
      </c>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v>1</v>
      </c>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v>-4.1399999999999997</v>
      </c>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36"/>
      <c r="FQ199" s="36"/>
      <c r="FR199" s="36"/>
      <c r="FS199" s="36"/>
      <c r="FT199" s="36"/>
      <c r="FU199" s="36"/>
      <c r="FV199" s="36"/>
      <c r="FW199" s="36"/>
      <c r="FX199" s="36"/>
      <c r="FY199" s="36"/>
      <c r="FZ199" s="36"/>
      <c r="GA199" s="36"/>
      <c r="GB199" s="319"/>
      <c r="GC199" s="179">
        <f t="shared" si="37"/>
        <v>0</v>
      </c>
      <c r="GD199" s="179">
        <f t="shared" si="38"/>
        <v>0</v>
      </c>
      <c r="GE199" s="179">
        <f t="shared" si="39"/>
        <v>0</v>
      </c>
      <c r="GF199" s="179">
        <f t="shared" si="40"/>
        <v>0</v>
      </c>
      <c r="GG199" s="179">
        <f t="shared" si="36"/>
        <v>0</v>
      </c>
    </row>
    <row r="200" spans="1:342" x14ac:dyDescent="0.35">
      <c r="A200" s="5" t="s">
        <v>1156</v>
      </c>
      <c r="B200" s="5" t="str">
        <f>IF(Technologies!B200&lt;&gt;0,Technologies!B200,"")</f>
        <v>Bunkerbrandstoffen</v>
      </c>
      <c r="C200" s="5" t="str">
        <f>VLOOKUP($A200,Technologies!$A$7:$H$576,3,FALSE)</f>
        <v>Final</v>
      </c>
      <c r="D200" s="5" t="str">
        <f>VLOOKUP($A200,Technologies!$A$7:$H$576,4,FALSE)</f>
        <v>Transport</v>
      </c>
      <c r="E200" s="5" t="str">
        <f>VLOOKUP($A200,Technologies!$A$7:$H$576,6,FALSE)</f>
        <v>Bunker Navigation</v>
      </c>
      <c r="F200" s="5" t="str">
        <f>VLOOKUP($A200,Technologies!$A$7:$H$576,7,FALSE)</f>
        <v>Methanol Ship - International</v>
      </c>
      <c r="G200" s="23"/>
      <c r="H200" s="23"/>
      <c r="I200" s="104" cm="1">
        <f t="array" ref="I200">-SUMPRODUCT((Feedstocks!$C$4:$C$141=A200)*Feedstocks!$E$4:$E$141,Feedstocks!$F$4:$F$141,Feedstocks!$H$4:$H$141,Feedstocks!$I$4:$I$141)</f>
        <v>0</v>
      </c>
      <c r="J200" s="104" cm="1">
        <f t="array" ref="J200">-SUMPRODUCT((Feedstocks!$C$4:$C$141=A200)*Feedstocks!$E$4:$E$141,Feedstocks!$H$4:$H$141,Feedstocks!$I$4:$I$141)</f>
        <v>0</v>
      </c>
      <c r="K200" s="104"/>
      <c r="L200" s="104"/>
      <c r="M200" s="23"/>
      <c r="N200" s="23" t="str">
        <f>VLOOKUP(E200,Activities!$A$9:$M$227,13,FALSE)</f>
        <v>NL</v>
      </c>
      <c r="O200" s="23">
        <v>1</v>
      </c>
      <c r="P200" s="79" t="s">
        <v>502</v>
      </c>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v>1</v>
      </c>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v>-4.1399999999999997</v>
      </c>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18"/>
      <c r="GC200" s="178">
        <f t="shared" si="37"/>
        <v>0</v>
      </c>
      <c r="GD200" s="178">
        <f t="shared" si="38"/>
        <v>0</v>
      </c>
      <c r="GE200" s="178">
        <f t="shared" si="39"/>
        <v>0</v>
      </c>
      <c r="GF200" s="178">
        <f t="shared" si="40"/>
        <v>0.28149999999999997</v>
      </c>
      <c r="GG200" s="178">
        <f t="shared" si="36"/>
        <v>0</v>
      </c>
    </row>
    <row r="201" spans="1:342" s="347" customFormat="1" x14ac:dyDescent="0.35">
      <c r="A201" s="327" t="s">
        <v>1158</v>
      </c>
      <c r="B201" s="5" t="str">
        <f>IF(Technologies!B201&lt;&gt;0,Technologies!B201,"")</f>
        <v>Bunkerbrandstoffen</v>
      </c>
      <c r="C201" s="5" t="str">
        <f>VLOOKUP($A201,Technologies!$A$7:$H$576,3,FALSE)</f>
        <v>Final</v>
      </c>
      <c r="D201" s="5" t="str">
        <f>VLOOKUP($A201,Technologies!$A$7:$H$576,4,FALSE)</f>
        <v>Transport</v>
      </c>
      <c r="E201" s="5" t="str">
        <f>VLOOKUP($A201,Technologies!$A$7:$H$576,6,FALSE)</f>
        <v>Renewable H2 Credit</v>
      </c>
      <c r="F201" s="5" t="str">
        <f>VLOOKUP($A201,Technologies!$A$7:$H$576,7,FALSE)</f>
        <v>H2 Credits for Navigation</v>
      </c>
      <c r="G201" s="350"/>
      <c r="H201" s="350"/>
      <c r="I201" s="351"/>
      <c r="J201" s="351"/>
      <c r="K201" s="351"/>
      <c r="L201" s="351"/>
      <c r="M201" s="350"/>
      <c r="N201" s="23" t="str">
        <f>VLOOKUP(E201,Activities!$A$9:$M$227,13,FALSE)</f>
        <v>NL</v>
      </c>
      <c r="O201" s="23">
        <v>1</v>
      </c>
      <c r="P201" s="79" t="s">
        <v>502</v>
      </c>
      <c r="Q201" s="352"/>
      <c r="R201" s="352"/>
      <c r="S201" s="352"/>
      <c r="T201" s="352"/>
      <c r="U201" s="352"/>
      <c r="V201" s="352"/>
      <c r="W201" s="352"/>
      <c r="X201" s="352"/>
      <c r="Y201" s="352"/>
      <c r="Z201" s="352"/>
      <c r="AA201" s="352"/>
      <c r="AB201" s="352"/>
      <c r="AC201" s="352"/>
      <c r="AD201" s="352"/>
      <c r="AE201" s="352"/>
      <c r="AF201" s="352"/>
      <c r="AG201" s="352"/>
      <c r="AH201" s="352"/>
      <c r="AI201" s="352"/>
      <c r="AJ201" s="352"/>
      <c r="AK201" s="352"/>
      <c r="AL201" s="352"/>
      <c r="AM201" s="352"/>
      <c r="AN201" s="352"/>
      <c r="AO201" s="352"/>
      <c r="AP201" s="352"/>
      <c r="AQ201" s="352"/>
      <c r="AR201" s="352"/>
      <c r="AS201" s="352"/>
      <c r="AT201" s="352"/>
      <c r="AU201" s="352"/>
      <c r="AV201" s="352"/>
      <c r="AW201" s="352"/>
      <c r="AX201" s="352"/>
      <c r="AY201" s="352"/>
      <c r="AZ201" s="352"/>
      <c r="BA201" s="352"/>
      <c r="BB201" s="352"/>
      <c r="BC201" s="352"/>
      <c r="BD201" s="352"/>
      <c r="BE201" s="352"/>
      <c r="BF201" s="352"/>
      <c r="BG201" s="352"/>
      <c r="BH201" s="352"/>
      <c r="BI201" s="352"/>
      <c r="BJ201" s="352"/>
      <c r="BK201" s="352"/>
      <c r="BL201" s="352"/>
      <c r="BM201" s="352"/>
      <c r="BN201" s="352"/>
      <c r="BO201" s="352"/>
      <c r="BP201" s="352"/>
      <c r="BQ201" s="352"/>
      <c r="BR201" s="352"/>
      <c r="BS201" s="352"/>
      <c r="BT201" s="352"/>
      <c r="BU201" s="352"/>
      <c r="BV201" s="352"/>
      <c r="BW201" s="352"/>
      <c r="BX201" s="352"/>
      <c r="BY201" s="352"/>
      <c r="BZ201" s="352"/>
      <c r="CA201" s="352"/>
      <c r="CB201" s="352"/>
      <c r="CC201" s="352"/>
      <c r="CD201" s="352"/>
      <c r="CE201" s="352"/>
      <c r="CF201" s="352"/>
      <c r="CG201" s="352"/>
      <c r="CH201" s="352"/>
      <c r="CI201" s="352"/>
      <c r="CJ201" s="352"/>
      <c r="CK201" s="352"/>
      <c r="CL201" s="352"/>
      <c r="CM201" s="352"/>
      <c r="CN201" s="352"/>
      <c r="CO201" s="352"/>
      <c r="CP201" s="352"/>
      <c r="CQ201" s="352"/>
      <c r="CR201" s="352"/>
      <c r="CS201" s="352"/>
      <c r="CT201" s="352"/>
      <c r="CU201" s="352"/>
      <c r="CV201" s="352"/>
      <c r="CW201" s="352"/>
      <c r="CX201" s="352"/>
      <c r="CY201" s="352"/>
      <c r="CZ201" s="352"/>
      <c r="DA201" s="352"/>
      <c r="DB201" s="352"/>
      <c r="DC201" s="352"/>
      <c r="DD201" s="352"/>
      <c r="DE201" s="352"/>
      <c r="DF201" s="352"/>
      <c r="DG201" s="352"/>
      <c r="DH201" s="352"/>
      <c r="DI201" s="352"/>
      <c r="DJ201" s="352"/>
      <c r="DK201" s="352"/>
      <c r="DL201" s="352"/>
      <c r="DM201" s="352"/>
      <c r="DN201" s="352"/>
      <c r="DO201" s="352"/>
      <c r="DP201" s="352"/>
      <c r="DQ201" s="352"/>
      <c r="DR201" s="352"/>
      <c r="DS201" s="352"/>
      <c r="DT201" s="352"/>
      <c r="DU201" s="352"/>
      <c r="DV201" s="352"/>
      <c r="DW201" s="352"/>
      <c r="DX201" s="352"/>
      <c r="DY201" s="352"/>
      <c r="DZ201" s="352"/>
      <c r="EA201" s="352"/>
      <c r="EB201" s="352"/>
      <c r="EC201" s="352"/>
      <c r="ED201" s="352"/>
      <c r="EE201" s="352"/>
      <c r="EF201" s="352"/>
      <c r="EG201" s="352"/>
      <c r="EH201" s="352"/>
      <c r="EI201" s="352"/>
      <c r="EJ201" s="352"/>
      <c r="EK201" s="352"/>
      <c r="EL201" s="352"/>
      <c r="EM201" s="352"/>
      <c r="EN201" s="352"/>
      <c r="EO201" s="352">
        <v>-1</v>
      </c>
      <c r="EP201" s="352"/>
      <c r="EQ201" s="352"/>
      <c r="ER201" s="352"/>
      <c r="ES201" s="352"/>
      <c r="ET201" s="352"/>
      <c r="EU201" s="352"/>
      <c r="EV201" s="352"/>
      <c r="EW201" s="352"/>
      <c r="EX201" s="352"/>
      <c r="EY201" s="352"/>
      <c r="EZ201" s="352"/>
      <c r="FA201" s="352"/>
      <c r="FB201" s="352"/>
      <c r="FC201" s="352"/>
      <c r="FD201" s="352"/>
      <c r="FE201" s="352"/>
      <c r="FF201" s="352"/>
      <c r="FG201" s="352"/>
      <c r="FH201" s="352"/>
      <c r="FI201" s="352"/>
      <c r="FJ201" s="352"/>
      <c r="FK201" s="352"/>
      <c r="FL201" s="352"/>
      <c r="FM201" s="352"/>
      <c r="FN201" s="352"/>
      <c r="FO201" s="352"/>
      <c r="FP201" s="352"/>
      <c r="FQ201" s="352"/>
      <c r="FR201" s="352"/>
      <c r="FS201" s="352"/>
      <c r="FT201" s="352"/>
      <c r="FU201" s="352"/>
      <c r="FV201" s="352"/>
      <c r="FW201" s="352"/>
      <c r="FX201" s="352"/>
      <c r="FY201" s="352"/>
      <c r="FZ201" s="352"/>
      <c r="GA201" s="352"/>
      <c r="GB201" s="353"/>
      <c r="GC201" s="179">
        <f t="shared" si="37"/>
        <v>0</v>
      </c>
      <c r="GD201" s="179">
        <f t="shared" si="38"/>
        <v>0</v>
      </c>
      <c r="GE201" s="179">
        <f t="shared" si="39"/>
        <v>0</v>
      </c>
      <c r="GF201" s="179">
        <f t="shared" si="40"/>
        <v>0</v>
      </c>
      <c r="GG201" s="179">
        <f t="shared" si="36"/>
        <v>0</v>
      </c>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row>
    <row r="202" spans="1:342" s="347" customFormat="1" x14ac:dyDescent="0.35">
      <c r="A202" s="327" t="s">
        <v>1160</v>
      </c>
      <c r="B202" s="5" t="str">
        <f>IF(Technologies!B202&lt;&gt;0,Technologies!B202,"")</f>
        <v>Bunkerbrandstoffen</v>
      </c>
      <c r="C202" s="5" t="str">
        <f>VLOOKUP($A202,Technologies!$A$7:$H$576,3,FALSE)</f>
        <v>Final</v>
      </c>
      <c r="D202" s="5" t="str">
        <f>VLOOKUP($A202,Technologies!$A$7:$H$576,4,FALSE)</f>
        <v>Transport</v>
      </c>
      <c r="E202" s="5" t="str">
        <f>VLOOKUP($A202,Technologies!$A$7:$H$576,6,FALSE)</f>
        <v>Renewable CO2 Credit</v>
      </c>
      <c r="F202" s="5" t="str">
        <f>VLOOKUP($A202,Technologies!$A$7:$H$576,7,FALSE)</f>
        <v>CO2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v>-1</v>
      </c>
      <c r="GC202" s="178">
        <f t="shared" si="37"/>
        <v>0</v>
      </c>
      <c r="GD202" s="178">
        <f t="shared" si="38"/>
        <v>0</v>
      </c>
      <c r="GE202" s="178">
        <f t="shared" si="39"/>
        <v>0</v>
      </c>
      <c r="GF202" s="178">
        <f t="shared" si="40"/>
        <v>0</v>
      </c>
      <c r="GG202" s="178">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x14ac:dyDescent="0.35">
      <c r="A203" s="6" t="s">
        <v>1163</v>
      </c>
      <c r="B203" s="6" t="str">
        <f>IF(Technologies!B203&lt;&gt;0,Technologies!B203,"")</f>
        <v>Bunkerbrandstoffen</v>
      </c>
      <c r="C203" s="6" t="str">
        <f>VLOOKUP($A203,Technologies!$A$7:$H$576,3,FALSE)</f>
        <v>Final</v>
      </c>
      <c r="D203" s="6" t="str">
        <f>VLOOKUP($A203,Technologies!$A$7:$H$576,4,FALSE)</f>
        <v>Transport</v>
      </c>
      <c r="E203" s="6" t="str">
        <f>VLOOKUP($A203,Technologies!$A$7:$H$576,6,FALSE)</f>
        <v>Bunker Aviation</v>
      </c>
      <c r="F203" s="48" t="str">
        <f>VLOOKUP($A203,Technologies!$A$7:$H$576,7,FALSE)</f>
        <v>Conventional Airplane</v>
      </c>
      <c r="G203" s="22"/>
      <c r="H203" s="22"/>
      <c r="I203" s="103" cm="1">
        <f t="array" ref="I203">-SUMPRODUCT((Feedstocks!$C$4:$C$141=A203)*Feedstocks!$E$4:$E$141,Feedstocks!$F$4:$F$141,Feedstocks!$H$4:$H$141,Feedstocks!$I$4:$I$141)</f>
        <v>0</v>
      </c>
      <c r="J203" s="103" cm="1">
        <f t="array" ref="J203">-SUMPRODUCT((Feedstocks!$C$4:$C$141=A203)*Feedstocks!$E$4:$E$141,Feedstocks!$H$4:$H$141,Feedstocks!$I$4:$I$141)</f>
        <v>0</v>
      </c>
      <c r="K203" s="103"/>
      <c r="L203" s="103"/>
      <c r="M203" s="22"/>
      <c r="N203" s="22" t="str">
        <f>VLOOKUP(E203,Activities!$A$9:$M$227,13,FALSE)</f>
        <v>NL</v>
      </c>
      <c r="O203" s="22">
        <v>1</v>
      </c>
      <c r="P203" s="80" t="s">
        <v>452</v>
      </c>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v>1</v>
      </c>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v>-0.26500000000000001</v>
      </c>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36"/>
      <c r="FQ203" s="36"/>
      <c r="FR203" s="36"/>
      <c r="FS203" s="36"/>
      <c r="FT203" s="36"/>
      <c r="FU203" s="36"/>
      <c r="FV203" s="36"/>
      <c r="FW203" s="36"/>
      <c r="FX203" s="36"/>
      <c r="FY203" s="36"/>
      <c r="FZ203" s="36"/>
      <c r="GA203" s="36"/>
      <c r="GB203" s="319"/>
      <c r="GC203" s="179">
        <f t="shared" si="37"/>
        <v>0</v>
      </c>
      <c r="GD203" s="179">
        <f t="shared" si="38"/>
        <v>0</v>
      </c>
      <c r="GE203" s="179">
        <f t="shared" si="39"/>
        <v>0</v>
      </c>
      <c r="GF203" s="179">
        <f t="shared" si="40"/>
        <v>1.9099999999999999E-2</v>
      </c>
      <c r="GG203" s="179">
        <f t="shared" si="36"/>
        <v>0</v>
      </c>
    </row>
    <row r="204" spans="1:342" x14ac:dyDescent="0.35">
      <c r="A204" s="5" t="s">
        <v>1166</v>
      </c>
      <c r="B204" s="5" t="str">
        <f>IF(Technologies!B204&lt;&gt;0,Technologies!B204,"")</f>
        <v>Bunkerbrandstoffen</v>
      </c>
      <c r="C204" s="5" t="str">
        <f>VLOOKUP($A204,Technologies!$A$7:$H$576,3,FALSE)</f>
        <v>Final</v>
      </c>
      <c r="D204" s="5" t="str">
        <f>VLOOKUP($A204,Technologies!$A$7:$H$576,4,FALSE)</f>
        <v>Transport</v>
      </c>
      <c r="E204" s="5" t="str">
        <f>VLOOKUP($A204,Technologies!$A$7:$H$576,6,FALSE)</f>
        <v>Bunker Aviation</v>
      </c>
      <c r="F204" s="5" t="str">
        <f>VLOOKUP($A204,Technologies!$A$7:$H$576,7,FALSE)</f>
        <v>Bio Kerosene Airplane</v>
      </c>
      <c r="G204" s="23"/>
      <c r="H204" s="23"/>
      <c r="I204" s="104" cm="1">
        <f t="array" ref="I204">-SUMPRODUCT((Feedstocks!$C$4:$C$141=A204)*Feedstocks!$E$4:$E$141,Feedstocks!$F$4:$F$141,Feedstocks!$H$4:$H$141,Feedstocks!$I$4:$I$141)</f>
        <v>0</v>
      </c>
      <c r="J204" s="104" cm="1">
        <f t="array" ref="J204">-SUMPRODUCT((Feedstocks!$C$4:$C$141=A204)*Feedstocks!$E$4:$E$141,Feedstocks!$H$4:$H$141,Feedstocks!$I$4:$I$141)</f>
        <v>0</v>
      </c>
      <c r="K204" s="104"/>
      <c r="L204" s="104"/>
      <c r="M204" s="23"/>
      <c r="N204" s="23" t="str">
        <f>VLOOKUP(E204,Activities!$A$9:$M$227,13,FALSE)</f>
        <v>NL</v>
      </c>
      <c r="O204" s="23">
        <v>1</v>
      </c>
      <c r="P204" s="79" t="s">
        <v>452</v>
      </c>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v>1</v>
      </c>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v>-0.26500000000000001</v>
      </c>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18"/>
      <c r="GC204" s="178">
        <f t="shared" si="37"/>
        <v>0</v>
      </c>
      <c r="GD204" s="178">
        <f t="shared" si="38"/>
        <v>0</v>
      </c>
      <c r="GE204" s="178">
        <f t="shared" si="39"/>
        <v>0</v>
      </c>
      <c r="GF204" s="178">
        <f t="shared" si="40"/>
        <v>0</v>
      </c>
      <c r="GG204" s="178">
        <f t="shared" si="36"/>
        <v>0</v>
      </c>
    </row>
    <row r="205" spans="1:342" x14ac:dyDescent="0.35">
      <c r="A205" s="6" t="s">
        <v>1168</v>
      </c>
      <c r="B205" s="6" t="str">
        <f>IF(Technologies!B205&lt;&gt;0,Technologies!B205,"")</f>
        <v>Bunkerbrandstoffen</v>
      </c>
      <c r="C205" s="6" t="str">
        <f>VLOOKUP($A205,Technologies!$A$7:$H$576,3,FALSE)</f>
        <v>Final</v>
      </c>
      <c r="D205" s="6" t="str">
        <f>VLOOKUP($A205,Technologies!$A$7:$H$576,4,FALSE)</f>
        <v>Transport</v>
      </c>
      <c r="E205" s="6" t="str">
        <f>VLOOKUP($A205,Technologies!$A$7:$H$576,6,FALSE)</f>
        <v>Bunker Aviation</v>
      </c>
      <c r="F205" s="48" t="str">
        <f>VLOOKUP($A205,Technologies!$A$7:$H$576,7,FALSE)</f>
        <v>Syn Kerosene Airplane</v>
      </c>
      <c r="G205" s="22"/>
      <c r="H205" s="22"/>
      <c r="I205" s="103" cm="1">
        <f t="array" ref="I205">-SUMPRODUCT((Feedstocks!$C$4:$C$141=A205)*Feedstocks!$E$4:$E$141,Feedstocks!$F$4:$F$141,Feedstocks!$H$4:$H$141,Feedstocks!$I$4:$I$141)</f>
        <v>0</v>
      </c>
      <c r="J205" s="103" cm="1">
        <f t="array" ref="J205">-SUMPRODUCT((Feedstocks!$C$4:$C$141=A205)*Feedstocks!$E$4:$E$141,Feedstocks!$H$4:$H$141,Feedstocks!$I$4:$I$141)</f>
        <v>0</v>
      </c>
      <c r="K205" s="103"/>
      <c r="L205" s="103"/>
      <c r="M205" s="22"/>
      <c r="N205" s="22" t="str">
        <f>VLOOKUP(E205,Activities!$A$9:$M$227,13,FALSE)</f>
        <v>NL</v>
      </c>
      <c r="O205" s="22">
        <v>1</v>
      </c>
      <c r="P205" s="80" t="s">
        <v>452</v>
      </c>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v>1</v>
      </c>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v>-0.26500000000000001</v>
      </c>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36"/>
      <c r="FQ205" s="36"/>
      <c r="FR205" s="36"/>
      <c r="FS205" s="36"/>
      <c r="FT205" s="36"/>
      <c r="FU205" s="36"/>
      <c r="FV205" s="36"/>
      <c r="FW205" s="36"/>
      <c r="FX205" s="36"/>
      <c r="FY205" s="36"/>
      <c r="FZ205" s="36"/>
      <c r="GA205" s="36"/>
      <c r="GB205" s="319"/>
      <c r="GC205" s="179">
        <f t="shared" si="37"/>
        <v>0</v>
      </c>
      <c r="GD205" s="179">
        <f t="shared" si="38"/>
        <v>0</v>
      </c>
      <c r="GE205" s="179">
        <f t="shared" si="39"/>
        <v>0</v>
      </c>
      <c r="GF205" s="179">
        <f t="shared" si="40"/>
        <v>1.9099999999999999E-2</v>
      </c>
      <c r="GG205" s="179">
        <f t="shared" si="36"/>
        <v>0</v>
      </c>
    </row>
    <row r="206" spans="1:342" x14ac:dyDescent="0.35">
      <c r="A206" s="5" t="s">
        <v>1170</v>
      </c>
      <c r="B206" s="5" t="str">
        <f>IF(Technologies!B206&lt;&gt;0,Technologies!B206,"")</f>
        <v>Bunkerbrandstoffen</v>
      </c>
      <c r="C206" s="5" t="str">
        <f>VLOOKUP($A206,Technologies!$A$7:$H$576,3,FALSE)</f>
        <v>Final</v>
      </c>
      <c r="D206" s="5" t="str">
        <f>VLOOKUP($A206,Technologies!$A$7:$H$576,4,FALSE)</f>
        <v>Transport</v>
      </c>
      <c r="E206" s="5" t="str">
        <f>VLOOKUP($A206,Technologies!$A$7:$H$576,6,FALSE)</f>
        <v>Bunker Aviation</v>
      </c>
      <c r="F206" s="5" t="str">
        <f>VLOOKUP($A206,Technologies!$A$7:$H$576,7,FALSE)</f>
        <v>Hydrogen Airplane</v>
      </c>
      <c r="G206" s="23"/>
      <c r="H206" s="23"/>
      <c r="I206" s="104" cm="1">
        <f t="array" ref="I206">-SUMPRODUCT((Feedstocks!$C$4:$C$141=A206)*Feedstocks!$E$4:$E$141,Feedstocks!$F$4:$F$141,Feedstocks!$H$4:$H$141,Feedstocks!$I$4:$I$141)</f>
        <v>0</v>
      </c>
      <c r="J206" s="104" cm="1">
        <f t="array" ref="J206">-SUMPRODUCT((Feedstocks!$C$4:$C$141=A206)*Feedstocks!$E$4:$E$141,Feedstocks!$H$4:$H$141,Feedstocks!$I$4:$I$141)</f>
        <v>0</v>
      </c>
      <c r="K206" s="104"/>
      <c r="L206" s="104"/>
      <c r="M206" s="23"/>
      <c r="N206" s="23" t="str">
        <f>VLOOKUP(E206,Activities!$A$9:$M$227,13,FALSE)</f>
        <v>NL</v>
      </c>
      <c r="O206" s="23">
        <v>1</v>
      </c>
      <c r="P206" s="79" t="s">
        <v>502</v>
      </c>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v>1</v>
      </c>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v>-0.19</v>
      </c>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18"/>
      <c r="GC206" s="178">
        <f t="shared" si="37"/>
        <v>0</v>
      </c>
      <c r="GD206" s="178">
        <f t="shared" si="38"/>
        <v>0</v>
      </c>
      <c r="GE206" s="178">
        <f t="shared" si="39"/>
        <v>0</v>
      </c>
      <c r="GF206" s="178">
        <f t="shared" si="40"/>
        <v>0</v>
      </c>
      <c r="GG206" s="178">
        <f t="shared" si="36"/>
        <v>0</v>
      </c>
    </row>
    <row r="207" spans="1:342" s="310" customFormat="1" x14ac:dyDescent="0.35">
      <c r="A207" s="290" t="s">
        <v>1172</v>
      </c>
      <c r="B207" s="290" t="str">
        <f>IF(Technologies!B207&lt;&gt;0,Technologies!B207,"")</f>
        <v>Bunkerbrandstoffen</v>
      </c>
      <c r="C207" s="290" t="str">
        <f>VLOOKUP($A207,Technologies!$A$7:$H$576,3,FALSE)</f>
        <v>Final</v>
      </c>
      <c r="D207" s="290" t="str">
        <f>VLOOKUP($A207,Technologies!$A$7:$H$576,4,FALSE)</f>
        <v>Transport</v>
      </c>
      <c r="E207" s="290" t="str">
        <f>VLOOKUP($A207,Technologies!$A$7:$H$576,6,FALSE)</f>
        <v>Bunker Aviation</v>
      </c>
      <c r="F207" s="291" t="str">
        <f>VLOOKUP($A207,Technologies!$A$7:$H$576,7,FALSE)</f>
        <v>E-Kerosene Airplane</v>
      </c>
      <c r="G207" s="311"/>
      <c r="H207" s="311"/>
      <c r="I207" s="313" cm="1">
        <f t="array" ref="I207">-SUMPRODUCT((Feedstocks!$C$4:$C$141=A207)*Feedstocks!$E$4:$E$141,Feedstocks!$F$4:$F$141,Feedstocks!$H$4:$H$141,Feedstocks!$I$4:$I$141)</f>
        <v>0</v>
      </c>
      <c r="J207" s="313" cm="1">
        <f t="array" ref="J207">-SUMPRODUCT((Feedstocks!$C$4:$C$141=A207)*Feedstocks!$E$4:$E$141,Feedstocks!$H$4:$H$141,Feedstocks!$I$4:$I$141)</f>
        <v>0</v>
      </c>
      <c r="K207" s="313"/>
      <c r="L207" s="313"/>
      <c r="M207" s="311"/>
      <c r="N207" s="311" t="str">
        <f>VLOOKUP(E207,Activities!$A$9:$M$227,13,FALSE)</f>
        <v>NL</v>
      </c>
      <c r="O207" s="311">
        <v>1</v>
      </c>
      <c r="P207" s="308" t="s">
        <v>452</v>
      </c>
      <c r="Q207" s="315"/>
      <c r="R207" s="315"/>
      <c r="S207" s="315"/>
      <c r="T207" s="315"/>
      <c r="U207" s="315"/>
      <c r="V207" s="315"/>
      <c r="W207" s="315"/>
      <c r="X207" s="315"/>
      <c r="Y207" s="315"/>
      <c r="Z207" s="315"/>
      <c r="AA207" s="315"/>
      <c r="AB207" s="315"/>
      <c r="AC207" s="315"/>
      <c r="AD207" s="315"/>
      <c r="AE207" s="315"/>
      <c r="AF207" s="315"/>
      <c r="AG207" s="315"/>
      <c r="AH207" s="315"/>
      <c r="AI207" s="315"/>
      <c r="AJ207" s="315"/>
      <c r="AK207" s="315"/>
      <c r="AL207" s="315"/>
      <c r="AM207" s="315"/>
      <c r="AN207" s="315"/>
      <c r="AO207" s="315"/>
      <c r="AP207" s="315"/>
      <c r="AQ207" s="315"/>
      <c r="AR207" s="315"/>
      <c r="AS207" s="315"/>
      <c r="AT207" s="315"/>
      <c r="AU207" s="315"/>
      <c r="AV207" s="315"/>
      <c r="AW207" s="315"/>
      <c r="AX207" s="315"/>
      <c r="AY207" s="315"/>
      <c r="AZ207" s="315"/>
      <c r="BA207" s="315"/>
      <c r="BB207" s="315"/>
      <c r="BC207" s="315"/>
      <c r="BD207" s="315"/>
      <c r="BE207" s="315"/>
      <c r="BF207" s="315"/>
      <c r="BG207" s="315"/>
      <c r="BH207" s="315"/>
      <c r="BI207" s="315"/>
      <c r="BJ207" s="315">
        <v>1</v>
      </c>
      <c r="BK207" s="315"/>
      <c r="BL207" s="315"/>
      <c r="BM207" s="315"/>
      <c r="BN207" s="315"/>
      <c r="BO207" s="315"/>
      <c r="BP207" s="315"/>
      <c r="BQ207" s="315"/>
      <c r="BR207" s="315"/>
      <c r="BS207" s="315"/>
      <c r="BT207" s="315"/>
      <c r="BU207" s="315"/>
      <c r="BV207" s="315"/>
      <c r="BW207" s="315"/>
      <c r="BX207" s="315"/>
      <c r="BY207" s="315"/>
      <c r="BZ207" s="315"/>
      <c r="CA207" s="315"/>
      <c r="CB207" s="315"/>
      <c r="CC207" s="315"/>
      <c r="CD207" s="315"/>
      <c r="CE207" s="315"/>
      <c r="CF207" s="315"/>
      <c r="CG207" s="315"/>
      <c r="CH207" s="315"/>
      <c r="CI207" s="315"/>
      <c r="CJ207" s="315"/>
      <c r="CK207" s="315"/>
      <c r="CL207" s="315"/>
      <c r="CM207" s="315"/>
      <c r="CN207" s="315"/>
      <c r="CO207" s="315"/>
      <c r="CP207" s="315"/>
      <c r="CQ207" s="315"/>
      <c r="CR207" s="315"/>
      <c r="CS207" s="315"/>
      <c r="CT207" s="315"/>
      <c r="CU207" s="315"/>
      <c r="CV207" s="315"/>
      <c r="CW207" s="315"/>
      <c r="CX207" s="315"/>
      <c r="CY207" s="315"/>
      <c r="CZ207" s="315"/>
      <c r="DA207" s="315"/>
      <c r="DB207" s="315"/>
      <c r="DC207" s="315"/>
      <c r="DD207" s="315"/>
      <c r="DE207" s="315"/>
      <c r="DF207" s="315"/>
      <c r="DG207" s="315"/>
      <c r="DH207" s="315"/>
      <c r="DI207" s="315"/>
      <c r="DJ207" s="315"/>
      <c r="DK207" s="315"/>
      <c r="DL207" s="315"/>
      <c r="DM207" s="315"/>
      <c r="DN207" s="315"/>
      <c r="DO207" s="315"/>
      <c r="DP207" s="315"/>
      <c r="DQ207" s="315"/>
      <c r="DR207" s="315"/>
      <c r="DS207" s="315"/>
      <c r="DT207" s="315"/>
      <c r="DU207" s="315"/>
      <c r="DV207" s="315"/>
      <c r="DW207" s="315"/>
      <c r="DX207" s="315"/>
      <c r="DY207" s="315"/>
      <c r="DZ207" s="315"/>
      <c r="EA207" s="315"/>
      <c r="EB207" s="315"/>
      <c r="EC207" s="315"/>
      <c r="ED207" s="315"/>
      <c r="EE207" s="315"/>
      <c r="EF207" s="315"/>
      <c r="EG207" s="315"/>
      <c r="EH207" s="315">
        <v>-0.27</v>
      </c>
      <c r="EI207" s="315"/>
      <c r="EJ207" s="315"/>
      <c r="EK207" s="315"/>
      <c r="EL207" s="315"/>
      <c r="EM207" s="315"/>
      <c r="EN207" s="315"/>
      <c r="EO207" s="315"/>
      <c r="EP207" s="315"/>
      <c r="EQ207" s="315"/>
      <c r="ER207" s="315"/>
      <c r="ES207" s="315"/>
      <c r="ET207" s="315"/>
      <c r="EU207" s="315"/>
      <c r="EV207" s="315"/>
      <c r="EW207" s="315"/>
      <c r="EX207" s="315"/>
      <c r="EY207" s="315"/>
      <c r="EZ207" s="315"/>
      <c r="FA207" s="315"/>
      <c r="FB207" s="315"/>
      <c r="FC207" s="315"/>
      <c r="FD207" s="315"/>
      <c r="FE207" s="315"/>
      <c r="FF207" s="315"/>
      <c r="FG207" s="315"/>
      <c r="FH207" s="315"/>
      <c r="FI207" s="315"/>
      <c r="FJ207" s="315"/>
      <c r="FK207" s="315"/>
      <c r="FL207" s="315"/>
      <c r="FM207" s="315"/>
      <c r="FN207" s="315"/>
      <c r="FO207" s="315"/>
      <c r="FP207" s="315"/>
      <c r="FQ207" s="315"/>
      <c r="FR207" s="315"/>
      <c r="FS207" s="315"/>
      <c r="FT207" s="315"/>
      <c r="FU207" s="315"/>
      <c r="FV207" s="315"/>
      <c r="FW207" s="315"/>
      <c r="FX207" s="315"/>
      <c r="FY207" s="315"/>
      <c r="FZ207" s="315"/>
      <c r="GA207" s="315"/>
      <c r="GB207" s="322"/>
      <c r="GC207" s="316">
        <f t="shared" si="37"/>
        <v>0</v>
      </c>
      <c r="GD207" s="316">
        <f t="shared" si="38"/>
        <v>0</v>
      </c>
      <c r="GE207" s="316">
        <f t="shared" si="39"/>
        <v>0</v>
      </c>
      <c r="GF207" s="316">
        <f t="shared" si="40"/>
        <v>1.9400000000000001E-2</v>
      </c>
      <c r="GG207" s="316">
        <f t="shared" si="36"/>
        <v>0</v>
      </c>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row>
    <row r="208" spans="1:342" s="347" customFormat="1" x14ac:dyDescent="0.35">
      <c r="A208" s="327" t="s">
        <v>1174</v>
      </c>
      <c r="B208" s="290" t="str">
        <f>IF(Technologies!B208&lt;&gt;0,Technologies!B208,"")</f>
        <v>Bunkerbrandstoffen</v>
      </c>
      <c r="C208" s="290" t="str">
        <f>VLOOKUP($A208,Technologies!$A$7:$H$576,3,FALSE)</f>
        <v>Final</v>
      </c>
      <c r="D208" s="290" t="str">
        <f>VLOOKUP($A208,Technologies!$A$7:$H$576,4,FALSE)</f>
        <v>Transport</v>
      </c>
      <c r="E208" s="290" t="str">
        <f>VLOOKUP($A208,Technologies!$A$7:$H$576,6,FALSE)</f>
        <v>Renewable H2 Credit</v>
      </c>
      <c r="F208" s="291" t="str">
        <f>VLOOKUP($A208,Technologies!$A$7:$H$576,7,FALSE)</f>
        <v xml:space="preserve">H2 Credits for Aviation </v>
      </c>
      <c r="G208" s="350"/>
      <c r="H208" s="350"/>
      <c r="I208" s="351"/>
      <c r="J208" s="351"/>
      <c r="K208" s="351"/>
      <c r="L208" s="351"/>
      <c r="M208" s="350"/>
      <c r="N208" s="311" t="str">
        <f>VLOOKUP(E208,Activities!$A$9:$M$227,13,FALSE)</f>
        <v>NL</v>
      </c>
      <c r="O208" s="350">
        <v>1</v>
      </c>
      <c r="P208" s="289"/>
      <c r="Q208" s="352"/>
      <c r="R208" s="352"/>
      <c r="S208" s="352"/>
      <c r="T208" s="352"/>
      <c r="U208" s="352"/>
      <c r="V208" s="352"/>
      <c r="W208" s="352"/>
      <c r="X208" s="352"/>
      <c r="Y208" s="352"/>
      <c r="Z208" s="352"/>
      <c r="AA208" s="352"/>
      <c r="AB208" s="352"/>
      <c r="AC208" s="352"/>
      <c r="AD208" s="352"/>
      <c r="AE208" s="352"/>
      <c r="AF208" s="352"/>
      <c r="AG208" s="352"/>
      <c r="AH208" s="352"/>
      <c r="AI208" s="352"/>
      <c r="AJ208" s="352"/>
      <c r="AK208" s="352"/>
      <c r="AL208" s="352"/>
      <c r="AM208" s="352"/>
      <c r="AN208" s="352"/>
      <c r="AO208" s="352"/>
      <c r="AP208" s="352"/>
      <c r="AQ208" s="352"/>
      <c r="AR208" s="352"/>
      <c r="AS208" s="352"/>
      <c r="AT208" s="352"/>
      <c r="AU208" s="352"/>
      <c r="AV208" s="352"/>
      <c r="AW208" s="352"/>
      <c r="AX208" s="352"/>
      <c r="AY208" s="352"/>
      <c r="AZ208" s="352"/>
      <c r="BA208" s="352"/>
      <c r="BB208" s="352"/>
      <c r="BC208" s="352"/>
      <c r="BD208" s="352"/>
      <c r="BE208" s="352"/>
      <c r="BF208" s="352"/>
      <c r="BG208" s="352"/>
      <c r="BH208" s="352"/>
      <c r="BI208" s="352"/>
      <c r="BJ208" s="352"/>
      <c r="BK208" s="352"/>
      <c r="BL208" s="352"/>
      <c r="BM208" s="352"/>
      <c r="BN208" s="352"/>
      <c r="BO208" s="352"/>
      <c r="BP208" s="352"/>
      <c r="BQ208" s="352"/>
      <c r="BR208" s="352"/>
      <c r="BS208" s="352"/>
      <c r="BT208" s="352"/>
      <c r="BU208" s="352"/>
      <c r="BV208" s="352"/>
      <c r="BW208" s="352"/>
      <c r="BX208" s="352"/>
      <c r="BY208" s="352"/>
      <c r="BZ208" s="352"/>
      <c r="CA208" s="352"/>
      <c r="CB208" s="352"/>
      <c r="CC208" s="352"/>
      <c r="CD208" s="352"/>
      <c r="CE208" s="352"/>
      <c r="CF208" s="352"/>
      <c r="CG208" s="352"/>
      <c r="CH208" s="352"/>
      <c r="CI208" s="352"/>
      <c r="CJ208" s="352"/>
      <c r="CK208" s="352"/>
      <c r="CL208" s="352"/>
      <c r="CM208" s="352"/>
      <c r="CN208" s="352"/>
      <c r="CO208" s="352"/>
      <c r="CP208" s="352"/>
      <c r="CQ208" s="352"/>
      <c r="CR208" s="352"/>
      <c r="CS208" s="352"/>
      <c r="CT208" s="352"/>
      <c r="CU208" s="352"/>
      <c r="CV208" s="352"/>
      <c r="CW208" s="352"/>
      <c r="CX208" s="352"/>
      <c r="CY208" s="352"/>
      <c r="CZ208" s="352"/>
      <c r="DA208" s="352"/>
      <c r="DB208" s="352"/>
      <c r="DC208" s="352"/>
      <c r="DD208" s="352"/>
      <c r="DE208" s="352"/>
      <c r="DF208" s="352"/>
      <c r="DG208" s="352"/>
      <c r="DH208" s="352"/>
      <c r="DI208" s="352"/>
      <c r="DJ208" s="352"/>
      <c r="DK208" s="352"/>
      <c r="DL208" s="352"/>
      <c r="DM208" s="352"/>
      <c r="DN208" s="352"/>
      <c r="DO208" s="352"/>
      <c r="DP208" s="352"/>
      <c r="DQ208" s="352"/>
      <c r="DR208" s="352"/>
      <c r="DS208" s="352"/>
      <c r="DT208" s="352"/>
      <c r="DU208" s="352"/>
      <c r="DV208" s="352"/>
      <c r="DW208" s="352"/>
      <c r="DX208" s="352"/>
      <c r="DY208" s="352"/>
      <c r="DZ208" s="352"/>
      <c r="EA208" s="352"/>
      <c r="EB208" s="352"/>
      <c r="EC208" s="352"/>
      <c r="ED208" s="352"/>
      <c r="EE208" s="352"/>
      <c r="EF208" s="352"/>
      <c r="EG208" s="352"/>
      <c r="EH208" s="352"/>
      <c r="EI208" s="352"/>
      <c r="EJ208" s="352"/>
      <c r="EK208" s="352"/>
      <c r="EL208" s="352"/>
      <c r="EM208" s="352"/>
      <c r="EN208" s="352"/>
      <c r="EO208" s="352">
        <v>-1</v>
      </c>
      <c r="EP208" s="352"/>
      <c r="EQ208" s="352"/>
      <c r="ER208" s="352"/>
      <c r="ES208" s="352"/>
      <c r="ET208" s="352"/>
      <c r="EU208" s="352"/>
      <c r="EV208" s="352"/>
      <c r="EW208" s="352"/>
      <c r="EX208" s="352"/>
      <c r="EY208" s="352"/>
      <c r="EZ208" s="352"/>
      <c r="FA208" s="352"/>
      <c r="FB208" s="352"/>
      <c r="FC208" s="352"/>
      <c r="FD208" s="352"/>
      <c r="FE208" s="352"/>
      <c r="FF208" s="352"/>
      <c r="FG208" s="352"/>
      <c r="FH208" s="352"/>
      <c r="FI208" s="352"/>
      <c r="FJ208" s="352"/>
      <c r="FK208" s="352"/>
      <c r="FL208" s="352"/>
      <c r="FM208" s="352"/>
      <c r="FN208" s="352"/>
      <c r="FO208" s="352"/>
      <c r="FP208" s="352"/>
      <c r="FQ208" s="352"/>
      <c r="FR208" s="352"/>
      <c r="FS208" s="352"/>
      <c r="FT208" s="352"/>
      <c r="FU208" s="352"/>
      <c r="FV208" s="352"/>
      <c r="FW208" s="352"/>
      <c r="FX208" s="352"/>
      <c r="FY208" s="352"/>
      <c r="FZ208" s="352"/>
      <c r="GA208" s="352"/>
      <c r="GB208" s="353"/>
      <c r="GC208" s="179">
        <f t="shared" si="37"/>
        <v>0</v>
      </c>
      <c r="GD208" s="179">
        <f t="shared" si="38"/>
        <v>0</v>
      </c>
      <c r="GE208" s="179">
        <f t="shared" si="39"/>
        <v>0</v>
      </c>
      <c r="GF208" s="179">
        <f t="shared" si="40"/>
        <v>0</v>
      </c>
      <c r="GG208" s="179">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VLOOKUP($A209,Technologies!$A$7:$H$576,3,FALSE)</f>
        <v>Final</v>
      </c>
      <c r="D209" s="290" t="str">
        <f>VLOOKUP($A209,Technologies!$A$7:$H$576,4,FALSE)</f>
        <v>Transport</v>
      </c>
      <c r="E209" s="290" t="str">
        <f>VLOOKUP($A209,Technologies!$A$7:$H$576,6,FALSE)</f>
        <v>Renewable CO2 Credit</v>
      </c>
      <c r="F209" s="291" t="str">
        <f>VLOOKUP($A209,Technologies!$A$7:$H$576,7,FALSE)</f>
        <v xml:space="preserve">CO2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v>-1</v>
      </c>
      <c r="GC209" s="178">
        <f t="shared" si="37"/>
        <v>0</v>
      </c>
      <c r="GD209" s="178">
        <f t="shared" si="38"/>
        <v>0</v>
      </c>
      <c r="GE209" s="178">
        <f t="shared" si="39"/>
        <v>0</v>
      </c>
      <c r="GF209" s="178">
        <f t="shared" si="40"/>
        <v>0</v>
      </c>
      <c r="GG209" s="178">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x14ac:dyDescent="0.35">
      <c r="A210" s="6" t="s">
        <v>1178</v>
      </c>
      <c r="B210" s="6" t="str">
        <f>IF(Technologies!B210&lt;&gt;0,Technologies!B210,"")</f>
        <v>Gebouwde omgeving</v>
      </c>
      <c r="C210" s="6" t="str">
        <f>VLOOKUP($A210,Technologies!$A$7:$H$576,3,FALSE)</f>
        <v>Emission</v>
      </c>
      <c r="D210" s="6" t="str">
        <f>VLOOKUP($A210,Technologies!$A$7:$H$576,4,FALSE)</f>
        <v>Residential</v>
      </c>
      <c r="E210" s="6" t="str">
        <f>VLOOKUP($A210,Technologies!$A$7:$H$576,6,FALSE)</f>
        <v xml:space="preserve">neGHG - Residential - CO2 </v>
      </c>
      <c r="F210" s="48" t="str">
        <f>VLOOKUP($A210,Technologies!$A$7:$H$576,7,FALSE)</f>
        <v>Indirect - CO2 Residential</v>
      </c>
      <c r="G210" s="22"/>
      <c r="H210" s="22"/>
      <c r="I210" s="103" cm="1">
        <f t="array" ref="I210">-SUMPRODUCT((Feedstocks!$C$4:$C$141=A210)*Feedstocks!$E$4:$E$141,Feedstocks!$F$4:$F$141,Feedstocks!$H$4:$H$141,Feedstocks!$I$4:$I$141)</f>
        <v>0</v>
      </c>
      <c r="J210" s="103" cm="1">
        <f t="array" ref="J210">-SUMPRODUCT((Feedstocks!$C$4:$C$141=A210)*Feedstocks!$E$4:$E$141,Feedstocks!$H$4:$H$141,Feedstocks!$I$4:$I$141)</f>
        <v>0</v>
      </c>
      <c r="K210" s="103"/>
      <c r="L210" s="103"/>
      <c r="M210" s="22"/>
      <c r="N210" s="22" t="str">
        <f>VLOOKUP(E210,Activities!$A$9:$M$227,13,FALSE)</f>
        <v>NL</v>
      </c>
      <c r="O210" s="22"/>
      <c r="P210" s="80" t="s">
        <v>663</v>
      </c>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v>1</v>
      </c>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c r="FJ210" s="36"/>
      <c r="FK210" s="36"/>
      <c r="FL210" s="36"/>
      <c r="FM210" s="36"/>
      <c r="FN210" s="36"/>
      <c r="FO210" s="36">
        <v>1</v>
      </c>
      <c r="FP210" s="36"/>
      <c r="FQ210" s="36"/>
      <c r="FR210" s="36"/>
      <c r="FS210" s="36"/>
      <c r="FT210" s="36"/>
      <c r="FU210" s="36"/>
      <c r="FV210" s="36"/>
      <c r="FW210" s="36"/>
      <c r="FX210" s="36"/>
      <c r="FY210" s="36"/>
      <c r="FZ210" s="36"/>
      <c r="GA210" s="36"/>
      <c r="GB210" s="319"/>
      <c r="GC210" s="179">
        <f t="shared" si="37"/>
        <v>0</v>
      </c>
      <c r="GD210" s="179">
        <f t="shared" si="38"/>
        <v>0</v>
      </c>
      <c r="GE210" s="179">
        <f t="shared" si="39"/>
        <v>0</v>
      </c>
      <c r="GF210" s="179">
        <f t="shared" si="40"/>
        <v>0</v>
      </c>
      <c r="GG210" s="179">
        <f t="shared" ref="GG210:GG223" si="41">$I210</f>
        <v>0</v>
      </c>
    </row>
    <row r="211" spans="1:342" x14ac:dyDescent="0.35">
      <c r="A211" s="5" t="s">
        <v>1180</v>
      </c>
      <c r="B211" s="5" t="str">
        <f>IF(Technologies!B211&lt;&gt;0,Technologies!B211,"")</f>
        <v>Gebouwde omgeving</v>
      </c>
      <c r="C211" s="5" t="str">
        <f>VLOOKUP($A211,Technologies!$A$7:$H$576,3,FALSE)</f>
        <v>Emission</v>
      </c>
      <c r="D211" s="5" t="str">
        <f>VLOOKUP($A211,Technologies!$A$7:$H$576,4,FALSE)</f>
        <v>Services</v>
      </c>
      <c r="E211" s="5" t="str">
        <f>VLOOKUP($A211,Technologies!$A$7:$H$576,6,FALSE)</f>
        <v xml:space="preserve">neGHG - Services - CH4 </v>
      </c>
      <c r="F211" s="5" t="str">
        <f>VLOOKUP($A211,Technologies!$A$7:$H$576,7,FALSE)</f>
        <v>Indirect - CH4 Services</v>
      </c>
      <c r="G211" s="23"/>
      <c r="H211" s="23"/>
      <c r="I211" s="104" cm="1">
        <f t="array" ref="I211">-SUMPRODUCT((Feedstocks!$C$4:$C$141=A211)*Feedstocks!$E$4:$E$141,Feedstocks!$F$4:$F$141,Feedstocks!$H$4:$H$141,Feedstocks!$I$4:$I$141)</f>
        <v>0</v>
      </c>
      <c r="J211" s="104" cm="1">
        <f t="array" ref="J211">-SUMPRODUCT((Feedstocks!$C$4:$C$141=A211)*Feedstocks!$E$4:$E$141,Feedstocks!$H$4:$H$141,Feedstocks!$I$4:$I$141)</f>
        <v>0</v>
      </c>
      <c r="K211" s="104"/>
      <c r="L211" s="104"/>
      <c r="M211" s="23"/>
      <c r="N211" s="23" t="str">
        <f>VLOOKUP(E211,Activities!$A$9:$M$227,13,FALSE)</f>
        <v>NL</v>
      </c>
      <c r="O211" s="23"/>
      <c r="P211" s="79" t="s">
        <v>699</v>
      </c>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v>1</v>
      </c>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v>1</v>
      </c>
      <c r="FQ211" s="35"/>
      <c r="FR211" s="35"/>
      <c r="FS211" s="35"/>
      <c r="FT211" s="35"/>
      <c r="FU211" s="35"/>
      <c r="FV211" s="35"/>
      <c r="FW211" s="35"/>
      <c r="FX211" s="35"/>
      <c r="FY211" s="35"/>
      <c r="FZ211" s="35"/>
      <c r="GA211" s="35"/>
      <c r="GB211" s="318"/>
      <c r="GC211" s="178">
        <f t="shared" si="37"/>
        <v>0</v>
      </c>
      <c r="GD211" s="178">
        <f t="shared" si="38"/>
        <v>0</v>
      </c>
      <c r="GE211" s="178">
        <f t="shared" si="39"/>
        <v>0</v>
      </c>
      <c r="GF211" s="178">
        <f t="shared" si="40"/>
        <v>0</v>
      </c>
      <c r="GG211" s="178">
        <f t="shared" si="41"/>
        <v>0</v>
      </c>
    </row>
    <row r="212" spans="1:342" x14ac:dyDescent="0.35">
      <c r="A212" s="6" t="s">
        <v>1182</v>
      </c>
      <c r="B212" s="6" t="str">
        <f>IF(Technologies!B212&lt;&gt;0,Technologies!B212,"")</f>
        <v>Landbouw</v>
      </c>
      <c r="C212" s="6" t="str">
        <f>VLOOKUP($A212,Technologies!$A$7:$H$576,3,FALSE)</f>
        <v>Emission</v>
      </c>
      <c r="D212" s="6" t="str">
        <f>VLOOKUP($A212,Technologies!$A$7:$H$576,4,FALSE)</f>
        <v>Agriculture</v>
      </c>
      <c r="E212" s="6" t="str">
        <f>VLOOKUP($A212,Technologies!$A$7:$H$576,6,FALSE)</f>
        <v xml:space="preserve">neGHG - Agriculture - CO2 </v>
      </c>
      <c r="F212" s="48" t="str">
        <f>VLOOKUP($A212,Technologies!$A$7:$H$576,7,FALSE)</f>
        <v>Indirect - CO2 Agriculture</v>
      </c>
      <c r="G212" s="22"/>
      <c r="H212" s="22"/>
      <c r="I212" s="103" cm="1">
        <f t="array" ref="I212">-SUMPRODUCT((Feedstocks!$C$4:$C$141=A212)*Feedstocks!$E$4:$E$141,Feedstocks!$F$4:$F$141,Feedstocks!$H$4:$H$141,Feedstocks!$I$4:$I$141)</f>
        <v>0</v>
      </c>
      <c r="J212" s="103" cm="1">
        <f t="array" ref="J212">-SUMPRODUCT((Feedstocks!$C$4:$C$141=A212)*Feedstocks!$E$4:$E$141,Feedstocks!$H$4:$H$141,Feedstocks!$I$4:$I$141)</f>
        <v>0</v>
      </c>
      <c r="K212" s="103"/>
      <c r="L212" s="103"/>
      <c r="M212" s="22"/>
      <c r="N212" s="22" t="str">
        <f>VLOOKUP(E212,Activities!$A$9:$M$227,13,FALSE)</f>
        <v>NL</v>
      </c>
      <c r="O212" s="22"/>
      <c r="P212" s="80" t="s">
        <v>699</v>
      </c>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v>1</v>
      </c>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c r="FJ212" s="36"/>
      <c r="FK212" s="36"/>
      <c r="FL212" s="36"/>
      <c r="FM212" s="36"/>
      <c r="FN212" s="36"/>
      <c r="FO212" s="36"/>
      <c r="FP212" s="36"/>
      <c r="FQ212" s="36">
        <v>1</v>
      </c>
      <c r="FR212" s="36"/>
      <c r="FS212" s="36"/>
      <c r="FT212" s="36"/>
      <c r="FU212" s="36"/>
      <c r="FV212" s="36"/>
      <c r="FW212" s="36"/>
      <c r="FX212" s="36"/>
      <c r="FY212" s="36"/>
      <c r="FZ212" s="36"/>
      <c r="GA212" s="36"/>
      <c r="GB212" s="319"/>
      <c r="GC212" s="179">
        <f t="shared" si="37"/>
        <v>0</v>
      </c>
      <c r="GD212" s="179">
        <f t="shared" si="38"/>
        <v>0</v>
      </c>
      <c r="GE212" s="179">
        <f t="shared" si="39"/>
        <v>0</v>
      </c>
      <c r="GF212" s="179">
        <f t="shared" si="40"/>
        <v>0</v>
      </c>
      <c r="GG212" s="179">
        <f t="shared" si="41"/>
        <v>0</v>
      </c>
    </row>
    <row r="213" spans="1:342" x14ac:dyDescent="0.35">
      <c r="A213" s="5" t="s">
        <v>1184</v>
      </c>
      <c r="B213" s="5" t="str">
        <f>IF(Technologies!B213&lt;&gt;0,Technologies!B213,"")</f>
        <v>Landbouw</v>
      </c>
      <c r="C213" s="5" t="str">
        <f>VLOOKUP($A213,Technologies!$A$7:$H$576,3,FALSE)</f>
        <v>Emission</v>
      </c>
      <c r="D213" s="5" t="str">
        <f>VLOOKUP($A213,Technologies!$A$7:$H$576,4,FALSE)</f>
        <v>Agriculture</v>
      </c>
      <c r="E213" s="5" t="str">
        <f>VLOOKUP($A213,Technologies!$A$7:$H$576,6,FALSE)</f>
        <v>neGHG - Agriculture - CH4</v>
      </c>
      <c r="F213" s="5" t="str">
        <f>VLOOKUP($A213,Technologies!$A$7:$H$576,7,FALSE)</f>
        <v>Indirect - CH4 Agriculture</v>
      </c>
      <c r="G213" s="23"/>
      <c r="H213" s="23"/>
      <c r="I213" s="104" cm="1">
        <f t="array" ref="I213">-SUMPRODUCT((Feedstocks!$C$4:$C$141=A213)*Feedstocks!$E$4:$E$141,Feedstocks!$F$4:$F$141,Feedstocks!$H$4:$H$141,Feedstocks!$I$4:$I$141)</f>
        <v>0</v>
      </c>
      <c r="J213" s="104" cm="1">
        <f t="array" ref="J213">-SUMPRODUCT((Feedstocks!$C$4:$C$141=A213)*Feedstocks!$E$4:$E$141,Feedstocks!$H$4:$H$141,Feedstocks!$I$4:$I$141)</f>
        <v>0</v>
      </c>
      <c r="K213" s="104"/>
      <c r="L213" s="104"/>
      <c r="M213" s="23"/>
      <c r="N213" s="23" t="str">
        <f>VLOOKUP(E213,Activities!$A$9:$M$227,13,FALSE)</f>
        <v>NL</v>
      </c>
      <c r="O213" s="23"/>
      <c r="P213" s="79" t="s">
        <v>699</v>
      </c>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v>1</v>
      </c>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v>1</v>
      </c>
      <c r="FS213" s="35"/>
      <c r="FT213" s="35"/>
      <c r="FU213" s="35"/>
      <c r="FV213" s="35"/>
      <c r="FW213" s="35"/>
      <c r="FX213" s="35"/>
      <c r="FY213" s="35"/>
      <c r="FZ213" s="35"/>
      <c r="GA213" s="35"/>
      <c r="GB213" s="318"/>
      <c r="GC213" s="178">
        <f t="shared" si="37"/>
        <v>0</v>
      </c>
      <c r="GD213" s="178">
        <f t="shared" si="38"/>
        <v>0</v>
      </c>
      <c r="GE213" s="178">
        <f t="shared" si="39"/>
        <v>0</v>
      </c>
      <c r="GF213" s="178">
        <f t="shared" si="40"/>
        <v>0</v>
      </c>
      <c r="GG213" s="178">
        <f t="shared" si="41"/>
        <v>0</v>
      </c>
    </row>
    <row r="214" spans="1:342" x14ac:dyDescent="0.35">
      <c r="A214" s="6" t="s">
        <v>1186</v>
      </c>
      <c r="B214" s="6" t="str">
        <f>IF(Technologies!B214&lt;&gt;0,Technologies!B214,"")</f>
        <v>Landbouw</v>
      </c>
      <c r="C214" s="6" t="str">
        <f>VLOOKUP($A214,Technologies!$A$7:$H$576,3,FALSE)</f>
        <v>Emission</v>
      </c>
      <c r="D214" s="6" t="str">
        <f>VLOOKUP($A214,Technologies!$A$7:$H$576,4,FALSE)</f>
        <v>Agriculture</v>
      </c>
      <c r="E214" s="6" t="str">
        <f>VLOOKUP($A214,Technologies!$A$7:$H$576,6,FALSE)</f>
        <v>neGHG - Agriculture - N2O</v>
      </c>
      <c r="F214" s="48" t="str">
        <f>VLOOKUP($A214,Technologies!$A$7:$H$576,7,FALSE)</f>
        <v>Indirect - N2O Agriculture</v>
      </c>
      <c r="G214" s="22"/>
      <c r="H214" s="22"/>
      <c r="I214" s="103" cm="1">
        <f t="array" ref="I214">-SUMPRODUCT((Feedstocks!$C$4:$C$141=A214)*Feedstocks!$E$4:$E$141,Feedstocks!$F$4:$F$141,Feedstocks!$H$4:$H$141,Feedstocks!$I$4:$I$141)</f>
        <v>0</v>
      </c>
      <c r="J214" s="103" cm="1">
        <f t="array" ref="J214">-SUMPRODUCT((Feedstocks!$C$4:$C$141=A214)*Feedstocks!$E$4:$E$141,Feedstocks!$H$4:$H$141,Feedstocks!$I$4:$I$141)</f>
        <v>0</v>
      </c>
      <c r="K214" s="103"/>
      <c r="L214" s="103"/>
      <c r="M214" s="22"/>
      <c r="N214" s="22" t="str">
        <f>VLOOKUP(E214,Activities!$A$9:$M$227,13,FALSE)</f>
        <v>NL</v>
      </c>
      <c r="O214" s="22"/>
      <c r="P214" s="80" t="s">
        <v>699</v>
      </c>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v>1</v>
      </c>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c r="FJ214" s="36"/>
      <c r="FK214" s="36"/>
      <c r="FL214" s="36"/>
      <c r="FM214" s="36"/>
      <c r="FN214" s="36"/>
      <c r="FO214" s="36"/>
      <c r="FP214" s="36"/>
      <c r="FQ214" s="36"/>
      <c r="FR214" s="36"/>
      <c r="FS214" s="36">
        <v>1</v>
      </c>
      <c r="FT214" s="36"/>
      <c r="FU214" s="36"/>
      <c r="FV214" s="36"/>
      <c r="FW214" s="36"/>
      <c r="FX214" s="36"/>
      <c r="FY214" s="36"/>
      <c r="FZ214" s="36"/>
      <c r="GA214" s="36"/>
      <c r="GB214" s="319"/>
      <c r="GC214" s="179">
        <f t="shared" si="37"/>
        <v>0</v>
      </c>
      <c r="GD214" s="179">
        <f t="shared" si="38"/>
        <v>0</v>
      </c>
      <c r="GE214" s="179">
        <f t="shared" si="39"/>
        <v>0</v>
      </c>
      <c r="GF214" s="179">
        <f t="shared" si="40"/>
        <v>0</v>
      </c>
      <c r="GG214" s="179">
        <f t="shared" si="41"/>
        <v>0</v>
      </c>
    </row>
    <row r="215" spans="1:342" x14ac:dyDescent="0.35">
      <c r="A215" s="5" t="s">
        <v>1188</v>
      </c>
      <c r="B215" s="5" t="str">
        <f>IF(Technologies!B215&lt;&gt;0,Technologies!B215,"")</f>
        <v>Industrie</v>
      </c>
      <c r="C215" s="5" t="str">
        <f>VLOOKUP($A215,Technologies!$A$7:$H$576,3,FALSE)</f>
        <v>Emission</v>
      </c>
      <c r="D215" s="5" t="str">
        <f>VLOOKUP($A215,Technologies!$A$7:$H$576,4,FALSE)</f>
        <v>Industry</v>
      </c>
      <c r="E215" s="5" t="str">
        <f>VLOOKUP($A215,Technologies!$A$7:$H$576,6,FALSE)</f>
        <v>neGHG - Industry - Chemical - CO2</v>
      </c>
      <c r="F215" s="5" t="str">
        <f>VLOOKUP($A215,Technologies!$A$7:$H$576,7,FALSE)</f>
        <v>Indirect - CO2 Chemical</v>
      </c>
      <c r="G215" s="23"/>
      <c r="H215" s="23"/>
      <c r="I215" s="104" cm="1">
        <f t="array" ref="I215">-SUMPRODUCT((Feedstocks!$C$4:$C$141=A215)*Feedstocks!$E$4:$E$141,Feedstocks!$F$4:$F$141,Feedstocks!$H$4:$H$141,Feedstocks!$I$4:$I$141)</f>
        <v>0</v>
      </c>
      <c r="J215" s="104" cm="1">
        <f t="array" ref="J215">-SUMPRODUCT((Feedstocks!$C$4:$C$141=A215)*Feedstocks!$E$4:$E$141,Feedstocks!$H$4:$H$141,Feedstocks!$I$4:$I$141)</f>
        <v>0</v>
      </c>
      <c r="K215" s="104"/>
      <c r="L215" s="104"/>
      <c r="M215" s="23"/>
      <c r="N215" s="23" t="str">
        <f>VLOOKUP(E215,Activities!$A$9:$M$227,13,FALSE)</f>
        <v>NL</v>
      </c>
      <c r="O215" s="23"/>
      <c r="P215" s="79" t="s">
        <v>699</v>
      </c>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v>1</v>
      </c>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v>1</v>
      </c>
      <c r="FU215" s="35"/>
      <c r="FV215" s="35"/>
      <c r="FW215" s="35"/>
      <c r="FX215" s="35"/>
      <c r="FY215" s="35"/>
      <c r="FZ215" s="35"/>
      <c r="GA215" s="35"/>
      <c r="GB215" s="318"/>
      <c r="GC215" s="178">
        <f t="shared" si="37"/>
        <v>0</v>
      </c>
      <c r="GD215" s="178">
        <f t="shared" si="38"/>
        <v>0</v>
      </c>
      <c r="GE215" s="178">
        <f t="shared" si="39"/>
        <v>0</v>
      </c>
      <c r="GF215" s="178">
        <f t="shared" si="40"/>
        <v>0</v>
      </c>
      <c r="GG215" s="178">
        <f t="shared" si="41"/>
        <v>0</v>
      </c>
    </row>
    <row r="216" spans="1:342" x14ac:dyDescent="0.35">
      <c r="A216" s="6" t="s">
        <v>1190</v>
      </c>
      <c r="B216" s="6" t="str">
        <f>IF(Technologies!B216&lt;&gt;0,Technologies!B216,"")</f>
        <v>Industrie</v>
      </c>
      <c r="C216" s="6" t="str">
        <f>VLOOKUP($A216,Technologies!$A$7:$H$576,3,FALSE)</f>
        <v>Emission</v>
      </c>
      <c r="D216" s="6" t="str">
        <f>VLOOKUP($A216,Technologies!$A$7:$H$576,4,FALSE)</f>
        <v>Industry</v>
      </c>
      <c r="E216" s="6" t="str">
        <f>VLOOKUP($A216,Technologies!$A$7:$H$576,6,FALSE)</f>
        <v>neGHG - Industry - Other - CO2</v>
      </c>
      <c r="F216" s="48" t="str">
        <f>VLOOKUP($A216,Technologies!$A$7:$H$576,7,FALSE)</f>
        <v>Indirect - CO2 Other</v>
      </c>
      <c r="G216" s="22"/>
      <c r="H216" s="22"/>
      <c r="I216" s="103" cm="1">
        <f t="array" ref="I216">-SUMPRODUCT((Feedstocks!$C$4:$C$141=A216)*Feedstocks!$E$4:$E$141,Feedstocks!$F$4:$F$141,Feedstocks!$H$4:$H$141,Feedstocks!$I$4:$I$141)</f>
        <v>0</v>
      </c>
      <c r="J216" s="103" cm="1">
        <f t="array" ref="J216">-SUMPRODUCT((Feedstocks!$C$4:$C$141=A216)*Feedstocks!$E$4:$E$141,Feedstocks!$H$4:$H$141,Feedstocks!$I$4:$I$141)</f>
        <v>0</v>
      </c>
      <c r="K216" s="103"/>
      <c r="L216" s="103"/>
      <c r="M216" s="22"/>
      <c r="N216" s="22" t="str">
        <f>VLOOKUP(E216,Activities!$A$9:$M$227,13,FALSE)</f>
        <v>NL</v>
      </c>
      <c r="O216" s="22"/>
      <c r="P216" s="80" t="s">
        <v>699</v>
      </c>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v>1</v>
      </c>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c r="FJ216" s="36"/>
      <c r="FK216" s="36"/>
      <c r="FL216" s="36"/>
      <c r="FM216" s="36"/>
      <c r="FN216" s="36"/>
      <c r="FO216" s="36"/>
      <c r="FP216" s="36"/>
      <c r="FQ216" s="36"/>
      <c r="FR216" s="36"/>
      <c r="FS216" s="36"/>
      <c r="FT216" s="36">
        <v>1</v>
      </c>
      <c r="FU216" s="36"/>
      <c r="FV216" s="36"/>
      <c r="FW216" s="36"/>
      <c r="FX216" s="36"/>
      <c r="FY216" s="36"/>
      <c r="FZ216" s="36"/>
      <c r="GA216" s="36"/>
      <c r="GB216" s="319"/>
      <c r="GC216" s="179">
        <f t="shared" si="37"/>
        <v>0</v>
      </c>
      <c r="GD216" s="179">
        <f t="shared" si="38"/>
        <v>0</v>
      </c>
      <c r="GE216" s="179">
        <f t="shared" si="39"/>
        <v>0</v>
      </c>
      <c r="GF216" s="179">
        <f t="shared" si="40"/>
        <v>0</v>
      </c>
      <c r="GG216" s="179">
        <f t="shared" si="41"/>
        <v>0</v>
      </c>
    </row>
    <row r="217" spans="1:342" x14ac:dyDescent="0.35">
      <c r="A217" s="5" t="s">
        <v>1192</v>
      </c>
      <c r="B217" s="5" t="str">
        <f>IF(Technologies!B217&lt;&gt;0,Technologies!B217,"")</f>
        <v>Industrie</v>
      </c>
      <c r="C217" s="5" t="str">
        <f>VLOOKUP($A217,Technologies!$A$7:$H$576,3,FALSE)</f>
        <v>Emission</v>
      </c>
      <c r="D217" s="5" t="str">
        <f>VLOOKUP($A217,Technologies!$A$7:$H$576,4,FALSE)</f>
        <v>Industry</v>
      </c>
      <c r="E217" s="5" t="str">
        <f>VLOOKUP($A217,Technologies!$A$7:$H$576,6,FALSE)</f>
        <v xml:space="preserve">neGHG - Industry - CH4 </v>
      </c>
      <c r="F217" s="5" t="str">
        <f>VLOOKUP($A217,Technologies!$A$7:$H$576,7,FALSE)</f>
        <v>Indirect - CH4 Industry</v>
      </c>
      <c r="G217" s="23"/>
      <c r="H217" s="23"/>
      <c r="I217" s="104" cm="1">
        <f t="array" ref="I217">-SUMPRODUCT((Feedstocks!$C$4:$C$141=A217)*Feedstocks!$E$4:$E$141,Feedstocks!$F$4:$F$141,Feedstocks!$H$4:$H$141,Feedstocks!$I$4:$I$141)</f>
        <v>0</v>
      </c>
      <c r="J217" s="104" cm="1">
        <f t="array" ref="J217">-SUMPRODUCT((Feedstocks!$C$4:$C$141=A217)*Feedstocks!$E$4:$E$141,Feedstocks!$H$4:$H$141,Feedstocks!$I$4:$I$141)</f>
        <v>0</v>
      </c>
      <c r="K217" s="104"/>
      <c r="L217" s="104"/>
      <c r="M217" s="23"/>
      <c r="N217" s="23" t="str">
        <f>VLOOKUP(E217,Activities!$A$9:$M$227,13,FALSE)</f>
        <v>NL</v>
      </c>
      <c r="O217" s="23"/>
      <c r="P217" s="79" t="s">
        <v>699</v>
      </c>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v>1</v>
      </c>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v>1</v>
      </c>
      <c r="FV217" s="35"/>
      <c r="FW217" s="35"/>
      <c r="FX217" s="35"/>
      <c r="FY217" s="35"/>
      <c r="FZ217" s="35"/>
      <c r="GA217" s="35"/>
      <c r="GB217" s="318"/>
      <c r="GC217" s="178">
        <f t="shared" si="37"/>
        <v>0</v>
      </c>
      <c r="GD217" s="178">
        <f t="shared" si="38"/>
        <v>0</v>
      </c>
      <c r="GE217" s="178">
        <f t="shared" si="39"/>
        <v>0</v>
      </c>
      <c r="GF217" s="178">
        <f t="shared" si="40"/>
        <v>0</v>
      </c>
      <c r="GG217" s="178">
        <f t="shared" si="41"/>
        <v>0</v>
      </c>
    </row>
    <row r="218" spans="1:342" x14ac:dyDescent="0.35">
      <c r="A218" s="6" t="s">
        <v>1194</v>
      </c>
      <c r="B218" s="6" t="str">
        <f>IF(Technologies!B218&lt;&gt;0,Technologies!B218,"")</f>
        <v>Industrie</v>
      </c>
      <c r="C218" s="6" t="str">
        <f>VLOOKUP($A218,Technologies!$A$7:$H$576,3,FALSE)</f>
        <v>Emission</v>
      </c>
      <c r="D218" s="6" t="str">
        <f>VLOOKUP($A218,Technologies!$A$7:$H$576,4,FALSE)</f>
        <v>Industry</v>
      </c>
      <c r="E218" s="6" t="str">
        <f>VLOOKUP($A218,Technologies!$A$7:$H$576,6,FALSE)</f>
        <v>neGHG - Industry - N2O</v>
      </c>
      <c r="F218" s="48" t="str">
        <f>VLOOKUP($A218,Technologies!$A$7:$H$576,7,FALSE)</f>
        <v>Indirect - N2O Industry</v>
      </c>
      <c r="G218" s="22"/>
      <c r="H218" s="22"/>
      <c r="I218" s="103" cm="1">
        <f t="array" ref="I218">-SUMPRODUCT((Feedstocks!$C$4:$C$141=A218)*Feedstocks!$E$4:$E$141,Feedstocks!$F$4:$F$141,Feedstocks!$H$4:$H$141,Feedstocks!$I$4:$I$141)</f>
        <v>0</v>
      </c>
      <c r="J218" s="103" cm="1">
        <f t="array" ref="J218">-SUMPRODUCT((Feedstocks!$C$4:$C$141=A218)*Feedstocks!$E$4:$E$141,Feedstocks!$H$4:$H$141,Feedstocks!$I$4:$I$141)</f>
        <v>0</v>
      </c>
      <c r="K218" s="103"/>
      <c r="L218" s="103"/>
      <c r="M218" s="22"/>
      <c r="N218" s="22" t="str">
        <f>VLOOKUP(E218,Activities!$A$9:$M$227,13,FALSE)</f>
        <v>NL</v>
      </c>
      <c r="O218" s="22"/>
      <c r="P218" s="80" t="s">
        <v>699</v>
      </c>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v>1</v>
      </c>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36"/>
      <c r="EX218" s="36"/>
      <c r="EY218" s="36"/>
      <c r="EZ218" s="36"/>
      <c r="FA218" s="36"/>
      <c r="FB218" s="36"/>
      <c r="FC218" s="36"/>
      <c r="FD218" s="36"/>
      <c r="FE218" s="36"/>
      <c r="FF218" s="36"/>
      <c r="FG218" s="36"/>
      <c r="FH218" s="36"/>
      <c r="FI218" s="36"/>
      <c r="FJ218" s="36"/>
      <c r="FK218" s="36"/>
      <c r="FL218" s="36"/>
      <c r="FM218" s="36"/>
      <c r="FN218" s="36"/>
      <c r="FO218" s="36"/>
      <c r="FP218" s="36"/>
      <c r="FQ218" s="36"/>
      <c r="FR218" s="36"/>
      <c r="FS218" s="36"/>
      <c r="FT218" s="36"/>
      <c r="FU218" s="36"/>
      <c r="FV218" s="36">
        <v>1</v>
      </c>
      <c r="FW218" s="36"/>
      <c r="FX218" s="36"/>
      <c r="FY218" s="36"/>
      <c r="FZ218" s="36"/>
      <c r="GA218" s="36"/>
      <c r="GB218" s="319"/>
      <c r="GC218" s="179">
        <f t="shared" si="37"/>
        <v>0</v>
      </c>
      <c r="GD218" s="179">
        <f t="shared" si="38"/>
        <v>0</v>
      </c>
      <c r="GE218" s="179">
        <f t="shared" si="39"/>
        <v>0</v>
      </c>
      <c r="GF218" s="179">
        <f t="shared" si="40"/>
        <v>0</v>
      </c>
      <c r="GG218" s="179">
        <f t="shared" si="41"/>
        <v>0</v>
      </c>
    </row>
    <row r="219" spans="1:342" x14ac:dyDescent="0.35">
      <c r="A219" s="5" t="s">
        <v>1196</v>
      </c>
      <c r="B219" s="5" t="str">
        <f>IF(Technologies!B219&lt;&gt;0,Technologies!B219,"")</f>
        <v>Industrie</v>
      </c>
      <c r="C219" s="5" t="str">
        <f>VLOOKUP($A219,Technologies!$A$7:$H$576,3,FALSE)</f>
        <v>Emission</v>
      </c>
      <c r="D219" s="5" t="str">
        <f>VLOOKUP($A219,Technologies!$A$7:$H$576,4,FALSE)</f>
        <v>Industry</v>
      </c>
      <c r="E219" s="5" t="str">
        <f>VLOOKUP($A219,Technologies!$A$7:$H$576,6,FALSE)</f>
        <v>neGHG - Industry - F-gas</v>
      </c>
      <c r="F219" s="5" t="str">
        <f>VLOOKUP($A219,Technologies!$A$7:$H$576,7,FALSE)</f>
        <v>Indirect - F-gas Industry</v>
      </c>
      <c r="G219" s="23"/>
      <c r="H219" s="23"/>
      <c r="I219" s="104" cm="1">
        <f t="array" ref="I219">-SUMPRODUCT((Feedstocks!$C$4:$C$141=A219)*Feedstocks!$E$4:$E$141,Feedstocks!$F$4:$F$141,Feedstocks!$H$4:$H$141,Feedstocks!$I$4:$I$141)</f>
        <v>0</v>
      </c>
      <c r="J219" s="104" cm="1">
        <f t="array" ref="J219">-SUMPRODUCT((Feedstocks!$C$4:$C$141=A219)*Feedstocks!$E$4:$E$141,Feedstocks!$H$4:$H$141,Feedstocks!$I$4:$I$141)</f>
        <v>0</v>
      </c>
      <c r="K219" s="104"/>
      <c r="L219" s="104"/>
      <c r="M219" s="23"/>
      <c r="N219" s="23" t="str">
        <f>VLOOKUP(E219,Activities!$A$9:$M$227,13,FALSE)</f>
        <v>NL</v>
      </c>
      <c r="O219" s="23"/>
      <c r="P219" s="79" t="s">
        <v>699</v>
      </c>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v>1</v>
      </c>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v>1</v>
      </c>
      <c r="FX219" s="35"/>
      <c r="FY219" s="35"/>
      <c r="FZ219" s="35"/>
      <c r="GA219" s="35"/>
      <c r="GB219" s="318"/>
      <c r="GC219" s="178">
        <f t="shared" si="37"/>
        <v>0</v>
      </c>
      <c r="GD219" s="178">
        <f t="shared" si="38"/>
        <v>0</v>
      </c>
      <c r="GE219" s="178">
        <f t="shared" si="39"/>
        <v>0</v>
      </c>
      <c r="GF219" s="178">
        <f t="shared" si="40"/>
        <v>0</v>
      </c>
      <c r="GG219" s="178">
        <f t="shared" si="41"/>
        <v>0</v>
      </c>
    </row>
    <row r="220" spans="1:342" x14ac:dyDescent="0.35">
      <c r="A220" s="6" t="s">
        <v>1198</v>
      </c>
      <c r="B220" s="6" t="str">
        <f>IF(Technologies!B220&lt;&gt;0,Technologies!B220,"")</f>
        <v>Mobiliteit</v>
      </c>
      <c r="C220" s="6" t="str">
        <f>VLOOKUP($A220,Technologies!$A$7:$H$576,3,FALSE)</f>
        <v>Emission</v>
      </c>
      <c r="D220" s="6" t="str">
        <f>VLOOKUP($A220,Technologies!$A$7:$H$576,4,FALSE)</f>
        <v>Transport</v>
      </c>
      <c r="E220" s="6" t="str">
        <f>VLOOKUP($A220,Technologies!$A$7:$H$576,6,FALSE)</f>
        <v>neGHG - Transport - CH4</v>
      </c>
      <c r="F220" s="48" t="str">
        <f>VLOOKUP($A220,Technologies!$A$7:$H$576,7,FALSE)</f>
        <v>Indirect - CH4 Transport</v>
      </c>
      <c r="G220" s="22"/>
      <c r="H220" s="22"/>
      <c r="I220" s="103" cm="1">
        <f t="array" ref="I220">-SUMPRODUCT((Feedstocks!$C$4:$C$141=A220)*Feedstocks!$E$4:$E$141,Feedstocks!$F$4:$F$141,Feedstocks!$H$4:$H$141,Feedstocks!$I$4:$I$141)</f>
        <v>0</v>
      </c>
      <c r="J220" s="103" cm="1">
        <f t="array" ref="J220">-SUMPRODUCT((Feedstocks!$C$4:$C$141=A220)*Feedstocks!$E$4:$E$141,Feedstocks!$H$4:$H$141,Feedstocks!$I$4:$I$141)</f>
        <v>0</v>
      </c>
      <c r="K220" s="103"/>
      <c r="L220" s="103"/>
      <c r="M220" s="22"/>
      <c r="N220" s="22" t="str">
        <f>VLOOKUP(E220,Activities!$A$9:$M$227,13,FALSE)</f>
        <v>NL</v>
      </c>
      <c r="O220" s="22"/>
      <c r="P220" s="80" t="s">
        <v>699</v>
      </c>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v>1</v>
      </c>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c r="FJ220" s="36"/>
      <c r="FK220" s="36"/>
      <c r="FL220" s="36"/>
      <c r="FM220" s="36"/>
      <c r="FN220" s="36"/>
      <c r="FO220" s="36"/>
      <c r="FP220" s="36"/>
      <c r="FQ220" s="36"/>
      <c r="FR220" s="36"/>
      <c r="FS220" s="36"/>
      <c r="FT220" s="36"/>
      <c r="FU220" s="36"/>
      <c r="FV220" s="36"/>
      <c r="FW220" s="36"/>
      <c r="FX220" s="36">
        <v>1</v>
      </c>
      <c r="FY220" s="36"/>
      <c r="FZ220" s="36"/>
      <c r="GA220" s="36"/>
      <c r="GB220" s="319"/>
      <c r="GC220" s="179">
        <f t="shared" si="37"/>
        <v>0</v>
      </c>
      <c r="GD220" s="179">
        <f t="shared" si="38"/>
        <v>0</v>
      </c>
      <c r="GE220" s="179">
        <f t="shared" si="39"/>
        <v>0</v>
      </c>
      <c r="GF220" s="179">
        <f t="shared" si="40"/>
        <v>0</v>
      </c>
      <c r="GG220" s="179">
        <f t="shared" si="41"/>
        <v>0</v>
      </c>
    </row>
    <row r="221" spans="1:342" x14ac:dyDescent="0.35">
      <c r="A221" s="5" t="s">
        <v>1200</v>
      </c>
      <c r="B221" s="5" t="str">
        <f>IF(Technologies!B221&lt;&gt;0,Technologies!B221,"")</f>
        <v>Mobiliteit</v>
      </c>
      <c r="C221" s="5" t="str">
        <f>VLOOKUP($A221,Technologies!$A$7:$H$576,3,FALSE)</f>
        <v>Emission</v>
      </c>
      <c r="D221" s="5" t="str">
        <f>VLOOKUP($A221,Technologies!$A$7:$H$576,4,FALSE)</f>
        <v>Transport</v>
      </c>
      <c r="E221" s="5" t="str">
        <f>VLOOKUP($A221,Technologies!$A$7:$H$576,6,FALSE)</f>
        <v>neGHG - Transport - N2O</v>
      </c>
      <c r="F221" s="5" t="str">
        <f>VLOOKUP($A221,Technologies!$A$7:$H$576,7,FALSE)</f>
        <v>Indirect - N2O Transport</v>
      </c>
      <c r="G221" s="23"/>
      <c r="H221" s="23"/>
      <c r="I221" s="104" cm="1">
        <f t="array" ref="I221">-SUMPRODUCT((Feedstocks!$C$4:$C$141=A221)*Feedstocks!$E$4:$E$141,Feedstocks!$F$4:$F$141,Feedstocks!$H$4:$H$141,Feedstocks!$I$4:$I$141)</f>
        <v>0</v>
      </c>
      <c r="J221" s="104" cm="1">
        <f t="array" ref="J221">-SUMPRODUCT((Feedstocks!$C$4:$C$141=A221)*Feedstocks!$E$4:$E$141,Feedstocks!$H$4:$H$141,Feedstocks!$I$4:$I$141)</f>
        <v>0</v>
      </c>
      <c r="K221" s="104"/>
      <c r="L221" s="104"/>
      <c r="M221" s="23"/>
      <c r="N221" s="23" t="str">
        <f>VLOOKUP(E221,Activities!$A$9:$M$227,13,FALSE)</f>
        <v>NL</v>
      </c>
      <c r="O221" s="23"/>
      <c r="P221" s="79" t="s">
        <v>699</v>
      </c>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v>1</v>
      </c>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v>1</v>
      </c>
      <c r="FZ221" s="35"/>
      <c r="GA221" s="35"/>
      <c r="GB221" s="318"/>
      <c r="GC221" s="178">
        <f t="shared" si="37"/>
        <v>0</v>
      </c>
      <c r="GD221" s="178">
        <f t="shared" si="38"/>
        <v>0</v>
      </c>
      <c r="GE221" s="178">
        <f t="shared" si="39"/>
        <v>0</v>
      </c>
      <c r="GF221" s="178">
        <f t="shared" si="40"/>
        <v>0</v>
      </c>
      <c r="GG221" s="178">
        <f t="shared" si="41"/>
        <v>0</v>
      </c>
    </row>
    <row r="222" spans="1:342" x14ac:dyDescent="0.35">
      <c r="A222" s="6" t="s">
        <v>1202</v>
      </c>
      <c r="B222" s="6" t="str">
        <f>IF(Technologies!B222&lt;&gt;0,Technologies!B222,"")</f>
        <v>Mobiliteit</v>
      </c>
      <c r="C222" s="6" t="str">
        <f>VLOOKUP($A222,Technologies!$A$7:$H$576,3,FALSE)</f>
        <v>Emission</v>
      </c>
      <c r="D222" s="6" t="str">
        <f>VLOOKUP($A222,Technologies!$A$7:$H$576,4,FALSE)</f>
        <v>Transport</v>
      </c>
      <c r="E222" s="6" t="str">
        <f>VLOOKUP($A222,Technologies!$A$7:$H$576,6,FALSE)</f>
        <v>neGHG - Transport - F-gas</v>
      </c>
      <c r="F222" s="48" t="str">
        <f>VLOOKUP($A222,Technologies!$A$7:$H$576,7,FALSE)</f>
        <v>Indirect - F-gas Transport</v>
      </c>
      <c r="G222" s="22"/>
      <c r="H222" s="22"/>
      <c r="I222" s="103" cm="1">
        <f t="array" ref="I222">-SUMPRODUCT((Feedstocks!$C$4:$C$141=A222)*Feedstocks!$E$4:$E$141,Feedstocks!$F$4:$F$141,Feedstocks!$H$4:$H$141,Feedstocks!$I$4:$I$141)</f>
        <v>0</v>
      </c>
      <c r="J222" s="103" cm="1">
        <f t="array" ref="J222">-SUMPRODUCT((Feedstocks!$C$4:$C$141=A222)*Feedstocks!$E$4:$E$141,Feedstocks!$H$4:$H$141,Feedstocks!$I$4:$I$141)</f>
        <v>0</v>
      </c>
      <c r="K222" s="103"/>
      <c r="L222" s="103"/>
      <c r="M222" s="22"/>
      <c r="N222" s="22" t="str">
        <f>VLOOKUP(E222,Activities!$A$9:$M$227,13,FALSE)</f>
        <v>NL</v>
      </c>
      <c r="O222" s="22"/>
      <c r="P222" s="80" t="s">
        <v>699</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v>1</v>
      </c>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c r="FJ222" s="36"/>
      <c r="FK222" s="36"/>
      <c r="FL222" s="36"/>
      <c r="FM222" s="36"/>
      <c r="FN222" s="36"/>
      <c r="FO222" s="36"/>
      <c r="FP222" s="36"/>
      <c r="FQ222" s="36"/>
      <c r="FR222" s="36"/>
      <c r="FS222" s="36"/>
      <c r="FT222" s="36"/>
      <c r="FU222" s="36"/>
      <c r="FV222" s="36"/>
      <c r="FW222" s="36"/>
      <c r="FX222" s="36"/>
      <c r="FY222" s="36"/>
      <c r="FZ222" s="36">
        <v>1</v>
      </c>
      <c r="GA222" s="36"/>
      <c r="GB222" s="319"/>
      <c r="GC222" s="179">
        <f t="shared" si="37"/>
        <v>0</v>
      </c>
      <c r="GD222" s="179">
        <f t="shared" si="38"/>
        <v>0</v>
      </c>
      <c r="GE222" s="179">
        <f t="shared" si="39"/>
        <v>0</v>
      </c>
      <c r="GF222" s="179">
        <f t="shared" si="40"/>
        <v>0</v>
      </c>
      <c r="GG222" s="179">
        <f t="shared" si="41"/>
        <v>0</v>
      </c>
    </row>
    <row r="223" spans="1:342" x14ac:dyDescent="0.35">
      <c r="A223" s="5" t="s">
        <v>1204</v>
      </c>
      <c r="B223" s="5" t="str">
        <f>IF(Technologies!B223&lt;&gt;0,Technologies!B223,"")</f>
        <v>Landgebruik</v>
      </c>
      <c r="C223" s="5" t="str">
        <f>VLOOKUP($A223,Technologies!$A$7:$H$576,3,FALSE)</f>
        <v>Emission</v>
      </c>
      <c r="D223" s="5" t="str">
        <f>VLOOKUP($A223,Technologies!$A$7:$H$576,4,FALSE)</f>
        <v>LULUCF</v>
      </c>
      <c r="E223" s="5" t="str">
        <f>VLOOKUP($A223,Technologies!$A$7:$H$576,6,FALSE)</f>
        <v>neGHG - LULUCF</v>
      </c>
      <c r="F223" s="5" t="str">
        <f>VLOOKUP($A223,Technologies!$A$7:$H$576,7,FALSE)</f>
        <v>LULUCF</v>
      </c>
      <c r="G223" s="23"/>
      <c r="H223" s="23"/>
      <c r="I223" s="104" cm="1">
        <f t="array" ref="I223">-SUMPRODUCT((Feedstocks!$C$4:$C$141=A223)*Feedstocks!$E$4:$E$141,Feedstocks!$F$4:$F$141,Feedstocks!$H$4:$H$141,Feedstocks!$I$4:$I$141)</f>
        <v>0</v>
      </c>
      <c r="J223" s="104" cm="1">
        <f t="array" ref="J223">-SUMPRODUCT((Feedstocks!$C$4:$C$141=A223)*Feedstocks!$E$4:$E$141,Feedstocks!$H$4:$H$141,Feedstocks!$I$4:$I$141)</f>
        <v>0</v>
      </c>
      <c r="K223" s="104"/>
      <c r="L223" s="104"/>
      <c r="M223" s="23"/>
      <c r="N223" s="23" t="str">
        <f>VLOOKUP(E223,Activities!$A$9:$M$227,13,FALSE)</f>
        <v>NL</v>
      </c>
      <c r="O223" s="23"/>
      <c r="P223" s="79" t="s">
        <v>663</v>
      </c>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v>1</v>
      </c>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v>1</v>
      </c>
      <c r="GB223" s="318"/>
      <c r="GC223" s="178">
        <f t="shared" si="37"/>
        <v>0</v>
      </c>
      <c r="GD223" s="178">
        <f t="shared" si="38"/>
        <v>0</v>
      </c>
      <c r="GE223" s="178">
        <f t="shared" si="39"/>
        <v>0</v>
      </c>
      <c r="GF223" s="178">
        <f t="shared" si="40"/>
        <v>0</v>
      </c>
      <c r="GG223" s="178">
        <f t="shared" si="41"/>
        <v>0</v>
      </c>
    </row>
    <row r="224" spans="1:342" x14ac:dyDescent="0.35">
      <c r="A224" s="6" t="s">
        <v>1207</v>
      </c>
      <c r="B224" s="6" t="str">
        <f>IF(Technologies!B224&lt;&gt;0,Technologies!B224,"")</f>
        <v>Industrie</v>
      </c>
      <c r="C224" s="6" t="str">
        <f>VLOOKUP($A224,Technologies!$A$7:$H$576,3,FALSE)</f>
        <v>Exports</v>
      </c>
      <c r="D224" s="6" t="str">
        <f>VLOOKUP($A224,Technologies!$A$7:$H$576,4,FALSE)</f>
        <v>Final Gas EU</v>
      </c>
      <c r="E224" s="6" t="str">
        <f>VLOOKUP($A224,Technologies!$A$7:$H$576,6,FALSE)</f>
        <v>Natural Gas Exports</v>
      </c>
      <c r="F224" s="48" t="str">
        <f>VLOOKUP($A224,Technologies!$A$7:$H$576,7,FALSE)</f>
        <v>Exports of Natural Gas</v>
      </c>
      <c r="G224" s="22"/>
      <c r="H224" s="22"/>
      <c r="I224" s="103" cm="1">
        <f t="array" ref="I224">-SUMPRODUCT((Feedstocks!$C$4:$C$141=A224)*Feedstocks!$E$4:$E$141,Feedstocks!$F$4:$F$141,Feedstocks!$H$4:$H$141,Feedstocks!$I$4:$I$141)</f>
        <v>0</v>
      </c>
      <c r="J224" s="103" cm="1">
        <f t="array" ref="J224">-SUMPRODUCT((Feedstocks!$C$4:$C$141=A224)*Feedstocks!$E$4:$E$141,Feedstocks!$H$4:$H$141,Feedstocks!$I$4:$I$141)</f>
        <v>0</v>
      </c>
      <c r="K224" s="103"/>
      <c r="L224" s="103"/>
      <c r="M224" s="22"/>
      <c r="N224" s="22" t="str">
        <f>VLOOKUP(E224,Activities!$A$9:$M$227,13,FALSE)</f>
        <v>EU</v>
      </c>
      <c r="O224" s="22"/>
      <c r="P224" s="80" t="s">
        <v>954</v>
      </c>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v>1</v>
      </c>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v>-1</v>
      </c>
      <c r="EK224" s="36"/>
      <c r="EL224" s="36"/>
      <c r="EM224" s="36"/>
      <c r="EN224" s="36"/>
      <c r="EO224" s="36"/>
      <c r="EP224" s="36"/>
      <c r="EQ224" s="36"/>
      <c r="ER224" s="36"/>
      <c r="ES224" s="36"/>
      <c r="ET224" s="36"/>
      <c r="EU224" s="36"/>
      <c r="EV224" s="36"/>
      <c r="EW224" s="36"/>
      <c r="EX224" s="36"/>
      <c r="EY224" s="36"/>
      <c r="EZ224" s="36"/>
      <c r="FA224" s="36"/>
      <c r="FB224" s="36"/>
      <c r="FC224" s="36"/>
      <c r="FD224" s="36"/>
      <c r="FE224" s="36"/>
      <c r="FF224" s="36"/>
      <c r="FG224" s="36"/>
      <c r="FH224" s="36"/>
      <c r="FI224" s="36"/>
      <c r="FJ224" s="36"/>
      <c r="FK224" s="36"/>
      <c r="FL224" s="36"/>
      <c r="FM224" s="36"/>
      <c r="FN224" s="36"/>
      <c r="FO224" s="36"/>
      <c r="FP224" s="36"/>
      <c r="FQ224" s="36"/>
      <c r="FR224" s="36"/>
      <c r="FS224" s="36"/>
      <c r="FT224" s="36"/>
      <c r="FU224" s="36"/>
      <c r="FV224" s="36"/>
      <c r="FW224" s="36"/>
      <c r="FX224" s="36"/>
      <c r="FY224" s="36"/>
      <c r="FZ224" s="36"/>
      <c r="GA224" s="36"/>
      <c r="GB224" s="319"/>
      <c r="GC224" s="179">
        <f t="shared" si="37"/>
        <v>0</v>
      </c>
      <c r="GD224" s="179">
        <f t="shared" si="38"/>
        <v>0</v>
      </c>
      <c r="GE224" s="179">
        <f t="shared" si="39"/>
        <v>0</v>
      </c>
      <c r="GF224" s="179">
        <f t="shared" si="40"/>
        <v>0</v>
      </c>
      <c r="GG224" s="179">
        <f t="shared" ref="GG224:GG283" si="42">$I224</f>
        <v>0</v>
      </c>
    </row>
    <row r="225" spans="1:189" x14ac:dyDescent="0.35">
      <c r="A225" s="5" t="s">
        <v>1212</v>
      </c>
      <c r="B225" s="5" t="str">
        <f>IF(Technologies!B225&lt;&gt;0,Technologies!B225,"")</f>
        <v>Industrie</v>
      </c>
      <c r="C225" s="5" t="str">
        <f>VLOOKUP($A225,Technologies!$A$7:$H$576,3,FALSE)</f>
        <v>Exports</v>
      </c>
      <c r="D225" s="5" t="str">
        <f>VLOOKUP($A225,Technologies!$A$7:$H$576,4,FALSE)</f>
        <v>Refineries</v>
      </c>
      <c r="E225" s="5" t="str">
        <f>VLOOKUP($A225,Technologies!$A$7:$H$576,6,FALSE)</f>
        <v>Naphtha Exports</v>
      </c>
      <c r="F225" s="5" t="str">
        <f>VLOOKUP($A225,Technologies!$A$7:$H$576,7,FALSE)</f>
        <v>Exports of oil-based naphtha</v>
      </c>
      <c r="G225" s="23"/>
      <c r="H225" s="23"/>
      <c r="I225" s="104" cm="1">
        <f t="array" ref="I225">-SUMPRODUCT((Feedstocks!$C$4:$C$141=A225)*Feedstocks!$E$4:$E$141,Feedstocks!$F$4:$F$141,Feedstocks!$H$4:$H$141,Feedstocks!$I$4:$I$141)</f>
        <v>7.0999999999999994E-2</v>
      </c>
      <c r="J225" s="104" cm="1">
        <f t="array" ref="J225">-SUMPRODUCT((Feedstocks!$C$4:$C$141=A225)*Feedstocks!$E$4:$E$141,Feedstocks!$H$4:$H$141,Feedstocks!$I$4:$I$141)</f>
        <v>7.0999999999999994E-2</v>
      </c>
      <c r="K225" s="104"/>
      <c r="L225" s="104"/>
      <c r="M225" s="23"/>
      <c r="N225" s="23" t="str">
        <f>VLOOKUP(E225,Activities!$A$9:$M$227,13,FALSE)</f>
        <v>EU</v>
      </c>
      <c r="O225" s="23"/>
      <c r="P225" s="79" t="s">
        <v>954</v>
      </c>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v>1</v>
      </c>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v>-1</v>
      </c>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18"/>
      <c r="GC225" s="178">
        <f t="shared" ref="GC225:GC256" si="43">ROUND(IF($C225="Primary",0,-$G225*(SUMPRODUCT($Q$4:$GA$4,$Q225:$GA225)+$J225)-$H225)*IF($N225=GC$4,1,0),4)</f>
        <v>0</v>
      </c>
      <c r="GD225" s="178">
        <f t="shared" ref="GD225:GD256" si="44">ROUND(IF($C225="Primary",0,$M225*(1-$O225)*($G225*(SUMPRODUCT($Q$4:$GA$4,$Q225:$GA225)+$J225)+$H225-SUMPRODUCT($Q$5:$GA$5,$Q225:$GA225)-$I225+$K225))*IF($N225=GD$4,1,0),4)</f>
        <v>0</v>
      </c>
      <c r="GE225" s="178">
        <f t="shared" ref="GE225:GE256" si="45">ROUND(IF($C225="Primary",0,(1-$M225)*(1-$O225)*($G225*(SUMPRODUCT($Q$4:$GA$4,$Q225:$GA225)+$J225)+$H225-SUMPRODUCT($Q$5:$GA$5,$Q225:$GA225)-$I225+$L225))*IF($N225=GD$4,1,0),4)</f>
        <v>0</v>
      </c>
      <c r="GF225" s="178">
        <f t="shared" ref="GF225:GF256" si="46">ROUND(IF($C225="Primary",0,$O225*($G225*(SUMPRODUCT($Q$4:$GA$4,$Q225:$GA225)+$J225)-SUMPRODUCT($Q$5:$GA$5,$Q225:$GA225)-$I225))*IF($N225=GD$4,1,0),4)</f>
        <v>0</v>
      </c>
      <c r="GG225" s="178">
        <f t="shared" si="42"/>
        <v>7.0999999999999994E-2</v>
      </c>
    </row>
    <row r="226" spans="1:189" x14ac:dyDescent="0.35">
      <c r="A226" s="6" t="s">
        <v>1216</v>
      </c>
      <c r="B226" s="6" t="str">
        <f>IF(Technologies!B226&lt;&gt;0,Technologies!B226,"")</f>
        <v>Industrie</v>
      </c>
      <c r="C226" s="6" t="str">
        <f>VLOOKUP($A226,Technologies!$A$7:$H$576,3,FALSE)</f>
        <v>Exports</v>
      </c>
      <c r="D226" s="6" t="str">
        <f>VLOOKUP($A226,Technologies!$A$7:$H$576,4,FALSE)</f>
        <v>Refineries</v>
      </c>
      <c r="E226" s="6" t="str">
        <f>VLOOKUP($A226,Technologies!$A$7:$H$576,6,FALSE)</f>
        <v>Naphtha Exports</v>
      </c>
      <c r="F226" s="48" t="str">
        <f>VLOOKUP($A226,Technologies!$A$7:$H$576,7,FALSE)</f>
        <v>Exports of bio-based naphtha</v>
      </c>
      <c r="G226" s="22"/>
      <c r="H226" s="22"/>
      <c r="I226" s="103" cm="1">
        <f t="array" ref="I226">-SUMPRODUCT((Feedstocks!$C$4:$C$141=A226)*Feedstocks!$E$4:$E$141,Feedstocks!$F$4:$F$141,Feedstocks!$H$4:$H$141,Feedstocks!$I$4:$I$141)</f>
        <v>0</v>
      </c>
      <c r="J226" s="103" cm="1">
        <f t="array" ref="J226">-SUMPRODUCT((Feedstocks!$C$4:$C$141=A226)*Feedstocks!$E$4:$E$141,Feedstocks!$H$4:$H$141,Feedstocks!$I$4:$I$141)</f>
        <v>7.0999999999999994E-2</v>
      </c>
      <c r="K226" s="103"/>
      <c r="L226" s="103"/>
      <c r="M226" s="22"/>
      <c r="N226" s="22" t="str">
        <f>VLOOKUP(E226,Activities!$A$9:$M$227,13,FALSE)</f>
        <v>EU</v>
      </c>
      <c r="O226" s="22"/>
      <c r="P226" s="80" t="s">
        <v>954</v>
      </c>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v>1</v>
      </c>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v>-1</v>
      </c>
      <c r="DZ226" s="36"/>
      <c r="EA226" s="36"/>
      <c r="EB226" s="36"/>
      <c r="EC226" s="36"/>
      <c r="ED226" s="36"/>
      <c r="EE226" s="36"/>
      <c r="EF226" s="36"/>
      <c r="EG226" s="36"/>
      <c r="EH226" s="36"/>
      <c r="EI226" s="36"/>
      <c r="EJ226" s="36"/>
      <c r="EK226" s="36"/>
      <c r="EL226" s="36"/>
      <c r="EM226" s="36"/>
      <c r="EN226" s="36"/>
      <c r="EO226" s="36"/>
      <c r="EP226" s="36"/>
      <c r="EQ226" s="36"/>
      <c r="ER226" s="36"/>
      <c r="ES226" s="36"/>
      <c r="ET226" s="36"/>
      <c r="EU226" s="36"/>
      <c r="EV226" s="36"/>
      <c r="EW226" s="36"/>
      <c r="EX226" s="36"/>
      <c r="EY226" s="36"/>
      <c r="EZ226" s="36"/>
      <c r="FA226" s="36"/>
      <c r="FB226" s="36"/>
      <c r="FC226" s="36"/>
      <c r="FD226" s="36"/>
      <c r="FE226" s="36"/>
      <c r="FF226" s="36"/>
      <c r="FG226" s="36"/>
      <c r="FH226" s="36"/>
      <c r="FI226" s="36"/>
      <c r="FJ226" s="36"/>
      <c r="FK226" s="36"/>
      <c r="FL226" s="36"/>
      <c r="FM226" s="36"/>
      <c r="FN226" s="36"/>
      <c r="FO226" s="36"/>
      <c r="FP226" s="36"/>
      <c r="FQ226" s="36"/>
      <c r="FR226" s="36"/>
      <c r="FS226" s="36"/>
      <c r="FT226" s="36"/>
      <c r="FU226" s="36"/>
      <c r="FV226" s="36"/>
      <c r="FW226" s="36"/>
      <c r="FX226" s="36"/>
      <c r="FY226" s="36"/>
      <c r="FZ226" s="36"/>
      <c r="GA226" s="36"/>
      <c r="GB226" s="319"/>
      <c r="GC226" s="179">
        <f t="shared" si="43"/>
        <v>0</v>
      </c>
      <c r="GD226" s="179">
        <f t="shared" si="44"/>
        <v>0</v>
      </c>
      <c r="GE226" s="179">
        <f t="shared" si="45"/>
        <v>0</v>
      </c>
      <c r="GF226" s="179">
        <f t="shared" si="46"/>
        <v>0</v>
      </c>
      <c r="GG226" s="178">
        <f t="shared" si="42"/>
        <v>0</v>
      </c>
    </row>
    <row r="227" spans="1:189" x14ac:dyDescent="0.35">
      <c r="A227" s="5" t="s">
        <v>1218</v>
      </c>
      <c r="B227" s="5" t="str">
        <f>IF(Technologies!B227&lt;&gt;0,Technologies!B227,"")</f>
        <v>Industrie</v>
      </c>
      <c r="C227" s="5" t="str">
        <f>VLOOKUP($A227,Technologies!$A$7:$H$576,3,FALSE)</f>
        <v>Exports</v>
      </c>
      <c r="D227" s="5" t="str">
        <f>VLOOKUP($A227,Technologies!$A$7:$H$576,4,FALSE)</f>
        <v>Refineries</v>
      </c>
      <c r="E227" s="5" t="str">
        <f>VLOOKUP($A227,Technologies!$A$7:$H$576,6,FALSE)</f>
        <v>Naphtha Exports</v>
      </c>
      <c r="F227" s="5" t="str">
        <f>VLOOKUP($A227,Technologies!$A$7:$H$576,7,FALSE)</f>
        <v>Exports of syn-based naphtha</v>
      </c>
      <c r="G227" s="23"/>
      <c r="H227" s="23"/>
      <c r="I227" s="104" cm="1">
        <f t="array" ref="I227">-SUMPRODUCT((Feedstocks!$C$4:$C$141=A227)*Feedstocks!$E$4:$E$141,Feedstocks!$F$4:$F$141,Feedstocks!$H$4:$H$141,Feedstocks!$I$4:$I$141)</f>
        <v>7.0999999999999994E-2</v>
      </c>
      <c r="J227" s="104" cm="1">
        <f t="array" ref="J227">-SUMPRODUCT((Feedstocks!$C$4:$C$141=A227)*Feedstocks!$E$4:$E$141,Feedstocks!$H$4:$H$141,Feedstocks!$I$4:$I$141)</f>
        <v>7.0999999999999994E-2</v>
      </c>
      <c r="K227" s="104"/>
      <c r="L227" s="104"/>
      <c r="M227" s="23"/>
      <c r="N227" s="23" t="str">
        <f>VLOOKUP(E227,Activities!$A$9:$M$227,13,FALSE)</f>
        <v>EU</v>
      </c>
      <c r="O227" s="23"/>
      <c r="P227" s="79" t="s">
        <v>954</v>
      </c>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v>1</v>
      </c>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v>-1</v>
      </c>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18"/>
      <c r="GC227" s="178">
        <f t="shared" si="43"/>
        <v>0</v>
      </c>
      <c r="GD227" s="178">
        <f t="shared" si="44"/>
        <v>0</v>
      </c>
      <c r="GE227" s="178">
        <f t="shared" si="45"/>
        <v>0</v>
      </c>
      <c r="GF227" s="178">
        <f t="shared" si="46"/>
        <v>0</v>
      </c>
      <c r="GG227" s="178">
        <f t="shared" si="42"/>
        <v>7.0999999999999994E-2</v>
      </c>
    </row>
    <row r="228" spans="1:189" x14ac:dyDescent="0.35">
      <c r="A228" s="6" t="s">
        <v>1220</v>
      </c>
      <c r="B228" s="6" t="str">
        <f>IF(Technologies!B228&lt;&gt;0,Technologies!B228,"")</f>
        <v>Industrie</v>
      </c>
      <c r="C228" s="6" t="str">
        <f>VLOOKUP($A228,Technologies!$A$7:$H$576,3,FALSE)</f>
        <v>Exports</v>
      </c>
      <c r="D228" s="6" t="str">
        <f>VLOOKUP($A228,Technologies!$A$7:$H$576,4,FALSE)</f>
        <v>Refineries</v>
      </c>
      <c r="E228" s="6" t="str">
        <f>VLOOKUP($A228,Technologies!$A$7:$H$576,6,FALSE)</f>
        <v>Road Fuel Exports</v>
      </c>
      <c r="F228" s="48" t="str">
        <f>VLOOKUP($A228,Technologies!$A$7:$H$576,7,FALSE)</f>
        <v>Exports of oil-based road fuels</v>
      </c>
      <c r="G228" s="22"/>
      <c r="H228" s="22"/>
      <c r="I228" s="103" cm="1">
        <f t="array" ref="I228">-SUMPRODUCT((Feedstocks!$C$4:$C$141=A228)*Feedstocks!$E$4:$E$141,Feedstocks!$F$4:$F$141,Feedstocks!$H$4:$H$141,Feedstocks!$I$4:$I$141)</f>
        <v>7.2999999999999995E-2</v>
      </c>
      <c r="J228" s="103" cm="1">
        <f t="array" ref="J228">-SUMPRODUCT((Feedstocks!$C$4:$C$141=A228)*Feedstocks!$E$4:$E$141,Feedstocks!$H$4:$H$141,Feedstocks!$I$4:$I$141)</f>
        <v>7.2999999999999995E-2</v>
      </c>
      <c r="K228" s="103"/>
      <c r="L228" s="103"/>
      <c r="M228" s="22"/>
      <c r="N228" s="22" t="str">
        <f>VLOOKUP(E228,Activities!$A$9:$M$227,13,FALSE)</f>
        <v>EU</v>
      </c>
      <c r="O228" s="22"/>
      <c r="P228" s="80" t="s">
        <v>954</v>
      </c>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v>1</v>
      </c>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v>-1</v>
      </c>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c r="EV228" s="36"/>
      <c r="EW228" s="36"/>
      <c r="EX228" s="36"/>
      <c r="EY228" s="36"/>
      <c r="EZ228" s="36"/>
      <c r="FA228" s="36"/>
      <c r="FB228" s="36"/>
      <c r="FC228" s="36"/>
      <c r="FD228" s="36"/>
      <c r="FE228" s="36"/>
      <c r="FF228" s="36"/>
      <c r="FG228" s="36"/>
      <c r="FH228" s="36"/>
      <c r="FI228" s="36"/>
      <c r="FJ228" s="36"/>
      <c r="FK228" s="36"/>
      <c r="FL228" s="36"/>
      <c r="FM228" s="36"/>
      <c r="FN228" s="36"/>
      <c r="FO228" s="36"/>
      <c r="FP228" s="36"/>
      <c r="FQ228" s="36"/>
      <c r="FR228" s="36"/>
      <c r="FS228" s="36"/>
      <c r="FT228" s="36"/>
      <c r="FU228" s="36"/>
      <c r="FV228" s="36"/>
      <c r="FW228" s="36"/>
      <c r="FX228" s="36"/>
      <c r="FY228" s="36"/>
      <c r="FZ228" s="36"/>
      <c r="GA228" s="36"/>
      <c r="GB228" s="319"/>
      <c r="GC228" s="179">
        <f t="shared" si="43"/>
        <v>0</v>
      </c>
      <c r="GD228" s="179">
        <f t="shared" si="44"/>
        <v>0</v>
      </c>
      <c r="GE228" s="179">
        <f t="shared" si="45"/>
        <v>0</v>
      </c>
      <c r="GF228" s="179">
        <f t="shared" si="46"/>
        <v>0</v>
      </c>
      <c r="GG228" s="178">
        <f t="shared" si="42"/>
        <v>7.2999999999999995E-2</v>
      </c>
    </row>
    <row r="229" spans="1:189" x14ac:dyDescent="0.35">
      <c r="A229" s="5" t="s">
        <v>1222</v>
      </c>
      <c r="B229" s="5" t="str">
        <f>IF(Technologies!B229&lt;&gt;0,Technologies!B229,"")</f>
        <v>Industrie</v>
      </c>
      <c r="C229" s="5" t="str">
        <f>VLOOKUP($A229,Technologies!$A$7:$H$576,3,FALSE)</f>
        <v>Exports</v>
      </c>
      <c r="D229" s="5" t="str">
        <f>VLOOKUP($A229,Technologies!$A$7:$H$576,4,FALSE)</f>
        <v>Refineries</v>
      </c>
      <c r="E229" s="5" t="str">
        <f>VLOOKUP($A229,Technologies!$A$7:$H$576,6,FALSE)</f>
        <v>Road Fuel Exports</v>
      </c>
      <c r="F229" s="5" t="str">
        <f>VLOOKUP($A229,Technologies!$A$7:$H$576,7,FALSE)</f>
        <v>Exports of bio-based road fuels</v>
      </c>
      <c r="G229" s="23"/>
      <c r="H229" s="23"/>
      <c r="I229" s="104" cm="1">
        <f t="array" ref="I229">-SUMPRODUCT((Feedstocks!$C$4:$C$141=A229)*Feedstocks!$E$4:$E$141,Feedstocks!$F$4:$F$141,Feedstocks!$H$4:$H$141,Feedstocks!$I$4:$I$141)</f>
        <v>0</v>
      </c>
      <c r="J229" s="104" cm="1">
        <f t="array" ref="J229">-SUMPRODUCT((Feedstocks!$C$4:$C$141=A229)*Feedstocks!$E$4:$E$141,Feedstocks!$H$4:$H$141,Feedstocks!$I$4:$I$141)</f>
        <v>7.2999999999999995E-2</v>
      </c>
      <c r="K229" s="104"/>
      <c r="L229" s="104"/>
      <c r="M229" s="23"/>
      <c r="N229" s="23" t="str">
        <f>VLOOKUP(E229,Activities!$A$9:$M$227,13,FALSE)</f>
        <v>EU</v>
      </c>
      <c r="O229" s="23"/>
      <c r="P229" s="79" t="s">
        <v>954</v>
      </c>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v>1</v>
      </c>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v>-1</v>
      </c>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18"/>
      <c r="GC229" s="178">
        <f t="shared" si="43"/>
        <v>0</v>
      </c>
      <c r="GD229" s="178">
        <f t="shared" si="44"/>
        <v>0</v>
      </c>
      <c r="GE229" s="178">
        <f t="shared" si="45"/>
        <v>0</v>
      </c>
      <c r="GF229" s="178">
        <f t="shared" si="46"/>
        <v>0</v>
      </c>
      <c r="GG229" s="178">
        <f t="shared" si="42"/>
        <v>0</v>
      </c>
    </row>
    <row r="230" spans="1:189" x14ac:dyDescent="0.35">
      <c r="A230" s="6" t="s">
        <v>1224</v>
      </c>
      <c r="B230" s="6" t="str">
        <f>IF(Technologies!B230&lt;&gt;0,Technologies!B230,"")</f>
        <v>Industrie</v>
      </c>
      <c r="C230" s="6" t="str">
        <f>VLOOKUP($A230,Technologies!$A$7:$H$576,3,FALSE)</f>
        <v>Exports</v>
      </c>
      <c r="D230" s="6" t="str">
        <f>VLOOKUP($A230,Technologies!$A$7:$H$576,4,FALSE)</f>
        <v>Refineries</v>
      </c>
      <c r="E230" s="6" t="str">
        <f>VLOOKUP($A230,Technologies!$A$7:$H$576,6,FALSE)</f>
        <v>Road Fuel Exports</v>
      </c>
      <c r="F230" s="48" t="str">
        <f>VLOOKUP($A230,Technologies!$A$7:$H$576,7,FALSE)</f>
        <v>Exports of syn-based road fuels</v>
      </c>
      <c r="G230" s="22"/>
      <c r="H230" s="22"/>
      <c r="I230" s="103" cm="1">
        <f t="array" ref="I230">-SUMPRODUCT((Feedstocks!$C$4:$C$141=A230)*Feedstocks!$E$4:$E$141,Feedstocks!$F$4:$F$141,Feedstocks!$H$4:$H$141,Feedstocks!$I$4:$I$141)</f>
        <v>7.2999999999999995E-2</v>
      </c>
      <c r="J230" s="103" cm="1">
        <f t="array" ref="J230">-SUMPRODUCT((Feedstocks!$C$4:$C$141=A230)*Feedstocks!$E$4:$E$141,Feedstocks!$H$4:$H$141,Feedstocks!$I$4:$I$141)</f>
        <v>7.2999999999999995E-2</v>
      </c>
      <c r="K230" s="103"/>
      <c r="L230" s="103"/>
      <c r="M230" s="22"/>
      <c r="N230" s="22" t="str">
        <f>VLOOKUP(E230,Activities!$A$9:$M$227,13,FALSE)</f>
        <v>EU</v>
      </c>
      <c r="O230" s="22"/>
      <c r="P230" s="80" t="s">
        <v>954</v>
      </c>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v>1</v>
      </c>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v>-1</v>
      </c>
      <c r="EF230" s="36"/>
      <c r="EG230" s="36"/>
      <c r="EH230" s="36"/>
      <c r="EI230" s="36"/>
      <c r="EJ230" s="36"/>
      <c r="EK230" s="36"/>
      <c r="EL230" s="36"/>
      <c r="EM230" s="36"/>
      <c r="EN230" s="36"/>
      <c r="EO230" s="36"/>
      <c r="EP230" s="36"/>
      <c r="EQ230" s="36"/>
      <c r="ER230" s="36"/>
      <c r="ES230" s="36"/>
      <c r="ET230" s="36"/>
      <c r="EU230" s="36"/>
      <c r="EV230" s="36"/>
      <c r="EW230" s="36"/>
      <c r="EX230" s="36"/>
      <c r="EY230" s="36"/>
      <c r="EZ230" s="36"/>
      <c r="FA230" s="36"/>
      <c r="FB230" s="36"/>
      <c r="FC230" s="36"/>
      <c r="FD230" s="36"/>
      <c r="FE230" s="36"/>
      <c r="FF230" s="36"/>
      <c r="FG230" s="36"/>
      <c r="FH230" s="36"/>
      <c r="FI230" s="36"/>
      <c r="FJ230" s="36"/>
      <c r="FK230" s="36"/>
      <c r="FL230" s="36"/>
      <c r="FM230" s="36"/>
      <c r="FN230" s="36"/>
      <c r="FO230" s="36"/>
      <c r="FP230" s="36"/>
      <c r="FQ230" s="36"/>
      <c r="FR230" s="36"/>
      <c r="FS230" s="36"/>
      <c r="FT230" s="36"/>
      <c r="FU230" s="36"/>
      <c r="FV230" s="36"/>
      <c r="FW230" s="36"/>
      <c r="FX230" s="36"/>
      <c r="FY230" s="36"/>
      <c r="FZ230" s="36"/>
      <c r="GA230" s="36"/>
      <c r="GB230" s="319"/>
      <c r="GC230" s="179">
        <f t="shared" si="43"/>
        <v>0</v>
      </c>
      <c r="GD230" s="179">
        <f t="shared" si="44"/>
        <v>0</v>
      </c>
      <c r="GE230" s="179">
        <f t="shared" si="45"/>
        <v>0</v>
      </c>
      <c r="GF230" s="179">
        <f t="shared" si="46"/>
        <v>0</v>
      </c>
      <c r="GG230" s="178">
        <f t="shared" si="42"/>
        <v>7.2999999999999995E-2</v>
      </c>
    </row>
    <row r="231" spans="1:189" x14ac:dyDescent="0.35">
      <c r="A231" s="5" t="s">
        <v>1226</v>
      </c>
      <c r="B231" s="5" t="str">
        <f>IF(Technologies!B231&lt;&gt;0,Technologies!B231,"")</f>
        <v>Industrie</v>
      </c>
      <c r="C231" s="5" t="str">
        <f>VLOOKUP($A231,Technologies!$A$7:$H$576,3,FALSE)</f>
        <v>Exports</v>
      </c>
      <c r="D231" s="5" t="str">
        <f>VLOOKUP($A231,Technologies!$A$7:$H$576,4,FALSE)</f>
        <v>Refineries</v>
      </c>
      <c r="E231" s="5" t="str">
        <f>VLOOKUP($A231,Technologies!$A$7:$H$576,6,FALSE)</f>
        <v>Kerosene Exports</v>
      </c>
      <c r="F231" s="5" t="str">
        <f>VLOOKUP($A231,Technologies!$A$7:$H$576,7,FALSE)</f>
        <v>Exports of oil-based kerosene</v>
      </c>
      <c r="G231" s="23"/>
      <c r="H231" s="23"/>
      <c r="I231" s="104" cm="1">
        <f t="array" ref="I231">-SUMPRODUCT((Feedstocks!$C$4:$C$141=A231)*Feedstocks!$E$4:$E$141,Feedstocks!$F$4:$F$141,Feedstocks!$H$4:$H$141,Feedstocks!$I$4:$I$141)</f>
        <v>7.1999999999999995E-2</v>
      </c>
      <c r="J231" s="104" cm="1">
        <f t="array" ref="J231">-SUMPRODUCT((Feedstocks!$C$4:$C$141=A231)*Feedstocks!$E$4:$E$141,Feedstocks!$H$4:$H$141,Feedstocks!$I$4:$I$141)</f>
        <v>7.1999999999999995E-2</v>
      </c>
      <c r="K231" s="104"/>
      <c r="L231" s="104"/>
      <c r="M231" s="23"/>
      <c r="N231" s="23" t="str">
        <f>VLOOKUP(E231,Activities!$A$9:$M$227,13,FALSE)</f>
        <v>EU</v>
      </c>
      <c r="O231" s="23"/>
      <c r="P231" s="79" t="s">
        <v>954</v>
      </c>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v>1</v>
      </c>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v>-1</v>
      </c>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18"/>
      <c r="GC231" s="178">
        <f t="shared" si="43"/>
        <v>0</v>
      </c>
      <c r="GD231" s="178">
        <f t="shared" si="44"/>
        <v>0</v>
      </c>
      <c r="GE231" s="178">
        <f t="shared" si="45"/>
        <v>0</v>
      </c>
      <c r="GF231" s="178">
        <f t="shared" si="46"/>
        <v>0</v>
      </c>
      <c r="GG231" s="178">
        <f t="shared" si="42"/>
        <v>7.1999999999999995E-2</v>
      </c>
    </row>
    <row r="232" spans="1:189" x14ac:dyDescent="0.35">
      <c r="A232" s="6" t="s">
        <v>1228</v>
      </c>
      <c r="B232" s="6" t="str">
        <f>IF(Technologies!B232&lt;&gt;0,Technologies!B232,"")</f>
        <v>Industrie</v>
      </c>
      <c r="C232" s="6" t="str">
        <f>VLOOKUP($A232,Technologies!$A$7:$H$576,3,FALSE)</f>
        <v>Exports</v>
      </c>
      <c r="D232" s="6" t="str">
        <f>VLOOKUP($A232,Technologies!$A$7:$H$576,4,FALSE)</f>
        <v>Refineries</v>
      </c>
      <c r="E232" s="6" t="str">
        <f>VLOOKUP($A232,Technologies!$A$7:$H$576,6,FALSE)</f>
        <v>Kerosene Exports</v>
      </c>
      <c r="F232" s="48" t="str">
        <f>VLOOKUP($A232,Technologies!$A$7:$H$576,7,FALSE)</f>
        <v>Exports of bio-based kerosene</v>
      </c>
      <c r="G232" s="22"/>
      <c r="H232" s="22"/>
      <c r="I232" s="103" cm="1">
        <f t="array" ref="I232">-SUMPRODUCT((Feedstocks!$C$4:$C$141=A232)*Feedstocks!$E$4:$E$141,Feedstocks!$F$4:$F$141,Feedstocks!$H$4:$H$141,Feedstocks!$I$4:$I$141)</f>
        <v>0</v>
      </c>
      <c r="J232" s="103" cm="1">
        <f t="array" ref="J232">-SUMPRODUCT((Feedstocks!$C$4:$C$141=A232)*Feedstocks!$E$4:$E$141,Feedstocks!$H$4:$H$141,Feedstocks!$I$4:$I$141)</f>
        <v>7.1999999999999995E-2</v>
      </c>
      <c r="K232" s="103"/>
      <c r="L232" s="103"/>
      <c r="M232" s="22"/>
      <c r="N232" s="22" t="str">
        <f>VLOOKUP(E232,Activities!$A$9:$M$227,13,FALSE)</f>
        <v>EU</v>
      </c>
      <c r="O232" s="22"/>
      <c r="P232" s="80" t="s">
        <v>954</v>
      </c>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v>1</v>
      </c>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v>-1</v>
      </c>
      <c r="EC232" s="36"/>
      <c r="ED232" s="36"/>
      <c r="EE232" s="36"/>
      <c r="EF232" s="36"/>
      <c r="EG232" s="36"/>
      <c r="EH232" s="36"/>
      <c r="EI232" s="36"/>
      <c r="EJ232" s="36"/>
      <c r="EK232" s="36"/>
      <c r="EL232" s="36"/>
      <c r="EM232" s="36"/>
      <c r="EN232" s="36"/>
      <c r="EO232" s="36"/>
      <c r="EP232" s="36"/>
      <c r="EQ232" s="36"/>
      <c r="ER232" s="36"/>
      <c r="ES232" s="36"/>
      <c r="ET232" s="36"/>
      <c r="EU232" s="36"/>
      <c r="EV232" s="36"/>
      <c r="EW232" s="36"/>
      <c r="EX232" s="36"/>
      <c r="EY232" s="36"/>
      <c r="EZ232" s="36"/>
      <c r="FA232" s="36"/>
      <c r="FB232" s="36"/>
      <c r="FC232" s="36"/>
      <c r="FD232" s="36"/>
      <c r="FE232" s="36"/>
      <c r="FF232" s="36"/>
      <c r="FG232" s="36"/>
      <c r="FH232" s="36"/>
      <c r="FI232" s="36"/>
      <c r="FJ232" s="36"/>
      <c r="FK232" s="36"/>
      <c r="FL232" s="36"/>
      <c r="FM232" s="36"/>
      <c r="FN232" s="36"/>
      <c r="FO232" s="36"/>
      <c r="FP232" s="36"/>
      <c r="FQ232" s="36"/>
      <c r="FR232" s="36"/>
      <c r="FS232" s="36"/>
      <c r="FT232" s="36"/>
      <c r="FU232" s="36"/>
      <c r="FV232" s="36"/>
      <c r="FW232" s="36"/>
      <c r="FX232" s="36"/>
      <c r="FY232" s="36"/>
      <c r="FZ232" s="36"/>
      <c r="GA232" s="36"/>
      <c r="GB232" s="319"/>
      <c r="GC232" s="179">
        <f t="shared" si="43"/>
        <v>0</v>
      </c>
      <c r="GD232" s="179">
        <f t="shared" si="44"/>
        <v>0</v>
      </c>
      <c r="GE232" s="179">
        <f t="shared" si="45"/>
        <v>0</v>
      </c>
      <c r="GF232" s="179">
        <f t="shared" si="46"/>
        <v>0</v>
      </c>
      <c r="GG232" s="178">
        <f t="shared" si="42"/>
        <v>0</v>
      </c>
    </row>
    <row r="233" spans="1:189" x14ac:dyDescent="0.35">
      <c r="A233" s="5" t="s">
        <v>1230</v>
      </c>
      <c r="B233" s="5" t="str">
        <f>IF(Technologies!B233&lt;&gt;0,Technologies!B233,"")</f>
        <v>Industrie</v>
      </c>
      <c r="C233" s="5" t="str">
        <f>VLOOKUP($A233,Technologies!$A$7:$H$576,3,FALSE)</f>
        <v>Exports</v>
      </c>
      <c r="D233" s="5" t="str">
        <f>VLOOKUP($A233,Technologies!$A$7:$H$576,4,FALSE)</f>
        <v>Refineries</v>
      </c>
      <c r="E233" s="5" t="str">
        <f>VLOOKUP($A233,Technologies!$A$7:$H$576,6,FALSE)</f>
        <v>Kerosene Exports</v>
      </c>
      <c r="F233" s="5" t="str">
        <f>VLOOKUP($A233,Technologies!$A$7:$H$576,7,FALSE)</f>
        <v>Exports of syn-based kerosene</v>
      </c>
      <c r="G233" s="23"/>
      <c r="H233" s="23"/>
      <c r="I233" s="104" cm="1">
        <f t="array" ref="I233">-SUMPRODUCT((Feedstocks!$C$4:$C$141=A233)*Feedstocks!$E$4:$E$141,Feedstocks!$F$4:$F$141,Feedstocks!$H$4:$H$141,Feedstocks!$I$4:$I$141)</f>
        <v>7.1999999999999995E-2</v>
      </c>
      <c r="J233" s="104" cm="1">
        <f t="array" ref="J233">-SUMPRODUCT((Feedstocks!$C$4:$C$141=A233)*Feedstocks!$E$4:$E$141,Feedstocks!$H$4:$H$141,Feedstocks!$I$4:$I$141)</f>
        <v>7.1999999999999995E-2</v>
      </c>
      <c r="K233" s="104"/>
      <c r="L233" s="104"/>
      <c r="M233" s="23"/>
      <c r="N233" s="23" t="str">
        <f>VLOOKUP(E233,Activities!$A$9:$M$227,13,FALSE)</f>
        <v>EU</v>
      </c>
      <c r="O233" s="23"/>
      <c r="P233" s="79" t="s">
        <v>954</v>
      </c>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v>1</v>
      </c>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v>-1</v>
      </c>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18"/>
      <c r="GC233" s="178">
        <f t="shared" si="43"/>
        <v>0</v>
      </c>
      <c r="GD233" s="178">
        <f t="shared" si="44"/>
        <v>0</v>
      </c>
      <c r="GE233" s="178">
        <f t="shared" si="45"/>
        <v>0</v>
      </c>
      <c r="GF233" s="178">
        <f t="shared" si="46"/>
        <v>0</v>
      </c>
      <c r="GG233" s="178">
        <f t="shared" si="42"/>
        <v>7.1999999999999995E-2</v>
      </c>
    </row>
    <row r="234" spans="1:189" x14ac:dyDescent="0.35">
      <c r="A234" s="6" t="s">
        <v>1232</v>
      </c>
      <c r="B234" s="6" t="str">
        <f>IF(Technologies!B234&lt;&gt;0,Technologies!B234,"")</f>
        <v/>
      </c>
      <c r="C234" s="6" t="str">
        <f>VLOOKUP($A234,Technologies!$A$7:$H$576,3,FALSE)</f>
        <v>External</v>
      </c>
      <c r="D234" s="6" t="str">
        <f>VLOOKUP($A234,Technologies!$A$7:$H$576,4,FALSE)</f>
        <v>Power EU</v>
      </c>
      <c r="E234" s="6" t="str">
        <f>VLOOKUP($A234,Technologies!$A$7:$H$576,6,FALSE)</f>
        <v>Electricity demand - EU</v>
      </c>
      <c r="F234" s="48" t="str">
        <f>VLOOKUP($A234,Technologies!$A$7:$H$576,7,FALSE)</f>
        <v>Dummy standard electricity consumption - EU</v>
      </c>
      <c r="G234" s="22"/>
      <c r="H234" s="22"/>
      <c r="I234" s="103" cm="1">
        <f t="array" ref="I234">-SUMPRODUCT((Feedstocks!$C$4:$C$141=A234)*Feedstocks!$E$4:$E$141,Feedstocks!$F$4:$F$141,Feedstocks!$H$4:$H$141,Feedstocks!$I$4:$I$141)</f>
        <v>0</v>
      </c>
      <c r="J234" s="103" cm="1">
        <f t="array" ref="J234">-SUMPRODUCT((Feedstocks!$C$4:$C$141=A234)*Feedstocks!$E$4:$E$141,Feedstocks!$H$4:$H$141,Feedstocks!$I$4:$I$141)</f>
        <v>0</v>
      </c>
      <c r="K234" s="103"/>
      <c r="L234" s="103"/>
      <c r="M234" s="22"/>
      <c r="N234" s="22" t="str">
        <f>VLOOKUP(E234,Activities!$A$9:$M$227,13,FALSE)</f>
        <v>EU</v>
      </c>
      <c r="O234" s="22"/>
      <c r="P234" s="80" t="s">
        <v>1040</v>
      </c>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v>1</v>
      </c>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v>-1</v>
      </c>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c r="EV234" s="36"/>
      <c r="EW234" s="36"/>
      <c r="EX234" s="36"/>
      <c r="EY234" s="36"/>
      <c r="EZ234" s="36"/>
      <c r="FA234" s="36"/>
      <c r="FB234" s="36"/>
      <c r="FC234" s="36"/>
      <c r="FD234" s="36"/>
      <c r="FE234" s="36"/>
      <c r="FF234" s="36"/>
      <c r="FG234" s="36"/>
      <c r="FH234" s="36"/>
      <c r="FI234" s="36"/>
      <c r="FJ234" s="36"/>
      <c r="FK234" s="36"/>
      <c r="FL234" s="36"/>
      <c r="FM234" s="36"/>
      <c r="FN234" s="36"/>
      <c r="FO234" s="36"/>
      <c r="FP234" s="36"/>
      <c r="FQ234" s="36"/>
      <c r="FR234" s="36"/>
      <c r="FS234" s="36"/>
      <c r="FT234" s="36"/>
      <c r="FU234" s="36"/>
      <c r="FV234" s="36"/>
      <c r="FW234" s="36"/>
      <c r="FX234" s="36"/>
      <c r="FY234" s="36"/>
      <c r="FZ234" s="36"/>
      <c r="GA234" s="36"/>
      <c r="GB234" s="319"/>
      <c r="GC234" s="179">
        <f t="shared" si="43"/>
        <v>0</v>
      </c>
      <c r="GD234" s="179">
        <f t="shared" si="44"/>
        <v>0</v>
      </c>
      <c r="GE234" s="179">
        <f t="shared" si="45"/>
        <v>0</v>
      </c>
      <c r="GF234" s="179">
        <f t="shared" si="46"/>
        <v>0</v>
      </c>
      <c r="GG234" s="179">
        <f t="shared" si="42"/>
        <v>0</v>
      </c>
    </row>
    <row r="235" spans="1:189" x14ac:dyDescent="0.35">
      <c r="A235" s="5" t="s">
        <v>1238</v>
      </c>
      <c r="B235" s="5" t="str">
        <f>IF(Technologies!B235&lt;&gt;0,Technologies!B235,"")</f>
        <v/>
      </c>
      <c r="C235" s="5" t="str">
        <f>VLOOKUP($A235,Technologies!$A$7:$H$576,3,FALSE)</f>
        <v>External</v>
      </c>
      <c r="D235" s="5" t="str">
        <f>VLOOKUP($A235,Technologies!$A$7:$H$576,4,FALSE)</f>
        <v>Power EU</v>
      </c>
      <c r="E235" s="5" t="str">
        <f>VLOOKUP($A235,Technologies!$A$7:$H$576,6,FALSE)</f>
        <v>Electricity EU</v>
      </c>
      <c r="F235" s="5" t="str">
        <f>VLOOKUP($A235,Technologies!$A$7:$H$576,7,FALSE)</f>
        <v>Inland generation - Power EU</v>
      </c>
      <c r="G235" s="23"/>
      <c r="H235" s="23"/>
      <c r="I235" s="104" cm="1">
        <f t="array" ref="I235">-SUMPRODUCT((Feedstocks!$C$4:$C$141=A235)*Feedstocks!$E$4:$E$141,Feedstocks!$F$4:$F$141,Feedstocks!$H$4:$H$141,Feedstocks!$I$4:$I$141)</f>
        <v>0</v>
      </c>
      <c r="J235" s="104" cm="1">
        <f t="array" ref="J235">-SUMPRODUCT((Feedstocks!$C$4:$C$141=A235)*Feedstocks!$E$4:$E$141,Feedstocks!$H$4:$H$141,Feedstocks!$I$4:$I$141)</f>
        <v>0</v>
      </c>
      <c r="K235" s="104"/>
      <c r="L235" s="104"/>
      <c r="M235" s="23"/>
      <c r="N235" s="23" t="str">
        <f>VLOOKUP(E235,Activities!$A$9:$M$227,13,FALSE)</f>
        <v>EU</v>
      </c>
      <c r="O235" s="23"/>
      <c r="P235" s="79" t="s">
        <v>1040</v>
      </c>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v>1</v>
      </c>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18"/>
      <c r="GC235" s="178">
        <f t="shared" si="43"/>
        <v>0</v>
      </c>
      <c r="GD235" s="178">
        <f t="shared" si="44"/>
        <v>0</v>
      </c>
      <c r="GE235" s="178">
        <f t="shared" si="45"/>
        <v>0</v>
      </c>
      <c r="GF235" s="178">
        <f t="shared" si="46"/>
        <v>0</v>
      </c>
      <c r="GG235" s="178">
        <f t="shared" si="42"/>
        <v>0</v>
      </c>
    </row>
    <row r="236" spans="1:189" x14ac:dyDescent="0.35">
      <c r="A236" s="6" t="s">
        <v>1242</v>
      </c>
      <c r="B236" s="6" t="str">
        <f>IF(Technologies!B236&lt;&gt;0,Technologies!B236,"")</f>
        <v>Elektriciteit</v>
      </c>
      <c r="C236" s="6" t="str">
        <f>VLOOKUP($A236,Technologies!$A$7:$H$576,3,FALSE)</f>
        <v>External</v>
      </c>
      <c r="D236" s="6" t="str">
        <f>VLOOKUP($A236,Technologies!$A$7:$H$576,4,FALSE)</f>
        <v>Power EU</v>
      </c>
      <c r="E236" s="6" t="str">
        <f>VLOOKUP($A236,Technologies!$A$7:$H$576,6,FALSE)</f>
        <v>Electricity EU</v>
      </c>
      <c r="F236" s="48" t="str">
        <f>VLOOKUP($A236,Technologies!$A$7:$H$576,7,FALSE)</f>
        <v>Export from NL to Power EU</v>
      </c>
      <c r="G236" s="22"/>
      <c r="H236" s="22"/>
      <c r="I236" s="103" cm="1">
        <f t="array" ref="I236">-SUMPRODUCT((Feedstocks!$C$4:$C$141=A236)*Feedstocks!$E$4:$E$141,Feedstocks!$F$4:$F$141,Feedstocks!$H$4:$H$141,Feedstocks!$I$4:$I$141)</f>
        <v>0</v>
      </c>
      <c r="J236" s="103" cm="1">
        <f t="array" ref="J236">-SUMPRODUCT((Feedstocks!$C$4:$C$141=A236)*Feedstocks!$E$4:$E$141,Feedstocks!$H$4:$H$141,Feedstocks!$I$4:$I$141)</f>
        <v>0</v>
      </c>
      <c r="K236" s="103"/>
      <c r="L236" s="103"/>
      <c r="M236" s="22"/>
      <c r="N236" s="22" t="str">
        <f>VLOOKUP(E236,Activities!$A$9:$M$227,13,FALSE)</f>
        <v>EU</v>
      </c>
      <c r="O236" s="22"/>
      <c r="P236" s="80" t="s">
        <v>1040</v>
      </c>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v>1</v>
      </c>
      <c r="DG236" s="36"/>
      <c r="DH236" s="36">
        <v>-1.02</v>
      </c>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c r="EV236" s="36"/>
      <c r="EW236" s="36"/>
      <c r="EX236" s="36"/>
      <c r="EY236" s="36"/>
      <c r="EZ236" s="36"/>
      <c r="FA236" s="36"/>
      <c r="FB236" s="36"/>
      <c r="FC236" s="36"/>
      <c r="FD236" s="36"/>
      <c r="FE236" s="36"/>
      <c r="FF236" s="36"/>
      <c r="FG236" s="36"/>
      <c r="FH236" s="36"/>
      <c r="FI236" s="36"/>
      <c r="FJ236" s="36"/>
      <c r="FK236" s="36"/>
      <c r="FL236" s="36"/>
      <c r="FM236" s="36"/>
      <c r="FN236" s="36"/>
      <c r="FO236" s="36"/>
      <c r="FP236" s="36"/>
      <c r="FQ236" s="36"/>
      <c r="FR236" s="36"/>
      <c r="FS236" s="36"/>
      <c r="FT236" s="36"/>
      <c r="FU236" s="36"/>
      <c r="FV236" s="36"/>
      <c r="FW236" s="36"/>
      <c r="FX236" s="36"/>
      <c r="FY236" s="36"/>
      <c r="FZ236" s="36"/>
      <c r="GA236" s="36"/>
      <c r="GB236" s="319"/>
      <c r="GC236" s="179">
        <f t="shared" si="43"/>
        <v>0</v>
      </c>
      <c r="GD236" s="179">
        <f t="shared" si="44"/>
        <v>0</v>
      </c>
      <c r="GE236" s="179">
        <f t="shared" si="45"/>
        <v>0</v>
      </c>
      <c r="GF236" s="179">
        <f t="shared" si="46"/>
        <v>0</v>
      </c>
      <c r="GG236" s="179">
        <f t="shared" si="42"/>
        <v>0</v>
      </c>
    </row>
    <row r="237" spans="1:189" x14ac:dyDescent="0.35">
      <c r="A237" s="5" t="s">
        <v>1246</v>
      </c>
      <c r="B237" s="5" t="str">
        <f>IF(Technologies!B237&lt;&gt;0,Technologies!B237,"")</f>
        <v>Elektriciteit</v>
      </c>
      <c r="C237" s="5" t="str">
        <f>VLOOKUP($A237,Technologies!$A$7:$H$576,3,FALSE)</f>
        <v>Conversion</v>
      </c>
      <c r="D237" s="5" t="str">
        <f>VLOOKUP($A237,Technologies!$A$7:$H$576,4,FALSE)</f>
        <v>Power NL</v>
      </c>
      <c r="E237" s="5" t="str">
        <f>VLOOKUP($A237,Technologies!$A$7:$H$576,6,FALSE)</f>
        <v>Electricity NL - HVNS</v>
      </c>
      <c r="F237" s="5" t="str">
        <f>VLOOKUP($A237,Technologies!$A$7:$H$576,7,FALSE)</f>
        <v>Offshore Wind (far) - Power NL</v>
      </c>
      <c r="G237" s="23"/>
      <c r="H237" s="23"/>
      <c r="I237" s="104" cm="1">
        <f t="array" ref="I237">-SUMPRODUCT((Feedstocks!$C$4:$C$141=A237)*Feedstocks!$E$4:$E$141,Feedstocks!$F$4:$F$141,Feedstocks!$H$4:$H$141,Feedstocks!$I$4:$I$141)</f>
        <v>0</v>
      </c>
      <c r="J237" s="104" cm="1">
        <f t="array" ref="J237">-SUMPRODUCT((Feedstocks!$C$4:$C$141=A237)*Feedstocks!$E$4:$E$141,Feedstocks!$H$4:$H$141,Feedstocks!$I$4:$I$141)</f>
        <v>0</v>
      </c>
      <c r="K237" s="104"/>
      <c r="L237" s="104"/>
      <c r="M237" s="23">
        <v>1</v>
      </c>
      <c r="N237" s="23" t="str">
        <f>VLOOKUP(E237,Activities!$A$9:$M$227,13,FALSE)</f>
        <v>NL</v>
      </c>
      <c r="O237" s="23"/>
      <c r="P237" s="79" t="s">
        <v>415</v>
      </c>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v>1</v>
      </c>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v>-1</v>
      </c>
      <c r="FK237" s="35"/>
      <c r="FL237" s="35"/>
      <c r="FM237" s="35"/>
      <c r="FN237" s="35"/>
      <c r="FO237" s="35"/>
      <c r="FP237" s="35"/>
      <c r="FQ237" s="35"/>
      <c r="FR237" s="35"/>
      <c r="FS237" s="35"/>
      <c r="FT237" s="35"/>
      <c r="FU237" s="35"/>
      <c r="FV237" s="35"/>
      <c r="FW237" s="35"/>
      <c r="FX237" s="35"/>
      <c r="FY237" s="35"/>
      <c r="FZ237" s="35"/>
      <c r="GA237" s="35"/>
      <c r="GB237" s="318"/>
      <c r="GC237" s="178">
        <f t="shared" si="43"/>
        <v>0</v>
      </c>
      <c r="GD237" s="178">
        <f t="shared" si="44"/>
        <v>0</v>
      </c>
      <c r="GE237" s="178">
        <f t="shared" si="45"/>
        <v>0</v>
      </c>
      <c r="GF237" s="178">
        <f t="shared" si="46"/>
        <v>0</v>
      </c>
      <c r="GG237" s="178">
        <f t="shared" si="42"/>
        <v>0</v>
      </c>
    </row>
    <row r="238" spans="1:189" x14ac:dyDescent="0.35">
      <c r="A238" s="6" t="s">
        <v>1252</v>
      </c>
      <c r="B238" s="6" t="str">
        <f>IF(Technologies!B238&lt;&gt;0,Technologies!B238,"")</f>
        <v>Elektriciteit</v>
      </c>
      <c r="C238" s="6" t="str">
        <f>VLOOKUP($A238,Technologies!$A$7:$H$576,3,FALSE)</f>
        <v>Conversion</v>
      </c>
      <c r="D238" s="6" t="str">
        <f>VLOOKUP($A238,Technologies!$A$7:$H$576,4,FALSE)</f>
        <v>Power NL</v>
      </c>
      <c r="E238" s="6" t="str">
        <f>VLOOKUP($A238,Technologies!$A$7:$H$576,6,FALSE)</f>
        <v>Electricity NL - HV</v>
      </c>
      <c r="F238" s="48" t="str">
        <f>VLOOKUP($A238,Technologies!$A$7:$H$576,7,FALSE)</f>
        <v>Coal old - Power NL</v>
      </c>
      <c r="G238" s="22"/>
      <c r="H238" s="22"/>
      <c r="I238" s="103" cm="1">
        <f t="array" ref="I238">-SUMPRODUCT((Feedstocks!$C$4:$C$141=A238)*Feedstocks!$E$4:$E$141,Feedstocks!$F$4:$F$141,Feedstocks!$H$4:$H$141,Feedstocks!$I$4:$I$141)</f>
        <v>0</v>
      </c>
      <c r="J238" s="103" cm="1">
        <f t="array" ref="J238">-SUMPRODUCT((Feedstocks!$C$4:$C$141=A238)*Feedstocks!$E$4:$E$141,Feedstocks!$H$4:$H$141,Feedstocks!$I$4:$I$141)</f>
        <v>0</v>
      </c>
      <c r="K238" s="103"/>
      <c r="L238" s="103"/>
      <c r="M238" s="22">
        <v>1</v>
      </c>
      <c r="N238" s="22" t="str">
        <f>VLOOKUP(E238,Activities!$A$9:$M$227,13,FALSE)</f>
        <v>NL</v>
      </c>
      <c r="O238" s="22"/>
      <c r="P238" s="80" t="s">
        <v>415</v>
      </c>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v>1</v>
      </c>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v>-2.3500345600000001</v>
      </c>
      <c r="ET238" s="36"/>
      <c r="EU238" s="36"/>
      <c r="EV238" s="36"/>
      <c r="EW238" s="36"/>
      <c r="EX238" s="36"/>
      <c r="EY238" s="36"/>
      <c r="EZ238" s="36"/>
      <c r="FA238" s="36"/>
      <c r="FB238" s="36"/>
      <c r="FC238" s="36"/>
      <c r="FD238" s="36"/>
      <c r="FE238" s="36"/>
      <c r="FF238" s="36"/>
      <c r="FG238" s="36"/>
      <c r="FH238" s="36"/>
      <c r="FI238" s="36"/>
      <c r="FJ238" s="36"/>
      <c r="FK238" s="36"/>
      <c r="FL238" s="36"/>
      <c r="FM238" s="36"/>
      <c r="FN238" s="36"/>
      <c r="FO238" s="36"/>
      <c r="FP238" s="36"/>
      <c r="FQ238" s="36"/>
      <c r="FR238" s="36"/>
      <c r="FS238" s="36"/>
      <c r="FT238" s="36"/>
      <c r="FU238" s="36"/>
      <c r="FV238" s="36"/>
      <c r="FW238" s="36"/>
      <c r="FX238" s="36"/>
      <c r="FY238" s="36"/>
      <c r="FZ238" s="36"/>
      <c r="GA238" s="36"/>
      <c r="GB238" s="319"/>
      <c r="GC238" s="179">
        <f t="shared" si="43"/>
        <v>0</v>
      </c>
      <c r="GD238" s="179">
        <f t="shared" si="44"/>
        <v>0.23100000000000001</v>
      </c>
      <c r="GE238" s="179">
        <f t="shared" si="45"/>
        <v>0</v>
      </c>
      <c r="GF238" s="179">
        <f t="shared" si="46"/>
        <v>0</v>
      </c>
      <c r="GG238" s="179">
        <f t="shared" si="42"/>
        <v>0</v>
      </c>
    </row>
    <row r="239" spans="1:189" x14ac:dyDescent="0.35">
      <c r="A239" s="5" t="s">
        <v>1254</v>
      </c>
      <c r="B239" s="5" t="str">
        <f>IF(Technologies!B239&lt;&gt;0,Technologies!B239,"")</f>
        <v>Elektriciteit</v>
      </c>
      <c r="C239" s="5" t="str">
        <f>VLOOKUP($A239,Technologies!$A$7:$H$576,3,FALSE)</f>
        <v>Conversion</v>
      </c>
      <c r="D239" s="5" t="str">
        <f>VLOOKUP($A239,Technologies!$A$7:$H$576,4,FALSE)</f>
        <v>Power NL</v>
      </c>
      <c r="E239" s="5" t="str">
        <f>VLOOKUP($A239,Technologies!$A$7:$H$576,6,FALSE)</f>
        <v>Electricity NL - HV</v>
      </c>
      <c r="F239" s="5" t="str">
        <f>VLOOKUP($A239,Technologies!$A$7:$H$576,7,FALSE)</f>
        <v>Co-fired Coal - Power NL</v>
      </c>
      <c r="G239" s="23"/>
      <c r="H239" s="23"/>
      <c r="I239" s="104" cm="1">
        <f t="array" ref="I239">-SUMPRODUCT((Feedstocks!$C$4:$C$141=A239)*Feedstocks!$E$4:$E$141,Feedstocks!$F$4:$F$141,Feedstocks!$H$4:$H$141,Feedstocks!$I$4:$I$141)</f>
        <v>0</v>
      </c>
      <c r="J239" s="104" cm="1">
        <f t="array" ref="J239">-SUMPRODUCT((Feedstocks!$C$4:$C$141=A239)*Feedstocks!$E$4:$E$141,Feedstocks!$H$4:$H$141,Feedstocks!$I$4:$I$141)</f>
        <v>0</v>
      </c>
      <c r="K239" s="104"/>
      <c r="L239" s="104"/>
      <c r="M239" s="23">
        <v>1</v>
      </c>
      <c r="N239" s="23" t="str">
        <f>VLOOKUP(E239,Activities!$A$9:$M$227,13,FALSE)</f>
        <v>NL</v>
      </c>
      <c r="O239" s="23"/>
      <c r="P239" s="79" t="s">
        <v>415</v>
      </c>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v>1</v>
      </c>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v>-0.38</v>
      </c>
      <c r="ES239" s="35">
        <v>-1.5800456000000001</v>
      </c>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18"/>
      <c r="GC239" s="178">
        <f t="shared" si="43"/>
        <v>0</v>
      </c>
      <c r="GD239" s="178">
        <f t="shared" si="44"/>
        <v>0.15529999999999999</v>
      </c>
      <c r="GE239" s="178">
        <f t="shared" si="45"/>
        <v>0</v>
      </c>
      <c r="GF239" s="178">
        <f t="shared" si="46"/>
        <v>0</v>
      </c>
      <c r="GG239" s="178">
        <f t="shared" si="42"/>
        <v>0</v>
      </c>
    </row>
    <row r="240" spans="1:189" x14ac:dyDescent="0.35">
      <c r="A240" s="6" t="s">
        <v>1256</v>
      </c>
      <c r="B240" s="6" t="str">
        <f>IF(Technologies!B240&lt;&gt;0,Technologies!B240,"")</f>
        <v>Elektriciteit</v>
      </c>
      <c r="C240" s="6" t="str">
        <f>VLOOKUP($A240,Technologies!$A$7:$H$576,3,FALSE)</f>
        <v>Conversion</v>
      </c>
      <c r="D240" s="6" t="str">
        <f>VLOOKUP($A240,Technologies!$A$7:$H$576,4,FALSE)</f>
        <v>Power NL</v>
      </c>
      <c r="E240" s="6" t="str">
        <f>VLOOKUP($A240,Technologies!$A$7:$H$576,6,FALSE)</f>
        <v>Electricity NL - HV</v>
      </c>
      <c r="F240" s="48" t="str">
        <f>VLOOKUP($A240,Technologies!$A$7:$H$576,7,FALSE)</f>
        <v>Co-fired Coal wCCS - Power NL</v>
      </c>
      <c r="G240" s="22">
        <v>0.9</v>
      </c>
      <c r="H240" s="22"/>
      <c r="I240" s="103" cm="1">
        <f t="array" ref="I240">-SUMPRODUCT((Feedstocks!$C$4:$C$141=A240)*Feedstocks!$E$4:$E$141,Feedstocks!$F$4:$F$141,Feedstocks!$H$4:$H$141,Feedstocks!$I$4:$I$141)</f>
        <v>0</v>
      </c>
      <c r="J240" s="103" cm="1">
        <f t="array" ref="J240">-SUMPRODUCT((Feedstocks!$C$4:$C$141=A240)*Feedstocks!$E$4:$E$141,Feedstocks!$H$4:$H$141,Feedstocks!$I$4:$I$141)</f>
        <v>0</v>
      </c>
      <c r="K240" s="103"/>
      <c r="L240" s="103"/>
      <c r="M240" s="22">
        <v>1</v>
      </c>
      <c r="N240" s="22" t="str">
        <f>VLOOKUP(E240,Activities!$A$9:$M$227,13,FALSE)</f>
        <v>NL</v>
      </c>
      <c r="O240" s="22"/>
      <c r="P240" s="80" t="s">
        <v>415</v>
      </c>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v>1</v>
      </c>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v>-0.47499999999999998</v>
      </c>
      <c r="ES240" s="36">
        <v>-1.9750570000000001</v>
      </c>
      <c r="ET240" s="36"/>
      <c r="EU240" s="36"/>
      <c r="EV240" s="36"/>
      <c r="EW240" s="36"/>
      <c r="EX240" s="36"/>
      <c r="EY240" s="36"/>
      <c r="EZ240" s="36"/>
      <c r="FA240" s="36"/>
      <c r="FB240" s="36"/>
      <c r="FC240" s="36"/>
      <c r="FD240" s="36"/>
      <c r="FE240" s="36"/>
      <c r="FF240" s="36"/>
      <c r="FG240" s="36"/>
      <c r="FH240" s="36"/>
      <c r="FI240" s="36"/>
      <c r="FJ240" s="36"/>
      <c r="FK240" s="36"/>
      <c r="FL240" s="36"/>
      <c r="FM240" s="36"/>
      <c r="FN240" s="36"/>
      <c r="FO240" s="36"/>
      <c r="FP240" s="36"/>
      <c r="FQ240" s="36"/>
      <c r="FR240" s="36"/>
      <c r="FS240" s="36"/>
      <c r="FT240" s="36"/>
      <c r="FU240" s="36"/>
      <c r="FV240" s="36"/>
      <c r="FW240" s="36"/>
      <c r="FX240" s="36"/>
      <c r="FY240" s="36"/>
      <c r="FZ240" s="36"/>
      <c r="GA240" s="36"/>
      <c r="GB240" s="319"/>
      <c r="GC240" s="179">
        <f t="shared" si="43"/>
        <v>0.22159999999999999</v>
      </c>
      <c r="GD240" s="179">
        <f t="shared" si="44"/>
        <v>-2.7400000000000001E-2</v>
      </c>
      <c r="GE240" s="179">
        <f t="shared" si="45"/>
        <v>0</v>
      </c>
      <c r="GF240" s="179">
        <f t="shared" si="46"/>
        <v>0</v>
      </c>
      <c r="GG240" s="179">
        <f t="shared" si="42"/>
        <v>0</v>
      </c>
    </row>
    <row r="241" spans="1:189" x14ac:dyDescent="0.35">
      <c r="A241" s="5" t="s">
        <v>1258</v>
      </c>
      <c r="B241" s="5" t="str">
        <f>IF(Technologies!B241&lt;&gt;0,Technologies!B241,"")</f>
        <v>Elektriciteit</v>
      </c>
      <c r="C241" s="5" t="str">
        <f>VLOOKUP($A241,Technologies!$A$7:$H$576,3,FALSE)</f>
        <v>Conversion</v>
      </c>
      <c r="D241" s="5" t="str">
        <f>VLOOKUP($A241,Technologies!$A$7:$H$576,4,FALSE)</f>
        <v>Power NL</v>
      </c>
      <c r="E241" s="5" t="str">
        <f>VLOOKUP($A241,Technologies!$A$7:$H$576,6,FALSE)</f>
        <v>Electricity NL - HV</v>
      </c>
      <c r="F241" s="5" t="str">
        <f>VLOOKUP($A241,Technologies!$A$7:$H$576,7,FALSE)</f>
        <v>CCGT - Power NL</v>
      </c>
      <c r="G241" s="23"/>
      <c r="H241" s="23"/>
      <c r="I241" s="104" cm="1">
        <f t="array" ref="I241">-SUMPRODUCT((Feedstocks!$C$4:$C$141=A241)*Feedstocks!$E$4:$E$141,Feedstocks!$F$4:$F$141,Feedstocks!$H$4:$H$141,Feedstocks!$I$4:$I$141)</f>
        <v>0</v>
      </c>
      <c r="J241" s="104" cm="1">
        <f t="array" ref="J241">-SUMPRODUCT((Feedstocks!$C$4:$C$141=A241)*Feedstocks!$E$4:$E$141,Feedstocks!$H$4:$H$141,Feedstocks!$I$4:$I$141)</f>
        <v>0</v>
      </c>
      <c r="K241" s="104"/>
      <c r="L241" s="104"/>
      <c r="M241" s="23">
        <v>1</v>
      </c>
      <c r="N241" s="23" t="str">
        <f>VLOOKUP(E241,Activities!$A$9:$M$227,13,FALSE)</f>
        <v>NL</v>
      </c>
      <c r="O241" s="23"/>
      <c r="P241" s="79" t="s">
        <v>415</v>
      </c>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v>1</v>
      </c>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v>-1.75</v>
      </c>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18"/>
      <c r="GC241" s="178">
        <f t="shared" si="43"/>
        <v>0</v>
      </c>
      <c r="GD241" s="178">
        <f t="shared" si="44"/>
        <v>9.9099999999999994E-2</v>
      </c>
      <c r="GE241" s="178">
        <f t="shared" si="45"/>
        <v>0</v>
      </c>
      <c r="GF241" s="178">
        <f t="shared" si="46"/>
        <v>0</v>
      </c>
      <c r="GG241" s="178">
        <f t="shared" si="42"/>
        <v>0</v>
      </c>
    </row>
    <row r="242" spans="1:189" x14ac:dyDescent="0.35">
      <c r="A242" s="6" t="s">
        <v>1260</v>
      </c>
      <c r="B242" s="6" t="str">
        <f>IF(Technologies!B242&lt;&gt;0,Technologies!B242,"")</f>
        <v>Elektriciteit</v>
      </c>
      <c r="C242" s="6" t="str">
        <f>VLOOKUP($A242,Technologies!$A$7:$H$576,3,FALSE)</f>
        <v>Conversion</v>
      </c>
      <c r="D242" s="6" t="str">
        <f>VLOOKUP($A242,Technologies!$A$7:$H$576,4,FALSE)</f>
        <v>Power NL</v>
      </c>
      <c r="E242" s="6" t="str">
        <f>VLOOKUP($A242,Technologies!$A$7:$H$576,6,FALSE)</f>
        <v>Electricity NL - HV</v>
      </c>
      <c r="F242" s="48" t="str">
        <f>VLOOKUP($A242,Technologies!$A$7:$H$576,7,FALSE)</f>
        <v>CCGT wCCS - Power NL</v>
      </c>
      <c r="G242" s="22">
        <v>0.85</v>
      </c>
      <c r="H242" s="22"/>
      <c r="I242" s="103" cm="1">
        <f t="array" ref="I242">-SUMPRODUCT((Feedstocks!$C$4:$C$141=A242)*Feedstocks!$E$4:$E$141,Feedstocks!$F$4:$F$141,Feedstocks!$H$4:$H$141,Feedstocks!$I$4:$I$141)</f>
        <v>0</v>
      </c>
      <c r="J242" s="103" cm="1">
        <f t="array" ref="J242">-SUMPRODUCT((Feedstocks!$C$4:$C$141=A242)*Feedstocks!$E$4:$E$141,Feedstocks!$H$4:$H$141,Feedstocks!$I$4:$I$141)</f>
        <v>0</v>
      </c>
      <c r="K242" s="103"/>
      <c r="L242" s="103"/>
      <c r="M242" s="22">
        <v>1</v>
      </c>
      <c r="N242" s="22" t="str">
        <f>VLOOKUP(E242,Activities!$A$9:$M$227,13,FALSE)</f>
        <v>NL</v>
      </c>
      <c r="O242" s="22"/>
      <c r="P242" s="80" t="s">
        <v>415</v>
      </c>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v>1</v>
      </c>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v>-2.15</v>
      </c>
      <c r="EK242" s="36"/>
      <c r="EL242" s="36"/>
      <c r="EM242" s="36"/>
      <c r="EN242" s="36"/>
      <c r="EO242" s="36"/>
      <c r="EP242" s="36"/>
      <c r="EQ242" s="36"/>
      <c r="ER242" s="36"/>
      <c r="ES242" s="36"/>
      <c r="ET242" s="36"/>
      <c r="EU242" s="36"/>
      <c r="EV242" s="36"/>
      <c r="EW242" s="36"/>
      <c r="EX242" s="36"/>
      <c r="EY242" s="36"/>
      <c r="EZ242" s="36"/>
      <c r="FA242" s="36"/>
      <c r="FB242" s="36"/>
      <c r="FC242" s="36"/>
      <c r="FD242" s="36"/>
      <c r="FE242" s="36"/>
      <c r="FF242" s="36"/>
      <c r="FG242" s="36"/>
      <c r="FH242" s="36"/>
      <c r="FI242" s="36"/>
      <c r="FJ242" s="36"/>
      <c r="FK242" s="36"/>
      <c r="FL242" s="36"/>
      <c r="FM242" s="36"/>
      <c r="FN242" s="36"/>
      <c r="FO242" s="36"/>
      <c r="FP242" s="36"/>
      <c r="FQ242" s="36"/>
      <c r="FR242" s="36"/>
      <c r="FS242" s="36"/>
      <c r="FT242" s="36"/>
      <c r="FU242" s="36"/>
      <c r="FV242" s="36"/>
      <c r="FW242" s="36"/>
      <c r="FX242" s="36"/>
      <c r="FY242" s="36"/>
      <c r="FZ242" s="36"/>
      <c r="GA242" s="36"/>
      <c r="GB242" s="319"/>
      <c r="GC242" s="179">
        <f t="shared" si="43"/>
        <v>0.10340000000000001</v>
      </c>
      <c r="GD242" s="179">
        <f t="shared" si="44"/>
        <v>1.83E-2</v>
      </c>
      <c r="GE242" s="179">
        <f t="shared" si="45"/>
        <v>0</v>
      </c>
      <c r="GF242" s="179">
        <f t="shared" si="46"/>
        <v>0</v>
      </c>
      <c r="GG242" s="179">
        <f t="shared" si="42"/>
        <v>0</v>
      </c>
    </row>
    <row r="243" spans="1:189" x14ac:dyDescent="0.35">
      <c r="A243" s="5" t="s">
        <v>1262</v>
      </c>
      <c r="B243" s="5" t="str">
        <f>IF(Technologies!B243&lt;&gt;0,Technologies!B243,"")</f>
        <v>Elektriciteit</v>
      </c>
      <c r="C243" s="5" t="str">
        <f>VLOOKUP($A243,Technologies!$A$7:$H$576,3,FALSE)</f>
        <v>Conversion</v>
      </c>
      <c r="D243" s="5" t="str">
        <f>VLOOKUP($A243,Technologies!$A$7:$H$576,4,FALSE)</f>
        <v>Power NL</v>
      </c>
      <c r="E243" s="5" t="str">
        <f>VLOOKUP($A243,Technologies!$A$7:$H$576,6,FALSE)</f>
        <v>Electricity NL - HV</v>
      </c>
      <c r="F243" s="5" t="str">
        <f>VLOOKUP($A243,Technologies!$A$7:$H$576,7,FALSE)</f>
        <v>CCGT BFG - Power NL</v>
      </c>
      <c r="G243" s="23"/>
      <c r="H243" s="23"/>
      <c r="I243" s="104" cm="1">
        <f t="array" ref="I243">-SUMPRODUCT((Feedstocks!$C$4:$C$141=A243)*Feedstocks!$E$4:$E$141,Feedstocks!$F$4:$F$141,Feedstocks!$H$4:$H$141,Feedstocks!$I$4:$I$141)</f>
        <v>0</v>
      </c>
      <c r="J243" s="104" cm="1">
        <f t="array" ref="J243">-SUMPRODUCT((Feedstocks!$C$4:$C$141=A243)*Feedstocks!$E$4:$E$141,Feedstocks!$H$4:$H$141,Feedstocks!$I$4:$I$141)</f>
        <v>0</v>
      </c>
      <c r="K243" s="104"/>
      <c r="L243" s="104"/>
      <c r="M243" s="23">
        <v>1</v>
      </c>
      <c r="N243" s="23" t="str">
        <f>VLOOKUP(E243,Activities!$A$9:$M$227,13,FALSE)</f>
        <v>NL</v>
      </c>
      <c r="O243" s="23"/>
      <c r="P243" s="79" t="s">
        <v>415</v>
      </c>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v>1</v>
      </c>
      <c r="DI243" s="35"/>
      <c r="DJ243" s="35"/>
      <c r="DK243" s="35"/>
      <c r="DL243" s="35"/>
      <c r="DM243" s="35"/>
      <c r="DN243" s="35"/>
      <c r="DO243" s="35"/>
      <c r="DP243" s="35"/>
      <c r="DQ243" s="35"/>
      <c r="DR243" s="35">
        <v>-1.96</v>
      </c>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18"/>
      <c r="GC243" s="178">
        <f t="shared" si="43"/>
        <v>0</v>
      </c>
      <c r="GD243" s="178">
        <f t="shared" si="44"/>
        <v>0.4849</v>
      </c>
      <c r="GE243" s="178">
        <f t="shared" si="45"/>
        <v>0</v>
      </c>
      <c r="GF243" s="178">
        <f t="shared" si="46"/>
        <v>0</v>
      </c>
      <c r="GG243" s="178">
        <f t="shared" si="42"/>
        <v>0</v>
      </c>
    </row>
    <row r="244" spans="1:189" x14ac:dyDescent="0.35">
      <c r="A244" s="6" t="s">
        <v>1264</v>
      </c>
      <c r="B244" s="6" t="str">
        <f>IF(Technologies!B244&lt;&gt;0,Technologies!B244,"")</f>
        <v>Elektriciteit</v>
      </c>
      <c r="C244" s="6" t="str">
        <f>VLOOKUP($A244,Technologies!$A$7:$H$576,3,FALSE)</f>
        <v>Conversion</v>
      </c>
      <c r="D244" s="6" t="str">
        <f>VLOOKUP($A244,Technologies!$A$7:$H$576,4,FALSE)</f>
        <v>Power NL</v>
      </c>
      <c r="E244" s="6" t="str">
        <f>VLOOKUP($A244,Technologies!$A$7:$H$576,6,FALSE)</f>
        <v>Electricity NL - HV</v>
      </c>
      <c r="F244" s="48" t="str">
        <f>VLOOKUP($A244,Technologies!$A$7:$H$576,7,FALSE)</f>
        <v>GT - Power NL</v>
      </c>
      <c r="G244" s="22"/>
      <c r="H244" s="22"/>
      <c r="I244" s="103" cm="1">
        <f t="array" ref="I244">-SUMPRODUCT((Feedstocks!$C$4:$C$141=A244)*Feedstocks!$E$4:$E$141,Feedstocks!$F$4:$F$141,Feedstocks!$H$4:$H$141,Feedstocks!$I$4:$I$141)</f>
        <v>0</v>
      </c>
      <c r="J244" s="103" cm="1">
        <f t="array" ref="J244">-SUMPRODUCT((Feedstocks!$C$4:$C$141=A244)*Feedstocks!$E$4:$E$141,Feedstocks!$H$4:$H$141,Feedstocks!$I$4:$I$141)</f>
        <v>0</v>
      </c>
      <c r="K244" s="103"/>
      <c r="L244" s="103"/>
      <c r="M244" s="22">
        <v>1</v>
      </c>
      <c r="N244" s="22" t="str">
        <f>VLOOKUP(E244,Activities!$A$9:$M$227,13,FALSE)</f>
        <v>NL</v>
      </c>
      <c r="O244" s="22"/>
      <c r="P244" s="80" t="s">
        <v>415</v>
      </c>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v>1</v>
      </c>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v>-2.74</v>
      </c>
      <c r="EK244" s="36"/>
      <c r="EL244" s="36"/>
      <c r="EM244" s="36"/>
      <c r="EN244" s="36"/>
      <c r="EO244" s="36"/>
      <c r="EP244" s="36"/>
      <c r="EQ244" s="36"/>
      <c r="ER244" s="36"/>
      <c r="ES244" s="36"/>
      <c r="ET244" s="36"/>
      <c r="EU244" s="36"/>
      <c r="EV244" s="36"/>
      <c r="EW244" s="36"/>
      <c r="EX244" s="36"/>
      <c r="EY244" s="36"/>
      <c r="EZ244" s="36"/>
      <c r="FA244" s="36"/>
      <c r="FB244" s="36"/>
      <c r="FC244" s="36"/>
      <c r="FD244" s="36"/>
      <c r="FE244" s="36"/>
      <c r="FF244" s="36"/>
      <c r="FG244" s="36"/>
      <c r="FH244" s="36"/>
      <c r="FI244" s="36"/>
      <c r="FJ244" s="36"/>
      <c r="FK244" s="36"/>
      <c r="FL244" s="36"/>
      <c r="FM244" s="36"/>
      <c r="FN244" s="36"/>
      <c r="FO244" s="36"/>
      <c r="FP244" s="36"/>
      <c r="FQ244" s="36"/>
      <c r="FR244" s="36"/>
      <c r="FS244" s="36"/>
      <c r="FT244" s="36"/>
      <c r="FU244" s="36"/>
      <c r="FV244" s="36"/>
      <c r="FW244" s="36"/>
      <c r="FX244" s="36"/>
      <c r="FY244" s="36"/>
      <c r="FZ244" s="36"/>
      <c r="GA244" s="36"/>
      <c r="GB244" s="319"/>
      <c r="GC244" s="179">
        <f t="shared" si="43"/>
        <v>0</v>
      </c>
      <c r="GD244" s="179">
        <f t="shared" si="44"/>
        <v>0.15509999999999999</v>
      </c>
      <c r="GE244" s="179">
        <f t="shared" si="45"/>
        <v>0</v>
      </c>
      <c r="GF244" s="179">
        <f t="shared" si="46"/>
        <v>0</v>
      </c>
      <c r="GG244" s="179">
        <f t="shared" si="42"/>
        <v>0</v>
      </c>
    </row>
    <row r="245" spans="1:189" x14ac:dyDescent="0.35">
      <c r="A245" s="5" t="s">
        <v>1266</v>
      </c>
      <c r="B245" s="5" t="str">
        <f>IF(Technologies!B245&lt;&gt;0,Technologies!B245,"")</f>
        <v>Elektriciteit</v>
      </c>
      <c r="C245" s="5" t="str">
        <f>VLOOKUP($A245,Technologies!$A$7:$H$576,3,FALSE)</f>
        <v>Conversion</v>
      </c>
      <c r="D245" s="5" t="str">
        <f>VLOOKUP($A245,Technologies!$A$7:$H$576,4,FALSE)</f>
        <v>Power NL</v>
      </c>
      <c r="E245" s="5" t="str">
        <f>VLOOKUP($A245,Technologies!$A$7:$H$576,6,FALSE)</f>
        <v>Electricity NL - HV</v>
      </c>
      <c r="F245" s="5" t="str">
        <f>VLOOKUP($A245,Technologies!$A$7:$H$576,7,FALSE)</f>
        <v>Hydrogen SOFC - Power NL</v>
      </c>
      <c r="G245" s="23"/>
      <c r="H245" s="23"/>
      <c r="I245" s="104" cm="1">
        <f t="array" ref="I245">-SUMPRODUCT((Feedstocks!$C$4:$C$141=A245)*Feedstocks!$E$4:$E$141,Feedstocks!$F$4:$F$141,Feedstocks!$H$4:$H$141,Feedstocks!$I$4:$I$141)</f>
        <v>0</v>
      </c>
      <c r="J245" s="104" cm="1">
        <f t="array" ref="J245">-SUMPRODUCT((Feedstocks!$C$4:$C$141=A245)*Feedstocks!$E$4:$E$141,Feedstocks!$H$4:$H$141,Feedstocks!$I$4:$I$141)</f>
        <v>0</v>
      </c>
      <c r="K245" s="104"/>
      <c r="L245" s="104"/>
      <c r="M245" s="23">
        <v>1</v>
      </c>
      <c r="N245" s="23" t="str">
        <f>VLOOKUP(E245,Activities!$A$9:$M$227,13,FALSE)</f>
        <v>NL</v>
      </c>
      <c r="O245" s="23"/>
      <c r="P245" s="79" t="s">
        <v>1268</v>
      </c>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v>1</v>
      </c>
      <c r="DI245" s="35"/>
      <c r="DJ245" s="35"/>
      <c r="DK245" s="35"/>
      <c r="DL245" s="35"/>
      <c r="DM245" s="35">
        <v>1.25</v>
      </c>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v>-3.75</v>
      </c>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18"/>
      <c r="GC245" s="178">
        <f t="shared" si="43"/>
        <v>0</v>
      </c>
      <c r="GD245" s="178">
        <f t="shared" si="44"/>
        <v>0</v>
      </c>
      <c r="GE245" s="178">
        <f t="shared" si="45"/>
        <v>0</v>
      </c>
      <c r="GF245" s="178">
        <f t="shared" si="46"/>
        <v>0</v>
      </c>
      <c r="GG245" s="178">
        <f t="shared" si="42"/>
        <v>0</v>
      </c>
    </row>
    <row r="246" spans="1:189" x14ac:dyDescent="0.35">
      <c r="A246" s="6" t="s">
        <v>1269</v>
      </c>
      <c r="B246" s="5" t="str">
        <f>IF(Technologies!B246&lt;&gt;0,Technologies!B246,"")</f>
        <v>Elektriciteit</v>
      </c>
      <c r="C246" s="5" t="str">
        <f>VLOOKUP($A246,Technologies!$A$7:$H$576,3,FALSE)</f>
        <v>Conversion</v>
      </c>
      <c r="D246" s="5" t="str">
        <f>VLOOKUP($A246,Technologies!$A$7:$H$576,4,FALSE)</f>
        <v>Power NL</v>
      </c>
      <c r="E246" s="5" t="str">
        <f>VLOOKUP($A246,Technologies!$A$7:$H$576,6,FALSE)</f>
        <v>Electricity NL - HV</v>
      </c>
      <c r="F246" s="5" t="str">
        <f>VLOOKUP($A246,Technologies!$A$7:$H$576,7,FALSE)</f>
        <v>Hydrogen CCGT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1268</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-2.5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5" t="s">
        <v>1271</v>
      </c>
      <c r="B247" s="6" t="str">
        <f>IF(Technologies!B247&lt;&gt;0,Technologies!B247,"")</f>
        <v>Elektriciteit</v>
      </c>
      <c r="C247" s="6" t="str">
        <f>VLOOKUP($A247,Technologies!$A$7:$H$576,3,FALSE)</f>
        <v>Conversion</v>
      </c>
      <c r="D247" s="6" t="str">
        <f>VLOOKUP($A247,Technologies!$A$7:$H$576,4,FALSE)</f>
        <v>Power NL</v>
      </c>
      <c r="E247" s="6" t="str">
        <f>VLOOKUP($A247,Technologies!$A$7:$H$576,6,FALSE)</f>
        <v>Electricity NL - HV</v>
      </c>
      <c r="F247" s="48" t="str">
        <f>VLOOKUP($A247,Technologies!$A$7:$H$576,7,FALSE)</f>
        <v>Nuclear - Borssele - Power NL</v>
      </c>
      <c r="G247" s="22"/>
      <c r="H247" s="22"/>
      <c r="I247" s="103" cm="1">
        <f t="array" ref="I247">-SUMPRODUCT((Feedstocks!$C$4:$C$141=A247)*Feedstocks!$E$4:$E$141,Feedstocks!$F$4:$F$141,Feedstocks!$H$4:$H$141,Feedstocks!$I$4:$I$141)</f>
        <v>0</v>
      </c>
      <c r="J247" s="103" cm="1">
        <f t="array" ref="J247">-SUMPRODUCT((Feedstocks!$C$4:$C$141=A247)*Feedstocks!$E$4:$E$141,Feedstocks!$H$4:$H$141,Feedstocks!$I$4:$I$141)</f>
        <v>0</v>
      </c>
      <c r="K247" s="103"/>
      <c r="L247" s="103"/>
      <c r="M247" s="22">
        <v>1</v>
      </c>
      <c r="N247" s="22" t="str">
        <f>VLOOKUP(E247,Activities!$A$9:$M$227,13,FALSE)</f>
        <v>NL</v>
      </c>
      <c r="O247" s="22"/>
      <c r="P247" s="80" t="s">
        <v>1823</v>
      </c>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v>1</v>
      </c>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c r="EV247" s="36">
        <v>-2.86</v>
      </c>
      <c r="EW247" s="36"/>
      <c r="EX247" s="36"/>
      <c r="EY247" s="36"/>
      <c r="EZ247" s="36"/>
      <c r="FA247" s="36"/>
      <c r="FB247" s="36"/>
      <c r="FC247" s="36"/>
      <c r="FD247" s="36"/>
      <c r="FE247" s="36"/>
      <c r="FF247" s="36"/>
      <c r="FG247" s="36"/>
      <c r="FH247" s="36"/>
      <c r="FI247" s="36"/>
      <c r="FJ247" s="36"/>
      <c r="FK247" s="36"/>
      <c r="FL247" s="36"/>
      <c r="FM247" s="36"/>
      <c r="FN247" s="36"/>
      <c r="FO247" s="36"/>
      <c r="FP247" s="36"/>
      <c r="FQ247" s="36"/>
      <c r="FR247" s="36"/>
      <c r="FS247" s="36"/>
      <c r="FT247" s="36"/>
      <c r="FU247" s="36"/>
      <c r="FV247" s="36"/>
      <c r="FW247" s="36"/>
      <c r="FX247" s="36"/>
      <c r="FY247" s="36"/>
      <c r="FZ247" s="36"/>
      <c r="GA247" s="36"/>
      <c r="GB247" s="319"/>
      <c r="GC247" s="179">
        <f t="shared" si="43"/>
        <v>0</v>
      </c>
      <c r="GD247" s="179">
        <f t="shared" si="44"/>
        <v>0</v>
      </c>
      <c r="GE247" s="179">
        <f t="shared" si="45"/>
        <v>0</v>
      </c>
      <c r="GF247" s="179">
        <f t="shared" si="46"/>
        <v>0</v>
      </c>
      <c r="GG247" s="179">
        <f t="shared" si="42"/>
        <v>0</v>
      </c>
    </row>
    <row r="248" spans="1:189" x14ac:dyDescent="0.35">
      <c r="A248" s="6" t="s">
        <v>1274</v>
      </c>
      <c r="B248" s="5" t="str">
        <f>IF(Technologies!B248&lt;&gt;0,Technologies!B248,"")</f>
        <v>Elektriciteit</v>
      </c>
      <c r="C248" s="5" t="str">
        <f>VLOOKUP($A248,Technologies!$A$7:$H$576,3,FALSE)</f>
        <v>Conversion</v>
      </c>
      <c r="D248" s="5" t="str">
        <f>VLOOKUP($A248,Technologies!$A$7:$H$576,4,FALSE)</f>
        <v>Power NL</v>
      </c>
      <c r="E248" s="5" t="str">
        <f>VLOOKUP($A248,Technologies!$A$7:$H$576,6,FALSE)</f>
        <v>Electricity NL - HV</v>
      </c>
      <c r="F248" s="5" t="str">
        <f>VLOOKUP($A248,Technologies!$A$7:$H$576,7,FALSE)</f>
        <v>Nuclear - Gen III - Power NL</v>
      </c>
      <c r="G248" s="23"/>
      <c r="H248" s="23"/>
      <c r="I248" s="104" cm="1">
        <f t="array" ref="I248">-SUMPRODUCT((Feedstocks!$C$4:$C$141=A248)*Feedstocks!$E$4:$E$141,Feedstocks!$F$4:$F$141,Feedstocks!$H$4:$H$141,Feedstocks!$I$4:$I$141)</f>
        <v>0</v>
      </c>
      <c r="J248" s="104" cm="1">
        <f t="array" ref="J248">-SUMPRODUCT((Feedstocks!$C$4:$C$141=A248)*Feedstocks!$E$4:$E$141,Feedstocks!$H$4:$H$141,Feedstocks!$I$4:$I$141)</f>
        <v>0</v>
      </c>
      <c r="K248" s="104"/>
      <c r="L248" s="104"/>
      <c r="M248" s="23">
        <v>1</v>
      </c>
      <c r="N248" s="23" t="str">
        <f>VLOOKUP(E248,Activities!$A$9:$M$227,13,FALSE)</f>
        <v>NL</v>
      </c>
      <c r="O248" s="23"/>
      <c r="P248" s="79" t="s">
        <v>1824</v>
      </c>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v>1</v>
      </c>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v>-2.86</v>
      </c>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18"/>
      <c r="GC248" s="178">
        <f t="shared" si="43"/>
        <v>0</v>
      </c>
      <c r="GD248" s="178">
        <f t="shared" si="44"/>
        <v>0</v>
      </c>
      <c r="GE248" s="178">
        <f t="shared" si="45"/>
        <v>0</v>
      </c>
      <c r="GF248" s="178">
        <f t="shared" si="46"/>
        <v>0</v>
      </c>
      <c r="GG248" s="178">
        <f t="shared" si="42"/>
        <v>0</v>
      </c>
    </row>
    <row r="249" spans="1:189" x14ac:dyDescent="0.35">
      <c r="A249" s="5" t="s">
        <v>1276</v>
      </c>
      <c r="B249" s="5" t="str">
        <f>IF(Technologies!B249&lt;&gt;0,Technologies!B249,"")</f>
        <v>Elektriciteit</v>
      </c>
      <c r="C249" s="5" t="str">
        <f>VLOOKUP($A249,Technologies!$A$7:$H$576,3,FALSE)</f>
        <v>Conversion</v>
      </c>
      <c r="D249" s="5" t="str">
        <f>VLOOKUP($A249,Technologies!$A$7:$H$576,4,FALSE)</f>
        <v>Power NL</v>
      </c>
      <c r="E249" s="5" t="str">
        <f>VLOOKUP($A249,Technologies!$A$7:$H$576,6,FALSE)</f>
        <v>Electricity NL - HV</v>
      </c>
      <c r="F249" s="5" t="str">
        <f>VLOOKUP($A249,Technologies!$A$7:$H$576,7,FALSE)</f>
        <v>Nuclear SMR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1824</v>
      </c>
      <c r="Q249" s="35"/>
      <c r="R249" s="35"/>
      <c r="S249" s="35"/>
      <c r="T249" s="35"/>
      <c r="U249" s="35"/>
      <c r="V249" s="35"/>
      <c r="W249" s="35"/>
      <c r="X249" s="35"/>
      <c r="Y249" s="35"/>
      <c r="Z249" s="35"/>
      <c r="AA249" s="35"/>
      <c r="AB249" s="35"/>
      <c r="AC249" s="35"/>
      <c r="AD249" s="35"/>
      <c r="AE249" s="35"/>
      <c r="AF249" s="36"/>
      <c r="AG249" s="36"/>
      <c r="AH249" s="36"/>
      <c r="AI249" s="36"/>
      <c r="AJ249" s="36"/>
      <c r="AK249" s="36"/>
      <c r="AL249" s="36"/>
      <c r="AM249" s="36"/>
      <c r="AN249" s="36"/>
      <c r="AO249" s="36"/>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-2.5</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6" t="s">
        <v>1279</v>
      </c>
      <c r="B250" s="6" t="str">
        <f>IF(Technologies!B250&lt;&gt;0,Technologies!B250,"")</f>
        <v>Elektriciteit</v>
      </c>
      <c r="C250" s="6" t="str">
        <f>VLOOKUP($A250,Technologies!$A$7:$H$576,3,FALSE)</f>
        <v>Conversion</v>
      </c>
      <c r="D250" s="6" t="str">
        <f>VLOOKUP($A250,Technologies!$A$7:$H$576,4,FALSE)</f>
        <v>Power NL</v>
      </c>
      <c r="E250" s="6" t="str">
        <f>VLOOKUP($A250,Technologies!$A$7:$H$576,6,FALSE)</f>
        <v>Electricity NL - HV</v>
      </c>
      <c r="F250" s="48" t="str">
        <f>VLOOKUP($A250,Technologies!$A$7:$H$576,7,FALSE)</f>
        <v>Biomass - Power NL</v>
      </c>
      <c r="G250" s="22"/>
      <c r="H250" s="22"/>
      <c r="I250" s="103" cm="1">
        <f t="array" ref="I250">-SUMPRODUCT((Feedstocks!$C$4:$C$141=A250)*Feedstocks!$E$4:$E$141,Feedstocks!$F$4:$F$141,Feedstocks!$H$4:$H$141,Feedstocks!$I$4:$I$141)</f>
        <v>0</v>
      </c>
      <c r="J250" s="103" cm="1">
        <f t="array" ref="J250">-SUMPRODUCT((Feedstocks!$C$4:$C$141=A250)*Feedstocks!$E$4:$E$141,Feedstocks!$H$4:$H$141,Feedstocks!$I$4:$I$141)</f>
        <v>0</v>
      </c>
      <c r="K250" s="103"/>
      <c r="L250" s="103"/>
      <c r="M250" s="22">
        <v>1</v>
      </c>
      <c r="N250" s="22" t="str">
        <f>VLOOKUP(E250,Activities!$A$9:$M$227,13,FALSE)</f>
        <v>NL</v>
      </c>
      <c r="O250" s="22"/>
      <c r="P250" s="80" t="s">
        <v>415</v>
      </c>
      <c r="Q250" s="36"/>
      <c r="R250" s="36"/>
      <c r="S250" s="36"/>
      <c r="T250" s="36"/>
      <c r="U250" s="36"/>
      <c r="V250" s="36"/>
      <c r="W250" s="36"/>
      <c r="X250" s="36"/>
      <c r="Y250" s="36"/>
      <c r="Z250" s="36"/>
      <c r="AA250" s="36"/>
      <c r="AB250" s="36"/>
      <c r="AC250" s="36"/>
      <c r="AD250" s="36"/>
      <c r="AE250" s="36"/>
      <c r="AF250" s="35"/>
      <c r="AG250" s="35"/>
      <c r="AH250" s="35"/>
      <c r="AI250" s="35"/>
      <c r="AJ250" s="35"/>
      <c r="AK250" s="35"/>
      <c r="AL250" s="35"/>
      <c r="AM250" s="35"/>
      <c r="AN250" s="35"/>
      <c r="AO250" s="35"/>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v>1</v>
      </c>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v>-2.08</v>
      </c>
      <c r="ES250" s="36"/>
      <c r="ET250" s="36"/>
      <c r="EU250" s="36"/>
      <c r="EV250" s="36"/>
      <c r="EW250" s="36"/>
      <c r="EX250" s="36"/>
      <c r="EY250" s="36"/>
      <c r="EZ250" s="36"/>
      <c r="FA250" s="36"/>
      <c r="FB250" s="36"/>
      <c r="FC250" s="36"/>
      <c r="FD250" s="36"/>
      <c r="FE250" s="36"/>
      <c r="FF250" s="36"/>
      <c r="FG250" s="36"/>
      <c r="FH250" s="36"/>
      <c r="FI250" s="36"/>
      <c r="FJ250" s="36"/>
      <c r="FK250" s="36"/>
      <c r="FL250" s="36"/>
      <c r="FM250" s="36"/>
      <c r="FN250" s="36"/>
      <c r="FO250" s="36"/>
      <c r="FP250" s="36"/>
      <c r="FQ250" s="36"/>
      <c r="FR250" s="36"/>
      <c r="FS250" s="36"/>
      <c r="FT250" s="36"/>
      <c r="FU250" s="36"/>
      <c r="FV250" s="36"/>
      <c r="FW250" s="36"/>
      <c r="FX250" s="36"/>
      <c r="FY250" s="36"/>
      <c r="FZ250" s="36"/>
      <c r="GA250" s="36"/>
      <c r="GB250" s="319"/>
      <c r="GC250" s="179">
        <f t="shared" si="43"/>
        <v>0</v>
      </c>
      <c r="GD250" s="179">
        <f t="shared" si="44"/>
        <v>0</v>
      </c>
      <c r="GE250" s="179">
        <f t="shared" si="45"/>
        <v>0</v>
      </c>
      <c r="GF250" s="179">
        <f t="shared" si="46"/>
        <v>0</v>
      </c>
      <c r="GG250" s="179">
        <f t="shared" si="42"/>
        <v>0</v>
      </c>
    </row>
    <row r="251" spans="1:189" x14ac:dyDescent="0.35">
      <c r="A251" s="5" t="s">
        <v>1281</v>
      </c>
      <c r="B251" s="5" t="str">
        <f>IF(Technologies!B251&lt;&gt;0,Technologies!B251,"")</f>
        <v>Elektriciteit</v>
      </c>
      <c r="C251" s="5" t="str">
        <f>VLOOKUP($A251,Technologies!$A$7:$H$576,3,FALSE)</f>
        <v>Conversion</v>
      </c>
      <c r="D251" s="5" t="str">
        <f>VLOOKUP($A251,Technologies!$A$7:$H$576,4,FALSE)</f>
        <v>Power NL</v>
      </c>
      <c r="E251" s="5" t="str">
        <f>VLOOKUP($A251,Technologies!$A$7:$H$576,6,FALSE)</f>
        <v>Electricity NL - HV</v>
      </c>
      <c r="F251" s="5" t="str">
        <f>VLOOKUP($A251,Technologies!$A$7:$H$576,7,FALSE)</f>
        <v>Biomass wCCS - Power NL</v>
      </c>
      <c r="G251" s="23">
        <v>0.85</v>
      </c>
      <c r="H251" s="23"/>
      <c r="I251" s="104" cm="1">
        <f t="array" ref="I251">-SUMPRODUCT((Feedstocks!$C$4:$C$141=A251)*Feedstocks!$E$4:$E$141,Feedstocks!$F$4:$F$141,Feedstocks!$H$4:$H$141,Feedstocks!$I$4:$I$141)</f>
        <v>0</v>
      </c>
      <c r="J251" s="104" cm="1">
        <f t="array" ref="J251">-SUMPRODUCT((Feedstocks!$C$4:$C$141=A251)*Feedstocks!$E$4:$E$141,Feedstocks!$H$4:$H$141,Feedstocks!$I$4:$I$141)</f>
        <v>0</v>
      </c>
      <c r="K251" s="104"/>
      <c r="L251" s="104"/>
      <c r="M251" s="23">
        <v>1</v>
      </c>
      <c r="N251" s="23" t="str">
        <f>VLOOKUP(E251,Activities!$A$9:$M$227,13,FALSE)</f>
        <v>NL</v>
      </c>
      <c r="O251" s="23"/>
      <c r="P251" s="79" t="s">
        <v>415</v>
      </c>
      <c r="Q251" s="35"/>
      <c r="R251" s="35"/>
      <c r="S251" s="35"/>
      <c r="T251" s="35"/>
      <c r="U251" s="35"/>
      <c r="V251" s="35"/>
      <c r="W251" s="35"/>
      <c r="X251" s="35"/>
      <c r="Y251" s="35"/>
      <c r="Z251" s="35"/>
      <c r="AA251" s="35"/>
      <c r="AB251" s="35"/>
      <c r="AC251" s="35"/>
      <c r="AD251" s="35"/>
      <c r="AE251" s="35"/>
      <c r="AF251" s="36"/>
      <c r="AG251" s="36"/>
      <c r="AH251" s="36"/>
      <c r="AI251" s="36"/>
      <c r="AJ251" s="36"/>
      <c r="AK251" s="36"/>
      <c r="AL251" s="36"/>
      <c r="AM251" s="36"/>
      <c r="AN251" s="36"/>
      <c r="AO251" s="36"/>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v>1</v>
      </c>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v>-2.08</v>
      </c>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18">
        <f>GC251</f>
        <v>0.1938</v>
      </c>
      <c r="GC251" s="178">
        <f t="shared" si="43"/>
        <v>0.1938</v>
      </c>
      <c r="GD251" s="178">
        <f t="shared" si="44"/>
        <v>-0.1938</v>
      </c>
      <c r="GE251" s="178">
        <f t="shared" si="45"/>
        <v>0</v>
      </c>
      <c r="GF251" s="178">
        <f t="shared" si="46"/>
        <v>0</v>
      </c>
      <c r="GG251" s="178">
        <f t="shared" si="42"/>
        <v>0</v>
      </c>
    </row>
    <row r="252" spans="1:189" x14ac:dyDescent="0.35">
      <c r="A252" s="6" t="s">
        <v>1283</v>
      </c>
      <c r="B252" s="6" t="str">
        <f>IF(Technologies!B252&lt;&gt;0,Technologies!B252,"")</f>
        <v>Elektriciteit</v>
      </c>
      <c r="C252" s="6" t="str">
        <f>VLOOKUP($A252,Technologies!$A$7:$H$576,3,FALSE)</f>
        <v>Conversion</v>
      </c>
      <c r="D252" s="6" t="str">
        <f>VLOOKUP($A252,Technologies!$A$7:$H$576,4,FALSE)</f>
        <v>Power NL</v>
      </c>
      <c r="E252" s="6" t="str">
        <f>VLOOKUP($A252,Technologies!$A$7:$H$576,6,FALSE)</f>
        <v>Electricity NL - HV</v>
      </c>
      <c r="F252" s="48" t="str">
        <f>VLOOKUP($A252,Technologies!$A$7:$H$576,7,FALSE)</f>
        <v>Onshore Wind - Power NL</v>
      </c>
      <c r="G252" s="22"/>
      <c r="H252" s="22"/>
      <c r="I252" s="103" cm="1">
        <f t="array" ref="I252">-SUMPRODUCT((Feedstocks!$C$4:$C$141=A252)*Feedstocks!$E$4:$E$141,Feedstocks!$F$4:$F$141,Feedstocks!$H$4:$H$141,Feedstocks!$I$4:$I$141)</f>
        <v>0</v>
      </c>
      <c r="J252" s="103" cm="1">
        <f t="array" ref="J252">-SUMPRODUCT((Feedstocks!$C$4:$C$141=A252)*Feedstocks!$E$4:$E$141,Feedstocks!$H$4:$H$141,Feedstocks!$I$4:$I$141)</f>
        <v>0</v>
      </c>
      <c r="K252" s="103"/>
      <c r="L252" s="103"/>
      <c r="M252" s="22">
        <v>1</v>
      </c>
      <c r="N252" s="22" t="str">
        <f>VLOOKUP(E252,Activities!$A$9:$M$227,13,FALSE)</f>
        <v>NL</v>
      </c>
      <c r="O252" s="22"/>
      <c r="P252" s="80" t="s">
        <v>415</v>
      </c>
      <c r="Q252" s="36"/>
      <c r="R252" s="36"/>
      <c r="S252" s="36"/>
      <c r="T252" s="36"/>
      <c r="U252" s="36"/>
      <c r="V252" s="36"/>
      <c r="W252" s="36"/>
      <c r="X252" s="36"/>
      <c r="Y252" s="36"/>
      <c r="Z252" s="36"/>
      <c r="AA252" s="36"/>
      <c r="AB252" s="36"/>
      <c r="AC252" s="36"/>
      <c r="AD252" s="36"/>
      <c r="AE252" s="36"/>
      <c r="AF252" s="35"/>
      <c r="AG252" s="35"/>
      <c r="AH252" s="35"/>
      <c r="AI252" s="35"/>
      <c r="AJ252" s="35"/>
      <c r="AK252" s="35"/>
      <c r="AL252" s="35"/>
      <c r="AM252" s="35"/>
      <c r="AN252" s="35"/>
      <c r="AO252" s="35"/>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v>1</v>
      </c>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c r="EV252" s="36"/>
      <c r="EW252" s="36"/>
      <c r="EX252" s="36"/>
      <c r="EY252" s="36"/>
      <c r="EZ252" s="36"/>
      <c r="FA252" s="36"/>
      <c r="FB252" s="36"/>
      <c r="FC252" s="36"/>
      <c r="FD252" s="36"/>
      <c r="FE252" s="36"/>
      <c r="FF252" s="36"/>
      <c r="FG252" s="36"/>
      <c r="FH252" s="36"/>
      <c r="FI252" s="36"/>
      <c r="FJ252" s="36">
        <v>-1</v>
      </c>
      <c r="FK252" s="36"/>
      <c r="FL252" s="36"/>
      <c r="FM252" s="36"/>
      <c r="FN252" s="36"/>
      <c r="FO252" s="36"/>
      <c r="FP252" s="36"/>
      <c r="FQ252" s="36"/>
      <c r="FR252" s="36"/>
      <c r="FS252" s="36"/>
      <c r="FT252" s="36"/>
      <c r="FU252" s="36"/>
      <c r="FV252" s="36"/>
      <c r="FW252" s="36"/>
      <c r="FX252" s="36"/>
      <c r="FY252" s="36"/>
      <c r="FZ252" s="36"/>
      <c r="GA252" s="36"/>
      <c r="GB252" s="319"/>
      <c r="GC252" s="179">
        <f t="shared" si="43"/>
        <v>0</v>
      </c>
      <c r="GD252" s="179">
        <f t="shared" si="44"/>
        <v>0</v>
      </c>
      <c r="GE252" s="179">
        <f t="shared" si="45"/>
        <v>0</v>
      </c>
      <c r="GF252" s="179">
        <f t="shared" si="46"/>
        <v>0</v>
      </c>
      <c r="GG252" s="179">
        <f t="shared" si="42"/>
        <v>0</v>
      </c>
    </row>
    <row r="253" spans="1:189" x14ac:dyDescent="0.35">
      <c r="A253" s="5" t="s">
        <v>1286</v>
      </c>
      <c r="B253" s="5" t="str">
        <f>IF(Technologies!B253&lt;&gt;0,Technologies!B253,"")</f>
        <v>Elektriciteit</v>
      </c>
      <c r="C253" s="5" t="str">
        <f>VLOOKUP($A253,Technologies!$A$7:$H$576,3,FALSE)</f>
        <v>Conversion</v>
      </c>
      <c r="D253" s="5" t="str">
        <f>VLOOKUP($A253,Technologies!$A$7:$H$576,4,FALSE)</f>
        <v>Power NL</v>
      </c>
      <c r="E253" s="5" t="str">
        <f>VLOOKUP($A253,Technologies!$A$7:$H$576,6,FALSE)</f>
        <v>Electricity NL - HV</v>
      </c>
      <c r="F253" s="5" t="str">
        <f>VLOOKUP($A253,Technologies!$A$7:$H$576,7,FALSE)</f>
        <v>Offshore Wind (near)- Power NL</v>
      </c>
      <c r="G253" s="23"/>
      <c r="H253" s="23"/>
      <c r="I253" s="104" cm="1">
        <f t="array" ref="I253">-SUMPRODUCT((Feedstocks!$C$4:$C$141=A253)*Feedstocks!$E$4:$E$141,Feedstocks!$F$4:$F$141,Feedstocks!$H$4:$H$141,Feedstocks!$I$4:$I$141)</f>
        <v>0</v>
      </c>
      <c r="J253" s="104" cm="1">
        <f t="array" ref="J253">-SUMPRODUCT((Feedstocks!$C$4:$C$141=A253)*Feedstocks!$E$4:$E$141,Feedstocks!$H$4:$H$141,Feedstocks!$I$4:$I$141)</f>
        <v>0</v>
      </c>
      <c r="K253" s="104"/>
      <c r="L253" s="104"/>
      <c r="M253" s="23">
        <v>1</v>
      </c>
      <c r="N253" s="23" t="str">
        <f>VLOOKUP(E253,Activities!$A$9:$M$227,13,FALSE)</f>
        <v>NL</v>
      </c>
      <c r="O253" s="23"/>
      <c r="P253" s="79" t="s">
        <v>415</v>
      </c>
      <c r="Q253" s="35"/>
      <c r="R253" s="35"/>
      <c r="S253" s="35"/>
      <c r="T253" s="35"/>
      <c r="U253" s="35"/>
      <c r="V253" s="35"/>
      <c r="W253" s="35"/>
      <c r="X253" s="35"/>
      <c r="Y253" s="35"/>
      <c r="Z253" s="35"/>
      <c r="AA253" s="35"/>
      <c r="AB253" s="35"/>
      <c r="AC253" s="35"/>
      <c r="AD253" s="35"/>
      <c r="AE253" s="35"/>
      <c r="AF253" s="36"/>
      <c r="AG253" s="36"/>
      <c r="AH253" s="36"/>
      <c r="AI253" s="36"/>
      <c r="AJ253" s="36"/>
      <c r="AK253" s="36"/>
      <c r="AL253" s="36"/>
      <c r="AM253" s="36"/>
      <c r="AN253" s="36"/>
      <c r="AO253" s="36"/>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v>1</v>
      </c>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v>-1</v>
      </c>
      <c r="FK253" s="35"/>
      <c r="FL253" s="35"/>
      <c r="FM253" s="35"/>
      <c r="FN253" s="35"/>
      <c r="FO253" s="35"/>
      <c r="FP253" s="35"/>
      <c r="FQ253" s="35"/>
      <c r="FR253" s="35"/>
      <c r="FS253" s="35"/>
      <c r="FT253" s="35"/>
      <c r="FU253" s="35"/>
      <c r="FV253" s="35"/>
      <c r="FW253" s="35"/>
      <c r="FX253" s="35"/>
      <c r="FY253" s="35"/>
      <c r="FZ253" s="35"/>
      <c r="GA253" s="35"/>
      <c r="GB253" s="318"/>
      <c r="GC253" s="178">
        <f t="shared" si="43"/>
        <v>0</v>
      </c>
      <c r="GD253" s="178">
        <f t="shared" si="44"/>
        <v>0</v>
      </c>
      <c r="GE253" s="178">
        <f t="shared" si="45"/>
        <v>0</v>
      </c>
      <c r="GF253" s="178">
        <f t="shared" si="46"/>
        <v>0</v>
      </c>
      <c r="GG253" s="178">
        <f t="shared" si="42"/>
        <v>0</v>
      </c>
    </row>
    <row r="254" spans="1:189" x14ac:dyDescent="0.35">
      <c r="A254" s="6" t="s">
        <v>1288</v>
      </c>
      <c r="B254" s="6" t="str">
        <f>IF(Technologies!B254&lt;&gt;0,Technologies!B254,"")</f>
        <v>Gebouwde omgeving</v>
      </c>
      <c r="C254" s="6" t="str">
        <f>VLOOKUP($A254,Technologies!$A$7:$H$576,3,FALSE)</f>
        <v>Conversion</v>
      </c>
      <c r="D254" s="6" t="str">
        <f>VLOOKUP($A254,Technologies!$A$7:$H$576,4,FALSE)</f>
        <v>Power NL</v>
      </c>
      <c r="E254" s="6" t="str">
        <f>VLOOKUP($A254,Technologies!$A$7:$H$576,6,FALSE)</f>
        <v>Electricity NL - LV</v>
      </c>
      <c r="F254" s="48" t="str">
        <f>VLOOKUP($A254,Technologies!$A$7:$H$576,7,FALSE)</f>
        <v>Solar PV - Residential- Power NL</v>
      </c>
      <c r="G254" s="22"/>
      <c r="H254" s="22"/>
      <c r="I254" s="103" cm="1">
        <f t="array" ref="I254">-SUMPRODUCT((Feedstocks!$C$4:$C$141=A254)*Feedstocks!$E$4:$E$141,Feedstocks!$F$4:$F$141,Feedstocks!$H$4:$H$141,Feedstocks!$I$4:$I$141)</f>
        <v>0</v>
      </c>
      <c r="J254" s="103" cm="1">
        <f t="array" ref="J254">-SUMPRODUCT((Feedstocks!$C$4:$C$141=A254)*Feedstocks!$E$4:$E$141,Feedstocks!$H$4:$H$141,Feedstocks!$I$4:$I$141)</f>
        <v>0</v>
      </c>
      <c r="K254" s="103"/>
      <c r="L254" s="103"/>
      <c r="M254" s="22">
        <v>1</v>
      </c>
      <c r="N254" s="22" t="str">
        <f>VLOOKUP(E254,Activities!$A$9:$M$227,13,FALSE)</f>
        <v>NL</v>
      </c>
      <c r="O254" s="22"/>
      <c r="P254" s="80" t="s">
        <v>415</v>
      </c>
      <c r="Q254" s="36"/>
      <c r="R254" s="36"/>
      <c r="S254" s="36"/>
      <c r="T254" s="36"/>
      <c r="U254" s="36"/>
      <c r="V254" s="36"/>
      <c r="W254" s="36"/>
      <c r="X254" s="36"/>
      <c r="Y254" s="36"/>
      <c r="Z254" s="36"/>
      <c r="AA254" s="36"/>
      <c r="AB254" s="36"/>
      <c r="AC254" s="36"/>
      <c r="AD254" s="36"/>
      <c r="AE254" s="36"/>
      <c r="AF254" s="35"/>
      <c r="AG254" s="35"/>
      <c r="AH254" s="35"/>
      <c r="AI254" s="35"/>
      <c r="AJ254" s="35"/>
      <c r="AK254" s="35"/>
      <c r="AL254" s="35"/>
      <c r="AM254" s="35"/>
      <c r="AN254" s="35"/>
      <c r="AO254" s="35"/>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v>1</v>
      </c>
      <c r="DJ254" s="36"/>
      <c r="DK254" s="36"/>
      <c r="DL254" s="36"/>
      <c r="DM254" s="36"/>
      <c r="DN254" s="36"/>
      <c r="DO254" s="36"/>
      <c r="DP254" s="36"/>
      <c r="DQ254" s="36"/>
      <c r="DR254" s="36"/>
      <c r="DS254" s="36"/>
      <c r="DT254" s="36"/>
      <c r="DU254" s="36"/>
      <c r="DV254" s="36"/>
      <c r="DW254" s="36"/>
      <c r="DX254" s="36"/>
      <c r="DY254" s="36"/>
      <c r="DZ254" s="36"/>
      <c r="EA254" s="36"/>
      <c r="EB254" s="36"/>
      <c r="EC254" s="36"/>
      <c r="ED254" s="36"/>
      <c r="EE254" s="36"/>
      <c r="EF254" s="36"/>
      <c r="EG254" s="36"/>
      <c r="EH254" s="36"/>
      <c r="EI254" s="36"/>
      <c r="EJ254" s="36"/>
      <c r="EK254" s="36"/>
      <c r="EL254" s="36"/>
      <c r="EM254" s="36"/>
      <c r="EN254" s="36"/>
      <c r="EO254" s="36"/>
      <c r="EP254" s="36"/>
      <c r="EQ254" s="36"/>
      <c r="ER254" s="36"/>
      <c r="ES254" s="36"/>
      <c r="ET254" s="36"/>
      <c r="EU254" s="36"/>
      <c r="EV254" s="36"/>
      <c r="EW254" s="36"/>
      <c r="EX254" s="36"/>
      <c r="EY254" s="36"/>
      <c r="EZ254" s="36"/>
      <c r="FA254" s="36"/>
      <c r="FB254" s="36"/>
      <c r="FC254" s="36"/>
      <c r="FD254" s="36"/>
      <c r="FE254" s="36"/>
      <c r="FF254" s="36"/>
      <c r="FG254" s="36"/>
      <c r="FH254" s="36"/>
      <c r="FI254" s="36"/>
      <c r="FJ254" s="36"/>
      <c r="FK254" s="36">
        <v>-1</v>
      </c>
      <c r="FL254" s="36"/>
      <c r="FM254" s="36"/>
      <c r="FN254" s="36"/>
      <c r="FO254" s="36"/>
      <c r="FP254" s="36"/>
      <c r="FQ254" s="36"/>
      <c r="FR254" s="36"/>
      <c r="FS254" s="36"/>
      <c r="FT254" s="36"/>
      <c r="FU254" s="36"/>
      <c r="FV254" s="36"/>
      <c r="FW254" s="36"/>
      <c r="FX254" s="36"/>
      <c r="FY254" s="36"/>
      <c r="FZ254" s="36"/>
      <c r="GA254" s="36"/>
      <c r="GB254" s="319"/>
      <c r="GC254" s="179">
        <f t="shared" si="43"/>
        <v>0</v>
      </c>
      <c r="GD254" s="179">
        <f t="shared" si="44"/>
        <v>0</v>
      </c>
      <c r="GE254" s="179">
        <f t="shared" si="45"/>
        <v>0</v>
      </c>
      <c r="GF254" s="179">
        <f t="shared" si="46"/>
        <v>0</v>
      </c>
      <c r="GG254" s="179">
        <f t="shared" si="42"/>
        <v>0</v>
      </c>
    </row>
    <row r="255" spans="1:189" x14ac:dyDescent="0.35">
      <c r="A255" s="5" t="s">
        <v>1291</v>
      </c>
      <c r="B255" s="5" t="str">
        <f>IF(Technologies!B255&lt;&gt;0,Technologies!B255,"")</f>
        <v>Gebouwde omgeving</v>
      </c>
      <c r="C255" s="5" t="str">
        <f>VLOOKUP($A255,Technologies!$A$7:$H$576,3,FALSE)</f>
        <v>Conversion</v>
      </c>
      <c r="D255" s="5" t="str">
        <f>VLOOKUP($A255,Technologies!$A$7:$H$576,4,FALSE)</f>
        <v>Power NL</v>
      </c>
      <c r="E255" s="5" t="str">
        <f>VLOOKUP($A255,Technologies!$A$7:$H$576,6,FALSE)</f>
        <v>Electricity NL - LV</v>
      </c>
      <c r="F255" s="5" t="str">
        <f>VLOOKUP($A255,Technologies!$A$7:$H$576,7,FALSE)</f>
        <v>Solar PV - Services - Power NL</v>
      </c>
      <c r="G255" s="23"/>
      <c r="H255" s="23"/>
      <c r="I255" s="104" cm="1">
        <f t="array" ref="I255">-SUMPRODUCT((Feedstocks!$C$4:$C$141=A255)*Feedstocks!$E$4:$E$141,Feedstocks!$F$4:$F$141,Feedstocks!$H$4:$H$141,Feedstocks!$I$4:$I$141)</f>
        <v>0</v>
      </c>
      <c r="J255" s="104" cm="1">
        <f t="array" ref="J255">-SUMPRODUCT((Feedstocks!$C$4:$C$141=A255)*Feedstocks!$E$4:$E$141,Feedstocks!$H$4:$H$141,Feedstocks!$I$4:$I$141)</f>
        <v>0</v>
      </c>
      <c r="K255" s="104"/>
      <c r="L255" s="104"/>
      <c r="M255" s="23">
        <v>1</v>
      </c>
      <c r="N255" s="23" t="str">
        <f>VLOOKUP(E255,Activities!$A$9:$M$227,13,FALSE)</f>
        <v>NL</v>
      </c>
      <c r="O255" s="23"/>
      <c r="P255" s="79" t="s">
        <v>415</v>
      </c>
      <c r="Q255" s="35"/>
      <c r="R255" s="35"/>
      <c r="S255" s="35"/>
      <c r="T255" s="35"/>
      <c r="U255" s="35"/>
      <c r="V255" s="35"/>
      <c r="W255" s="35"/>
      <c r="X255" s="35"/>
      <c r="Y255" s="35"/>
      <c r="Z255" s="35"/>
      <c r="AA255" s="35"/>
      <c r="AB255" s="35"/>
      <c r="AC255" s="35"/>
      <c r="AD255" s="35"/>
      <c r="AE255" s="35"/>
      <c r="AF255" s="36"/>
      <c r="AG255" s="36"/>
      <c r="AH255" s="36"/>
      <c r="AI255" s="36"/>
      <c r="AJ255" s="36"/>
      <c r="AK255" s="36"/>
      <c r="AL255" s="36"/>
      <c r="AM255" s="36"/>
      <c r="AN255" s="36"/>
      <c r="AO255" s="36"/>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v>1</v>
      </c>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v>-1</v>
      </c>
      <c r="FL255" s="35"/>
      <c r="FM255" s="35"/>
      <c r="FN255" s="35"/>
      <c r="FO255" s="35"/>
      <c r="FP255" s="35"/>
      <c r="FQ255" s="35"/>
      <c r="FR255" s="35"/>
      <c r="FS255" s="35"/>
      <c r="FT255" s="35"/>
      <c r="FU255" s="35"/>
      <c r="FV255" s="35"/>
      <c r="FW255" s="35"/>
      <c r="FX255" s="35"/>
      <c r="FY255" s="35"/>
      <c r="FZ255" s="35"/>
      <c r="GA255" s="35"/>
      <c r="GB255" s="318"/>
      <c r="GC255" s="178">
        <f t="shared" si="43"/>
        <v>0</v>
      </c>
      <c r="GD255" s="178">
        <f t="shared" si="44"/>
        <v>0</v>
      </c>
      <c r="GE255" s="178">
        <f t="shared" si="45"/>
        <v>0</v>
      </c>
      <c r="GF255" s="178">
        <f t="shared" si="46"/>
        <v>0</v>
      </c>
      <c r="GG255" s="178">
        <f t="shared" si="42"/>
        <v>0</v>
      </c>
    </row>
    <row r="256" spans="1:189" x14ac:dyDescent="0.35">
      <c r="A256" s="6" t="s">
        <v>1293</v>
      </c>
      <c r="B256" s="6" t="str">
        <f>IF(Technologies!B256&lt;&gt;0,Technologies!B256,"")</f>
        <v>Landbouw</v>
      </c>
      <c r="C256" s="6" t="str">
        <f>VLOOKUP($A256,Technologies!$A$7:$H$576,3,FALSE)</f>
        <v>Conversion</v>
      </c>
      <c r="D256" s="6" t="str">
        <f>VLOOKUP($A256,Technologies!$A$7:$H$576,4,FALSE)</f>
        <v>Power NL</v>
      </c>
      <c r="E256" s="6" t="str">
        <f>VLOOKUP($A256,Technologies!$A$7:$H$576,6,FALSE)</f>
        <v>Electricity NL - LV</v>
      </c>
      <c r="F256" s="48" t="str">
        <f>VLOOKUP($A256,Technologies!$A$7:$H$576,7,FALSE)</f>
        <v>Solar PV - Agriculture - Power NL</v>
      </c>
      <c r="G256" s="22"/>
      <c r="H256" s="22"/>
      <c r="I256" s="103" cm="1">
        <f t="array" ref="I256">-SUMPRODUCT((Feedstocks!$C$4:$C$141=A256)*Feedstocks!$E$4:$E$141,Feedstocks!$F$4:$F$141,Feedstocks!$H$4:$H$141,Feedstocks!$I$4:$I$141)</f>
        <v>0</v>
      </c>
      <c r="J256" s="103" cm="1">
        <f t="array" ref="J256">-SUMPRODUCT((Feedstocks!$C$4:$C$141=A256)*Feedstocks!$E$4:$E$141,Feedstocks!$H$4:$H$141,Feedstocks!$I$4:$I$141)</f>
        <v>0</v>
      </c>
      <c r="K256" s="103"/>
      <c r="L256" s="103"/>
      <c r="M256" s="22">
        <v>1</v>
      </c>
      <c r="N256" s="22" t="str">
        <f>VLOOKUP(E256,Activities!$A$9:$M$227,13,FALSE)</f>
        <v>NL</v>
      </c>
      <c r="O256" s="22"/>
      <c r="P256" s="80" t="s">
        <v>415</v>
      </c>
      <c r="Q256" s="36"/>
      <c r="R256" s="36"/>
      <c r="S256" s="36"/>
      <c r="T256" s="36"/>
      <c r="U256" s="36"/>
      <c r="V256" s="36"/>
      <c r="W256" s="36"/>
      <c r="X256" s="36"/>
      <c r="Y256" s="36"/>
      <c r="Z256" s="36"/>
      <c r="AA256" s="36"/>
      <c r="AB256" s="36"/>
      <c r="AC256" s="36"/>
      <c r="AD256" s="36"/>
      <c r="AE256" s="36"/>
      <c r="AF256" s="35"/>
      <c r="AG256" s="35"/>
      <c r="AH256" s="35"/>
      <c r="AI256" s="35"/>
      <c r="AJ256" s="35"/>
      <c r="AK256" s="35"/>
      <c r="AL256" s="35"/>
      <c r="AM256" s="35"/>
      <c r="AN256" s="35"/>
      <c r="AO256" s="35"/>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v>1</v>
      </c>
      <c r="DJ256" s="36"/>
      <c r="DK256" s="36"/>
      <c r="DL256" s="36"/>
      <c r="DM256" s="36"/>
      <c r="DN256" s="36"/>
      <c r="DO256" s="36"/>
      <c r="DP256" s="36"/>
      <c r="DQ256" s="36"/>
      <c r="DR256" s="36"/>
      <c r="DS256" s="36"/>
      <c r="DT256" s="36"/>
      <c r="DU256" s="36"/>
      <c r="DV256" s="36"/>
      <c r="DW256" s="36"/>
      <c r="DX256" s="36"/>
      <c r="DY256" s="36"/>
      <c r="DZ256" s="36"/>
      <c r="EA256" s="36"/>
      <c r="EB256" s="36"/>
      <c r="EC256" s="36"/>
      <c r="ED256" s="36"/>
      <c r="EE256" s="36"/>
      <c r="EF256" s="36"/>
      <c r="EG256" s="36"/>
      <c r="EH256" s="36"/>
      <c r="EI256" s="36"/>
      <c r="EJ256" s="36"/>
      <c r="EK256" s="36"/>
      <c r="EL256" s="36"/>
      <c r="EM256" s="36"/>
      <c r="EN256" s="36"/>
      <c r="EO256" s="36"/>
      <c r="EP256" s="36"/>
      <c r="EQ256" s="36"/>
      <c r="ER256" s="36"/>
      <c r="ES256" s="36"/>
      <c r="ET256" s="36"/>
      <c r="EU256" s="36"/>
      <c r="EV256" s="36"/>
      <c r="EW256" s="36"/>
      <c r="EX256" s="36"/>
      <c r="EY256" s="36"/>
      <c r="EZ256" s="36"/>
      <c r="FA256" s="36"/>
      <c r="FB256" s="36"/>
      <c r="FC256" s="36"/>
      <c r="FD256" s="36"/>
      <c r="FE256" s="36"/>
      <c r="FF256" s="36"/>
      <c r="FG256" s="36"/>
      <c r="FH256" s="36"/>
      <c r="FI256" s="36"/>
      <c r="FJ256" s="36"/>
      <c r="FK256" s="36">
        <v>-1</v>
      </c>
      <c r="FL256" s="36"/>
      <c r="FM256" s="36"/>
      <c r="FN256" s="36"/>
      <c r="FO256" s="36"/>
      <c r="FP256" s="36"/>
      <c r="FQ256" s="36"/>
      <c r="FR256" s="36"/>
      <c r="FS256" s="36"/>
      <c r="FT256" s="36"/>
      <c r="FU256" s="36"/>
      <c r="FV256" s="36"/>
      <c r="FW256" s="36"/>
      <c r="FX256" s="36"/>
      <c r="FY256" s="36"/>
      <c r="FZ256" s="36"/>
      <c r="GA256" s="36"/>
      <c r="GB256" s="319"/>
      <c r="GC256" s="179">
        <f t="shared" si="43"/>
        <v>0</v>
      </c>
      <c r="GD256" s="179">
        <f t="shared" si="44"/>
        <v>0</v>
      </c>
      <c r="GE256" s="179">
        <f t="shared" si="45"/>
        <v>0</v>
      </c>
      <c r="GF256" s="179">
        <f t="shared" si="46"/>
        <v>0</v>
      </c>
      <c r="GG256" s="179">
        <f t="shared" si="42"/>
        <v>0</v>
      </c>
    </row>
    <row r="257" spans="1:189" x14ac:dyDescent="0.35">
      <c r="A257" s="5" t="s">
        <v>1295</v>
      </c>
      <c r="B257" s="5" t="str">
        <f>IF(Technologies!B257&lt;&gt;0,Technologies!B257,"")</f>
        <v>Industrie</v>
      </c>
      <c r="C257" s="5" t="str">
        <f>VLOOKUP($A257,Technologies!$A$7:$H$576,3,FALSE)</f>
        <v>Conversion</v>
      </c>
      <c r="D257" s="5" t="str">
        <f>VLOOKUP($A257,Technologies!$A$7:$H$576,4,FALSE)</f>
        <v>Power NL</v>
      </c>
      <c r="E257" s="5" t="str">
        <f>VLOOKUP($A257,Technologies!$A$7:$H$576,6,FALSE)</f>
        <v>Electricity NL - HV</v>
      </c>
      <c r="F257" s="5" t="str">
        <f>VLOOKUP($A257,Technologies!$A$7:$H$576,7,FALSE)</f>
        <v>Solar PV - Industry - Power NL</v>
      </c>
      <c r="G257" s="23"/>
      <c r="H257" s="23"/>
      <c r="I257" s="104" cm="1">
        <f t="array" ref="I257">-SUMPRODUCT((Feedstocks!$C$4:$C$141=A257)*Feedstocks!$E$4:$E$141,Feedstocks!$F$4:$F$141,Feedstocks!$H$4:$H$141,Feedstocks!$I$4:$I$141)</f>
        <v>0</v>
      </c>
      <c r="J257" s="104" cm="1">
        <f t="array" ref="J257">-SUMPRODUCT((Feedstocks!$C$4:$C$141=A257)*Feedstocks!$E$4:$E$141,Feedstocks!$H$4:$H$141,Feedstocks!$I$4:$I$141)</f>
        <v>0</v>
      </c>
      <c r="K257" s="104"/>
      <c r="L257" s="104"/>
      <c r="M257" s="23">
        <v>1</v>
      </c>
      <c r="N257" s="23" t="str">
        <f>VLOOKUP(E257,Activities!$A$9:$M$227,13,FALSE)</f>
        <v>NL</v>
      </c>
      <c r="O257" s="23"/>
      <c r="P257" s="79" t="s">
        <v>415</v>
      </c>
      <c r="Q257" s="35"/>
      <c r="R257" s="35"/>
      <c r="S257" s="35"/>
      <c r="T257" s="35"/>
      <c r="U257" s="35"/>
      <c r="V257" s="35"/>
      <c r="W257" s="35"/>
      <c r="X257" s="35"/>
      <c r="Y257" s="35"/>
      <c r="Z257" s="35"/>
      <c r="AA257" s="35"/>
      <c r="AB257" s="35"/>
      <c r="AC257" s="35"/>
      <c r="AD257" s="35"/>
      <c r="AE257" s="35"/>
      <c r="AF257" s="36"/>
      <c r="AG257" s="36"/>
      <c r="AH257" s="36"/>
      <c r="AI257" s="36"/>
      <c r="AJ257" s="36"/>
      <c r="AK257" s="36"/>
      <c r="AL257" s="36"/>
      <c r="AM257" s="36"/>
      <c r="AN257" s="36"/>
      <c r="AO257" s="36"/>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v>1</v>
      </c>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v>-1</v>
      </c>
      <c r="FL257" s="35"/>
      <c r="FM257" s="35"/>
      <c r="FN257" s="35"/>
      <c r="FO257" s="35"/>
      <c r="FP257" s="35"/>
      <c r="FQ257" s="35"/>
      <c r="FR257" s="35"/>
      <c r="FS257" s="35"/>
      <c r="FT257" s="35"/>
      <c r="FU257" s="35"/>
      <c r="FV257" s="35"/>
      <c r="FW257" s="35"/>
      <c r="FX257" s="35"/>
      <c r="FY257" s="35"/>
      <c r="FZ257" s="35"/>
      <c r="GA257" s="35"/>
      <c r="GB257" s="318"/>
      <c r="GC257" s="178">
        <f t="shared" ref="GC257:GC288" si="47">ROUND(IF($C257="Primary",0,-$G257*(SUMPRODUCT($Q$4:$GA$4,$Q257:$GA257)+$J257)-$H257)*IF($N257=GC$4,1,0),4)</f>
        <v>0</v>
      </c>
      <c r="GD257" s="178">
        <f t="shared" ref="GD257:GD288" si="48">ROUND(IF($C257="Primary",0,$M257*(1-$O257)*($G257*(SUMPRODUCT($Q$4:$GA$4,$Q257:$GA257)+$J257)+$H257-SUMPRODUCT($Q$5:$GA$5,$Q257:$GA257)-$I257+$K257))*IF($N257=GD$4,1,0),4)</f>
        <v>0</v>
      </c>
      <c r="GE257" s="178">
        <f t="shared" ref="GE257:GE288" si="49">ROUND(IF($C257="Primary",0,(1-$M257)*(1-$O257)*($G257*(SUMPRODUCT($Q$4:$GA$4,$Q257:$GA257)+$J257)+$H257-SUMPRODUCT($Q$5:$GA$5,$Q257:$GA257)-$I257+$L257))*IF($N257=GD$4,1,0),4)</f>
        <v>0</v>
      </c>
      <c r="GF257" s="178">
        <f t="shared" ref="GF257:GF288" si="50">ROUND(IF($C257="Primary",0,$O257*($G257*(SUMPRODUCT($Q$4:$GA$4,$Q257:$GA257)+$J257)-SUMPRODUCT($Q$5:$GA$5,$Q257:$GA257)-$I257))*IF($N257=GD$4,1,0),4)</f>
        <v>0</v>
      </c>
      <c r="GG257" s="178">
        <f t="shared" si="42"/>
        <v>0</v>
      </c>
    </row>
    <row r="258" spans="1:189" x14ac:dyDescent="0.35">
      <c r="A258" s="6" t="s">
        <v>1297</v>
      </c>
      <c r="B258" s="6" t="str">
        <f>IF(Technologies!B258&lt;&gt;0,Technologies!B258,"")</f>
        <v>Elektriciteit</v>
      </c>
      <c r="C258" s="6" t="str">
        <f>VLOOKUP($A258,Technologies!$A$7:$H$576,3,FALSE)</f>
        <v>Conversion</v>
      </c>
      <c r="D258" s="6" t="str">
        <f>VLOOKUP($A258,Technologies!$A$7:$H$576,4,FALSE)</f>
        <v>Power NL</v>
      </c>
      <c r="E258" s="6" t="str">
        <f>VLOOKUP($A258,Technologies!$A$7:$H$576,6,FALSE)</f>
        <v>Electricity NL - HV</v>
      </c>
      <c r="F258" s="48" t="str">
        <f>VLOOKUP($A258,Technologies!$A$7:$H$576,7,FALSE)</f>
        <v>Solar PV - Floating - Power NL</v>
      </c>
      <c r="G258" s="22"/>
      <c r="H258" s="22"/>
      <c r="I258" s="103" cm="1">
        <f t="array" ref="I258">-SUMPRODUCT((Feedstocks!$C$4:$C$141=A258)*Feedstocks!$E$4:$E$141,Feedstocks!$F$4:$F$141,Feedstocks!$H$4:$H$141,Feedstocks!$I$4:$I$141)</f>
        <v>0</v>
      </c>
      <c r="J258" s="103" cm="1">
        <f t="array" ref="J258">-SUMPRODUCT((Feedstocks!$C$4:$C$141=A258)*Feedstocks!$E$4:$E$141,Feedstocks!$H$4:$H$141,Feedstocks!$I$4:$I$141)</f>
        <v>0</v>
      </c>
      <c r="K258" s="103"/>
      <c r="L258" s="103"/>
      <c r="M258" s="22">
        <v>1</v>
      </c>
      <c r="N258" s="22" t="str">
        <f>VLOOKUP(E258,Activities!$A$9:$M$227,13,FALSE)</f>
        <v>NL</v>
      </c>
      <c r="O258" s="22"/>
      <c r="P258" s="80" t="s">
        <v>415</v>
      </c>
      <c r="Q258" s="36"/>
      <c r="R258" s="36"/>
      <c r="S258" s="36"/>
      <c r="T258" s="36"/>
      <c r="U258" s="36"/>
      <c r="V258" s="36"/>
      <c r="W258" s="36"/>
      <c r="X258" s="36"/>
      <c r="Y258" s="36"/>
      <c r="Z258" s="36"/>
      <c r="AA258" s="36"/>
      <c r="AB258" s="36"/>
      <c r="AC258" s="36"/>
      <c r="AD258" s="36"/>
      <c r="AE258" s="36"/>
      <c r="AF258" s="35"/>
      <c r="AG258" s="35"/>
      <c r="AH258" s="35"/>
      <c r="AI258" s="35"/>
      <c r="AJ258" s="35"/>
      <c r="AK258" s="35"/>
      <c r="AL258" s="35"/>
      <c r="AM258" s="35"/>
      <c r="AN258" s="35"/>
      <c r="AO258" s="35"/>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v>1</v>
      </c>
      <c r="DI258" s="36"/>
      <c r="DJ258" s="36"/>
      <c r="DK258" s="36"/>
      <c r="DL258" s="36"/>
      <c r="DM258" s="36"/>
      <c r="DN258" s="36"/>
      <c r="DO258" s="36"/>
      <c r="DP258" s="36"/>
      <c r="DQ258" s="36"/>
      <c r="DR258" s="36"/>
      <c r="DS258" s="36"/>
      <c r="DT258" s="36"/>
      <c r="DU258" s="36"/>
      <c r="DV258" s="36"/>
      <c r="DW258" s="36"/>
      <c r="DX258" s="36"/>
      <c r="DY258" s="36"/>
      <c r="DZ258" s="36"/>
      <c r="EA258" s="36"/>
      <c r="EB258" s="36"/>
      <c r="EC258" s="36"/>
      <c r="ED258" s="36"/>
      <c r="EE258" s="36"/>
      <c r="EF258" s="36"/>
      <c r="EG258" s="36"/>
      <c r="EH258" s="36"/>
      <c r="EI258" s="36"/>
      <c r="EJ258" s="36"/>
      <c r="EK258" s="36"/>
      <c r="EL258" s="36"/>
      <c r="EM258" s="36"/>
      <c r="EN258" s="36"/>
      <c r="EO258" s="36"/>
      <c r="EP258" s="36"/>
      <c r="EQ258" s="36"/>
      <c r="ER258" s="36"/>
      <c r="ES258" s="36"/>
      <c r="ET258" s="36"/>
      <c r="EU258" s="36"/>
      <c r="EV258" s="36"/>
      <c r="EW258" s="36"/>
      <c r="EX258" s="36"/>
      <c r="EY258" s="36"/>
      <c r="EZ258" s="36"/>
      <c r="FA258" s="36"/>
      <c r="FB258" s="36"/>
      <c r="FC258" s="36"/>
      <c r="FD258" s="36"/>
      <c r="FE258" s="36"/>
      <c r="FF258" s="36"/>
      <c r="FG258" s="36"/>
      <c r="FH258" s="36"/>
      <c r="FI258" s="36"/>
      <c r="FJ258" s="36"/>
      <c r="FK258" s="36">
        <v>-1</v>
      </c>
      <c r="FL258" s="36"/>
      <c r="FM258" s="36"/>
      <c r="FN258" s="36"/>
      <c r="FO258" s="36"/>
      <c r="FP258" s="36"/>
      <c r="FQ258" s="36"/>
      <c r="FR258" s="36"/>
      <c r="FS258" s="36"/>
      <c r="FT258" s="36"/>
      <c r="FU258" s="36"/>
      <c r="FV258" s="36"/>
      <c r="FW258" s="36"/>
      <c r="FX258" s="36"/>
      <c r="FY258" s="36"/>
      <c r="FZ258" s="36"/>
      <c r="GA258" s="36"/>
      <c r="GB258" s="319"/>
      <c r="GC258" s="179">
        <f t="shared" si="47"/>
        <v>0</v>
      </c>
      <c r="GD258" s="179">
        <f t="shared" si="48"/>
        <v>0</v>
      </c>
      <c r="GE258" s="179">
        <f t="shared" si="49"/>
        <v>0</v>
      </c>
      <c r="GF258" s="179">
        <f t="shared" si="50"/>
        <v>0</v>
      </c>
      <c r="GG258" s="179">
        <f t="shared" si="42"/>
        <v>0</v>
      </c>
    </row>
    <row r="259" spans="1:189" x14ac:dyDescent="0.35">
      <c r="A259" s="5" t="s">
        <v>1299</v>
      </c>
      <c r="B259" s="5" t="str">
        <f>IF(Technologies!B259&lt;&gt;0,Technologies!B259,"")</f>
        <v>Elektriciteit</v>
      </c>
      <c r="C259" s="5" t="str">
        <f>VLOOKUP($A259,Technologies!$A$7:$H$576,3,FALSE)</f>
        <v>Conversion</v>
      </c>
      <c r="D259" s="5" t="str">
        <f>VLOOKUP($A259,Technologies!$A$7:$H$576,4,FALSE)</f>
        <v>Power NL</v>
      </c>
      <c r="E259" s="5" t="str">
        <f>VLOOKUP($A259,Technologies!$A$7:$H$576,6,FALSE)</f>
        <v>Electricity NL - HV</v>
      </c>
      <c r="F259" s="5" t="str">
        <f>VLOOKUP($A259,Technologies!$A$7:$H$576,7,FALSE)</f>
        <v>Solar PV - Energy sector - Power NL</v>
      </c>
      <c r="G259" s="23"/>
      <c r="H259" s="23"/>
      <c r="I259" s="104" cm="1">
        <f t="array" ref="I259">-SUMPRODUCT((Feedstocks!$C$4:$C$141=A259)*Feedstocks!$E$4:$E$141,Feedstocks!$F$4:$F$141,Feedstocks!$H$4:$H$141,Feedstocks!$I$4:$I$141)</f>
        <v>0</v>
      </c>
      <c r="J259" s="104" cm="1">
        <f t="array" ref="J259">-SUMPRODUCT((Feedstocks!$C$4:$C$141=A259)*Feedstocks!$E$4:$E$141,Feedstocks!$H$4:$H$141,Feedstocks!$I$4:$I$141)</f>
        <v>0</v>
      </c>
      <c r="K259" s="104"/>
      <c r="L259" s="104"/>
      <c r="M259" s="23">
        <v>1</v>
      </c>
      <c r="N259" s="23" t="str">
        <f>VLOOKUP(E259,Activities!$A$9:$M$227,13,FALSE)</f>
        <v>NL</v>
      </c>
      <c r="O259" s="23"/>
      <c r="P259" s="79" t="s">
        <v>415</v>
      </c>
      <c r="Q259" s="35"/>
      <c r="R259" s="35"/>
      <c r="S259" s="35"/>
      <c r="T259" s="35"/>
      <c r="U259" s="35"/>
      <c r="V259" s="35"/>
      <c r="W259" s="35"/>
      <c r="X259" s="35"/>
      <c r="Y259" s="35"/>
      <c r="Z259" s="35"/>
      <c r="AA259" s="35"/>
      <c r="AB259" s="35"/>
      <c r="AC259" s="35"/>
      <c r="AD259" s="35"/>
      <c r="AE259" s="35"/>
      <c r="AF259" s="36"/>
      <c r="AG259" s="36"/>
      <c r="AH259" s="36"/>
      <c r="AI259" s="36"/>
      <c r="AJ259" s="36"/>
      <c r="AK259" s="36"/>
      <c r="AL259" s="36"/>
      <c r="AM259" s="36"/>
      <c r="AN259" s="36"/>
      <c r="AO259" s="36"/>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v>1</v>
      </c>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v>-1</v>
      </c>
      <c r="FL259" s="35"/>
      <c r="FM259" s="35"/>
      <c r="FN259" s="35"/>
      <c r="FO259" s="35"/>
      <c r="FP259" s="35"/>
      <c r="FQ259" s="35"/>
      <c r="FR259" s="35"/>
      <c r="FS259" s="35"/>
      <c r="FT259" s="35"/>
      <c r="FU259" s="35"/>
      <c r="FV259" s="35"/>
      <c r="FW259" s="35"/>
      <c r="FX259" s="35"/>
      <c r="FY259" s="35"/>
      <c r="FZ259" s="35"/>
      <c r="GA259" s="35"/>
      <c r="GB259" s="318"/>
      <c r="GC259" s="178">
        <f t="shared" si="47"/>
        <v>0</v>
      </c>
      <c r="GD259" s="178">
        <f t="shared" si="48"/>
        <v>0</v>
      </c>
      <c r="GE259" s="178">
        <f t="shared" si="49"/>
        <v>0</v>
      </c>
      <c r="GF259" s="178">
        <f t="shared" si="50"/>
        <v>0</v>
      </c>
      <c r="GG259" s="178">
        <f t="shared" si="42"/>
        <v>0</v>
      </c>
    </row>
    <row r="260" spans="1:189" x14ac:dyDescent="0.35">
      <c r="A260" s="6" t="s">
        <v>1301</v>
      </c>
      <c r="B260" s="6" t="str">
        <f>IF(Technologies!B260&lt;&gt;0,Technologies!B260,"")</f>
        <v>Elektriciteit</v>
      </c>
      <c r="C260" s="6" t="str">
        <f>VLOOKUP($A260,Technologies!$A$7:$H$576,3,FALSE)</f>
        <v>Conversion</v>
      </c>
      <c r="D260" s="6" t="str">
        <f>VLOOKUP($A260,Technologies!$A$7:$H$576,4,FALSE)</f>
        <v>Power NL</v>
      </c>
      <c r="E260" s="6" t="str">
        <f>VLOOKUP($A260,Technologies!$A$7:$H$576,6,FALSE)</f>
        <v>Electricity NL - HV</v>
      </c>
      <c r="F260" s="48" t="str">
        <f>VLOOKUP($A260,Technologies!$A$7:$H$576,7,FALSE)</f>
        <v>Electricity from Hydro - Power NL</v>
      </c>
      <c r="G260" s="22"/>
      <c r="H260" s="22"/>
      <c r="I260" s="103" cm="1">
        <f t="array" ref="I260">-SUMPRODUCT((Feedstocks!$C$4:$C$141=A260)*Feedstocks!$E$4:$E$141,Feedstocks!$F$4:$F$141,Feedstocks!$H$4:$H$141,Feedstocks!$I$4:$I$141)</f>
        <v>0</v>
      </c>
      <c r="J260" s="103" cm="1">
        <f t="array" ref="J260">-SUMPRODUCT((Feedstocks!$C$4:$C$141=A260)*Feedstocks!$E$4:$E$141,Feedstocks!$H$4:$H$141,Feedstocks!$I$4:$I$141)</f>
        <v>0</v>
      </c>
      <c r="K260" s="103"/>
      <c r="L260" s="103"/>
      <c r="M260" s="22">
        <v>1</v>
      </c>
      <c r="N260" s="22" t="str">
        <f>VLOOKUP(E260,Activities!$A$9:$M$227,13,FALSE)</f>
        <v>NL</v>
      </c>
      <c r="O260" s="22"/>
      <c r="P260" s="80" t="s">
        <v>415</v>
      </c>
      <c r="Q260" s="36"/>
      <c r="R260" s="36"/>
      <c r="S260" s="36"/>
      <c r="T260" s="36"/>
      <c r="U260" s="36"/>
      <c r="V260" s="36"/>
      <c r="W260" s="36"/>
      <c r="X260" s="36"/>
      <c r="Y260" s="36"/>
      <c r="Z260" s="36"/>
      <c r="AA260" s="36"/>
      <c r="AB260" s="36"/>
      <c r="AC260" s="36"/>
      <c r="AD260" s="36"/>
      <c r="AE260" s="36"/>
      <c r="AF260" s="35"/>
      <c r="AG260" s="35"/>
      <c r="AH260" s="35"/>
      <c r="AI260" s="35"/>
      <c r="AJ260" s="35"/>
      <c r="AK260" s="35"/>
      <c r="AL260" s="35"/>
      <c r="AM260" s="35"/>
      <c r="AN260" s="35"/>
      <c r="AO260" s="35"/>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v>1</v>
      </c>
      <c r="DI260" s="36"/>
      <c r="DJ260" s="36"/>
      <c r="DK260" s="36"/>
      <c r="DL260" s="36"/>
      <c r="DM260" s="36"/>
      <c r="DN260" s="36"/>
      <c r="DO260" s="36"/>
      <c r="DP260" s="36"/>
      <c r="DQ260" s="36"/>
      <c r="DR260" s="36"/>
      <c r="DS260" s="36"/>
      <c r="DT260" s="36"/>
      <c r="DU260" s="36"/>
      <c r="DV260" s="36"/>
      <c r="DW260" s="36"/>
      <c r="DX260" s="36"/>
      <c r="DY260" s="36"/>
      <c r="DZ260" s="36"/>
      <c r="EA260" s="36"/>
      <c r="EB260" s="36"/>
      <c r="EC260" s="36"/>
      <c r="ED260" s="36"/>
      <c r="EE260" s="36"/>
      <c r="EF260" s="36"/>
      <c r="EG260" s="36"/>
      <c r="EH260" s="36"/>
      <c r="EI260" s="36"/>
      <c r="EJ260" s="36"/>
      <c r="EK260" s="36"/>
      <c r="EL260" s="36"/>
      <c r="EM260" s="36"/>
      <c r="EN260" s="36"/>
      <c r="EO260" s="36"/>
      <c r="EP260" s="36"/>
      <c r="EQ260" s="36"/>
      <c r="ER260" s="36"/>
      <c r="ES260" s="36"/>
      <c r="ET260" s="36"/>
      <c r="EU260" s="36"/>
      <c r="EV260" s="36"/>
      <c r="EW260" s="36"/>
      <c r="EX260" s="36"/>
      <c r="EY260" s="36"/>
      <c r="EZ260" s="36"/>
      <c r="FA260" s="36"/>
      <c r="FB260" s="36"/>
      <c r="FC260" s="36"/>
      <c r="FD260" s="36"/>
      <c r="FE260" s="36"/>
      <c r="FF260" s="36"/>
      <c r="FG260" s="36"/>
      <c r="FH260" s="36"/>
      <c r="FI260" s="36"/>
      <c r="FJ260" s="36"/>
      <c r="FK260" s="36"/>
      <c r="FL260" s="36"/>
      <c r="FM260" s="36"/>
      <c r="FN260" s="36"/>
      <c r="FO260" s="36"/>
      <c r="FP260" s="36"/>
      <c r="FQ260" s="36"/>
      <c r="FR260" s="36"/>
      <c r="FS260" s="36"/>
      <c r="FT260" s="36"/>
      <c r="FU260" s="36"/>
      <c r="FV260" s="36"/>
      <c r="FW260" s="36"/>
      <c r="FX260" s="36"/>
      <c r="FY260" s="36"/>
      <c r="FZ260" s="36"/>
      <c r="GA260" s="36"/>
      <c r="GB260" s="319"/>
      <c r="GC260" s="179">
        <f t="shared" si="47"/>
        <v>0</v>
      </c>
      <c r="GD260" s="179">
        <f t="shared" si="48"/>
        <v>0</v>
      </c>
      <c r="GE260" s="179">
        <f t="shared" si="49"/>
        <v>0</v>
      </c>
      <c r="GF260" s="179">
        <f t="shared" si="50"/>
        <v>0</v>
      </c>
      <c r="GG260" s="179">
        <f t="shared" si="42"/>
        <v>0</v>
      </c>
    </row>
    <row r="261" spans="1:189" x14ac:dyDescent="0.35">
      <c r="A261" s="5" t="s">
        <v>1305</v>
      </c>
      <c r="B261" s="5" t="str">
        <f>IF(Technologies!B261&lt;&gt;0,Technologies!B261,"")</f>
        <v>Elektriciteit</v>
      </c>
      <c r="C261" s="5" t="str">
        <f>VLOOKUP($A261,Technologies!$A$7:$H$576,3,FALSE)</f>
        <v>Conversion</v>
      </c>
      <c r="D261" s="5" t="str">
        <f>VLOOKUP($A261,Technologies!$A$7:$H$576,4,FALSE)</f>
        <v>Power NL</v>
      </c>
      <c r="E261" s="5" t="str">
        <f>VLOOKUP($A261,Technologies!$A$7:$H$576,6,FALSE)</f>
        <v>Electricity NL - HV</v>
      </c>
      <c r="F261" s="5" t="str">
        <f>VLOOKUP($A261,Technologies!$A$7:$H$576,7,FALSE)</f>
        <v>Undispatched Electricity (VOLL) - Power NL</v>
      </c>
      <c r="G261" s="23"/>
      <c r="H261" s="23"/>
      <c r="I261" s="104" cm="1">
        <f t="array" ref="I261">-SUMPRODUCT((Feedstocks!$C$4:$C$141=A261)*Feedstocks!$E$4:$E$141,Feedstocks!$F$4:$F$141,Feedstocks!$H$4:$H$141,Feedstocks!$I$4:$I$141)</f>
        <v>0</v>
      </c>
      <c r="J261" s="104" cm="1">
        <f t="array" ref="J261">-SUMPRODUCT((Feedstocks!$C$4:$C$141=A261)*Feedstocks!$E$4:$E$141,Feedstocks!$H$4:$H$141,Feedstocks!$I$4:$I$141)</f>
        <v>0</v>
      </c>
      <c r="K261" s="104"/>
      <c r="L261" s="104"/>
      <c r="M261" s="23">
        <v>1</v>
      </c>
      <c r="N261" s="23" t="str">
        <f>VLOOKUP(E261,Activities!$A$9:$M$227,13,FALSE)</f>
        <v>NL</v>
      </c>
      <c r="O261" s="23"/>
      <c r="P261" s="79" t="s">
        <v>415</v>
      </c>
      <c r="Q261" s="35"/>
      <c r="R261" s="35"/>
      <c r="S261" s="35"/>
      <c r="T261" s="35"/>
      <c r="U261" s="35"/>
      <c r="V261" s="35"/>
      <c r="W261" s="35"/>
      <c r="X261" s="35"/>
      <c r="Y261" s="35"/>
      <c r="Z261" s="35"/>
      <c r="AA261" s="35"/>
      <c r="AB261" s="35"/>
      <c r="AC261" s="35"/>
      <c r="AD261" s="35"/>
      <c r="AE261" s="35"/>
      <c r="AF261" s="36"/>
      <c r="AG261" s="36"/>
      <c r="AH261" s="36"/>
      <c r="AI261" s="36"/>
      <c r="AJ261" s="36"/>
      <c r="AK261" s="36"/>
      <c r="AL261" s="36"/>
      <c r="AM261" s="36"/>
      <c r="AN261" s="36"/>
      <c r="AO261" s="36"/>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v>1</v>
      </c>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18"/>
      <c r="GC261" s="178">
        <f t="shared" si="47"/>
        <v>0</v>
      </c>
      <c r="GD261" s="178">
        <f t="shared" si="48"/>
        <v>0</v>
      </c>
      <c r="GE261" s="178">
        <f t="shared" si="49"/>
        <v>0</v>
      </c>
      <c r="GF261" s="178">
        <f t="shared" si="50"/>
        <v>0</v>
      </c>
      <c r="GG261" s="178">
        <f t="shared" si="42"/>
        <v>0</v>
      </c>
    </row>
    <row r="262" spans="1:189" x14ac:dyDescent="0.35">
      <c r="A262" s="6" t="s">
        <v>1308</v>
      </c>
      <c r="B262" s="6" t="str">
        <f>IF(Technologies!B262&lt;&gt;0,Technologies!B262,"")</f>
        <v>Elektriciteit</v>
      </c>
      <c r="C262" s="6" t="str">
        <f>VLOOKUP($A262,Technologies!$A$7:$H$576,3,FALSE)</f>
        <v>Conversion</v>
      </c>
      <c r="D262" s="6" t="str">
        <f>VLOOKUP($A262,Technologies!$A$7:$H$576,4,FALSE)</f>
        <v>Power NL</v>
      </c>
      <c r="E262" s="6" t="str">
        <f>VLOOKUP($A262,Technologies!$A$7:$H$576,6,FALSE)</f>
        <v>Electricity NL - HV</v>
      </c>
      <c r="F262" s="48" t="str">
        <f>VLOOKUP($A262,Technologies!$A$7:$H$576,7,FALSE)</f>
        <v>Compresed Air Aboveground Storage - Power NL</v>
      </c>
      <c r="G262" s="22"/>
      <c r="H262" s="22"/>
      <c r="I262" s="103" cm="1">
        <f t="array" ref="I262">-SUMPRODUCT((Feedstocks!$C$4:$C$141=A262)*Feedstocks!$E$4:$E$141,Feedstocks!$F$4:$F$141,Feedstocks!$H$4:$H$141,Feedstocks!$I$4:$I$141)</f>
        <v>0</v>
      </c>
      <c r="J262" s="103" cm="1">
        <f t="array" ref="J262">-SUMPRODUCT((Feedstocks!$C$4:$C$141=A262)*Feedstocks!$E$4:$E$141,Feedstocks!$H$4:$H$141,Feedstocks!$I$4:$I$141)</f>
        <v>0</v>
      </c>
      <c r="K262" s="103"/>
      <c r="L262" s="103"/>
      <c r="M262" s="22">
        <v>1</v>
      </c>
      <c r="N262" s="22" t="str">
        <f>VLOOKUP(E262,Activities!$A$9:$M$227,13,FALSE)</f>
        <v>NL</v>
      </c>
      <c r="O262" s="22"/>
      <c r="P262" s="80" t="s">
        <v>415</v>
      </c>
      <c r="Q262" s="36"/>
      <c r="R262" s="36"/>
      <c r="S262" s="36"/>
      <c r="T262" s="36"/>
      <c r="U262" s="36"/>
      <c r="V262" s="36"/>
      <c r="W262" s="36"/>
      <c r="X262" s="36"/>
      <c r="Y262" s="36"/>
      <c r="Z262" s="36"/>
      <c r="AA262" s="36"/>
      <c r="AB262" s="36"/>
      <c r="AC262" s="36"/>
      <c r="AD262" s="36"/>
      <c r="AE262" s="36"/>
      <c r="AF262" s="35"/>
      <c r="AG262" s="35"/>
      <c r="AH262" s="35"/>
      <c r="AI262" s="35"/>
      <c r="AJ262" s="35"/>
      <c r="AK262" s="35"/>
      <c r="AL262" s="35"/>
      <c r="AM262" s="35"/>
      <c r="AN262" s="35"/>
      <c r="AO262" s="35"/>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86">
        <v>-1.0000000000000001E-5</v>
      </c>
      <c r="DI262" s="36"/>
      <c r="DJ262" s="36"/>
      <c r="DK262" s="36"/>
      <c r="DL262" s="36"/>
      <c r="DM262" s="36"/>
      <c r="DN262" s="36"/>
      <c r="DO262" s="36"/>
      <c r="DP262" s="36"/>
      <c r="DQ262" s="36"/>
      <c r="DR262" s="36"/>
      <c r="DS262" s="36"/>
      <c r="DT262" s="36"/>
      <c r="DU262" s="36"/>
      <c r="DV262" s="36"/>
      <c r="DW262" s="36"/>
      <c r="DX262" s="36"/>
      <c r="DY262" s="36"/>
      <c r="DZ262" s="36"/>
      <c r="EA262" s="36"/>
      <c r="EB262" s="36"/>
      <c r="EC262" s="36"/>
      <c r="ED262" s="36"/>
      <c r="EE262" s="36"/>
      <c r="EF262" s="36"/>
      <c r="EG262" s="36"/>
      <c r="EH262" s="36"/>
      <c r="EI262" s="36"/>
      <c r="EJ262" s="36"/>
      <c r="EK262" s="36"/>
      <c r="EL262" s="36"/>
      <c r="EM262" s="36"/>
      <c r="EN262" s="36"/>
      <c r="EO262" s="36"/>
      <c r="EP262" s="36"/>
      <c r="EQ262" s="36"/>
      <c r="ER262" s="36"/>
      <c r="ES262" s="36"/>
      <c r="ET262" s="36"/>
      <c r="EU262" s="36"/>
      <c r="EV262" s="36"/>
      <c r="EW262" s="36"/>
      <c r="EX262" s="36"/>
      <c r="EY262" s="36"/>
      <c r="EZ262" s="36"/>
      <c r="FA262" s="36"/>
      <c r="FB262" s="36"/>
      <c r="FC262" s="36"/>
      <c r="FD262" s="36"/>
      <c r="FE262" s="36"/>
      <c r="FF262" s="36"/>
      <c r="FG262" s="36"/>
      <c r="FH262" s="36"/>
      <c r="FI262" s="36"/>
      <c r="FJ262" s="36"/>
      <c r="FK262" s="36"/>
      <c r="FL262" s="36"/>
      <c r="FM262" s="36"/>
      <c r="FN262" s="36"/>
      <c r="FO262" s="36"/>
      <c r="FP262" s="36"/>
      <c r="FQ262" s="36"/>
      <c r="FR262" s="36"/>
      <c r="FS262" s="36"/>
      <c r="FT262" s="36"/>
      <c r="FU262" s="36"/>
      <c r="FV262" s="36"/>
      <c r="FW262" s="36"/>
      <c r="FX262" s="36"/>
      <c r="FY262" s="36"/>
      <c r="FZ262" s="36"/>
      <c r="GA262" s="36"/>
      <c r="GB262" s="319"/>
      <c r="GC262" s="179">
        <f t="shared" si="47"/>
        <v>0</v>
      </c>
      <c r="GD262" s="179">
        <f t="shared" si="48"/>
        <v>0</v>
      </c>
      <c r="GE262" s="179">
        <f t="shared" si="49"/>
        <v>0</v>
      </c>
      <c r="GF262" s="179">
        <f t="shared" si="50"/>
        <v>0</v>
      </c>
      <c r="GG262" s="179">
        <f t="shared" si="42"/>
        <v>0</v>
      </c>
    </row>
    <row r="263" spans="1:189" x14ac:dyDescent="0.35">
      <c r="A263" s="5" t="s">
        <v>1311</v>
      </c>
      <c r="B263" s="5" t="str">
        <f>IF(Technologies!B263&lt;&gt;0,Technologies!B263,"")</f>
        <v>Elektriciteit</v>
      </c>
      <c r="C263" s="5" t="str">
        <f>VLOOKUP($A263,Technologies!$A$7:$H$576,3,FALSE)</f>
        <v>Conversion</v>
      </c>
      <c r="D263" s="5" t="str">
        <f>VLOOKUP($A263,Technologies!$A$7:$H$576,4,FALSE)</f>
        <v>Power NL</v>
      </c>
      <c r="E263" s="5" t="str">
        <f>VLOOKUP($A263,Technologies!$A$7:$H$576,6,FALSE)</f>
        <v>Electricity NL - HV</v>
      </c>
      <c r="F263" s="5" t="str">
        <f>VLOOKUP($A263,Technologies!$A$7:$H$576,7,FALSE)</f>
        <v>Compresed Air Underground Storage - Power NL</v>
      </c>
      <c r="G263" s="23"/>
      <c r="H263" s="23"/>
      <c r="I263" s="104" cm="1">
        <f t="array" ref="I263">-SUMPRODUCT((Feedstocks!$C$4:$C$141=A263)*Feedstocks!$E$4:$E$141,Feedstocks!$F$4:$F$141,Feedstocks!$H$4:$H$141,Feedstocks!$I$4:$I$141)</f>
        <v>0</v>
      </c>
      <c r="J263" s="104" cm="1">
        <f t="array" ref="J263">-SUMPRODUCT((Feedstocks!$C$4:$C$141=A263)*Feedstocks!$E$4:$E$141,Feedstocks!$H$4:$H$141,Feedstocks!$I$4:$I$141)</f>
        <v>0</v>
      </c>
      <c r="K263" s="104"/>
      <c r="L263" s="104"/>
      <c r="M263" s="23">
        <v>1</v>
      </c>
      <c r="N263" s="23" t="str">
        <f>VLOOKUP(E263,Activities!$A$9:$M$227,13,FALSE)</f>
        <v>NL</v>
      </c>
      <c r="O263" s="23"/>
      <c r="P263" s="79" t="s">
        <v>415</v>
      </c>
      <c r="Q263" s="35"/>
      <c r="R263" s="35"/>
      <c r="S263" s="35"/>
      <c r="T263" s="35"/>
      <c r="U263" s="35"/>
      <c r="V263" s="35"/>
      <c r="W263" s="35"/>
      <c r="X263" s="35"/>
      <c r="Y263" s="35"/>
      <c r="Z263" s="35"/>
      <c r="AA263" s="35"/>
      <c r="AB263" s="35"/>
      <c r="AC263" s="35"/>
      <c r="AD263" s="35"/>
      <c r="AE263" s="35"/>
      <c r="AF263" s="36"/>
      <c r="AG263" s="36"/>
      <c r="AH263" s="36"/>
      <c r="AI263" s="36"/>
      <c r="AJ263" s="36"/>
      <c r="AK263" s="36"/>
      <c r="AL263" s="36"/>
      <c r="AM263" s="36"/>
      <c r="AN263" s="36"/>
      <c r="AO263" s="36"/>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86">
        <v>-1.0000000000000001E-5</v>
      </c>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18"/>
      <c r="GC263" s="178">
        <f t="shared" si="47"/>
        <v>0</v>
      </c>
      <c r="GD263" s="178">
        <f t="shared" si="48"/>
        <v>0</v>
      </c>
      <c r="GE263" s="178">
        <f t="shared" si="49"/>
        <v>0</v>
      </c>
      <c r="GF263" s="178">
        <f t="shared" si="50"/>
        <v>0</v>
      </c>
      <c r="GG263" s="178">
        <f t="shared" si="42"/>
        <v>0</v>
      </c>
    </row>
    <row r="264" spans="1:189" x14ac:dyDescent="0.35">
      <c r="A264" s="6" t="s">
        <v>1314</v>
      </c>
      <c r="B264" s="6" t="str">
        <f>IF(Technologies!B264&lt;&gt;0,Technologies!B264,"")</f>
        <v>Elektriciteit</v>
      </c>
      <c r="C264" s="6" t="str">
        <f>VLOOKUP($A264,Technologies!$A$7:$H$576,3,FALSE)</f>
        <v>Conversion</v>
      </c>
      <c r="D264" s="6" t="str">
        <f>VLOOKUP($A264,Technologies!$A$7:$H$576,4,FALSE)</f>
        <v>Power NL</v>
      </c>
      <c r="E264" s="6" t="str">
        <f>VLOOKUP($A264,Technologies!$A$7:$H$576,6,FALSE)</f>
        <v>Electricity NL - HV</v>
      </c>
      <c r="F264" s="48" t="str">
        <f>VLOOKUP($A264,Technologies!$A$7:$H$576,7,FALSE)</f>
        <v>Battery Storage Li-ion - Power NL</v>
      </c>
      <c r="G264" s="22"/>
      <c r="H264" s="22"/>
      <c r="I264" s="103" cm="1">
        <f t="array" ref="I264">-SUMPRODUCT((Feedstocks!$C$4:$C$141=A264)*Feedstocks!$E$4:$E$141,Feedstocks!$F$4:$F$141,Feedstocks!$H$4:$H$141,Feedstocks!$I$4:$I$141)</f>
        <v>0</v>
      </c>
      <c r="J264" s="103" cm="1">
        <f t="array" ref="J264">-SUMPRODUCT((Feedstocks!$C$4:$C$141=A264)*Feedstocks!$E$4:$E$141,Feedstocks!$H$4:$H$141,Feedstocks!$I$4:$I$141)</f>
        <v>0</v>
      </c>
      <c r="K264" s="103"/>
      <c r="L264" s="103"/>
      <c r="M264" s="22">
        <v>1</v>
      </c>
      <c r="N264" s="22" t="str">
        <f>VLOOKUP(E264,Activities!$A$9:$M$227,13,FALSE)</f>
        <v>NL</v>
      </c>
      <c r="O264" s="22"/>
      <c r="P264" s="80" t="s">
        <v>415</v>
      </c>
      <c r="Q264" s="36"/>
      <c r="R264" s="36"/>
      <c r="S264" s="36"/>
      <c r="T264" s="36"/>
      <c r="U264" s="36"/>
      <c r="V264" s="36"/>
      <c r="W264" s="36"/>
      <c r="X264" s="36"/>
      <c r="Y264" s="36"/>
      <c r="Z264" s="36"/>
      <c r="AA264" s="36"/>
      <c r="AB264" s="36"/>
      <c r="AC264" s="36"/>
      <c r="AD264" s="36"/>
      <c r="AE264" s="36"/>
      <c r="AF264" s="35"/>
      <c r="AG264" s="35"/>
      <c r="AH264" s="35"/>
      <c r="AI264" s="35"/>
      <c r="AJ264" s="35"/>
      <c r="AK264" s="35"/>
      <c r="AL264" s="35"/>
      <c r="AM264" s="35"/>
      <c r="AN264" s="35"/>
      <c r="AO264" s="35"/>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86">
        <v>-1.0000000000000001E-5</v>
      </c>
      <c r="DI264" s="36"/>
      <c r="DJ264" s="36"/>
      <c r="DK264" s="36"/>
      <c r="DL264" s="36"/>
      <c r="DM264" s="36"/>
      <c r="DN264" s="36"/>
      <c r="DO264" s="36"/>
      <c r="DP264" s="36"/>
      <c r="DQ264" s="36"/>
      <c r="DR264" s="36"/>
      <c r="DS264" s="36"/>
      <c r="DT264" s="36"/>
      <c r="DU264" s="36"/>
      <c r="DV264" s="36"/>
      <c r="DW264" s="36"/>
      <c r="DX264" s="36"/>
      <c r="DY264" s="36"/>
      <c r="DZ264" s="36"/>
      <c r="EA264" s="36"/>
      <c r="EB264" s="36"/>
      <c r="EC264" s="36"/>
      <c r="ED264" s="36"/>
      <c r="EE264" s="36"/>
      <c r="EF264" s="36"/>
      <c r="EG264" s="36"/>
      <c r="EH264" s="36"/>
      <c r="EI264" s="36"/>
      <c r="EJ264" s="36"/>
      <c r="EK264" s="36"/>
      <c r="EL264" s="36"/>
      <c r="EM264" s="36"/>
      <c r="EN264" s="36"/>
      <c r="EO264" s="36"/>
      <c r="EP264" s="36"/>
      <c r="EQ264" s="36"/>
      <c r="ER264" s="36"/>
      <c r="ES264" s="36"/>
      <c r="ET264" s="36"/>
      <c r="EU264" s="36"/>
      <c r="EV264" s="36"/>
      <c r="EW264" s="36"/>
      <c r="EX264" s="36"/>
      <c r="EY264" s="36"/>
      <c r="EZ264" s="36"/>
      <c r="FA264" s="36"/>
      <c r="FB264" s="36"/>
      <c r="FC264" s="36"/>
      <c r="FD264" s="36"/>
      <c r="FE264" s="36"/>
      <c r="FF264" s="36"/>
      <c r="FG264" s="36"/>
      <c r="FH264" s="36"/>
      <c r="FI264" s="36"/>
      <c r="FJ264" s="36"/>
      <c r="FK264" s="36"/>
      <c r="FL264" s="36"/>
      <c r="FM264" s="36"/>
      <c r="FN264" s="36"/>
      <c r="FO264" s="36"/>
      <c r="FP264" s="36"/>
      <c r="FQ264" s="36"/>
      <c r="FR264" s="36"/>
      <c r="FS264" s="36"/>
      <c r="FT264" s="36"/>
      <c r="FU264" s="36"/>
      <c r="FV264" s="36"/>
      <c r="FW264" s="36"/>
      <c r="FX264" s="36"/>
      <c r="FY264" s="36"/>
      <c r="FZ264" s="36"/>
      <c r="GA264" s="36"/>
      <c r="GB264" s="319"/>
      <c r="GC264" s="179">
        <f t="shared" si="47"/>
        <v>0</v>
      </c>
      <c r="GD264" s="179">
        <f t="shared" si="48"/>
        <v>0</v>
      </c>
      <c r="GE264" s="179">
        <f t="shared" si="49"/>
        <v>0</v>
      </c>
      <c r="GF264" s="179">
        <f t="shared" si="50"/>
        <v>0</v>
      </c>
      <c r="GG264" s="179">
        <f t="shared" si="42"/>
        <v>0</v>
      </c>
    </row>
    <row r="265" spans="1:189" x14ac:dyDescent="0.35">
      <c r="A265" s="6" t="s">
        <v>1316</v>
      </c>
      <c r="B265" s="6" t="str">
        <f>IF(Technologies!B265&lt;&gt;0,Technologies!B265,"")</f>
        <v>Elektriciteit</v>
      </c>
      <c r="C265" s="6" t="str">
        <f>VLOOKUP($A265,Technologies!$A$7:$H$576,3,FALSE)</f>
        <v>Primary</v>
      </c>
      <c r="D265" s="6" t="str">
        <f>VLOOKUP($A265,Technologies!$A$7:$H$576,4,FALSE)</f>
        <v>Power NL</v>
      </c>
      <c r="E265" s="6" t="str">
        <f>VLOOKUP($A265,Technologies!$A$7:$H$576,6,FALSE)</f>
        <v>Electricity NL - HV</v>
      </c>
      <c r="F265" s="48" t="str">
        <f>VLOOKUP($A265,Technologies!$A$7:$H$576,7,FALSE)</f>
        <v>Import from EU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f>-1-Parameters!$B$5</f>
        <v>-1.02</v>
      </c>
      <c r="DG265" s="36"/>
      <c r="DH265" s="36">
        <v>1</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5" t="s">
        <v>1318</v>
      </c>
      <c r="B266" s="5" t="str">
        <f>IF(Technologies!B266&lt;&gt;0,Technologies!B266,"")</f>
        <v>Elektriciteit</v>
      </c>
      <c r="C266" s="5" t="str">
        <f>VLOOKUP($A266,Technologies!$A$7:$H$576,3,FALSE)</f>
        <v>Conversion</v>
      </c>
      <c r="D266" s="5" t="str">
        <f>VLOOKUP($A266,Technologies!$A$7:$H$576,4,FALSE)</f>
        <v>Power NL</v>
      </c>
      <c r="E266" s="5" t="str">
        <f>VLOOKUP($A266,Technologies!$A$7:$H$576,6,FALSE)</f>
        <v>Electricity NL - HV</v>
      </c>
      <c r="F266" s="5" t="str">
        <f>VLOOKUP($A266,Technologies!$A$7:$H$576,7,FALSE)</f>
        <v>Import from NS - Power NL</v>
      </c>
      <c r="G266" s="23"/>
      <c r="H266" s="23"/>
      <c r="I266" s="104" cm="1">
        <f t="array" ref="I266">-SUMPRODUCT((Feedstocks!$C$4:$C$141=A266)*Feedstocks!$E$4:$E$141,Feedstocks!$F$4:$F$141,Feedstocks!$H$4:$H$141,Feedstocks!$I$4:$I$141)</f>
        <v>0</v>
      </c>
      <c r="J266" s="104" cm="1">
        <f t="array" ref="J266">-SUMPRODUCT((Feedstocks!$C$4:$C$141=A266)*Feedstocks!$E$4:$E$141,Feedstocks!$H$4:$H$141,Feedstocks!$I$4:$I$141)</f>
        <v>0</v>
      </c>
      <c r="K266" s="104"/>
      <c r="L266" s="104"/>
      <c r="M266" s="23"/>
      <c r="N266" s="23" t="str">
        <f>VLOOKUP(E266,Activities!$A$9:$M$227,13,FALSE)</f>
        <v>NL</v>
      </c>
      <c r="O266" s="23"/>
      <c r="P266" s="79" t="s">
        <v>415</v>
      </c>
      <c r="Q266" s="35"/>
      <c r="R266" s="35"/>
      <c r="S266" s="35"/>
      <c r="T266" s="35"/>
      <c r="U266" s="35"/>
      <c r="V266" s="35"/>
      <c r="W266" s="35"/>
      <c r="X266" s="35"/>
      <c r="Y266" s="35"/>
      <c r="Z266" s="35"/>
      <c r="AA266" s="35"/>
      <c r="AB266" s="35"/>
      <c r="AC266" s="35"/>
      <c r="AD266" s="35"/>
      <c r="AE266" s="35"/>
      <c r="AF266" s="36"/>
      <c r="AG266" s="36"/>
      <c r="AH266" s="36"/>
      <c r="AI266" s="36"/>
      <c r="AJ266" s="36"/>
      <c r="AK266" s="36"/>
      <c r="AL266" s="36"/>
      <c r="AM266" s="36"/>
      <c r="AN266" s="36"/>
      <c r="AO266" s="36"/>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f>-1-Parameters!$B$5</f>
        <v>-1.02</v>
      </c>
      <c r="DH266" s="35">
        <v>1</v>
      </c>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18"/>
      <c r="GC266" s="178">
        <f t="shared" si="47"/>
        <v>0</v>
      </c>
      <c r="GD266" s="178">
        <f t="shared" si="48"/>
        <v>0</v>
      </c>
      <c r="GE266" s="178">
        <f t="shared" si="49"/>
        <v>0</v>
      </c>
      <c r="GF266" s="178">
        <f t="shared" si="50"/>
        <v>0</v>
      </c>
      <c r="GG266" s="178">
        <f t="shared" si="42"/>
        <v>0</v>
      </c>
    </row>
    <row r="267" spans="1:189" x14ac:dyDescent="0.35">
      <c r="A267" s="6" t="s">
        <v>1320</v>
      </c>
      <c r="B267" s="6" t="str">
        <f>IF(Technologies!B267&lt;&gt;0,Technologies!B267,"")</f>
        <v>Elektriciteit</v>
      </c>
      <c r="C267" s="6" t="str">
        <f>VLOOKUP($A267,Technologies!$A$7:$H$576,3,FALSE)</f>
        <v>Conversion</v>
      </c>
      <c r="D267" s="6" t="str">
        <f>VLOOKUP($A267,Technologies!$A$7:$H$576,4,FALSE)</f>
        <v>Power NL</v>
      </c>
      <c r="E267" s="6" t="str">
        <f>VLOOKUP($A267,Technologies!$A$7:$H$576,6,FALSE)</f>
        <v>Electricity NL - HV</v>
      </c>
      <c r="F267" s="48" t="str">
        <f>VLOOKUP($A267,Technologies!$A$7:$H$576,7,FALSE)</f>
        <v>Transformer from LV  to HV - Power NL</v>
      </c>
      <c r="G267" s="22"/>
      <c r="H267" s="22"/>
      <c r="I267" s="103" cm="1">
        <f t="array" ref="I267">-SUMPRODUCT((Feedstocks!$C$4:$C$141=A267)*Feedstocks!$E$4:$E$141,Feedstocks!$F$4:$F$141,Feedstocks!$H$4:$H$141,Feedstocks!$I$4:$I$141)</f>
        <v>0</v>
      </c>
      <c r="J267" s="103" cm="1">
        <f t="array" ref="J267">-SUMPRODUCT((Feedstocks!$C$4:$C$141=A267)*Feedstocks!$E$4:$E$141,Feedstocks!$H$4:$H$141,Feedstocks!$I$4:$I$141)</f>
        <v>0</v>
      </c>
      <c r="K267" s="103"/>
      <c r="L267" s="103"/>
      <c r="M267" s="22"/>
      <c r="N267" s="22" t="str">
        <f>VLOOKUP(E267,Activities!$A$9:$M$227,13,FALSE)</f>
        <v>NL</v>
      </c>
      <c r="O267" s="22"/>
      <c r="P267" s="80" t="s">
        <v>415</v>
      </c>
      <c r="Q267" s="36"/>
      <c r="R267" s="36"/>
      <c r="S267" s="36"/>
      <c r="T267" s="36"/>
      <c r="U267" s="36"/>
      <c r="V267" s="36"/>
      <c r="W267" s="36"/>
      <c r="X267" s="36"/>
      <c r="Y267" s="36"/>
      <c r="Z267" s="36"/>
      <c r="AA267" s="36"/>
      <c r="AB267" s="36"/>
      <c r="AC267" s="36"/>
      <c r="AD267" s="36"/>
      <c r="AE267" s="36"/>
      <c r="AF267" s="35"/>
      <c r="AG267" s="35"/>
      <c r="AH267" s="35"/>
      <c r="AI267" s="35"/>
      <c r="AJ267" s="35"/>
      <c r="AK267" s="35"/>
      <c r="AL267" s="35"/>
      <c r="AM267" s="35"/>
      <c r="AN267" s="35"/>
      <c r="AO267" s="35"/>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c r="CW267" s="36"/>
      <c r="CX267" s="36"/>
      <c r="CY267" s="36"/>
      <c r="CZ267" s="36"/>
      <c r="DA267" s="36"/>
      <c r="DB267" s="36"/>
      <c r="DC267" s="36"/>
      <c r="DD267" s="36"/>
      <c r="DE267" s="36"/>
      <c r="DF267" s="36"/>
      <c r="DG267" s="36"/>
      <c r="DH267" s="36">
        <v>1</v>
      </c>
      <c r="DI267" s="36">
        <f>-1-Parameters!$B$10</f>
        <v>-1.040144</v>
      </c>
      <c r="DJ267" s="36"/>
      <c r="DK267" s="36"/>
      <c r="DL267" s="36"/>
      <c r="DM267" s="36"/>
      <c r="DN267" s="36"/>
      <c r="DO267" s="36"/>
      <c r="DP267" s="36"/>
      <c r="DQ267" s="36"/>
      <c r="DR267" s="36"/>
      <c r="DS267" s="36"/>
      <c r="DT267" s="36"/>
      <c r="DU267" s="36"/>
      <c r="DV267" s="36"/>
      <c r="DW267" s="36"/>
      <c r="DX267" s="36"/>
      <c r="DY267" s="36"/>
      <c r="DZ267" s="36"/>
      <c r="EA267" s="36"/>
      <c r="EB267" s="36"/>
      <c r="EC267" s="36"/>
      <c r="ED267" s="36"/>
      <c r="EE267" s="36"/>
      <c r="EF267" s="36"/>
      <c r="EG267" s="36"/>
      <c r="EH267" s="36"/>
      <c r="EI267" s="36"/>
      <c r="EJ267" s="36"/>
      <c r="EK267" s="36"/>
      <c r="EL267" s="36"/>
      <c r="EM267" s="36"/>
      <c r="EN267" s="36"/>
      <c r="EO267" s="36"/>
      <c r="EP267" s="36"/>
      <c r="EQ267" s="36"/>
      <c r="ER267" s="36"/>
      <c r="ES267" s="36"/>
      <c r="ET267" s="36"/>
      <c r="EU267" s="36"/>
      <c r="EV267" s="36"/>
      <c r="EW267" s="36"/>
      <c r="EX267" s="36"/>
      <c r="EY267" s="36"/>
      <c r="EZ267" s="36"/>
      <c r="FA267" s="36"/>
      <c r="FB267" s="36"/>
      <c r="FC267" s="36"/>
      <c r="FD267" s="36"/>
      <c r="FE267" s="36"/>
      <c r="FF267" s="36"/>
      <c r="FG267" s="36"/>
      <c r="FH267" s="36"/>
      <c r="FI267" s="36"/>
      <c r="FJ267" s="36"/>
      <c r="FK267" s="36"/>
      <c r="FL267" s="36"/>
      <c r="FM267" s="36"/>
      <c r="FN267" s="36"/>
      <c r="FO267" s="36"/>
      <c r="FP267" s="36"/>
      <c r="FQ267" s="36"/>
      <c r="FR267" s="36"/>
      <c r="FS267" s="36"/>
      <c r="FT267" s="36"/>
      <c r="FU267" s="36"/>
      <c r="FV267" s="36"/>
      <c r="FW267" s="36"/>
      <c r="FX267" s="36"/>
      <c r="FY267" s="36"/>
      <c r="FZ267" s="36"/>
      <c r="GA267" s="36"/>
      <c r="GB267" s="319"/>
      <c r="GC267" s="179">
        <f t="shared" si="47"/>
        <v>0</v>
      </c>
      <c r="GD267" s="179">
        <f t="shared" si="48"/>
        <v>0</v>
      </c>
      <c r="GE267" s="179">
        <f t="shared" si="49"/>
        <v>0</v>
      </c>
      <c r="GF267" s="179">
        <f t="shared" si="50"/>
        <v>0</v>
      </c>
      <c r="GG267" s="179">
        <f t="shared" si="42"/>
        <v>0</v>
      </c>
    </row>
    <row r="268" spans="1:189" x14ac:dyDescent="0.35">
      <c r="A268" s="5" t="s">
        <v>1322</v>
      </c>
      <c r="B268" s="5" t="str">
        <f>IF(Technologies!B268&lt;&gt;0,Technologies!B268,"")</f>
        <v>Elektriciteit</v>
      </c>
      <c r="C268" s="5" t="str">
        <f>VLOOKUP($A268,Technologies!$A$7:$H$576,3,FALSE)</f>
        <v>Conversion</v>
      </c>
      <c r="D268" s="5" t="str">
        <f>VLOOKUP($A268,Technologies!$A$7:$H$576,4,FALSE)</f>
        <v>Power NL</v>
      </c>
      <c r="E268" s="5" t="str">
        <f>VLOOKUP($A268,Technologies!$A$7:$H$576,6,FALSE)</f>
        <v>Electricity NL - LV</v>
      </c>
      <c r="F268" s="5" t="str">
        <f>VLOOKUP($A268,Technologies!$A$7:$H$576,7,FALSE)</f>
        <v>Transformer from HV to LV - Power NL</v>
      </c>
      <c r="G268" s="23"/>
      <c r="H268" s="23"/>
      <c r="I268" s="104" cm="1">
        <f t="array" ref="I268">-SUMPRODUCT((Feedstocks!$C$4:$C$141=A268)*Feedstocks!$E$4:$E$141,Feedstocks!$F$4:$F$141,Feedstocks!$H$4:$H$141,Feedstocks!$I$4:$I$141)</f>
        <v>0</v>
      </c>
      <c r="J268" s="104" cm="1">
        <f t="array" ref="J268">-SUMPRODUCT((Feedstocks!$C$4:$C$141=A268)*Feedstocks!$E$4:$E$141,Feedstocks!$H$4:$H$141,Feedstocks!$I$4:$I$141)</f>
        <v>0</v>
      </c>
      <c r="K268" s="104"/>
      <c r="L268" s="104"/>
      <c r="M268" s="23"/>
      <c r="N268" s="23" t="str">
        <f>VLOOKUP(E268,Activities!$A$9:$M$227,13,FALSE)</f>
        <v>NL</v>
      </c>
      <c r="O268" s="23"/>
      <c r="P268" s="79" t="s">
        <v>415</v>
      </c>
      <c r="Q268" s="35"/>
      <c r="R268" s="35"/>
      <c r="S268" s="35"/>
      <c r="T268" s="35"/>
      <c r="U268" s="35"/>
      <c r="V268" s="35"/>
      <c r="W268" s="35"/>
      <c r="X268" s="35"/>
      <c r="Y268" s="35"/>
      <c r="Z268" s="35"/>
      <c r="AA268" s="35"/>
      <c r="AB268" s="35"/>
      <c r="AC268" s="35"/>
      <c r="AD268" s="35"/>
      <c r="AE268" s="35"/>
      <c r="AF268" s="36"/>
      <c r="AG268" s="36"/>
      <c r="AH268" s="36"/>
      <c r="AI268" s="36"/>
      <c r="AJ268" s="36"/>
      <c r="AK268" s="36"/>
      <c r="AL268" s="36"/>
      <c r="AM268" s="36"/>
      <c r="AN268" s="36"/>
      <c r="AO268" s="36"/>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f>-1-Parameters!$B$10</f>
        <v>-1.040144</v>
      </c>
      <c r="DI268" s="35">
        <v>1</v>
      </c>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18"/>
      <c r="GC268" s="178">
        <f t="shared" si="47"/>
        <v>0</v>
      </c>
      <c r="GD268" s="178">
        <f t="shared" si="48"/>
        <v>0</v>
      </c>
      <c r="GE268" s="178">
        <f t="shared" si="49"/>
        <v>0</v>
      </c>
      <c r="GF268" s="178">
        <f t="shared" si="50"/>
        <v>0</v>
      </c>
      <c r="GG268" s="178">
        <f t="shared" si="42"/>
        <v>0</v>
      </c>
    </row>
    <row r="269" spans="1:189" x14ac:dyDescent="0.35">
      <c r="A269" s="6" t="s">
        <v>1324</v>
      </c>
      <c r="B269" s="6" t="str">
        <f>IF(Technologies!B269&lt;&gt;0,Technologies!B269,"")</f>
        <v>Gebouwde omgeving</v>
      </c>
      <c r="C269" s="6" t="str">
        <f>VLOOKUP($A269,Technologies!$A$7:$H$576,3,FALSE)</f>
        <v>Conversion</v>
      </c>
      <c r="D269" s="6" t="str">
        <f>VLOOKUP($A269,Technologies!$A$7:$H$576,4,FALSE)</f>
        <v>Residential</v>
      </c>
      <c r="E269" s="6" t="str">
        <f>VLOOKUP($A269,Technologies!$A$7:$H$576,6,FALSE)</f>
        <v>Heat LT Houses C-G</v>
      </c>
      <c r="F269" s="48" t="str">
        <f>VLOOKUP($A269,Technologies!$A$7:$H$576,7,FALSE)</f>
        <v>Boiler Gas - LT Heat for Houses</v>
      </c>
      <c r="G269" s="22"/>
      <c r="H269" s="22"/>
      <c r="I269" s="103" cm="1">
        <f t="array" ref="I269">-SUMPRODUCT((Feedstocks!$C$4:$C$141=A269)*Feedstocks!$E$4:$E$141,Feedstocks!$F$4:$F$141,Feedstocks!$H$4:$H$141,Feedstocks!$I$4:$I$141)</f>
        <v>0</v>
      </c>
      <c r="J269" s="103" cm="1">
        <f t="array" ref="J269">-SUMPRODUCT((Feedstocks!$C$4:$C$141=A269)*Feedstocks!$E$4:$E$141,Feedstocks!$H$4:$H$141,Feedstocks!$I$4:$I$141)</f>
        <v>0</v>
      </c>
      <c r="K269" s="103"/>
      <c r="L269" s="103"/>
      <c r="M269" s="22"/>
      <c r="N269" s="22" t="str">
        <f>VLOOKUP(E269,Activities!$A$9:$M$227,13,FALSE)</f>
        <v>NL</v>
      </c>
      <c r="O269" s="22"/>
      <c r="P269" s="80" t="s">
        <v>415</v>
      </c>
      <c r="Q269" s="36"/>
      <c r="R269" s="36"/>
      <c r="S269" s="36"/>
      <c r="T269" s="36"/>
      <c r="U269" s="36"/>
      <c r="V269" s="36"/>
      <c r="W269" s="36"/>
      <c r="X269" s="36"/>
      <c r="Y269" s="36"/>
      <c r="Z269" s="36"/>
      <c r="AA269" s="36"/>
      <c r="AB269" s="36"/>
      <c r="AC269" s="36"/>
      <c r="AD269" s="36"/>
      <c r="AE269" s="36"/>
      <c r="AF269" s="35"/>
      <c r="AG269" s="35"/>
      <c r="AH269" s="35"/>
      <c r="AI269" s="35"/>
      <c r="AJ269" s="35"/>
      <c r="AK269" s="35"/>
      <c r="AL269" s="35"/>
      <c r="AM269" s="35"/>
      <c r="AN269" s="35"/>
      <c r="AO269" s="35"/>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6"/>
      <c r="BV269" s="36"/>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c r="CW269" s="36"/>
      <c r="CX269" s="36"/>
      <c r="CY269" s="36"/>
      <c r="CZ269" s="36"/>
      <c r="DA269" s="36"/>
      <c r="DB269" s="36"/>
      <c r="DC269" s="36"/>
      <c r="DD269" s="36"/>
      <c r="DE269" s="36"/>
      <c r="DF269" s="36"/>
      <c r="DG269" s="36"/>
      <c r="DH269" s="36"/>
      <c r="DI269" s="36"/>
      <c r="DJ269" s="36">
        <v>1</v>
      </c>
      <c r="DK269" s="36"/>
      <c r="DL269" s="36"/>
      <c r="DM269" s="36"/>
      <c r="DN269" s="36"/>
      <c r="DO269" s="36"/>
      <c r="DP269" s="36"/>
      <c r="DQ269" s="36"/>
      <c r="DR269" s="36"/>
      <c r="DS269" s="36"/>
      <c r="DT269" s="36"/>
      <c r="DU269" s="36"/>
      <c r="DV269" s="36"/>
      <c r="DW269" s="36"/>
      <c r="DX269" s="36"/>
      <c r="DY269" s="36"/>
      <c r="DZ269" s="36"/>
      <c r="EA269" s="36"/>
      <c r="EB269" s="36"/>
      <c r="EC269" s="36"/>
      <c r="ED269" s="36"/>
      <c r="EE269" s="36"/>
      <c r="EF269" s="36"/>
      <c r="EG269" s="36"/>
      <c r="EH269" s="36"/>
      <c r="EI269" s="36"/>
      <c r="EJ269" s="36"/>
      <c r="EK269" s="36">
        <v>-1.05</v>
      </c>
      <c r="EL269" s="36"/>
      <c r="EM269" s="36"/>
      <c r="EN269" s="36"/>
      <c r="EO269" s="36"/>
      <c r="EP269" s="36"/>
      <c r="EQ269" s="36"/>
      <c r="ER269" s="36"/>
      <c r="ES269" s="36"/>
      <c r="ET269" s="36"/>
      <c r="EU269" s="36"/>
      <c r="EV269" s="36"/>
      <c r="EW269" s="36"/>
      <c r="EX269" s="36"/>
      <c r="EY269" s="36"/>
      <c r="EZ269" s="36"/>
      <c r="FA269" s="36"/>
      <c r="FB269" s="36"/>
      <c r="FC269" s="36"/>
      <c r="FD269" s="36"/>
      <c r="FE269" s="36"/>
      <c r="FF269" s="36"/>
      <c r="FG269" s="36"/>
      <c r="FH269" s="36"/>
      <c r="FI269" s="36"/>
      <c r="FJ269" s="36"/>
      <c r="FK269" s="36"/>
      <c r="FL269" s="36"/>
      <c r="FM269" s="36"/>
      <c r="FN269" s="36"/>
      <c r="FO269" s="36"/>
      <c r="FP269" s="36"/>
      <c r="FQ269" s="36"/>
      <c r="FR269" s="36"/>
      <c r="FS269" s="36"/>
      <c r="FT269" s="36"/>
      <c r="FU269" s="36"/>
      <c r="FV269" s="36"/>
      <c r="FW269" s="36"/>
      <c r="FX269" s="36"/>
      <c r="FY269" s="36"/>
      <c r="FZ269" s="36"/>
      <c r="GA269" s="36"/>
      <c r="GB269" s="319"/>
      <c r="GC269" s="179">
        <f t="shared" si="47"/>
        <v>0</v>
      </c>
      <c r="GD269" s="179">
        <f t="shared" si="48"/>
        <v>0</v>
      </c>
      <c r="GE269" s="179">
        <f t="shared" si="49"/>
        <v>5.9400000000000001E-2</v>
      </c>
      <c r="GF269" s="179">
        <f t="shared" si="50"/>
        <v>0</v>
      </c>
      <c r="GG269" s="179">
        <f t="shared" si="42"/>
        <v>0</v>
      </c>
    </row>
    <row r="270" spans="1:189" x14ac:dyDescent="0.35">
      <c r="A270" s="5" t="s">
        <v>1326</v>
      </c>
      <c r="B270" s="5" t="str">
        <f>IF(Technologies!B270&lt;&gt;0,Technologies!B270,"")</f>
        <v>Gebouwde omgeving</v>
      </c>
      <c r="C270" s="5" t="str">
        <f>VLOOKUP($A270,Technologies!$A$7:$H$576,3,FALSE)</f>
        <v>Conversion</v>
      </c>
      <c r="D270" s="5" t="str">
        <f>VLOOKUP($A270,Technologies!$A$7:$H$576,4,FALSE)</f>
        <v>Residential</v>
      </c>
      <c r="E270" s="5" t="str">
        <f>VLOOKUP($A270,Technologies!$A$7:$H$576,6,FALSE)</f>
        <v>Heat LT Houses C-G</v>
      </c>
      <c r="F270" s="5" t="str">
        <f>VLOOKUP($A270,Technologies!$A$7:$H$576,7,FALSE)</f>
        <v>Boiler Gas wWood Stove - LT Heat for Houses</v>
      </c>
      <c r="G270" s="23"/>
      <c r="H270" s="23"/>
      <c r="I270" s="104" cm="1">
        <f t="array" ref="I270">-SUMPRODUCT((Feedstocks!$C$4:$C$141=A270)*Feedstocks!$E$4:$E$141,Feedstocks!$F$4:$F$141,Feedstocks!$H$4:$H$141,Feedstocks!$I$4:$I$141)</f>
        <v>0</v>
      </c>
      <c r="J270" s="104" cm="1">
        <f t="array" ref="J270">-SUMPRODUCT((Feedstocks!$C$4:$C$141=A270)*Feedstocks!$E$4:$E$141,Feedstocks!$H$4:$H$141,Feedstocks!$I$4:$I$141)</f>
        <v>0</v>
      </c>
      <c r="K270" s="104"/>
      <c r="L270" s="104"/>
      <c r="M270" s="23"/>
      <c r="N270" s="23" t="str">
        <f>VLOOKUP(E270,Activities!$A$9:$M$227,13,FALSE)</f>
        <v>NL</v>
      </c>
      <c r="O270" s="23"/>
      <c r="P270" s="79" t="s">
        <v>415</v>
      </c>
      <c r="Q270" s="35"/>
      <c r="R270" s="35"/>
      <c r="S270" s="35"/>
      <c r="T270" s="35"/>
      <c r="U270" s="35"/>
      <c r="V270" s="35"/>
      <c r="W270" s="35"/>
      <c r="X270" s="35"/>
      <c r="Y270" s="35"/>
      <c r="Z270" s="35"/>
      <c r="AA270" s="35"/>
      <c r="AB270" s="35"/>
      <c r="AC270" s="35"/>
      <c r="AD270" s="35"/>
      <c r="AE270" s="35"/>
      <c r="AF270" s="36"/>
      <c r="AG270" s="36"/>
      <c r="AH270" s="36"/>
      <c r="AI270" s="36"/>
      <c r="AJ270" s="36"/>
      <c r="AK270" s="36"/>
      <c r="AL270" s="36"/>
      <c r="AM270" s="36"/>
      <c r="AN270" s="36"/>
      <c r="AO270" s="36"/>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v>1</v>
      </c>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v>-0.8</v>
      </c>
      <c r="EL270" s="35"/>
      <c r="EM270" s="35"/>
      <c r="EN270" s="35"/>
      <c r="EO270" s="35"/>
      <c r="EP270" s="35"/>
      <c r="EQ270" s="35"/>
      <c r="ER270" s="35"/>
      <c r="ES270" s="35"/>
      <c r="ET270" s="35"/>
      <c r="EU270" s="35"/>
      <c r="EV270" s="35"/>
      <c r="EW270" s="35"/>
      <c r="EX270" s="35"/>
      <c r="EY270" s="35"/>
      <c r="EZ270" s="35"/>
      <c r="FA270" s="35">
        <v>-0.35</v>
      </c>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18"/>
      <c r="GC270" s="178">
        <f t="shared" si="47"/>
        <v>0</v>
      </c>
      <c r="GD270" s="178">
        <f t="shared" si="48"/>
        <v>0</v>
      </c>
      <c r="GE270" s="178">
        <f t="shared" si="49"/>
        <v>4.53E-2</v>
      </c>
      <c r="GF270" s="178">
        <f t="shared" si="50"/>
        <v>0</v>
      </c>
      <c r="GG270" s="178">
        <f t="shared" si="42"/>
        <v>0</v>
      </c>
    </row>
    <row r="271" spans="1:189" x14ac:dyDescent="0.35">
      <c r="A271" s="6" t="s">
        <v>1328</v>
      </c>
      <c r="B271" s="6" t="str">
        <f>IF(Technologies!B271&lt;&gt;0,Technologies!B271,"")</f>
        <v>Gebouwde omgeving</v>
      </c>
      <c r="C271" s="6" t="str">
        <f>VLOOKUP($A271,Technologies!$A$7:$H$576,3,FALSE)</f>
        <v>Conversion</v>
      </c>
      <c r="D271" s="6" t="str">
        <f>VLOOKUP($A271,Technologies!$A$7:$H$576,4,FALSE)</f>
        <v>Residential</v>
      </c>
      <c r="E271" s="6" t="str">
        <f>VLOOKUP($A271,Technologies!$A$7:$H$576,6,FALSE)</f>
        <v>Heat LT Houses C-G</v>
      </c>
      <c r="F271" s="48" t="str">
        <f>VLOOKUP($A271,Technologies!$A$7:$H$576,7,FALSE)</f>
        <v>District Heating - LT Heat for Houses</v>
      </c>
      <c r="G271" s="22"/>
      <c r="H271" s="22"/>
      <c r="I271" s="103" cm="1">
        <f t="array" ref="I271">-SUMPRODUCT((Feedstocks!$C$4:$C$141=A271)*Feedstocks!$E$4:$E$141,Feedstocks!$F$4:$F$141,Feedstocks!$H$4:$H$141,Feedstocks!$I$4:$I$141)</f>
        <v>0</v>
      </c>
      <c r="J271" s="103" cm="1">
        <f t="array" ref="J271">-SUMPRODUCT((Feedstocks!$C$4:$C$141=A271)*Feedstocks!$E$4:$E$141,Feedstocks!$H$4:$H$141,Feedstocks!$I$4:$I$141)</f>
        <v>0</v>
      </c>
      <c r="K271" s="103"/>
      <c r="L271" s="103"/>
      <c r="M271" s="22"/>
      <c r="N271" s="22" t="str">
        <f>VLOOKUP(E271,Activities!$A$9:$M$227,13,FALSE)</f>
        <v>NL</v>
      </c>
      <c r="O271" s="22"/>
      <c r="P271" s="80" t="s">
        <v>415</v>
      </c>
      <c r="Q271" s="36"/>
      <c r="R271" s="36"/>
      <c r="S271" s="36"/>
      <c r="T271" s="36"/>
      <c r="U271" s="36"/>
      <c r="V271" s="36"/>
      <c r="W271" s="36"/>
      <c r="X271" s="36"/>
      <c r="Y271" s="36"/>
      <c r="Z271" s="36"/>
      <c r="AA271" s="36"/>
      <c r="AB271" s="36"/>
      <c r="AC271" s="36"/>
      <c r="AD271" s="36"/>
      <c r="AE271" s="36"/>
      <c r="AF271" s="35"/>
      <c r="AG271" s="35"/>
      <c r="AH271" s="35"/>
      <c r="AI271" s="35"/>
      <c r="AJ271" s="35"/>
      <c r="AK271" s="35"/>
      <c r="AL271" s="35"/>
      <c r="AM271" s="35"/>
      <c r="AN271" s="35"/>
      <c r="AO271" s="35"/>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36">
        <v>1</v>
      </c>
      <c r="DK271" s="36"/>
      <c r="DL271" s="36"/>
      <c r="DM271" s="36">
        <v>-1</v>
      </c>
      <c r="DN271" s="36"/>
      <c r="DO271" s="36"/>
      <c r="DP271" s="36"/>
      <c r="DQ271" s="36"/>
      <c r="DR271" s="36"/>
      <c r="DS271" s="36"/>
      <c r="DT271" s="36"/>
      <c r="DU271" s="36"/>
      <c r="DV271" s="36"/>
      <c r="DW271" s="36"/>
      <c r="DX271" s="36"/>
      <c r="DY271" s="36"/>
      <c r="DZ271" s="36"/>
      <c r="EA271" s="36"/>
      <c r="EB271" s="36"/>
      <c r="EC271" s="36"/>
      <c r="ED271" s="36"/>
      <c r="EE271" s="36"/>
      <c r="EF271" s="36"/>
      <c r="EG271" s="36"/>
      <c r="EH271" s="36"/>
      <c r="EI271" s="36"/>
      <c r="EJ271" s="36"/>
      <c r="EK271" s="36"/>
      <c r="EL271" s="36"/>
      <c r="EM271" s="36"/>
      <c r="EN271" s="36"/>
      <c r="EO271" s="36"/>
      <c r="EP271" s="36"/>
      <c r="EQ271" s="36"/>
      <c r="ER271" s="36"/>
      <c r="ES271" s="36"/>
      <c r="ET271" s="36"/>
      <c r="EU271" s="36"/>
      <c r="EV271" s="36"/>
      <c r="EW271" s="36"/>
      <c r="EX271" s="36"/>
      <c r="EY271" s="36"/>
      <c r="EZ271" s="36"/>
      <c r="FA271" s="36"/>
      <c r="FB271" s="36"/>
      <c r="FC271" s="36"/>
      <c r="FD271" s="36"/>
      <c r="FE271" s="36"/>
      <c r="FF271" s="36"/>
      <c r="FG271" s="36"/>
      <c r="FH271" s="36"/>
      <c r="FI271" s="36"/>
      <c r="FJ271" s="36"/>
      <c r="FK271" s="36"/>
      <c r="FL271" s="36"/>
      <c r="FM271" s="36"/>
      <c r="FN271" s="36"/>
      <c r="FO271" s="36"/>
      <c r="FP271" s="36"/>
      <c r="FQ271" s="36"/>
      <c r="FR271" s="36"/>
      <c r="FS271" s="36"/>
      <c r="FT271" s="36"/>
      <c r="FU271" s="36"/>
      <c r="FV271" s="36"/>
      <c r="FW271" s="36"/>
      <c r="FX271" s="36"/>
      <c r="FY271" s="36"/>
      <c r="FZ271" s="36"/>
      <c r="GA271" s="36"/>
      <c r="GB271" s="319"/>
      <c r="GC271" s="179">
        <f t="shared" si="47"/>
        <v>0</v>
      </c>
      <c r="GD271" s="179">
        <f t="shared" si="48"/>
        <v>0</v>
      </c>
      <c r="GE271" s="179">
        <f t="shared" si="49"/>
        <v>0</v>
      </c>
      <c r="GF271" s="179">
        <f t="shared" si="50"/>
        <v>0</v>
      </c>
      <c r="GG271" s="179">
        <f t="shared" si="42"/>
        <v>0</v>
      </c>
    </row>
    <row r="272" spans="1:189" x14ac:dyDescent="0.35">
      <c r="A272" s="5" t="s">
        <v>1330</v>
      </c>
      <c r="B272" s="5" t="str">
        <f>IF(Technologies!B272&lt;&gt;0,Technologies!B272,"")</f>
        <v>Gebouwde omgeving</v>
      </c>
      <c r="C272" s="5" t="str">
        <f>VLOOKUP($A272,Technologies!$A$7:$H$576,3,FALSE)</f>
        <v>Conversion</v>
      </c>
      <c r="D272" s="5" t="str">
        <f>VLOOKUP($A272,Technologies!$A$7:$H$576,4,FALSE)</f>
        <v>Residential</v>
      </c>
      <c r="E272" s="5" t="str">
        <f>VLOOKUP($A272,Technologies!$A$7:$H$576,6,FALSE)</f>
        <v>Heat LT Houses C-G</v>
      </c>
      <c r="F272" s="5" t="str">
        <f>VLOOKUP($A272,Technologies!$A$7:$H$576,7,FALSE)</f>
        <v>Hybrid Heat Pump - LT Heat for Houses</v>
      </c>
      <c r="G272" s="23"/>
      <c r="H272" s="23"/>
      <c r="I272" s="104" cm="1">
        <f t="array" ref="I272">-SUMPRODUCT((Feedstocks!$C$4:$C$141=A272)*Feedstocks!$E$4:$E$141,Feedstocks!$F$4:$F$141,Feedstocks!$H$4:$H$141,Feedstocks!$I$4:$I$141)</f>
        <v>0</v>
      </c>
      <c r="J272" s="104" cm="1">
        <f t="array" ref="J272">-SUMPRODUCT((Feedstocks!$C$4:$C$141=A272)*Feedstocks!$E$4:$E$141,Feedstocks!$H$4:$H$141,Feedstocks!$I$4:$I$141)</f>
        <v>0</v>
      </c>
      <c r="K272" s="104"/>
      <c r="L272" s="104"/>
      <c r="M272" s="23"/>
      <c r="N272" s="23" t="str">
        <f>VLOOKUP(E272,Activities!$A$9:$M$227,13,FALSE)</f>
        <v>NL</v>
      </c>
      <c r="O272" s="23"/>
      <c r="P272" s="79" t="s">
        <v>415</v>
      </c>
      <c r="Q272" s="35"/>
      <c r="R272" s="35"/>
      <c r="S272" s="35"/>
      <c r="T272" s="35"/>
      <c r="U272" s="35"/>
      <c r="V272" s="35"/>
      <c r="W272" s="35"/>
      <c r="X272" s="35"/>
      <c r="Y272" s="35"/>
      <c r="Z272" s="35"/>
      <c r="AA272" s="35"/>
      <c r="AB272" s="35"/>
      <c r="AC272" s="35"/>
      <c r="AD272" s="35"/>
      <c r="AE272" s="35"/>
      <c r="AF272" s="36"/>
      <c r="AG272" s="36"/>
      <c r="AH272" s="36"/>
      <c r="AI272" s="36"/>
      <c r="AJ272" s="36"/>
      <c r="AK272" s="36"/>
      <c r="AL272" s="36"/>
      <c r="AM272" s="36"/>
      <c r="AN272" s="36"/>
      <c r="AO272" s="36"/>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v>-0.44444444444444448</v>
      </c>
      <c r="DJ272" s="35">
        <v>1</v>
      </c>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v>-0.21052631578947367</v>
      </c>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v>-0.35555555555555557</v>
      </c>
      <c r="FM272" s="35"/>
      <c r="FN272" s="35"/>
      <c r="FO272" s="35"/>
      <c r="FP272" s="35"/>
      <c r="FQ272" s="35"/>
      <c r="FR272" s="35"/>
      <c r="FS272" s="35"/>
      <c r="FT272" s="35"/>
      <c r="FU272" s="35"/>
      <c r="FV272" s="35"/>
      <c r="FW272" s="35"/>
      <c r="FX272" s="35"/>
      <c r="FY272" s="35"/>
      <c r="FZ272" s="35"/>
      <c r="GA272" s="35"/>
      <c r="GB272" s="318"/>
      <c r="GC272" s="178">
        <f t="shared" si="47"/>
        <v>0</v>
      </c>
      <c r="GD272" s="178">
        <f t="shared" si="48"/>
        <v>0</v>
      </c>
      <c r="GE272" s="178">
        <f t="shared" si="49"/>
        <v>1.1900000000000001E-2</v>
      </c>
      <c r="GF272" s="178">
        <f t="shared" si="50"/>
        <v>0</v>
      </c>
      <c r="GG272" s="178">
        <f t="shared" si="42"/>
        <v>0</v>
      </c>
    </row>
    <row r="273" spans="1:189" x14ac:dyDescent="0.35">
      <c r="A273" s="6" t="s">
        <v>1333</v>
      </c>
      <c r="B273" s="6" t="str">
        <f>IF(Technologies!B273&lt;&gt;0,Technologies!B273,"")</f>
        <v>Gebouwde omgeving</v>
      </c>
      <c r="C273" s="6" t="str">
        <f>VLOOKUP($A273,Technologies!$A$7:$H$576,3,FALSE)</f>
        <v>Conversion</v>
      </c>
      <c r="D273" s="6" t="str">
        <f>VLOOKUP($A273,Technologies!$A$7:$H$576,4,FALSE)</f>
        <v>Residential</v>
      </c>
      <c r="E273" s="6" t="str">
        <f>VLOOKUP($A273,Technologies!$A$7:$H$576,6,FALSE)</f>
        <v>Heat LT Houses C-G</v>
      </c>
      <c r="F273" s="48" t="str">
        <f>VLOOKUP($A273,Technologies!$A$7:$H$576,7,FALSE)</f>
        <v>Electric Boiler - LT Heat for Houses</v>
      </c>
      <c r="G273" s="22"/>
      <c r="H273" s="22"/>
      <c r="I273" s="103" cm="1">
        <f t="array" ref="I273">-SUMPRODUCT((Feedstocks!$C$4:$C$141=A273)*Feedstocks!$E$4:$E$141,Feedstocks!$F$4:$F$141,Feedstocks!$H$4:$H$141,Feedstocks!$I$4:$I$141)</f>
        <v>0</v>
      </c>
      <c r="J273" s="103" cm="1">
        <f t="array" ref="J273">-SUMPRODUCT((Feedstocks!$C$4:$C$141=A273)*Feedstocks!$E$4:$E$141,Feedstocks!$H$4:$H$141,Feedstocks!$I$4:$I$141)</f>
        <v>0</v>
      </c>
      <c r="K273" s="103"/>
      <c r="L273" s="103"/>
      <c r="M273" s="22"/>
      <c r="N273" s="22" t="str">
        <f>VLOOKUP(E273,Activities!$A$9:$M$227,13,FALSE)</f>
        <v>NL</v>
      </c>
      <c r="O273" s="22"/>
      <c r="P273" s="80" t="s">
        <v>415</v>
      </c>
      <c r="Q273" s="36"/>
      <c r="R273" s="36"/>
      <c r="S273" s="36"/>
      <c r="T273" s="36"/>
      <c r="U273" s="36"/>
      <c r="V273" s="36"/>
      <c r="W273" s="36"/>
      <c r="X273" s="36"/>
      <c r="Y273" s="36"/>
      <c r="Z273" s="36"/>
      <c r="AA273" s="36"/>
      <c r="AB273" s="36"/>
      <c r="AC273" s="36"/>
      <c r="AD273" s="36"/>
      <c r="AE273" s="36"/>
      <c r="AF273" s="35"/>
      <c r="AG273" s="35"/>
      <c r="AH273" s="35"/>
      <c r="AI273" s="35"/>
      <c r="AJ273" s="35"/>
      <c r="AK273" s="35"/>
      <c r="AL273" s="35"/>
      <c r="AM273" s="35"/>
      <c r="AN273" s="35"/>
      <c r="AO273" s="35"/>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f>-1/0.99</f>
        <v>-1.0101010101010102</v>
      </c>
      <c r="DJ273" s="36">
        <v>1</v>
      </c>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c r="EU273" s="36"/>
      <c r="EV273" s="36"/>
      <c r="EW273" s="36"/>
      <c r="EX273" s="36"/>
      <c r="EY273" s="36"/>
      <c r="EZ273" s="36"/>
      <c r="FA273" s="36"/>
      <c r="FB273" s="36"/>
      <c r="FC273" s="36"/>
      <c r="FD273" s="36"/>
      <c r="FE273" s="36"/>
      <c r="FF273" s="36"/>
      <c r="FG273" s="36"/>
      <c r="FH273" s="36"/>
      <c r="FI273" s="36"/>
      <c r="FJ273" s="36"/>
      <c r="FK273" s="36"/>
      <c r="FL273" s="36"/>
      <c r="FM273" s="36"/>
      <c r="FN273" s="36"/>
      <c r="FO273" s="36"/>
      <c r="FP273" s="36"/>
      <c r="FQ273" s="36"/>
      <c r="FR273" s="36"/>
      <c r="FS273" s="36"/>
      <c r="FT273" s="36"/>
      <c r="FU273" s="36"/>
      <c r="FV273" s="36"/>
      <c r="FW273" s="36"/>
      <c r="FX273" s="36"/>
      <c r="FY273" s="36"/>
      <c r="FZ273" s="36"/>
      <c r="GA273" s="36"/>
      <c r="GB273" s="319"/>
      <c r="GC273" s="179">
        <f t="shared" si="47"/>
        <v>0</v>
      </c>
      <c r="GD273" s="179">
        <f t="shared" si="48"/>
        <v>0</v>
      </c>
      <c r="GE273" s="179">
        <f t="shared" si="49"/>
        <v>0</v>
      </c>
      <c r="GF273" s="179">
        <f t="shared" si="50"/>
        <v>0</v>
      </c>
      <c r="GG273" s="179">
        <f t="shared" si="42"/>
        <v>0</v>
      </c>
    </row>
    <row r="274" spans="1:189" x14ac:dyDescent="0.35">
      <c r="A274" s="5" t="s">
        <v>1336</v>
      </c>
      <c r="B274" s="5" t="str">
        <f>IF(Technologies!B274&lt;&gt;0,Technologies!B274,"")</f>
        <v>Gebouwde omgeving</v>
      </c>
      <c r="C274" s="5" t="str">
        <f>VLOOKUP($A274,Technologies!$A$7:$H$576,3,FALSE)</f>
        <v>Conversion</v>
      </c>
      <c r="D274" s="5" t="str">
        <f>VLOOKUP($A274,Technologies!$A$7:$H$576,4,FALSE)</f>
        <v>Residential</v>
      </c>
      <c r="E274" s="5" t="str">
        <f>VLOOKUP($A274,Technologies!$A$7:$H$576,6,FALSE)</f>
        <v>Heat LT Houses C-G</v>
      </c>
      <c r="F274" s="5" t="str">
        <f>VLOOKUP($A274,Technologies!$A$7:$H$576,7,FALSE)</f>
        <v>Boiler Hydrogen - LT Heat for Houses</v>
      </c>
      <c r="G274" s="23"/>
      <c r="H274" s="23"/>
      <c r="I274" s="104" cm="1">
        <f t="array" ref="I274">-SUMPRODUCT((Feedstocks!$C$4:$C$141=A274)*Feedstocks!$E$4:$E$141,Feedstocks!$F$4:$F$141,Feedstocks!$H$4:$H$141,Feedstocks!$I$4:$I$141)</f>
        <v>0</v>
      </c>
      <c r="J274" s="104" cm="1">
        <f t="array" ref="J274">-SUMPRODUCT((Feedstocks!$C$4:$C$141=A274)*Feedstocks!$E$4:$E$141,Feedstocks!$H$4:$H$141,Feedstocks!$I$4:$I$141)</f>
        <v>0</v>
      </c>
      <c r="K274" s="104"/>
      <c r="L274" s="104"/>
      <c r="M274" s="23"/>
      <c r="N274" s="23" t="str">
        <f>VLOOKUP(E274,Activities!$A$9:$M$227,13,FALSE)</f>
        <v>NL</v>
      </c>
      <c r="O274" s="23"/>
      <c r="P274" s="79" t="s">
        <v>415</v>
      </c>
      <c r="Q274" s="35"/>
      <c r="R274" s="35"/>
      <c r="S274" s="35"/>
      <c r="T274" s="35"/>
      <c r="U274" s="35"/>
      <c r="V274" s="35"/>
      <c r="W274" s="35"/>
      <c r="X274" s="35"/>
      <c r="Y274" s="35"/>
      <c r="Z274" s="35"/>
      <c r="AA274" s="35"/>
      <c r="AB274" s="35"/>
      <c r="AC274" s="35"/>
      <c r="AD274" s="35"/>
      <c r="AE274" s="35"/>
      <c r="AF274" s="36"/>
      <c r="AG274" s="36"/>
      <c r="AH274" s="36"/>
      <c r="AI274" s="36"/>
      <c r="AJ274" s="36"/>
      <c r="AK274" s="36"/>
      <c r="AL274" s="36"/>
      <c r="AM274" s="36"/>
      <c r="AN274" s="36"/>
      <c r="AO274" s="36"/>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v>1</v>
      </c>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v>-1.05</v>
      </c>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18"/>
      <c r="GC274" s="178">
        <f t="shared" si="47"/>
        <v>0</v>
      </c>
      <c r="GD274" s="178">
        <f t="shared" si="48"/>
        <v>0</v>
      </c>
      <c r="GE274" s="178">
        <f t="shared" si="49"/>
        <v>0</v>
      </c>
      <c r="GF274" s="178">
        <f t="shared" si="50"/>
        <v>0</v>
      </c>
      <c r="GG274" s="178">
        <f t="shared" si="42"/>
        <v>0</v>
      </c>
    </row>
    <row r="275" spans="1:189" x14ac:dyDescent="0.35">
      <c r="A275" s="6" t="s">
        <v>1339</v>
      </c>
      <c r="B275" s="6" t="str">
        <f>IF(Technologies!B275&lt;&gt;0,Technologies!B275,"")</f>
        <v>Gebouwde omgeving</v>
      </c>
      <c r="C275" s="6" t="str">
        <f>VLOOKUP($A275,Technologies!$A$7:$H$576,3,FALSE)</f>
        <v>Conversion</v>
      </c>
      <c r="D275" s="6" t="str">
        <f>VLOOKUP($A275,Technologies!$A$7:$H$576,4,FALSE)</f>
        <v>Residential</v>
      </c>
      <c r="E275" s="6" t="str">
        <f>VLOOKUP($A275,Technologies!$A$7:$H$576,6,FALSE)</f>
        <v>Heat LT Houses A+,A,B</v>
      </c>
      <c r="F275" s="48" t="str">
        <f>VLOOKUP($A275,Technologies!$A$7:$H$576,7,FALSE)</f>
        <v>Dummy C-G tech into A+,A,B - LT Heat for Houses</v>
      </c>
      <c r="G275" s="22"/>
      <c r="H275" s="22"/>
      <c r="I275" s="103" cm="1">
        <f t="array" ref="I275">-SUMPRODUCT((Feedstocks!$C$4:$C$141=A275)*Feedstocks!$E$4:$E$141,Feedstocks!$F$4:$F$141,Feedstocks!$H$4:$H$141,Feedstocks!$I$4:$I$141)</f>
        <v>0</v>
      </c>
      <c r="J275" s="103" cm="1">
        <f t="array" ref="J275">-SUMPRODUCT((Feedstocks!$C$4:$C$141=A275)*Feedstocks!$E$4:$E$141,Feedstocks!$H$4:$H$141,Feedstocks!$I$4:$I$141)</f>
        <v>0</v>
      </c>
      <c r="K275" s="103"/>
      <c r="L275" s="103"/>
      <c r="M275" s="22"/>
      <c r="N275" s="22" t="str">
        <f>VLOOKUP(E275,Activities!$A$9:$M$227,13,FALSE)</f>
        <v>NL</v>
      </c>
      <c r="O275" s="22"/>
      <c r="P275" s="80" t="s">
        <v>415</v>
      </c>
      <c r="Q275" s="36"/>
      <c r="R275" s="36"/>
      <c r="S275" s="36"/>
      <c r="T275" s="36"/>
      <c r="U275" s="36"/>
      <c r="V275" s="36"/>
      <c r="W275" s="36"/>
      <c r="X275" s="36"/>
      <c r="Y275" s="36"/>
      <c r="Z275" s="36"/>
      <c r="AA275" s="36"/>
      <c r="AB275" s="36"/>
      <c r="AC275" s="36"/>
      <c r="AD275" s="36"/>
      <c r="AE275" s="36"/>
      <c r="AF275" s="35"/>
      <c r="AG275" s="35"/>
      <c r="AH275" s="35"/>
      <c r="AI275" s="35"/>
      <c r="AJ275" s="35"/>
      <c r="AK275" s="35"/>
      <c r="AL275" s="35"/>
      <c r="AM275" s="35"/>
      <c r="AN275" s="35"/>
      <c r="AO275" s="35"/>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6"/>
      <c r="BV275" s="36"/>
      <c r="BW275" s="3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36">
        <v>-1</v>
      </c>
      <c r="DK275" s="36">
        <v>1</v>
      </c>
      <c r="DL275" s="36"/>
      <c r="DM275" s="36"/>
      <c r="DN275" s="36"/>
      <c r="DO275" s="36"/>
      <c r="DP275" s="36"/>
      <c r="DQ275" s="36"/>
      <c r="DR275" s="36"/>
      <c r="DS275" s="36"/>
      <c r="DT275" s="36"/>
      <c r="DU275" s="36"/>
      <c r="DV275" s="36"/>
      <c r="DW275" s="36"/>
      <c r="DX275" s="36"/>
      <c r="DY275" s="36"/>
      <c r="DZ275" s="36"/>
      <c r="EA275" s="36"/>
      <c r="EB275" s="36"/>
      <c r="EC275" s="36"/>
      <c r="ED275" s="36"/>
      <c r="EE275" s="36"/>
      <c r="EF275" s="36"/>
      <c r="EG275" s="36"/>
      <c r="EH275" s="36"/>
      <c r="EI275" s="36"/>
      <c r="EJ275" s="36"/>
      <c r="EK275" s="36"/>
      <c r="EL275" s="36"/>
      <c r="EM275" s="36"/>
      <c r="EN275" s="36"/>
      <c r="EO275" s="36"/>
      <c r="EP275" s="36"/>
      <c r="EQ275" s="36"/>
      <c r="ER275" s="36"/>
      <c r="ES275" s="36"/>
      <c r="ET275" s="36"/>
      <c r="EU275" s="36"/>
      <c r="EV275" s="36"/>
      <c r="EW275" s="36"/>
      <c r="EX275" s="36"/>
      <c r="EY275" s="36"/>
      <c r="EZ275" s="36"/>
      <c r="FA275" s="36"/>
      <c r="FB275" s="36"/>
      <c r="FC275" s="36"/>
      <c r="FD275" s="36"/>
      <c r="FE275" s="36"/>
      <c r="FF275" s="36"/>
      <c r="FG275" s="36"/>
      <c r="FH275" s="36"/>
      <c r="FI275" s="36"/>
      <c r="FJ275" s="36"/>
      <c r="FK275" s="36"/>
      <c r="FL275" s="36"/>
      <c r="FM275" s="36"/>
      <c r="FN275" s="36"/>
      <c r="FO275" s="36"/>
      <c r="FP275" s="36"/>
      <c r="FQ275" s="36"/>
      <c r="FR275" s="36"/>
      <c r="FS275" s="36"/>
      <c r="FT275" s="36"/>
      <c r="FU275" s="36"/>
      <c r="FV275" s="36"/>
      <c r="FW275" s="36"/>
      <c r="FX275" s="36"/>
      <c r="FY275" s="36"/>
      <c r="FZ275" s="36"/>
      <c r="GA275" s="36"/>
      <c r="GB275" s="319"/>
      <c r="GC275" s="179">
        <f t="shared" si="47"/>
        <v>0</v>
      </c>
      <c r="GD275" s="179">
        <f t="shared" si="48"/>
        <v>0</v>
      </c>
      <c r="GE275" s="179">
        <f t="shared" si="49"/>
        <v>0</v>
      </c>
      <c r="GF275" s="179">
        <f t="shared" si="50"/>
        <v>0</v>
      </c>
      <c r="GG275" s="179">
        <f t="shared" si="42"/>
        <v>0</v>
      </c>
    </row>
    <row r="276" spans="1:189" x14ac:dyDescent="0.35">
      <c r="A276" s="5" t="s">
        <v>1341</v>
      </c>
      <c r="B276" s="5" t="str">
        <f>IF(Technologies!B276&lt;&gt;0,Technologies!B276,"")</f>
        <v>Gebouwde omgeving</v>
      </c>
      <c r="C276" s="5" t="str">
        <f>VLOOKUP($A276,Technologies!$A$7:$H$576,3,FALSE)</f>
        <v>Conversion</v>
      </c>
      <c r="D276" s="5" t="str">
        <f>VLOOKUP($A276,Technologies!$A$7:$H$576,4,FALSE)</f>
        <v>Residential</v>
      </c>
      <c r="E276" s="5" t="str">
        <f>VLOOKUP($A276,Technologies!$A$7:$H$576,6,FALSE)</f>
        <v>Heat LT Houses A+,A,B</v>
      </c>
      <c r="F276" s="5" t="str">
        <f>VLOOKUP($A276,Technologies!$A$7:$H$576,7,FALSE)</f>
        <v>Boiler Gas wSolar - LT Heat for Houses</v>
      </c>
      <c r="G276" s="23"/>
      <c r="H276" s="23"/>
      <c r="I276" s="104" cm="1">
        <f t="array" ref="I276">-SUMPRODUCT((Feedstocks!$C$4:$C$141=A276)*Feedstocks!$E$4:$E$141,Feedstocks!$F$4:$F$141,Feedstocks!$H$4:$H$141,Feedstocks!$I$4:$I$141)</f>
        <v>0</v>
      </c>
      <c r="J276" s="104" cm="1">
        <f t="array" ref="J276">-SUMPRODUCT((Feedstocks!$C$4:$C$141=A276)*Feedstocks!$E$4:$E$141,Feedstocks!$H$4:$H$141,Feedstocks!$I$4:$I$141)</f>
        <v>0</v>
      </c>
      <c r="K276" s="104"/>
      <c r="L276" s="104"/>
      <c r="M276" s="23"/>
      <c r="N276" s="23" t="str">
        <f>VLOOKUP(E276,Activities!$A$9:$M$227,13,FALSE)</f>
        <v>NL</v>
      </c>
      <c r="O276" s="23"/>
      <c r="P276" s="79" t="s">
        <v>1825</v>
      </c>
      <c r="Q276" s="35"/>
      <c r="R276" s="35"/>
      <c r="S276" s="35"/>
      <c r="T276" s="35"/>
      <c r="U276" s="35"/>
      <c r="V276" s="35"/>
      <c r="W276" s="35"/>
      <c r="X276" s="35"/>
      <c r="Y276" s="35"/>
      <c r="Z276" s="35"/>
      <c r="AA276" s="35"/>
      <c r="AB276" s="35"/>
      <c r="AC276" s="35"/>
      <c r="AD276" s="35"/>
      <c r="AE276" s="35"/>
      <c r="AF276" s="36"/>
      <c r="AG276" s="36"/>
      <c r="AH276" s="36"/>
      <c r="AI276" s="36"/>
      <c r="AJ276" s="36"/>
      <c r="AK276" s="36"/>
      <c r="AL276" s="36"/>
      <c r="AM276" s="36"/>
      <c r="AN276" s="36"/>
      <c r="AO276" s="36"/>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v>1</v>
      </c>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v>-1</v>
      </c>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v>-0.82242546702767361</v>
      </c>
      <c r="FO276" s="35"/>
      <c r="FP276" s="35"/>
      <c r="FQ276" s="35"/>
      <c r="FR276" s="35"/>
      <c r="FS276" s="35"/>
      <c r="FT276" s="35"/>
      <c r="FU276" s="35"/>
      <c r="FV276" s="35"/>
      <c r="FW276" s="35"/>
      <c r="FX276" s="35"/>
      <c r="FY276" s="35"/>
      <c r="FZ276" s="35"/>
      <c r="GA276" s="35"/>
      <c r="GB276" s="318"/>
      <c r="GC276" s="178">
        <f t="shared" si="47"/>
        <v>0</v>
      </c>
      <c r="GD276" s="178">
        <f t="shared" si="48"/>
        <v>0</v>
      </c>
      <c r="GE276" s="178">
        <f t="shared" si="49"/>
        <v>5.6599999999999998E-2</v>
      </c>
      <c r="GF276" s="178">
        <f t="shared" si="50"/>
        <v>0</v>
      </c>
      <c r="GG276" s="178">
        <f t="shared" si="42"/>
        <v>0</v>
      </c>
    </row>
    <row r="277" spans="1:189" x14ac:dyDescent="0.35">
      <c r="A277" s="6" t="s">
        <v>1343</v>
      </c>
      <c r="B277" s="6" t="str">
        <f>IF(Technologies!B277&lt;&gt;0,Technologies!B277,"")</f>
        <v>Gebouwde omgeving</v>
      </c>
      <c r="C277" s="6" t="str">
        <f>VLOOKUP($A277,Technologies!$A$7:$H$576,3,FALSE)</f>
        <v>Conversion</v>
      </c>
      <c r="D277" s="6" t="str">
        <f>VLOOKUP($A277,Technologies!$A$7:$H$576,4,FALSE)</f>
        <v>Residential</v>
      </c>
      <c r="E277" s="6" t="str">
        <f>VLOOKUP($A277,Technologies!$A$7:$H$576,6,FALSE)</f>
        <v>Heat LT Houses A+,A,B</v>
      </c>
      <c r="F277" s="48" t="str">
        <f>VLOOKUP($A277,Technologies!$A$7:$H$576,7,FALSE)</f>
        <v>Electric Heater wSolar - LT Heat for Houses</v>
      </c>
      <c r="G277" s="22"/>
      <c r="H277" s="22"/>
      <c r="I277" s="103" cm="1">
        <f t="array" ref="I277">-SUMPRODUCT((Feedstocks!$C$4:$C$141=A277)*Feedstocks!$E$4:$E$141,Feedstocks!$F$4:$F$141,Feedstocks!$H$4:$H$141,Feedstocks!$I$4:$I$141)</f>
        <v>0</v>
      </c>
      <c r="J277" s="103" cm="1">
        <f t="array" ref="J277">-SUMPRODUCT((Feedstocks!$C$4:$C$141=A277)*Feedstocks!$E$4:$E$141,Feedstocks!$H$4:$H$141,Feedstocks!$I$4:$I$141)</f>
        <v>0</v>
      </c>
      <c r="K277" s="103"/>
      <c r="L277" s="103"/>
      <c r="M277" s="22"/>
      <c r="N277" s="22" t="str">
        <f>VLOOKUP(E277,Activities!$A$9:$M$227,13,FALSE)</f>
        <v>NL</v>
      </c>
      <c r="O277" s="22"/>
      <c r="P277" s="80" t="s">
        <v>415</v>
      </c>
      <c r="Q277" s="36"/>
      <c r="R277" s="36"/>
      <c r="S277" s="36"/>
      <c r="T277" s="36"/>
      <c r="U277" s="36"/>
      <c r="V277" s="36"/>
      <c r="W277" s="36"/>
      <c r="X277" s="36"/>
      <c r="Y277" s="36"/>
      <c r="Z277" s="36"/>
      <c r="AA277" s="36"/>
      <c r="AB277" s="36"/>
      <c r="AC277" s="36"/>
      <c r="AD277" s="36"/>
      <c r="AE277" s="36"/>
      <c r="AF277" s="35"/>
      <c r="AG277" s="35"/>
      <c r="AH277" s="35"/>
      <c r="AI277" s="35"/>
      <c r="AJ277" s="35"/>
      <c r="AK277" s="35"/>
      <c r="AL277" s="35"/>
      <c r="AM277" s="35"/>
      <c r="AN277" s="35"/>
      <c r="AO277" s="35"/>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6"/>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v>-0.79627546461180276</v>
      </c>
      <c r="DJ277" s="36"/>
      <c r="DK277" s="36">
        <v>1</v>
      </c>
      <c r="DL277" s="36"/>
      <c r="DM277" s="36"/>
      <c r="DN277" s="36"/>
      <c r="DO277" s="36"/>
      <c r="DP277" s="36"/>
      <c r="DQ277" s="36"/>
      <c r="DR277" s="36"/>
      <c r="DS277" s="36"/>
      <c r="DT277" s="36"/>
      <c r="DU277" s="36"/>
      <c r="DV277" s="36"/>
      <c r="DW277" s="36"/>
      <c r="DX277" s="36"/>
      <c r="DY277" s="36"/>
      <c r="DZ277" s="36"/>
      <c r="EA277" s="36"/>
      <c r="EB277" s="36"/>
      <c r="EC277" s="36"/>
      <c r="ED277" s="36"/>
      <c r="EE277" s="36"/>
      <c r="EF277" s="36"/>
      <c r="EG277" s="36"/>
      <c r="EH277" s="36"/>
      <c r="EI277" s="36"/>
      <c r="EJ277" s="36"/>
      <c r="EK277" s="36"/>
      <c r="EL277" s="36"/>
      <c r="EM277" s="36"/>
      <c r="EN277" s="36"/>
      <c r="EO277" s="36"/>
      <c r="EP277" s="36"/>
      <c r="EQ277" s="36"/>
      <c r="ER277" s="36"/>
      <c r="ES277" s="36"/>
      <c r="ET277" s="36"/>
      <c r="EU277" s="36"/>
      <c r="EV277" s="36"/>
      <c r="EW277" s="36"/>
      <c r="EX277" s="36"/>
      <c r="EY277" s="36"/>
      <c r="EZ277" s="36"/>
      <c r="FA277" s="36"/>
      <c r="FB277" s="36"/>
      <c r="FC277" s="36"/>
      <c r="FD277" s="36"/>
      <c r="FE277" s="36"/>
      <c r="FF277" s="36"/>
      <c r="FG277" s="36"/>
      <c r="FH277" s="36"/>
      <c r="FI277" s="36"/>
      <c r="FJ277" s="36"/>
      <c r="FK277" s="36"/>
      <c r="FL277" s="36"/>
      <c r="FM277" s="36"/>
      <c r="FN277" s="36">
        <v>-0.20372453538819718</v>
      </c>
      <c r="FO277" s="36"/>
      <c r="FP277" s="36"/>
      <c r="FQ277" s="36"/>
      <c r="FR277" s="36"/>
      <c r="FS277" s="36"/>
      <c r="FT277" s="36"/>
      <c r="FU277" s="36"/>
      <c r="FV277" s="36"/>
      <c r="FW277" s="36"/>
      <c r="FX277" s="36"/>
      <c r="FY277" s="36"/>
      <c r="FZ277" s="36"/>
      <c r="GA277" s="36"/>
      <c r="GB277" s="319"/>
      <c r="GC277" s="179">
        <f t="shared" si="47"/>
        <v>0</v>
      </c>
      <c r="GD277" s="179">
        <f t="shared" si="48"/>
        <v>0</v>
      </c>
      <c r="GE277" s="179">
        <f t="shared" si="49"/>
        <v>0</v>
      </c>
      <c r="GF277" s="179">
        <f t="shared" si="50"/>
        <v>0</v>
      </c>
      <c r="GG277" s="179">
        <f t="shared" si="42"/>
        <v>0</v>
      </c>
    </row>
    <row r="278" spans="1:189" x14ac:dyDescent="0.35">
      <c r="A278" s="5" t="s">
        <v>1345</v>
      </c>
      <c r="B278" s="5" t="str">
        <f>IF(Technologies!B278&lt;&gt;0,Technologies!B278,"")</f>
        <v>Gebouwde omgeving</v>
      </c>
      <c r="C278" s="5" t="str">
        <f>VLOOKUP($A278,Technologies!$A$7:$H$576,3,FALSE)</f>
        <v>Conversion</v>
      </c>
      <c r="D278" s="5" t="str">
        <f>VLOOKUP($A278,Technologies!$A$7:$H$576,4,FALSE)</f>
        <v>Residential</v>
      </c>
      <c r="E278" s="5" t="str">
        <f>VLOOKUP($A278,Technologies!$A$7:$H$576,6,FALSE)</f>
        <v>Heat LT Houses A+,A,B</v>
      </c>
      <c r="F278" s="5" t="str">
        <f>VLOOKUP($A278,Technologies!$A$7:$H$576,7,FALSE)</f>
        <v>Electric Heat Pump Air - LT Heat for Houses</v>
      </c>
      <c r="G278" s="23"/>
      <c r="H278" s="23"/>
      <c r="I278" s="104" cm="1">
        <f t="array" ref="I278">-SUMPRODUCT((Feedstocks!$C$4:$C$141=A278)*Feedstocks!$E$4:$E$141,Feedstocks!$F$4:$F$141,Feedstocks!$H$4:$H$141,Feedstocks!$I$4:$I$141)</f>
        <v>0</v>
      </c>
      <c r="J278" s="104" cm="1">
        <f t="array" ref="J278">-SUMPRODUCT((Feedstocks!$C$4:$C$141=A278)*Feedstocks!$E$4:$E$141,Feedstocks!$H$4:$H$141,Feedstocks!$I$4:$I$141)</f>
        <v>0</v>
      </c>
      <c r="K278" s="104"/>
      <c r="L278" s="104"/>
      <c r="M278" s="23"/>
      <c r="N278" s="23" t="str">
        <f>VLOOKUP(E278,Activities!$A$9:$M$227,13,FALSE)</f>
        <v>NL</v>
      </c>
      <c r="O278" s="23"/>
      <c r="P278" s="79" t="s">
        <v>1826</v>
      </c>
      <c r="Q278" s="35"/>
      <c r="R278" s="35"/>
      <c r="S278" s="35"/>
      <c r="T278" s="35"/>
      <c r="U278" s="35"/>
      <c r="V278" s="35"/>
      <c r="W278" s="35"/>
      <c r="X278" s="35"/>
      <c r="Y278" s="35"/>
      <c r="Z278" s="35"/>
      <c r="AA278" s="35"/>
      <c r="AB278" s="35"/>
      <c r="AC278" s="35"/>
      <c r="AD278" s="35"/>
      <c r="AE278" s="35"/>
      <c r="AF278" s="36"/>
      <c r="AG278" s="36"/>
      <c r="AH278" s="36"/>
      <c r="AI278" s="36"/>
      <c r="AJ278" s="36"/>
      <c r="AK278" s="36"/>
      <c r="AL278" s="36"/>
      <c r="AM278" s="36"/>
      <c r="AN278" s="36"/>
      <c r="AO278" s="36"/>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v>-0.32</v>
      </c>
      <c r="DJ278" s="35"/>
      <c r="DK278" s="35">
        <v>1</v>
      </c>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v>-0.68</v>
      </c>
      <c r="FM278" s="35"/>
      <c r="FN278" s="35"/>
      <c r="FO278" s="35"/>
      <c r="FP278" s="35"/>
      <c r="FQ278" s="35"/>
      <c r="FR278" s="35"/>
      <c r="FS278" s="35"/>
      <c r="FT278" s="35"/>
      <c r="FU278" s="35"/>
      <c r="FV278" s="35"/>
      <c r="FW278" s="35"/>
      <c r="FX278" s="35"/>
      <c r="FY278" s="35"/>
      <c r="FZ278" s="35"/>
      <c r="GA278" s="35"/>
      <c r="GB278" s="318"/>
      <c r="GC278" s="178">
        <f t="shared" si="47"/>
        <v>0</v>
      </c>
      <c r="GD278" s="178">
        <f t="shared" si="48"/>
        <v>0</v>
      </c>
      <c r="GE278" s="178">
        <f t="shared" si="49"/>
        <v>0</v>
      </c>
      <c r="GF278" s="178">
        <f t="shared" si="50"/>
        <v>0</v>
      </c>
      <c r="GG278" s="178">
        <f t="shared" si="42"/>
        <v>0</v>
      </c>
    </row>
    <row r="279" spans="1:189" x14ac:dyDescent="0.35">
      <c r="A279" s="6" t="s">
        <v>1350</v>
      </c>
      <c r="B279" s="6" t="str">
        <f>IF(Technologies!B279&lt;&gt;0,Technologies!B279,"")</f>
        <v>Gebouwde omgeving</v>
      </c>
      <c r="C279" s="6" t="str">
        <f>VLOOKUP($A279,Technologies!$A$7:$H$576,3,FALSE)</f>
        <v>Conversion</v>
      </c>
      <c r="D279" s="6" t="str">
        <f>VLOOKUP($A279,Technologies!$A$7:$H$576,4,FALSE)</f>
        <v>Residential</v>
      </c>
      <c r="E279" s="6" t="str">
        <f>VLOOKUP($A279,Technologies!$A$7:$H$576,6,FALSE)</f>
        <v>Heat LT Houses A+,A,B</v>
      </c>
      <c r="F279" s="48" t="str">
        <f>VLOOKUP($A279,Technologies!$A$7:$H$576,7,FALSE)</f>
        <v>Electric Heat Pump GW - LT Heat for Houses</v>
      </c>
      <c r="G279" s="22"/>
      <c r="H279" s="22"/>
      <c r="I279" s="103" cm="1">
        <f t="array" ref="I279">-SUMPRODUCT((Feedstocks!$C$4:$C$141=A279)*Feedstocks!$E$4:$E$141,Feedstocks!$F$4:$F$141,Feedstocks!$H$4:$H$141,Feedstocks!$I$4:$I$141)</f>
        <v>0</v>
      </c>
      <c r="J279" s="103" cm="1">
        <f t="array" ref="J279">-SUMPRODUCT((Feedstocks!$C$4:$C$141=A279)*Feedstocks!$E$4:$E$141,Feedstocks!$H$4:$H$141,Feedstocks!$I$4:$I$141)</f>
        <v>0</v>
      </c>
      <c r="K279" s="103"/>
      <c r="L279" s="103"/>
      <c r="M279" s="22"/>
      <c r="N279" s="22" t="str">
        <f>VLOOKUP(E279,Activities!$A$9:$M$227,13,FALSE)</f>
        <v>NL</v>
      </c>
      <c r="O279" s="22"/>
      <c r="P279" s="80" t="s">
        <v>1827</v>
      </c>
      <c r="Q279" s="36"/>
      <c r="R279" s="36"/>
      <c r="S279" s="36"/>
      <c r="T279" s="36"/>
      <c r="U279" s="36"/>
      <c r="V279" s="36"/>
      <c r="W279" s="36"/>
      <c r="X279" s="36"/>
      <c r="Y279" s="36"/>
      <c r="Z279" s="36"/>
      <c r="AA279" s="36"/>
      <c r="AB279" s="36"/>
      <c r="AC279" s="36"/>
      <c r="AD279" s="36"/>
      <c r="AE279" s="36"/>
      <c r="AF279" s="35"/>
      <c r="AG279" s="35"/>
      <c r="AH279" s="35"/>
      <c r="AI279" s="35"/>
      <c r="AJ279" s="35"/>
      <c r="AK279" s="35"/>
      <c r="AL279" s="35"/>
      <c r="AM279" s="35"/>
      <c r="AN279" s="35"/>
      <c r="AO279" s="35"/>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v>-0.27</v>
      </c>
      <c r="DJ279" s="36"/>
      <c r="DK279" s="36">
        <v>1</v>
      </c>
      <c r="DL279" s="36"/>
      <c r="DM279" s="36"/>
      <c r="DN279" s="36"/>
      <c r="DO279" s="36"/>
      <c r="DP279" s="36"/>
      <c r="DQ279" s="36"/>
      <c r="DR279" s="36"/>
      <c r="DS279" s="36"/>
      <c r="DT279" s="36"/>
      <c r="DU279" s="36"/>
      <c r="DV279" s="36"/>
      <c r="DW279" s="36"/>
      <c r="DX279" s="36"/>
      <c r="DY279" s="36"/>
      <c r="DZ279" s="36"/>
      <c r="EA279" s="36"/>
      <c r="EB279" s="36"/>
      <c r="EC279" s="36"/>
      <c r="ED279" s="36"/>
      <c r="EE279" s="36"/>
      <c r="EF279" s="36"/>
      <c r="EG279" s="36"/>
      <c r="EH279" s="36"/>
      <c r="EI279" s="36"/>
      <c r="EJ279" s="36"/>
      <c r="EK279" s="36"/>
      <c r="EL279" s="36"/>
      <c r="EM279" s="36"/>
      <c r="EN279" s="36"/>
      <c r="EO279" s="36"/>
      <c r="EP279" s="36"/>
      <c r="EQ279" s="36"/>
      <c r="ER279" s="36"/>
      <c r="ES279" s="36"/>
      <c r="ET279" s="36"/>
      <c r="EU279" s="36"/>
      <c r="EV279" s="36"/>
      <c r="EW279" s="36"/>
      <c r="EX279" s="36"/>
      <c r="EY279" s="36"/>
      <c r="EZ279" s="36"/>
      <c r="FA279" s="36"/>
      <c r="FB279" s="36"/>
      <c r="FC279" s="36"/>
      <c r="FD279" s="36"/>
      <c r="FE279" s="36"/>
      <c r="FF279" s="36"/>
      <c r="FG279" s="36"/>
      <c r="FH279" s="36"/>
      <c r="FI279" s="36"/>
      <c r="FJ279" s="36"/>
      <c r="FK279" s="36"/>
      <c r="FL279" s="36">
        <v>-0.73</v>
      </c>
      <c r="FM279" s="36"/>
      <c r="FN279" s="36"/>
      <c r="FO279" s="36"/>
      <c r="FP279" s="36"/>
      <c r="FQ279" s="36"/>
      <c r="FR279" s="36"/>
      <c r="FS279" s="36"/>
      <c r="FT279" s="36"/>
      <c r="FU279" s="36"/>
      <c r="FV279" s="36"/>
      <c r="FW279" s="36"/>
      <c r="FX279" s="36"/>
      <c r="FY279" s="36"/>
      <c r="FZ279" s="36"/>
      <c r="GA279" s="36"/>
      <c r="GB279" s="319"/>
      <c r="GC279" s="179">
        <f t="shared" si="47"/>
        <v>0</v>
      </c>
      <c r="GD279" s="179">
        <f t="shared" si="48"/>
        <v>0</v>
      </c>
      <c r="GE279" s="179">
        <f t="shared" si="49"/>
        <v>0</v>
      </c>
      <c r="GF279" s="179">
        <f t="shared" si="50"/>
        <v>0</v>
      </c>
      <c r="GG279" s="179">
        <f t="shared" si="42"/>
        <v>0</v>
      </c>
    </row>
    <row r="280" spans="1:189" x14ac:dyDescent="0.35">
      <c r="A280" s="5" t="s">
        <v>1353</v>
      </c>
      <c r="B280" s="5" t="str">
        <f>IF(Technologies!B280&lt;&gt;0,Technologies!B280,"")</f>
        <v>Gebouwde omgeving</v>
      </c>
      <c r="C280" s="5" t="str">
        <f>VLOOKUP($A280,Technologies!$A$7:$H$576,3,FALSE)</f>
        <v>Conversion</v>
      </c>
      <c r="D280" s="5" t="str">
        <f>VLOOKUP($A280,Technologies!$A$7:$H$576,4,FALSE)</f>
        <v>Services</v>
      </c>
      <c r="E280" s="5" t="str">
        <f>VLOOKUP($A280,Technologies!$A$7:$H$576,6,FALSE)</f>
        <v>Heat LT Services</v>
      </c>
      <c r="F280" s="5" t="str">
        <f>VLOOKUP($A280,Technologies!$A$7:$H$576,7,FALSE)</f>
        <v>Boiler Gas Standard - LT Heat for Services</v>
      </c>
      <c r="G280" s="23"/>
      <c r="H280" s="23"/>
      <c r="I280" s="104" cm="1">
        <f t="array" ref="I280">-SUMPRODUCT((Feedstocks!$C$4:$C$141=A280)*Feedstocks!$E$4:$E$141,Feedstocks!$F$4:$F$141,Feedstocks!$H$4:$H$141,Feedstocks!$I$4:$I$141)</f>
        <v>0</v>
      </c>
      <c r="J280" s="104" cm="1">
        <f t="array" ref="J280">-SUMPRODUCT((Feedstocks!$C$4:$C$141=A280)*Feedstocks!$E$4:$E$141,Feedstocks!$H$4:$H$141,Feedstocks!$I$4:$I$141)</f>
        <v>0</v>
      </c>
      <c r="K280" s="104"/>
      <c r="L280" s="104"/>
      <c r="M280" s="23"/>
      <c r="N280" s="23" t="str">
        <f>VLOOKUP(E280,Activities!$A$9:$M$227,13,FALSE)</f>
        <v>NL</v>
      </c>
      <c r="O280" s="23"/>
      <c r="P280" s="79" t="s">
        <v>415</v>
      </c>
      <c r="Q280" s="35"/>
      <c r="R280" s="35"/>
      <c r="S280" s="35"/>
      <c r="T280" s="35"/>
      <c r="U280" s="35"/>
      <c r="V280" s="35"/>
      <c r="W280" s="35"/>
      <c r="X280" s="35"/>
      <c r="Y280" s="35"/>
      <c r="Z280" s="35"/>
      <c r="AA280" s="35"/>
      <c r="AB280" s="35"/>
      <c r="AC280" s="35"/>
      <c r="AD280" s="35"/>
      <c r="AE280" s="35"/>
      <c r="AF280" s="36"/>
      <c r="AG280" s="36"/>
      <c r="AH280" s="36"/>
      <c r="AI280" s="36"/>
      <c r="AJ280" s="36"/>
      <c r="AK280" s="36"/>
      <c r="AL280" s="36"/>
      <c r="AM280" s="36"/>
      <c r="AN280" s="36"/>
      <c r="AO280" s="36"/>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v>1</v>
      </c>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v>-1.1111111111111101</v>
      </c>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18"/>
      <c r="GC280" s="178">
        <f t="shared" si="47"/>
        <v>0</v>
      </c>
      <c r="GD280" s="178">
        <f t="shared" si="48"/>
        <v>0</v>
      </c>
      <c r="GE280" s="178">
        <f t="shared" si="49"/>
        <v>6.2899999999999998E-2</v>
      </c>
      <c r="GF280" s="178">
        <f t="shared" si="50"/>
        <v>0</v>
      </c>
      <c r="GG280" s="178">
        <f t="shared" si="42"/>
        <v>0</v>
      </c>
    </row>
    <row r="281" spans="1:189" x14ac:dyDescent="0.35">
      <c r="A281" s="6" t="s">
        <v>1355</v>
      </c>
      <c r="B281" s="6" t="str">
        <f>IF(Technologies!B281&lt;&gt;0,Technologies!B281,"")</f>
        <v>Gebouwde omgeving</v>
      </c>
      <c r="C281" s="6" t="str">
        <f>VLOOKUP($A281,Technologies!$A$7:$H$576,3,FALSE)</f>
        <v>Conversion</v>
      </c>
      <c r="D281" s="6" t="str">
        <f>VLOOKUP($A281,Technologies!$A$7:$H$576,4,FALSE)</f>
        <v>Services</v>
      </c>
      <c r="E281" s="6" t="str">
        <f>VLOOKUP($A281,Technologies!$A$7:$H$576,6,FALSE)</f>
        <v>Heat LT Services</v>
      </c>
      <c r="F281" s="48" t="str">
        <f>VLOOKUP($A281,Technologies!$A$7:$H$576,7,FALSE)</f>
        <v>Boiler Gas HR107 - LT Heat for Services</v>
      </c>
      <c r="G281" s="22"/>
      <c r="H281" s="22"/>
      <c r="I281" s="103" cm="1">
        <f t="array" ref="I281">-SUMPRODUCT((Feedstocks!$C$4:$C$141=A281)*Feedstocks!$E$4:$E$141,Feedstocks!$F$4:$F$141,Feedstocks!$H$4:$H$141,Feedstocks!$I$4:$I$141)</f>
        <v>0</v>
      </c>
      <c r="J281" s="103" cm="1">
        <f t="array" ref="J281">-SUMPRODUCT((Feedstocks!$C$4:$C$141=A281)*Feedstocks!$E$4:$E$141,Feedstocks!$H$4:$H$141,Feedstocks!$I$4:$I$141)</f>
        <v>0</v>
      </c>
      <c r="K281" s="103"/>
      <c r="L281" s="103"/>
      <c r="M281" s="22"/>
      <c r="N281" s="22" t="str">
        <f>VLOOKUP(E281,Activities!$A$9:$M$227,13,FALSE)</f>
        <v>NL</v>
      </c>
      <c r="O281" s="22"/>
      <c r="P281" s="80" t="s">
        <v>415</v>
      </c>
      <c r="Q281" s="36"/>
      <c r="R281" s="36"/>
      <c r="S281" s="36"/>
      <c r="T281" s="36"/>
      <c r="U281" s="36"/>
      <c r="V281" s="36"/>
      <c r="W281" s="36"/>
      <c r="X281" s="36"/>
      <c r="Y281" s="36"/>
      <c r="Z281" s="36"/>
      <c r="AA281" s="36"/>
      <c r="AB281" s="36"/>
      <c r="AC281" s="36"/>
      <c r="AD281" s="36"/>
      <c r="AE281" s="36"/>
      <c r="AF281" s="35"/>
      <c r="AG281" s="35"/>
      <c r="AH281" s="35"/>
      <c r="AI281" s="35"/>
      <c r="AJ281" s="35"/>
      <c r="AK281" s="35"/>
      <c r="AL281" s="35"/>
      <c r="AM281" s="35"/>
      <c r="AN281" s="35"/>
      <c r="AO281" s="35"/>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c r="CW281" s="36"/>
      <c r="CX281" s="36"/>
      <c r="CY281" s="36"/>
      <c r="CZ281" s="36"/>
      <c r="DA281" s="36"/>
      <c r="DB281" s="36"/>
      <c r="DC281" s="36"/>
      <c r="DD281" s="36"/>
      <c r="DE281" s="36"/>
      <c r="DF281" s="36"/>
      <c r="DG281" s="36"/>
      <c r="DH281" s="36"/>
      <c r="DI281" s="36"/>
      <c r="DJ281" s="36"/>
      <c r="DK281" s="36"/>
      <c r="DL281" s="36">
        <v>1</v>
      </c>
      <c r="DM281" s="36"/>
      <c r="DN281" s="36"/>
      <c r="DO281" s="36"/>
      <c r="DP281" s="36"/>
      <c r="DQ281" s="36"/>
      <c r="DR281" s="36"/>
      <c r="DS281" s="36"/>
      <c r="DT281" s="36"/>
      <c r="DU281" s="36"/>
      <c r="DV281" s="36"/>
      <c r="DW281" s="36"/>
      <c r="DX281" s="36"/>
      <c r="DY281" s="36"/>
      <c r="DZ281" s="36"/>
      <c r="EA281" s="36"/>
      <c r="EB281" s="36"/>
      <c r="EC281" s="36"/>
      <c r="ED281" s="36"/>
      <c r="EE281" s="36"/>
      <c r="EF281" s="36"/>
      <c r="EG281" s="36"/>
      <c r="EH281" s="36"/>
      <c r="EI281" s="36"/>
      <c r="EJ281" s="36"/>
      <c r="EK281" s="36">
        <v>-1</v>
      </c>
      <c r="EL281" s="36"/>
      <c r="EM281" s="36"/>
      <c r="EN281" s="36"/>
      <c r="EO281" s="36"/>
      <c r="EP281" s="36"/>
      <c r="EQ281" s="36"/>
      <c r="ER281" s="36"/>
      <c r="ES281" s="36"/>
      <c r="ET281" s="36"/>
      <c r="EU281" s="36"/>
      <c r="EV281" s="36"/>
      <c r="EW281" s="36"/>
      <c r="EX281" s="36"/>
      <c r="EY281" s="36"/>
      <c r="EZ281" s="36"/>
      <c r="FA281" s="36"/>
      <c r="FB281" s="36"/>
      <c r="FC281" s="36"/>
      <c r="FD281" s="36"/>
      <c r="FE281" s="36"/>
      <c r="FF281" s="36"/>
      <c r="FG281" s="36"/>
      <c r="FH281" s="36"/>
      <c r="FI281" s="36"/>
      <c r="FJ281" s="36"/>
      <c r="FK281" s="36"/>
      <c r="FL281" s="36"/>
      <c r="FM281" s="36"/>
      <c r="FN281" s="36"/>
      <c r="FO281" s="36"/>
      <c r="FP281" s="36"/>
      <c r="FQ281" s="36"/>
      <c r="FR281" s="36"/>
      <c r="FS281" s="36"/>
      <c r="FT281" s="36"/>
      <c r="FU281" s="36"/>
      <c r="FV281" s="36"/>
      <c r="FW281" s="36"/>
      <c r="FX281" s="36"/>
      <c r="FY281" s="36"/>
      <c r="FZ281" s="36"/>
      <c r="GA281" s="36"/>
      <c r="GB281" s="319"/>
      <c r="GC281" s="179">
        <f t="shared" si="47"/>
        <v>0</v>
      </c>
      <c r="GD281" s="179">
        <f t="shared" si="48"/>
        <v>0</v>
      </c>
      <c r="GE281" s="179">
        <f t="shared" si="49"/>
        <v>5.6599999999999998E-2</v>
      </c>
      <c r="GF281" s="179">
        <f t="shared" si="50"/>
        <v>0</v>
      </c>
      <c r="GG281" s="179">
        <f t="shared" si="42"/>
        <v>0</v>
      </c>
    </row>
    <row r="282" spans="1:189" x14ac:dyDescent="0.35">
      <c r="A282" s="5" t="s">
        <v>1357</v>
      </c>
      <c r="B282" s="5" t="str">
        <f>IF(Technologies!B282&lt;&gt;0,Technologies!B282,"")</f>
        <v>Gebouwde omgeving</v>
      </c>
      <c r="C282" s="5" t="str">
        <f>VLOOKUP($A282,Technologies!$A$7:$H$576,3,FALSE)</f>
        <v>Conversion</v>
      </c>
      <c r="D282" s="5" t="str">
        <f>VLOOKUP($A282,Technologies!$A$7:$H$576,4,FALSE)</f>
        <v>Services</v>
      </c>
      <c r="E282" s="5" t="str">
        <f>VLOOKUP($A282,Technologies!$A$7:$H$576,6,FALSE)</f>
        <v>Heat LT Services</v>
      </c>
      <c r="F282" s="5" t="str">
        <f>VLOOKUP($A282,Technologies!$A$7:$H$576,7,FALSE)</f>
        <v>District Heating - LT Heat for Services</v>
      </c>
      <c r="G282" s="23"/>
      <c r="H282" s="23"/>
      <c r="I282" s="104" cm="1">
        <f t="array" ref="I282">-SUMPRODUCT((Feedstocks!$C$4:$C$141=A282)*Feedstocks!$E$4:$E$141,Feedstocks!$F$4:$F$141,Feedstocks!$H$4:$H$141,Feedstocks!$I$4:$I$141)</f>
        <v>0</v>
      </c>
      <c r="J282" s="104" cm="1">
        <f t="array" ref="J282">-SUMPRODUCT((Feedstocks!$C$4:$C$141=A282)*Feedstocks!$E$4:$E$141,Feedstocks!$H$4:$H$141,Feedstocks!$I$4:$I$141)</f>
        <v>0</v>
      </c>
      <c r="K282" s="104"/>
      <c r="L282" s="104"/>
      <c r="M282" s="23"/>
      <c r="N282" s="23" t="str">
        <f>VLOOKUP(E282,Activities!$A$9:$M$227,13,FALSE)</f>
        <v>NL</v>
      </c>
      <c r="O282" s="23"/>
      <c r="P282" s="79" t="s">
        <v>415</v>
      </c>
      <c r="Q282" s="35"/>
      <c r="R282" s="35"/>
      <c r="S282" s="35"/>
      <c r="T282" s="35"/>
      <c r="U282" s="35"/>
      <c r="V282" s="35"/>
      <c r="W282" s="35"/>
      <c r="X282" s="35"/>
      <c r="Y282" s="35"/>
      <c r="Z282" s="35"/>
      <c r="AA282" s="35"/>
      <c r="AB282" s="35"/>
      <c r="AC282" s="35"/>
      <c r="AD282" s="35"/>
      <c r="AE282" s="35"/>
      <c r="AF282" s="36"/>
      <c r="AG282" s="36"/>
      <c r="AH282" s="36"/>
      <c r="AI282" s="36"/>
      <c r="AJ282" s="36"/>
      <c r="AK282" s="36"/>
      <c r="AL282" s="36"/>
      <c r="AM282" s="36"/>
      <c r="AN282" s="36"/>
      <c r="AO282" s="36"/>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v>1</v>
      </c>
      <c r="DM282" s="35">
        <v>-1</v>
      </c>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18"/>
      <c r="GC282" s="178">
        <f t="shared" si="47"/>
        <v>0</v>
      </c>
      <c r="GD282" s="178">
        <f t="shared" si="48"/>
        <v>0</v>
      </c>
      <c r="GE282" s="178">
        <f t="shared" si="49"/>
        <v>0</v>
      </c>
      <c r="GF282" s="178">
        <f t="shared" si="50"/>
        <v>0</v>
      </c>
      <c r="GG282" s="178">
        <f t="shared" si="42"/>
        <v>0</v>
      </c>
    </row>
    <row r="283" spans="1:189" x14ac:dyDescent="0.35">
      <c r="A283" s="6" t="s">
        <v>1359</v>
      </c>
      <c r="B283" s="6" t="str">
        <f>IF(Technologies!B283&lt;&gt;0,Technologies!B283,"")</f>
        <v>Gebouwde omgeving</v>
      </c>
      <c r="C283" s="6" t="str">
        <f>VLOOKUP($A283,Technologies!$A$7:$H$576,3,FALSE)</f>
        <v>Conversion</v>
      </c>
      <c r="D283" s="6" t="str">
        <f>VLOOKUP($A283,Technologies!$A$7:$H$576,4,FALSE)</f>
        <v>Services</v>
      </c>
      <c r="E283" s="6" t="str">
        <f>VLOOKUP($A283,Technologies!$A$7:$H$576,6,FALSE)</f>
        <v>Heat LT Services</v>
      </c>
      <c r="F283" s="48" t="str">
        <f>VLOOKUP($A283,Technologies!$A$7:$H$576,7,FALSE)</f>
        <v>Hybrid Heat Pump - LT Heat for Services</v>
      </c>
      <c r="G283" s="22"/>
      <c r="H283" s="22"/>
      <c r="I283" s="103" cm="1">
        <f t="array" ref="I283">-SUMPRODUCT((Feedstocks!$C$4:$C$141=A283)*Feedstocks!$E$4:$E$141,Feedstocks!$F$4:$F$141,Feedstocks!$H$4:$H$141,Feedstocks!$I$4:$I$141)</f>
        <v>0</v>
      </c>
      <c r="J283" s="103" cm="1">
        <f t="array" ref="J283">-SUMPRODUCT((Feedstocks!$C$4:$C$141=A283)*Feedstocks!$E$4:$E$141,Feedstocks!$H$4:$H$141,Feedstocks!$I$4:$I$141)</f>
        <v>0</v>
      </c>
      <c r="K283" s="103"/>
      <c r="L283" s="103"/>
      <c r="M283" s="22"/>
      <c r="N283" s="22" t="str">
        <f>VLOOKUP(E283,Activities!$A$9:$M$227,13,FALSE)</f>
        <v>NL</v>
      </c>
      <c r="O283" s="22"/>
      <c r="P283" s="80" t="s">
        <v>415</v>
      </c>
      <c r="Q283" s="36"/>
      <c r="R283" s="36"/>
      <c r="S283" s="36"/>
      <c r="T283" s="36"/>
      <c r="U283" s="36"/>
      <c r="V283" s="36"/>
      <c r="W283" s="36"/>
      <c r="X283" s="36"/>
      <c r="Y283" s="36"/>
      <c r="Z283" s="36"/>
      <c r="AA283" s="36"/>
      <c r="AB283" s="36"/>
      <c r="AC283" s="36"/>
      <c r="AD283" s="36"/>
      <c r="AE283" s="36"/>
      <c r="AF283" s="35"/>
      <c r="AG283" s="35"/>
      <c r="AH283" s="35"/>
      <c r="AI283" s="35"/>
      <c r="AJ283" s="35"/>
      <c r="AK283" s="35"/>
      <c r="AL283" s="35"/>
      <c r="AM283" s="35"/>
      <c r="AN283" s="35"/>
      <c r="AO283" s="35"/>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6"/>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v>-0.27361769352290699</v>
      </c>
      <c r="DJ283" s="36"/>
      <c r="DK283" s="36"/>
      <c r="DL283" s="36">
        <v>1</v>
      </c>
      <c r="DM283" s="36"/>
      <c r="DN283" s="36"/>
      <c r="DO283" s="36"/>
      <c r="DP283" s="36"/>
      <c r="DQ283" s="36"/>
      <c r="DR283" s="36"/>
      <c r="DS283" s="36"/>
      <c r="DT283" s="36"/>
      <c r="DU283" s="36"/>
      <c r="DV283" s="36"/>
      <c r="DW283" s="36"/>
      <c r="DX283" s="36"/>
      <c r="DY283" s="36"/>
      <c r="DZ283" s="36"/>
      <c r="EA283" s="36"/>
      <c r="EB283" s="36"/>
      <c r="EC283" s="36"/>
      <c r="ED283" s="36"/>
      <c r="EE283" s="36"/>
      <c r="EF283" s="36"/>
      <c r="EG283" s="36"/>
      <c r="EH283" s="36"/>
      <c r="EI283" s="36"/>
      <c r="EJ283" s="36"/>
      <c r="EK283" s="36">
        <v>-0.31595576619273302</v>
      </c>
      <c r="EL283" s="36"/>
      <c r="EM283" s="36"/>
      <c r="EN283" s="36"/>
      <c r="EO283" s="36"/>
      <c r="EP283" s="36"/>
      <c r="EQ283" s="36"/>
      <c r="ER283" s="36"/>
      <c r="ES283" s="36"/>
      <c r="ET283" s="36"/>
      <c r="EU283" s="36"/>
      <c r="EV283" s="36"/>
      <c r="EW283" s="36"/>
      <c r="EX283" s="36"/>
      <c r="EY283" s="36"/>
      <c r="EZ283" s="36"/>
      <c r="FA283" s="36"/>
      <c r="FB283" s="36"/>
      <c r="FC283" s="36"/>
      <c r="FD283" s="36"/>
      <c r="FE283" s="36"/>
      <c r="FF283" s="36"/>
      <c r="FG283" s="36"/>
      <c r="FH283" s="36"/>
      <c r="FI283" s="36"/>
      <c r="FJ283" s="36"/>
      <c r="FK283" s="36"/>
      <c r="FL283" s="36">
        <v>-0.41</v>
      </c>
      <c r="FM283" s="36"/>
      <c r="FN283" s="36"/>
      <c r="FO283" s="36"/>
      <c r="FP283" s="36"/>
      <c r="FQ283" s="36"/>
      <c r="FR283" s="36"/>
      <c r="FS283" s="36"/>
      <c r="FT283" s="36"/>
      <c r="FU283" s="36"/>
      <c r="FV283" s="36"/>
      <c r="FW283" s="36"/>
      <c r="FX283" s="36"/>
      <c r="FY283" s="36"/>
      <c r="FZ283" s="36"/>
      <c r="GA283" s="36"/>
      <c r="GB283" s="319"/>
      <c r="GC283" s="179">
        <f t="shared" si="47"/>
        <v>0</v>
      </c>
      <c r="GD283" s="179">
        <f t="shared" si="48"/>
        <v>0</v>
      </c>
      <c r="GE283" s="179">
        <f t="shared" si="49"/>
        <v>1.7899999999999999E-2</v>
      </c>
      <c r="GF283" s="179">
        <f t="shared" si="50"/>
        <v>0</v>
      </c>
      <c r="GG283" s="179">
        <f t="shared" si="42"/>
        <v>0</v>
      </c>
    </row>
    <row r="284" spans="1:189" x14ac:dyDescent="0.35">
      <c r="A284" s="5" t="s">
        <v>1361</v>
      </c>
      <c r="B284" s="5" t="str">
        <f>IF(Technologies!B284&lt;&gt;0,Technologies!B284,"")</f>
        <v>Gebouwde omgeving</v>
      </c>
      <c r="C284" s="5" t="str">
        <f>VLOOKUP($A284,Technologies!$A$7:$H$576,3,FALSE)</f>
        <v>Conversion</v>
      </c>
      <c r="D284" s="5" t="str">
        <f>VLOOKUP($A284,Technologies!$A$7:$H$576,4,FALSE)</f>
        <v>Services</v>
      </c>
      <c r="E284" s="5" t="str">
        <f>VLOOKUP($A284,Technologies!$A$7:$H$576,6,FALSE)</f>
        <v>Heat LT Services</v>
      </c>
      <c r="F284" s="5" t="str">
        <f>VLOOKUP($A284,Technologies!$A$7:$H$576,7,FALSE)</f>
        <v>Electric Boiler - LT Heat for Services</v>
      </c>
      <c r="G284" s="23"/>
      <c r="H284" s="23"/>
      <c r="I284" s="104" cm="1">
        <f t="array" ref="I284">-SUMPRODUCT((Feedstocks!$C$4:$C$141=A284)*Feedstocks!$E$4:$E$141,Feedstocks!$F$4:$F$141,Feedstocks!$H$4:$H$141,Feedstocks!$I$4:$I$141)</f>
        <v>0</v>
      </c>
      <c r="J284" s="104" cm="1">
        <f t="array" ref="J284">-SUMPRODUCT((Feedstocks!$C$4:$C$141=A284)*Feedstocks!$E$4:$E$141,Feedstocks!$H$4:$H$141,Feedstocks!$I$4:$I$141)</f>
        <v>0</v>
      </c>
      <c r="K284" s="104"/>
      <c r="L284" s="104"/>
      <c r="M284" s="23"/>
      <c r="N284" s="23" t="str">
        <f>VLOOKUP(E284,Activities!$A$9:$M$227,13,FALSE)</f>
        <v>NL</v>
      </c>
      <c r="O284" s="23"/>
      <c r="P284" s="79" t="s">
        <v>415</v>
      </c>
      <c r="Q284" s="35"/>
      <c r="R284" s="35"/>
      <c r="S284" s="35"/>
      <c r="T284" s="35"/>
      <c r="U284" s="35"/>
      <c r="V284" s="35"/>
      <c r="W284" s="35"/>
      <c r="X284" s="35"/>
      <c r="Y284" s="35"/>
      <c r="Z284" s="35"/>
      <c r="AA284" s="35"/>
      <c r="AB284" s="35"/>
      <c r="AC284" s="35"/>
      <c r="AD284" s="35"/>
      <c r="AE284" s="35"/>
      <c r="AF284" s="36"/>
      <c r="AG284" s="36"/>
      <c r="AH284" s="36"/>
      <c r="AI284" s="36"/>
      <c r="AJ284" s="36"/>
      <c r="AK284" s="36"/>
      <c r="AL284" s="36"/>
      <c r="AM284" s="36"/>
      <c r="AN284" s="36"/>
      <c r="AO284" s="36"/>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6">
        <f>-1/0.99</f>
        <v>-1.0101010101010102</v>
      </c>
      <c r="DJ284" s="35"/>
      <c r="DK284" s="35"/>
      <c r="DL284" s="35">
        <v>1</v>
      </c>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18"/>
      <c r="GC284" s="178">
        <f t="shared" si="47"/>
        <v>0</v>
      </c>
      <c r="GD284" s="178">
        <f t="shared" si="48"/>
        <v>0</v>
      </c>
      <c r="GE284" s="178">
        <f t="shared" si="49"/>
        <v>0</v>
      </c>
      <c r="GF284" s="178">
        <f t="shared" si="50"/>
        <v>0</v>
      </c>
      <c r="GG284" s="178">
        <f t="shared" ref="GG284:GG348" si="51">$I284</f>
        <v>0</v>
      </c>
    </row>
    <row r="285" spans="1:189" x14ac:dyDescent="0.35">
      <c r="A285" s="6" t="s">
        <v>1363</v>
      </c>
      <c r="B285" s="6" t="str">
        <f>IF(Technologies!B285&lt;&gt;0,Technologies!B285,"")</f>
        <v>Gebouwde omgeving</v>
      </c>
      <c r="C285" s="6" t="str">
        <f>VLOOKUP($A285,Technologies!$A$7:$H$576,3,FALSE)</f>
        <v>Conversion</v>
      </c>
      <c r="D285" s="6" t="str">
        <f>VLOOKUP($A285,Technologies!$A$7:$H$576,4,FALSE)</f>
        <v>Services</v>
      </c>
      <c r="E285" s="6" t="str">
        <f>VLOOKUP($A285,Technologies!$A$7:$H$576,6,FALSE)</f>
        <v>Heat LT Services</v>
      </c>
      <c r="F285" s="48" t="str">
        <f>VLOOKUP($A285,Technologies!$A$7:$H$576,7,FALSE)</f>
        <v>Electric Heat Pump Air - LT Heat for Services</v>
      </c>
      <c r="G285" s="22"/>
      <c r="H285" s="22"/>
      <c r="I285" s="103" cm="1">
        <f t="array" ref="I285">-SUMPRODUCT((Feedstocks!$C$4:$C$141=A285)*Feedstocks!$E$4:$E$141,Feedstocks!$F$4:$F$141,Feedstocks!$H$4:$H$141,Feedstocks!$I$4:$I$141)</f>
        <v>0</v>
      </c>
      <c r="J285" s="103" cm="1">
        <f t="array" ref="J285">-SUMPRODUCT((Feedstocks!$C$4:$C$141=A285)*Feedstocks!$E$4:$E$141,Feedstocks!$H$4:$H$141,Feedstocks!$I$4:$I$141)</f>
        <v>0</v>
      </c>
      <c r="K285" s="103"/>
      <c r="L285" s="103"/>
      <c r="M285" s="22"/>
      <c r="N285" s="22" t="str">
        <f>VLOOKUP(E285,Activities!$A$9:$M$227,13,FALSE)</f>
        <v>NL</v>
      </c>
      <c r="O285" s="22"/>
      <c r="P285" s="80" t="s">
        <v>415</v>
      </c>
      <c r="Q285" s="36"/>
      <c r="R285" s="36"/>
      <c r="S285" s="36"/>
      <c r="T285" s="36"/>
      <c r="U285" s="36"/>
      <c r="V285" s="36"/>
      <c r="W285" s="36"/>
      <c r="X285" s="36"/>
      <c r="Y285" s="36"/>
      <c r="Z285" s="36"/>
      <c r="AA285" s="36"/>
      <c r="AB285" s="36"/>
      <c r="AC285" s="36"/>
      <c r="AD285" s="36"/>
      <c r="AE285" s="36"/>
      <c r="AF285" s="35"/>
      <c r="AG285" s="35"/>
      <c r="AH285" s="35"/>
      <c r="AI285" s="35"/>
      <c r="AJ285" s="35"/>
      <c r="AK285" s="35"/>
      <c r="AL285" s="35"/>
      <c r="AM285" s="35"/>
      <c r="AN285" s="35"/>
      <c r="AO285" s="35"/>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6"/>
      <c r="BV285" s="36"/>
      <c r="BW285" s="36"/>
      <c r="BX285" s="36"/>
      <c r="BY285" s="36"/>
      <c r="BZ285" s="36"/>
      <c r="CA285" s="36"/>
      <c r="CB285" s="36"/>
      <c r="CC285" s="36"/>
      <c r="CD285" s="36"/>
      <c r="CE285" s="36"/>
      <c r="CF285" s="36"/>
      <c r="CG285" s="36"/>
      <c r="CH285" s="36"/>
      <c r="CI285" s="36"/>
      <c r="CJ285" s="36"/>
      <c r="CK285" s="36"/>
      <c r="CL285" s="36"/>
      <c r="CM285" s="36"/>
      <c r="CN285" s="36"/>
      <c r="CO285" s="36"/>
      <c r="CP285" s="36"/>
      <c r="CQ285" s="36"/>
      <c r="CR285" s="36"/>
      <c r="CS285" s="36"/>
      <c r="CT285" s="36"/>
      <c r="CU285" s="36"/>
      <c r="CV285" s="36"/>
      <c r="CW285" s="36"/>
      <c r="CX285" s="36"/>
      <c r="CY285" s="36"/>
      <c r="CZ285" s="36"/>
      <c r="DA285" s="36"/>
      <c r="DB285" s="36"/>
      <c r="DC285" s="36"/>
      <c r="DD285" s="36"/>
      <c r="DE285" s="36"/>
      <c r="DF285" s="36"/>
      <c r="DG285" s="36"/>
      <c r="DH285" s="36"/>
      <c r="DI285" s="36">
        <v>-0.4</v>
      </c>
      <c r="DJ285" s="36"/>
      <c r="DK285" s="36"/>
      <c r="DL285" s="36">
        <v>1</v>
      </c>
      <c r="DM285" s="36"/>
      <c r="DN285" s="36"/>
      <c r="DO285" s="36"/>
      <c r="DP285" s="36"/>
      <c r="DQ285" s="36"/>
      <c r="DR285" s="36"/>
      <c r="DS285" s="36"/>
      <c r="DT285" s="36"/>
      <c r="DU285" s="36"/>
      <c r="DV285" s="36"/>
      <c r="DW285" s="36"/>
      <c r="DX285" s="36"/>
      <c r="DY285" s="36"/>
      <c r="DZ285" s="36"/>
      <c r="EA285" s="36"/>
      <c r="EB285" s="36"/>
      <c r="EC285" s="36"/>
      <c r="ED285" s="36"/>
      <c r="EE285" s="36"/>
      <c r="EF285" s="36"/>
      <c r="EG285" s="36"/>
      <c r="EH285" s="36"/>
      <c r="EI285" s="36"/>
      <c r="EJ285" s="36"/>
      <c r="EK285" s="36"/>
      <c r="EL285" s="36"/>
      <c r="EM285" s="36"/>
      <c r="EN285" s="36"/>
      <c r="EO285" s="36"/>
      <c r="EP285" s="36"/>
      <c r="EQ285" s="36"/>
      <c r="ER285" s="36"/>
      <c r="ES285" s="36"/>
      <c r="ET285" s="36"/>
      <c r="EU285" s="36"/>
      <c r="EV285" s="36"/>
      <c r="EW285" s="36"/>
      <c r="EX285" s="36"/>
      <c r="EY285" s="36"/>
      <c r="EZ285" s="36"/>
      <c r="FA285" s="36"/>
      <c r="FB285" s="36"/>
      <c r="FC285" s="36"/>
      <c r="FD285" s="36"/>
      <c r="FE285" s="36"/>
      <c r="FF285" s="36"/>
      <c r="FG285" s="36"/>
      <c r="FH285" s="36"/>
      <c r="FI285" s="36"/>
      <c r="FJ285" s="36"/>
      <c r="FK285" s="36"/>
      <c r="FL285" s="36">
        <v>-0.6</v>
      </c>
      <c r="FM285" s="36"/>
      <c r="FN285" s="36"/>
      <c r="FO285" s="36"/>
      <c r="FP285" s="36"/>
      <c r="FQ285" s="36"/>
      <c r="FR285" s="36"/>
      <c r="FS285" s="36"/>
      <c r="FT285" s="36"/>
      <c r="FU285" s="36"/>
      <c r="FV285" s="36"/>
      <c r="FW285" s="36"/>
      <c r="FX285" s="36"/>
      <c r="FY285" s="36"/>
      <c r="FZ285" s="36"/>
      <c r="GA285" s="36"/>
      <c r="GB285" s="319"/>
      <c r="GC285" s="179">
        <f t="shared" si="47"/>
        <v>0</v>
      </c>
      <c r="GD285" s="179">
        <f t="shared" si="48"/>
        <v>0</v>
      </c>
      <c r="GE285" s="179">
        <f t="shared" si="49"/>
        <v>0</v>
      </c>
      <c r="GF285" s="179">
        <f t="shared" si="50"/>
        <v>0</v>
      </c>
      <c r="GG285" s="179">
        <f t="shared" si="51"/>
        <v>0</v>
      </c>
    </row>
    <row r="286" spans="1:189" x14ac:dyDescent="0.35">
      <c r="A286" s="5" t="s">
        <v>1366</v>
      </c>
      <c r="B286" s="5" t="str">
        <f>IF(Technologies!B286&lt;&gt;0,Technologies!B286,"")</f>
        <v>Gebouwde omgeving</v>
      </c>
      <c r="C286" s="5" t="str">
        <f>VLOOKUP($A286,Technologies!$A$7:$H$576,3,FALSE)</f>
        <v>Conversion</v>
      </c>
      <c r="D286" s="5" t="str">
        <f>VLOOKUP($A286,Technologies!$A$7:$H$576,4,FALSE)</f>
        <v>Services</v>
      </c>
      <c r="E286" s="5" t="str">
        <f>VLOOKUP($A286,Technologies!$A$7:$H$576,6,FALSE)</f>
        <v>Heat LT Services</v>
      </c>
      <c r="F286" s="5" t="str">
        <f>VLOOKUP($A286,Technologies!$A$7:$H$576,7,FALSE)</f>
        <v>Electric Heat Pump Soil - LT Heat for Services</v>
      </c>
      <c r="G286" s="23"/>
      <c r="H286" s="23"/>
      <c r="I286" s="104" cm="1">
        <f t="array" ref="I286">-SUMPRODUCT((Feedstocks!$C$4:$C$141=A286)*Feedstocks!$E$4:$E$141,Feedstocks!$F$4:$F$141,Feedstocks!$H$4:$H$141,Feedstocks!$I$4:$I$141)</f>
        <v>0</v>
      </c>
      <c r="J286" s="104" cm="1">
        <f t="array" ref="J286">-SUMPRODUCT((Feedstocks!$C$4:$C$141=A286)*Feedstocks!$E$4:$E$141,Feedstocks!$H$4:$H$141,Feedstocks!$I$4:$I$141)</f>
        <v>0</v>
      </c>
      <c r="K286" s="104"/>
      <c r="L286" s="104"/>
      <c r="M286" s="23"/>
      <c r="N286" s="23" t="str">
        <f>VLOOKUP(E286,Activities!$A$9:$M$227,13,FALSE)</f>
        <v>NL</v>
      </c>
      <c r="O286" s="23"/>
      <c r="P286" s="79" t="s">
        <v>415</v>
      </c>
      <c r="Q286" s="35"/>
      <c r="R286" s="35"/>
      <c r="S286" s="35"/>
      <c r="T286" s="35"/>
      <c r="U286" s="35"/>
      <c r="V286" s="35"/>
      <c r="W286" s="35"/>
      <c r="X286" s="35"/>
      <c r="Y286" s="35"/>
      <c r="Z286" s="35"/>
      <c r="AA286" s="35"/>
      <c r="AB286" s="35"/>
      <c r="AC286" s="35"/>
      <c r="AD286" s="35"/>
      <c r="AE286" s="35"/>
      <c r="AF286" s="36"/>
      <c r="AG286" s="36"/>
      <c r="AH286" s="36"/>
      <c r="AI286" s="36"/>
      <c r="AJ286" s="36"/>
      <c r="AK286" s="36"/>
      <c r="AL286" s="36"/>
      <c r="AM286" s="36"/>
      <c r="AN286" s="36"/>
      <c r="AO286" s="36"/>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v>-0.25</v>
      </c>
      <c r="DJ286" s="35"/>
      <c r="DK286" s="35"/>
      <c r="DL286" s="35">
        <v>1</v>
      </c>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v>-0.75</v>
      </c>
      <c r="FM286" s="35"/>
      <c r="FN286" s="35"/>
      <c r="FO286" s="35"/>
      <c r="FP286" s="35"/>
      <c r="FQ286" s="35"/>
      <c r="FR286" s="35"/>
      <c r="FS286" s="35"/>
      <c r="FT286" s="35"/>
      <c r="FU286" s="35"/>
      <c r="FV286" s="35"/>
      <c r="FW286" s="35"/>
      <c r="FX286" s="35"/>
      <c r="FY286" s="35"/>
      <c r="FZ286" s="35"/>
      <c r="GA286" s="35"/>
      <c r="GB286" s="318"/>
      <c r="GC286" s="178">
        <f t="shared" si="47"/>
        <v>0</v>
      </c>
      <c r="GD286" s="178">
        <f t="shared" si="48"/>
        <v>0</v>
      </c>
      <c r="GE286" s="178">
        <f t="shared" si="49"/>
        <v>0</v>
      </c>
      <c r="GF286" s="178">
        <f t="shared" si="50"/>
        <v>0</v>
      </c>
      <c r="GG286" s="178">
        <f t="shared" si="51"/>
        <v>0</v>
      </c>
    </row>
    <row r="287" spans="1:189" x14ac:dyDescent="0.35">
      <c r="A287" s="6" t="s">
        <v>1368</v>
      </c>
      <c r="B287" s="6" t="str">
        <f>IF(Technologies!B287&lt;&gt;0,Technologies!B287,"")</f>
        <v>Gebouwde omgeving</v>
      </c>
      <c r="C287" s="6" t="str">
        <f>VLOOKUP($A287,Technologies!$A$7:$H$576,3,FALSE)</f>
        <v>Conversion</v>
      </c>
      <c r="D287" s="6" t="str">
        <f>VLOOKUP($A287,Technologies!$A$7:$H$576,4,FALSE)</f>
        <v>Services</v>
      </c>
      <c r="E287" s="6" t="str">
        <f>VLOOKUP($A287,Technologies!$A$7:$H$576,6,FALSE)</f>
        <v>Heat LT Services</v>
      </c>
      <c r="F287" s="48" t="str">
        <f>VLOOKUP($A287,Technologies!$A$7:$H$576,7,FALSE)</f>
        <v>CHP Gas  - LT Heat for Services</v>
      </c>
      <c r="G287" s="22"/>
      <c r="H287" s="22"/>
      <c r="I287" s="103" cm="1">
        <f t="array" ref="I287">-SUMPRODUCT((Feedstocks!$C$4:$C$141=A287)*Feedstocks!$E$4:$E$141,Feedstocks!$F$4:$F$141,Feedstocks!$H$4:$H$141,Feedstocks!$I$4:$I$141)</f>
        <v>0</v>
      </c>
      <c r="J287" s="103" cm="1">
        <f t="array" ref="J287">-SUMPRODUCT((Feedstocks!$C$4:$C$141=A287)*Feedstocks!$E$4:$E$141,Feedstocks!$H$4:$H$141,Feedstocks!$I$4:$I$141)</f>
        <v>0</v>
      </c>
      <c r="K287" s="103"/>
      <c r="L287" s="103"/>
      <c r="M287" s="22"/>
      <c r="N287" s="22" t="str">
        <f>VLOOKUP(E287,Activities!$A$9:$M$227,13,FALSE)</f>
        <v>NL</v>
      </c>
      <c r="O287" s="22"/>
      <c r="P287" s="80" t="s">
        <v>1519</v>
      </c>
      <c r="Q287" s="36"/>
      <c r="R287" s="36"/>
      <c r="S287" s="36"/>
      <c r="T287" s="36"/>
      <c r="U287" s="36"/>
      <c r="V287" s="36"/>
      <c r="W287" s="36"/>
      <c r="X287" s="36"/>
      <c r="Y287" s="36"/>
      <c r="Z287" s="36"/>
      <c r="AA287" s="36"/>
      <c r="AB287" s="36"/>
      <c r="AC287" s="36"/>
      <c r="AD287" s="36"/>
      <c r="AE287" s="36"/>
      <c r="AF287" s="35"/>
      <c r="AG287" s="35"/>
      <c r="AH287" s="35"/>
      <c r="AI287" s="35"/>
      <c r="AJ287" s="35"/>
      <c r="AK287" s="35"/>
      <c r="AL287" s="35"/>
      <c r="AM287" s="35"/>
      <c r="AN287" s="35"/>
      <c r="AO287" s="35"/>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v>0.63639999999999997</v>
      </c>
      <c r="DJ287" s="36"/>
      <c r="DK287" s="36"/>
      <c r="DL287" s="36">
        <v>1</v>
      </c>
      <c r="DM287" s="36"/>
      <c r="DN287" s="36"/>
      <c r="DO287" s="36"/>
      <c r="DP287" s="36"/>
      <c r="DQ287" s="36"/>
      <c r="DR287" s="36"/>
      <c r="DS287" s="36"/>
      <c r="DT287" s="36"/>
      <c r="DU287" s="36"/>
      <c r="DV287" s="36"/>
      <c r="DW287" s="36"/>
      <c r="DX287" s="36"/>
      <c r="DY287" s="36"/>
      <c r="DZ287" s="36"/>
      <c r="EA287" s="36"/>
      <c r="EB287" s="36"/>
      <c r="EC287" s="36"/>
      <c r="ED287" s="36"/>
      <c r="EE287" s="36"/>
      <c r="EF287" s="36"/>
      <c r="EG287" s="36"/>
      <c r="EH287" s="36"/>
      <c r="EI287" s="36"/>
      <c r="EJ287" s="36"/>
      <c r="EK287" s="36">
        <v>-1.95</v>
      </c>
      <c r="EL287" s="36"/>
      <c r="EM287" s="36"/>
      <c r="EN287" s="36"/>
      <c r="EO287" s="36"/>
      <c r="EP287" s="36"/>
      <c r="EQ287" s="36"/>
      <c r="ER287" s="36"/>
      <c r="ES287" s="36"/>
      <c r="ET287" s="36"/>
      <c r="EU287" s="36"/>
      <c r="EV287" s="36"/>
      <c r="EW287" s="36"/>
      <c r="EX287" s="36"/>
      <c r="EY287" s="36"/>
      <c r="EZ287" s="36"/>
      <c r="FA287" s="36"/>
      <c r="FB287" s="36"/>
      <c r="FC287" s="36"/>
      <c r="FD287" s="36"/>
      <c r="FE287" s="36"/>
      <c r="FF287" s="36"/>
      <c r="FG287" s="36"/>
      <c r="FH287" s="36"/>
      <c r="FI287" s="36"/>
      <c r="FJ287" s="36"/>
      <c r="FK287" s="36"/>
      <c r="FL287" s="36"/>
      <c r="FM287" s="36"/>
      <c r="FN287" s="36"/>
      <c r="FO287" s="36"/>
      <c r="FP287" s="36"/>
      <c r="FQ287" s="36"/>
      <c r="FR287" s="36"/>
      <c r="FS287" s="36"/>
      <c r="FT287" s="36"/>
      <c r="FU287" s="36"/>
      <c r="FV287" s="36"/>
      <c r="FW287" s="36"/>
      <c r="FX287" s="36"/>
      <c r="FY287" s="36"/>
      <c r="FZ287" s="36"/>
      <c r="GA287" s="36"/>
      <c r="GB287" s="319"/>
      <c r="GC287" s="179">
        <f t="shared" si="47"/>
        <v>0</v>
      </c>
      <c r="GD287" s="179">
        <f t="shared" si="48"/>
        <v>0</v>
      </c>
      <c r="GE287" s="179">
        <f t="shared" si="49"/>
        <v>0.1104</v>
      </c>
      <c r="GF287" s="179">
        <f t="shared" si="50"/>
        <v>0</v>
      </c>
      <c r="GG287" s="179">
        <f t="shared" si="51"/>
        <v>0</v>
      </c>
    </row>
    <row r="288" spans="1:189" x14ac:dyDescent="0.35">
      <c r="A288" s="5" t="s">
        <v>1370</v>
      </c>
      <c r="B288" s="5" t="str">
        <f>IF(Technologies!B288&lt;&gt;0,Technologies!B288,"")</f>
        <v>Gebouwde omgeving</v>
      </c>
      <c r="C288" s="5" t="str">
        <f>VLOOKUP($A288,Technologies!$A$7:$H$576,3,FALSE)</f>
        <v>Conversion</v>
      </c>
      <c r="D288" s="5" t="str">
        <f>VLOOKUP($A288,Technologies!$A$7:$H$576,4,FALSE)</f>
        <v>Services</v>
      </c>
      <c r="E288" s="5" t="str">
        <f>VLOOKUP($A288,Technologies!$A$7:$H$576,6,FALSE)</f>
        <v>Heat LT Services</v>
      </c>
      <c r="F288" s="5" t="str">
        <f>VLOOKUP($A288,Technologies!$A$7:$H$576,7,FALSE)</f>
        <v>CHP H2 - LT Heat for Services</v>
      </c>
      <c r="G288" s="23"/>
      <c r="H288" s="23"/>
      <c r="I288" s="104" cm="1">
        <f t="array" ref="I288">-SUMPRODUCT((Feedstocks!$C$4:$C$141=A288)*Feedstocks!$E$4:$E$141,Feedstocks!$F$4:$F$141,Feedstocks!$H$4:$H$141,Feedstocks!$I$4:$I$141)</f>
        <v>0</v>
      </c>
      <c r="J288" s="104" cm="1">
        <f t="array" ref="J288">-SUMPRODUCT((Feedstocks!$C$4:$C$141=A288)*Feedstocks!$E$4:$E$141,Feedstocks!$H$4:$H$141,Feedstocks!$I$4:$I$141)</f>
        <v>0</v>
      </c>
      <c r="K288" s="104"/>
      <c r="L288" s="104"/>
      <c r="M288" s="23"/>
      <c r="N288" s="23" t="str">
        <f>VLOOKUP(E288,Activities!$A$9:$M$227,13,FALSE)</f>
        <v>NL</v>
      </c>
      <c r="O288" s="23"/>
      <c r="P288" s="79" t="s">
        <v>415</v>
      </c>
      <c r="Q288" s="35"/>
      <c r="R288" s="35"/>
      <c r="S288" s="35"/>
      <c r="T288" s="35"/>
      <c r="U288" s="35"/>
      <c r="V288" s="35"/>
      <c r="W288" s="35"/>
      <c r="X288" s="35"/>
      <c r="Y288" s="35"/>
      <c r="Z288" s="35"/>
      <c r="AA288" s="35"/>
      <c r="AB288" s="35"/>
      <c r="AC288" s="35"/>
      <c r="AD288" s="35"/>
      <c r="AE288" s="35"/>
      <c r="AF288" s="36"/>
      <c r="AG288" s="36"/>
      <c r="AH288" s="36"/>
      <c r="AI288" s="36"/>
      <c r="AJ288" s="36"/>
      <c r="AK288" s="36"/>
      <c r="AL288" s="36"/>
      <c r="AM288" s="36"/>
      <c r="AN288" s="36"/>
      <c r="AO288" s="36"/>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v>0.6</v>
      </c>
      <c r="DJ288" s="35"/>
      <c r="DK288" s="35"/>
      <c r="DL288" s="35">
        <v>1</v>
      </c>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v>-2</v>
      </c>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18"/>
      <c r="GC288" s="178">
        <f t="shared" si="47"/>
        <v>0</v>
      </c>
      <c r="GD288" s="178">
        <f t="shared" si="48"/>
        <v>0</v>
      </c>
      <c r="GE288" s="178">
        <f t="shared" si="49"/>
        <v>0</v>
      </c>
      <c r="GF288" s="178">
        <f t="shared" si="50"/>
        <v>0</v>
      </c>
      <c r="GG288" s="178">
        <f t="shared" si="51"/>
        <v>0</v>
      </c>
    </row>
    <row r="289" spans="1:189" x14ac:dyDescent="0.35">
      <c r="A289" s="6" t="s">
        <v>1372</v>
      </c>
      <c r="B289" s="6" t="str">
        <f>IF(Technologies!B289&lt;&gt;0,Technologies!B289,"")</f>
        <v>Gebouwde omgeving</v>
      </c>
      <c r="C289" s="6" t="str">
        <f>VLOOKUP($A289,Technologies!$A$7:$H$576,3,FALSE)</f>
        <v>Conversion</v>
      </c>
      <c r="D289" s="6" t="str">
        <f>VLOOKUP($A289,Technologies!$A$7:$H$576,4,FALSE)</f>
        <v>Services</v>
      </c>
      <c r="E289" s="6" t="str">
        <f>VLOOKUP($A289,Technologies!$A$7:$H$576,6,FALSE)</f>
        <v>Heat LT Services</v>
      </c>
      <c r="F289" s="48" t="str">
        <f>VLOOKUP($A289,Technologies!$A$7:$H$576,7,FALSE)</f>
        <v>Boiler Hydrogen - LT Heat for Services</v>
      </c>
      <c r="G289" s="22"/>
      <c r="H289" s="22"/>
      <c r="I289" s="103" cm="1">
        <f t="array" ref="I289">-SUMPRODUCT((Feedstocks!$C$4:$C$141=A289)*Feedstocks!$E$4:$E$141,Feedstocks!$F$4:$F$141,Feedstocks!$H$4:$H$141,Feedstocks!$I$4:$I$141)</f>
        <v>0</v>
      </c>
      <c r="J289" s="103" cm="1">
        <f t="array" ref="J289">-SUMPRODUCT((Feedstocks!$C$4:$C$141=A289)*Feedstocks!$E$4:$E$141,Feedstocks!$H$4:$H$141,Feedstocks!$I$4:$I$141)</f>
        <v>0</v>
      </c>
      <c r="K289" s="103"/>
      <c r="L289" s="103"/>
      <c r="M289" s="22"/>
      <c r="N289" s="22" t="str">
        <f>VLOOKUP(E289,Activities!$A$9:$M$227,13,FALSE)</f>
        <v>NL</v>
      </c>
      <c r="O289" s="22"/>
      <c r="P289" s="80" t="s">
        <v>415</v>
      </c>
      <c r="Q289" s="36"/>
      <c r="R289" s="36"/>
      <c r="S289" s="36"/>
      <c r="T289" s="36"/>
      <c r="U289" s="36"/>
      <c r="V289" s="36"/>
      <c r="W289" s="36"/>
      <c r="X289" s="36"/>
      <c r="Y289" s="36"/>
      <c r="Z289" s="36"/>
      <c r="AA289" s="36"/>
      <c r="AB289" s="36"/>
      <c r="AC289" s="36"/>
      <c r="AD289" s="36"/>
      <c r="AE289" s="36"/>
      <c r="AF289" s="35"/>
      <c r="AG289" s="35"/>
      <c r="AH289" s="35"/>
      <c r="AI289" s="35"/>
      <c r="AJ289" s="35"/>
      <c r="AK289" s="35"/>
      <c r="AL289" s="35"/>
      <c r="AM289" s="35"/>
      <c r="AN289" s="35"/>
      <c r="AO289" s="35"/>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36"/>
      <c r="DK289" s="36"/>
      <c r="DL289" s="36">
        <v>1</v>
      </c>
      <c r="DM289" s="36"/>
      <c r="DN289" s="36"/>
      <c r="DO289" s="36"/>
      <c r="DP289" s="36"/>
      <c r="DQ289" s="36"/>
      <c r="DR289" s="36"/>
      <c r="DS289" s="36"/>
      <c r="DT289" s="36"/>
      <c r="DU289" s="36"/>
      <c r="DV289" s="36"/>
      <c r="DW289" s="36"/>
      <c r="DX289" s="36"/>
      <c r="DY289" s="36"/>
      <c r="DZ289" s="36"/>
      <c r="EA289" s="36"/>
      <c r="EB289" s="36"/>
      <c r="EC289" s="36"/>
      <c r="ED289" s="36"/>
      <c r="EE289" s="36"/>
      <c r="EF289" s="36"/>
      <c r="EG289" s="36"/>
      <c r="EH289" s="36"/>
      <c r="EI289" s="36"/>
      <c r="EJ289" s="36"/>
      <c r="EK289" s="36"/>
      <c r="EL289" s="36"/>
      <c r="EM289" s="36"/>
      <c r="EN289" s="36">
        <v>-1.05</v>
      </c>
      <c r="EO289" s="36"/>
      <c r="EP289" s="36"/>
      <c r="EQ289" s="36"/>
      <c r="ER289" s="36"/>
      <c r="ES289" s="36"/>
      <c r="ET289" s="36"/>
      <c r="EU289" s="36"/>
      <c r="EV289" s="36"/>
      <c r="EW289" s="36"/>
      <c r="EX289" s="36"/>
      <c r="EY289" s="36"/>
      <c r="EZ289" s="36"/>
      <c r="FA289" s="36"/>
      <c r="FB289" s="36"/>
      <c r="FC289" s="36"/>
      <c r="FD289" s="36"/>
      <c r="FE289" s="36"/>
      <c r="FF289" s="36"/>
      <c r="FG289" s="36"/>
      <c r="FH289" s="36"/>
      <c r="FI289" s="36"/>
      <c r="FJ289" s="36"/>
      <c r="FK289" s="36"/>
      <c r="FL289" s="36"/>
      <c r="FM289" s="36"/>
      <c r="FN289" s="36"/>
      <c r="FO289" s="36"/>
      <c r="FP289" s="36"/>
      <c r="FQ289" s="36"/>
      <c r="FR289" s="36"/>
      <c r="FS289" s="36"/>
      <c r="FT289" s="36"/>
      <c r="FU289" s="36"/>
      <c r="FV289" s="36"/>
      <c r="FW289" s="36"/>
      <c r="FX289" s="36"/>
      <c r="FY289" s="36"/>
      <c r="FZ289" s="36"/>
      <c r="GA289" s="36"/>
      <c r="GB289" s="319"/>
      <c r="GC289" s="179">
        <f t="shared" ref="GC289:GC296" si="52">ROUND(IF($C289="Primary",0,-$G289*(SUMPRODUCT($Q$4:$GA$4,$Q289:$GA289)+$J289)-$H289)*IF($N289=GC$4,1,0),4)</f>
        <v>0</v>
      </c>
      <c r="GD289" s="179">
        <f t="shared" ref="GD289:GD296" si="53">ROUND(IF($C289="Primary",0,$M289*(1-$O289)*($G289*(SUMPRODUCT($Q$4:$GA$4,$Q289:$GA289)+$J289)+$H289-SUMPRODUCT($Q$5:$GA$5,$Q289:$GA289)-$I289+$K289))*IF($N289=GD$4,1,0),4)</f>
        <v>0</v>
      </c>
      <c r="GE289" s="179">
        <f t="shared" ref="GE289:GE296" si="54">ROUND(IF($C289="Primary",0,(1-$M289)*(1-$O289)*($G289*(SUMPRODUCT($Q$4:$GA$4,$Q289:$GA289)+$J289)+$H289-SUMPRODUCT($Q$5:$GA$5,$Q289:$GA289)-$I289+$L289))*IF($N289=GD$4,1,0),4)</f>
        <v>0</v>
      </c>
      <c r="GF289" s="179">
        <f t="shared" ref="GF289:GF296" si="55">ROUND(IF($C289="Primary",0,$O289*($G289*(SUMPRODUCT($Q$4:$GA$4,$Q289:$GA289)+$J289)-SUMPRODUCT($Q$5:$GA$5,$Q289:$GA289)-$I289))*IF($N289=GD$4,1,0),4)</f>
        <v>0</v>
      </c>
      <c r="GG289" s="179">
        <f t="shared" si="51"/>
        <v>0</v>
      </c>
    </row>
    <row r="290" spans="1:189" x14ac:dyDescent="0.35">
      <c r="A290" s="5" t="s">
        <v>1375</v>
      </c>
      <c r="B290" s="5" t="str">
        <f>IF(Technologies!B290&lt;&gt;0,Technologies!B290,"")</f>
        <v>Elektriciteit</v>
      </c>
      <c r="C290" s="5" t="str">
        <f>VLOOKUP($A290,Technologies!$A$7:$H$576,3,FALSE)</f>
        <v>Conversion</v>
      </c>
      <c r="D290" s="5" t="str">
        <f>VLOOKUP($A290,Technologies!$A$7:$H$576,4,FALSE)</f>
        <v>Heat Network</v>
      </c>
      <c r="E290" s="5" t="str">
        <f>VLOOKUP($A290,Technologies!$A$7:$H$576,6,FALSE)</f>
        <v>Heat LT Network</v>
      </c>
      <c r="F290" s="5" t="str">
        <f>VLOOKUP($A290,Technologies!$A$7:$H$576,7,FALSE)</f>
        <v>Boiler Gas - LT Heat for Network</v>
      </c>
      <c r="G290" s="23"/>
      <c r="H290" s="23"/>
      <c r="I290" s="104" cm="1">
        <f t="array" ref="I290">-SUMPRODUCT((Feedstocks!$C$4:$C$141=A290)*Feedstocks!$E$4:$E$141,Feedstocks!$F$4:$F$141,Feedstocks!$H$4:$H$141,Feedstocks!$I$4:$I$141)</f>
        <v>0</v>
      </c>
      <c r="J290" s="104" cm="1">
        <f t="array" ref="J290">-SUMPRODUCT((Feedstocks!$C$4:$C$141=A290)*Feedstocks!$E$4:$E$141,Feedstocks!$H$4:$H$141,Feedstocks!$I$4:$I$141)</f>
        <v>0</v>
      </c>
      <c r="K290" s="104"/>
      <c r="L290" s="104"/>
      <c r="M290" s="23">
        <v>1</v>
      </c>
      <c r="N290" s="23" t="str">
        <f>VLOOKUP(E290,Activities!$A$9:$M$227,13,FALSE)</f>
        <v>NL</v>
      </c>
      <c r="O290" s="23"/>
      <c r="P290" s="79" t="s">
        <v>415</v>
      </c>
      <c r="Q290" s="35"/>
      <c r="R290" s="35"/>
      <c r="S290" s="35"/>
      <c r="T290" s="35"/>
      <c r="U290" s="35"/>
      <c r="V290" s="35"/>
      <c r="W290" s="35"/>
      <c r="X290" s="35"/>
      <c r="Y290" s="35"/>
      <c r="Z290" s="35"/>
      <c r="AA290" s="35"/>
      <c r="AB290" s="35"/>
      <c r="AC290" s="35"/>
      <c r="AD290" s="35"/>
      <c r="AE290" s="35"/>
      <c r="AF290" s="36"/>
      <c r="AG290" s="36"/>
      <c r="AH290" s="36"/>
      <c r="AI290" s="36"/>
      <c r="AJ290" s="36"/>
      <c r="AK290" s="36"/>
      <c r="AL290" s="36"/>
      <c r="AM290" s="36"/>
      <c r="AN290" s="36"/>
      <c r="AO290" s="36"/>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v>1</v>
      </c>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v>-1.02</v>
      </c>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18"/>
      <c r="GC290" s="178">
        <f t="shared" si="52"/>
        <v>0</v>
      </c>
      <c r="GD290" s="178">
        <f t="shared" si="53"/>
        <v>5.7700000000000001E-2</v>
      </c>
      <c r="GE290" s="178">
        <f t="shared" si="54"/>
        <v>0</v>
      </c>
      <c r="GF290" s="178">
        <f t="shared" si="55"/>
        <v>0</v>
      </c>
      <c r="GG290" s="178">
        <f t="shared" si="51"/>
        <v>0</v>
      </c>
    </row>
    <row r="291" spans="1:189" x14ac:dyDescent="0.35">
      <c r="A291" s="6" t="s">
        <v>1378</v>
      </c>
      <c r="B291" s="6" t="str">
        <f>IF(Technologies!B291&lt;&gt;0,Technologies!B291,"")</f>
        <v>Elektriciteit</v>
      </c>
      <c r="C291" s="6" t="str">
        <f>VLOOKUP($A291,Technologies!$A$7:$H$576,3,FALSE)</f>
        <v>Conversion</v>
      </c>
      <c r="D291" s="6" t="str">
        <f>VLOOKUP($A291,Technologies!$A$7:$H$576,4,FALSE)</f>
        <v>Heat Network</v>
      </c>
      <c r="E291" s="6" t="str">
        <f>VLOOKUP($A291,Technologies!$A$7:$H$576,6,FALSE)</f>
        <v>Heat LT Network</v>
      </c>
      <c r="F291" s="48" t="str">
        <f>VLOOKUP($A291,Technologies!$A$7:$H$576,7,FALSE)</f>
        <v>Boiler Gas wCCS - LT Heat for Network</v>
      </c>
      <c r="G291" s="22">
        <v>0.8</v>
      </c>
      <c r="H291" s="22"/>
      <c r="I291" s="103" cm="1">
        <f t="array" ref="I291">-SUMPRODUCT((Feedstocks!$C$4:$C$141=A291)*Feedstocks!$E$4:$E$141,Feedstocks!$F$4:$F$141,Feedstocks!$H$4:$H$141,Feedstocks!$I$4:$I$141)</f>
        <v>0</v>
      </c>
      <c r="J291" s="103" cm="1">
        <f t="array" ref="J291">-SUMPRODUCT((Feedstocks!$C$4:$C$141=A291)*Feedstocks!$E$4:$E$141,Feedstocks!$H$4:$H$141,Feedstocks!$I$4:$I$141)</f>
        <v>0</v>
      </c>
      <c r="K291" s="103"/>
      <c r="L291" s="103"/>
      <c r="M291" s="22">
        <v>1</v>
      </c>
      <c r="N291" s="22" t="str">
        <f>VLOOKUP(E291,Activities!$A$9:$M$227,13,FALSE)</f>
        <v>NL</v>
      </c>
      <c r="O291" s="22"/>
      <c r="P291" s="80" t="s">
        <v>415</v>
      </c>
      <c r="Q291" s="36"/>
      <c r="R291" s="36"/>
      <c r="S291" s="36"/>
      <c r="T291" s="36"/>
      <c r="U291" s="36"/>
      <c r="V291" s="36"/>
      <c r="W291" s="36"/>
      <c r="X291" s="36"/>
      <c r="Y291" s="36"/>
      <c r="Z291" s="36"/>
      <c r="AA291" s="36"/>
      <c r="AB291" s="36"/>
      <c r="AC291" s="36"/>
      <c r="AD291" s="36"/>
      <c r="AE291" s="36"/>
      <c r="AF291" s="35"/>
      <c r="AG291" s="35"/>
      <c r="AH291" s="35"/>
      <c r="AI291" s="35"/>
      <c r="AJ291" s="35"/>
      <c r="AK291" s="35"/>
      <c r="AL291" s="35"/>
      <c r="AM291" s="35"/>
      <c r="AN291" s="35"/>
      <c r="AO291" s="35"/>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36"/>
      <c r="DK291" s="36"/>
      <c r="DL291" s="36"/>
      <c r="DM291" s="36">
        <v>1</v>
      </c>
      <c r="DN291" s="36"/>
      <c r="DO291" s="36"/>
      <c r="DP291" s="36"/>
      <c r="DQ291" s="36"/>
      <c r="DR291" s="36"/>
      <c r="DS291" s="36"/>
      <c r="DT291" s="36"/>
      <c r="DU291" s="36"/>
      <c r="DV291" s="36"/>
      <c r="DW291" s="36"/>
      <c r="DX291" s="36"/>
      <c r="DY291" s="36"/>
      <c r="DZ291" s="36"/>
      <c r="EA291" s="36"/>
      <c r="EB291" s="36"/>
      <c r="EC291" s="36"/>
      <c r="ED291" s="36"/>
      <c r="EE291" s="36"/>
      <c r="EF291" s="36"/>
      <c r="EG291" s="36"/>
      <c r="EH291" s="36"/>
      <c r="EI291" s="36"/>
      <c r="EJ291" s="36">
        <v>-1.17</v>
      </c>
      <c r="EK291" s="36"/>
      <c r="EL291" s="36"/>
      <c r="EM291" s="36"/>
      <c r="EN291" s="36"/>
      <c r="EO291" s="36"/>
      <c r="EP291" s="36"/>
      <c r="EQ291" s="36"/>
      <c r="ER291" s="36"/>
      <c r="ES291" s="36"/>
      <c r="ET291" s="36"/>
      <c r="EU291" s="36"/>
      <c r="EV291" s="36"/>
      <c r="EW291" s="36"/>
      <c r="EX291" s="36"/>
      <c r="EY291" s="36"/>
      <c r="EZ291" s="36"/>
      <c r="FA291" s="36"/>
      <c r="FB291" s="36"/>
      <c r="FC291" s="36"/>
      <c r="FD291" s="36"/>
      <c r="FE291" s="36"/>
      <c r="FF291" s="36"/>
      <c r="FG291" s="36"/>
      <c r="FH291" s="36"/>
      <c r="FI291" s="36"/>
      <c r="FJ291" s="36"/>
      <c r="FK291" s="36"/>
      <c r="FL291" s="36"/>
      <c r="FM291" s="36"/>
      <c r="FN291" s="36"/>
      <c r="FO291" s="36"/>
      <c r="FP291" s="36"/>
      <c r="FQ291" s="36"/>
      <c r="FR291" s="36"/>
      <c r="FS291" s="36"/>
      <c r="FT291" s="36"/>
      <c r="FU291" s="36"/>
      <c r="FV291" s="36"/>
      <c r="FW291" s="36"/>
      <c r="FX291" s="36"/>
      <c r="FY291" s="36"/>
      <c r="FZ291" s="36"/>
      <c r="GA291" s="36"/>
      <c r="GB291" s="319"/>
      <c r="GC291" s="179">
        <f t="shared" si="52"/>
        <v>5.2999999999999999E-2</v>
      </c>
      <c r="GD291" s="179">
        <f t="shared" si="53"/>
        <v>1.32E-2</v>
      </c>
      <c r="GE291" s="179">
        <f t="shared" si="54"/>
        <v>0</v>
      </c>
      <c r="GF291" s="179">
        <f t="shared" si="55"/>
        <v>0</v>
      </c>
      <c r="GG291" s="179">
        <f t="shared" si="51"/>
        <v>0</v>
      </c>
    </row>
    <row r="292" spans="1:189" x14ac:dyDescent="0.35">
      <c r="A292" s="5" t="s">
        <v>1380</v>
      </c>
      <c r="B292" s="5" t="str">
        <f>IF(Technologies!B292&lt;&gt;0,Technologies!B292,"")</f>
        <v>Elektriciteit</v>
      </c>
      <c r="C292" s="5" t="str">
        <f>VLOOKUP($A292,Technologies!$A$7:$H$576,3,FALSE)</f>
        <v>Conversion</v>
      </c>
      <c r="D292" s="5" t="str">
        <f>VLOOKUP($A292,Technologies!$A$7:$H$576,4,FALSE)</f>
        <v>Heat Network</v>
      </c>
      <c r="E292" s="5" t="str">
        <f>VLOOKUP($A292,Technologies!$A$7:$H$576,6,FALSE)</f>
        <v>Heat LT Network</v>
      </c>
      <c r="F292" s="5" t="str">
        <f>VLOOKUP($A292,Technologies!$A$7:$H$576,7,FALSE)</f>
        <v>Boiler Biomass - LT Heat for Network</v>
      </c>
      <c r="G292" s="23"/>
      <c r="H292" s="23"/>
      <c r="I292" s="104" cm="1">
        <f t="array" ref="I292">-SUMPRODUCT((Feedstocks!$C$4:$C$141=A292)*Feedstocks!$E$4:$E$141,Feedstocks!$F$4:$F$141,Feedstocks!$H$4:$H$141,Feedstocks!$I$4:$I$141)</f>
        <v>0</v>
      </c>
      <c r="J292" s="104" cm="1">
        <f t="array" ref="J292">-SUMPRODUCT((Feedstocks!$C$4:$C$141=A292)*Feedstocks!$E$4:$E$141,Feedstocks!$H$4:$H$141,Feedstocks!$I$4:$I$141)</f>
        <v>0</v>
      </c>
      <c r="K292" s="104"/>
      <c r="L292" s="104"/>
      <c r="M292" s="23">
        <v>1</v>
      </c>
      <c r="N292" s="23" t="str">
        <f>VLOOKUP(E292,Activities!$A$9:$M$227,13,FALSE)</f>
        <v>NL</v>
      </c>
      <c r="O292" s="23"/>
      <c r="P292" s="79" t="s">
        <v>415</v>
      </c>
      <c r="Q292" s="35"/>
      <c r="R292" s="35"/>
      <c r="S292" s="35"/>
      <c r="T292" s="35"/>
      <c r="U292" s="35"/>
      <c r="V292" s="35"/>
      <c r="W292" s="35"/>
      <c r="X292" s="35"/>
      <c r="Y292" s="35"/>
      <c r="Z292" s="35"/>
      <c r="AA292" s="35"/>
      <c r="AB292" s="35"/>
      <c r="AC292" s="35"/>
      <c r="AD292" s="35"/>
      <c r="AE292" s="35"/>
      <c r="AF292" s="36"/>
      <c r="AG292" s="36"/>
      <c r="AH292" s="36"/>
      <c r="AI292" s="36"/>
      <c r="AJ292" s="36"/>
      <c r="AK292" s="36"/>
      <c r="AL292" s="36"/>
      <c r="AM292" s="36"/>
      <c r="AN292" s="36"/>
      <c r="AO292" s="36"/>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v>1</v>
      </c>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v>-1.333</v>
      </c>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18"/>
      <c r="GC292" s="178">
        <f t="shared" si="52"/>
        <v>0</v>
      </c>
      <c r="GD292" s="178">
        <f t="shared" si="53"/>
        <v>0</v>
      </c>
      <c r="GE292" s="178">
        <f t="shared" si="54"/>
        <v>0</v>
      </c>
      <c r="GF292" s="178">
        <f t="shared" si="55"/>
        <v>0</v>
      </c>
      <c r="GG292" s="178">
        <f t="shared" si="51"/>
        <v>0</v>
      </c>
    </row>
    <row r="293" spans="1:189" x14ac:dyDescent="0.35">
      <c r="A293" s="6" t="s">
        <v>1382</v>
      </c>
      <c r="B293" s="6" t="str">
        <f>IF(Technologies!B293&lt;&gt;0,Technologies!B293,"")</f>
        <v>Elektriciteit</v>
      </c>
      <c r="C293" s="6" t="str">
        <f>VLOOKUP($A293,Technologies!$A$7:$H$576,3,FALSE)</f>
        <v>Conversion</v>
      </c>
      <c r="D293" s="6" t="str">
        <f>VLOOKUP($A293,Technologies!$A$7:$H$576,4,FALSE)</f>
        <v>Heat Network</v>
      </c>
      <c r="E293" s="6" t="str">
        <f>VLOOKUP($A293,Technologies!$A$7:$H$576,6,FALSE)</f>
        <v>Heat LT Network</v>
      </c>
      <c r="F293" s="48" t="str">
        <f>VLOOKUP($A293,Technologies!$A$7:$H$576,7,FALSE)</f>
        <v>Boiler Biomass wCCS - LT Heat for Network</v>
      </c>
      <c r="G293" s="22">
        <v>0.8</v>
      </c>
      <c r="H293" s="22"/>
      <c r="I293" s="103" cm="1">
        <f t="array" ref="I293">-SUMPRODUCT((Feedstocks!$C$4:$C$141=A293)*Feedstocks!$E$4:$E$141,Feedstocks!$F$4:$F$141,Feedstocks!$H$4:$H$141,Feedstocks!$I$4:$I$141)</f>
        <v>0</v>
      </c>
      <c r="J293" s="103" cm="1">
        <f t="array" ref="J293">-SUMPRODUCT((Feedstocks!$C$4:$C$141=A293)*Feedstocks!$E$4:$E$141,Feedstocks!$H$4:$H$141,Feedstocks!$I$4:$I$141)</f>
        <v>0</v>
      </c>
      <c r="K293" s="103"/>
      <c r="L293" s="103"/>
      <c r="M293" s="22">
        <v>1</v>
      </c>
      <c r="N293" s="22" t="str">
        <f>VLOOKUP(E293,Activities!$A$9:$M$227,13,FALSE)</f>
        <v>NL</v>
      </c>
      <c r="O293" s="22"/>
      <c r="P293" s="80" t="s">
        <v>415</v>
      </c>
      <c r="Q293" s="36"/>
      <c r="R293" s="36"/>
      <c r="S293" s="36"/>
      <c r="T293" s="36"/>
      <c r="U293" s="36"/>
      <c r="V293" s="36"/>
      <c r="W293" s="36"/>
      <c r="X293" s="36"/>
      <c r="Y293" s="36"/>
      <c r="Z293" s="36"/>
      <c r="AA293" s="36"/>
      <c r="AB293" s="36"/>
      <c r="AC293" s="36"/>
      <c r="AD293" s="36"/>
      <c r="AE293" s="36"/>
      <c r="AF293" s="35"/>
      <c r="AG293" s="35"/>
      <c r="AH293" s="35"/>
      <c r="AI293" s="35"/>
      <c r="AJ293" s="35"/>
      <c r="AK293" s="35"/>
      <c r="AL293" s="35"/>
      <c r="AM293" s="35"/>
      <c r="AN293" s="35"/>
      <c r="AO293" s="35"/>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36"/>
      <c r="DK293" s="36"/>
      <c r="DL293" s="36"/>
      <c r="DM293" s="36">
        <v>1</v>
      </c>
      <c r="DN293" s="36"/>
      <c r="DO293" s="36"/>
      <c r="DP293" s="36"/>
      <c r="DQ293" s="36"/>
      <c r="DR293" s="36"/>
      <c r="DS293" s="36"/>
      <c r="DT293" s="36"/>
      <c r="DU293" s="36"/>
      <c r="DV293" s="36"/>
      <c r="DW293" s="36"/>
      <c r="DX293" s="36"/>
      <c r="DY293" s="36"/>
      <c r="DZ293" s="36"/>
      <c r="EA293" s="36"/>
      <c r="EB293" s="36"/>
      <c r="EC293" s="36"/>
      <c r="ED293" s="36"/>
      <c r="EE293" s="36"/>
      <c r="EF293" s="36"/>
      <c r="EG293" s="36"/>
      <c r="EH293" s="36"/>
      <c r="EI293" s="36"/>
      <c r="EJ293" s="36"/>
      <c r="EK293" s="36"/>
      <c r="EL293" s="36"/>
      <c r="EM293" s="36"/>
      <c r="EN293" s="36"/>
      <c r="EO293" s="36"/>
      <c r="EP293" s="36"/>
      <c r="EQ293" s="36"/>
      <c r="ER293" s="36">
        <v>-1.4339999999999999</v>
      </c>
      <c r="ES293" s="36"/>
      <c r="ET293" s="36"/>
      <c r="EU293" s="36"/>
      <c r="EV293" s="36"/>
      <c r="EW293" s="36"/>
      <c r="EX293" s="36"/>
      <c r="EY293" s="36"/>
      <c r="EZ293" s="36"/>
      <c r="FA293" s="36"/>
      <c r="FB293" s="36"/>
      <c r="FC293" s="36"/>
      <c r="FD293" s="36"/>
      <c r="FE293" s="36"/>
      <c r="FF293" s="36"/>
      <c r="FG293" s="36"/>
      <c r="FH293" s="36"/>
      <c r="FI293" s="36"/>
      <c r="FJ293" s="36"/>
      <c r="FK293" s="36"/>
      <c r="FL293" s="36"/>
      <c r="FM293" s="36"/>
      <c r="FN293" s="36"/>
      <c r="FO293" s="36"/>
      <c r="FP293" s="36"/>
      <c r="FQ293" s="36"/>
      <c r="FR293" s="36"/>
      <c r="FS293" s="36"/>
      <c r="FT293" s="36"/>
      <c r="FU293" s="36"/>
      <c r="FV293" s="36"/>
      <c r="FW293" s="36"/>
      <c r="FX293" s="36"/>
      <c r="FY293" s="36"/>
      <c r="FZ293" s="36"/>
      <c r="GA293" s="36"/>
      <c r="GB293" s="319">
        <f>GC293</f>
        <v>0.12570000000000001</v>
      </c>
      <c r="GC293" s="179">
        <f t="shared" si="52"/>
        <v>0.12570000000000001</v>
      </c>
      <c r="GD293" s="179">
        <f t="shared" si="53"/>
        <v>-0.12570000000000001</v>
      </c>
      <c r="GE293" s="179">
        <f t="shared" si="54"/>
        <v>0</v>
      </c>
      <c r="GF293" s="179">
        <f t="shared" si="55"/>
        <v>0</v>
      </c>
      <c r="GG293" s="179">
        <f t="shared" si="51"/>
        <v>0</v>
      </c>
    </row>
    <row r="294" spans="1:189" x14ac:dyDescent="0.35">
      <c r="A294" s="5" t="s">
        <v>1384</v>
      </c>
      <c r="B294" s="5" t="str">
        <f>IF(Technologies!B294&lt;&gt;0,Technologies!B294,"")</f>
        <v>Elektriciteit</v>
      </c>
      <c r="C294" s="5" t="str">
        <f>VLOOKUP($A294,Technologies!$A$7:$H$576,3,FALSE)</f>
        <v>Conversion</v>
      </c>
      <c r="D294" s="5" t="str">
        <f>VLOOKUP($A294,Technologies!$A$7:$H$576,4,FALSE)</f>
        <v>Heat Network</v>
      </c>
      <c r="E294" s="5" t="str">
        <f>VLOOKUP($A294,Technologies!$A$7:$H$576,6,FALSE)</f>
        <v>Heat LT Network</v>
      </c>
      <c r="F294" s="5" t="str">
        <f>VLOOKUP($A294,Technologies!$A$7:$H$576,7,FALSE)</f>
        <v>Geothermal Gas HP - LT Heat for Network</v>
      </c>
      <c r="G294" s="23"/>
      <c r="H294" s="23"/>
      <c r="I294" s="104" cm="1">
        <f t="array" ref="I294">-SUMPRODUCT((Feedstocks!$C$4:$C$141=A294)*Feedstocks!$E$4:$E$141,Feedstocks!$F$4:$F$141,Feedstocks!$H$4:$H$141,Feedstocks!$I$4:$I$141)</f>
        <v>0</v>
      </c>
      <c r="J294" s="104" cm="1">
        <f t="array" ref="J294">-SUMPRODUCT((Feedstocks!$C$4:$C$141=A294)*Feedstocks!$E$4:$E$141,Feedstocks!$H$4:$H$141,Feedstocks!$I$4:$I$141)</f>
        <v>0</v>
      </c>
      <c r="K294" s="104"/>
      <c r="L294" s="104"/>
      <c r="M294" s="23">
        <v>1</v>
      </c>
      <c r="N294" s="23" t="str">
        <f>VLOOKUP(E294,Activities!$A$9:$M$227,13,FALSE)</f>
        <v>NL</v>
      </c>
      <c r="O294" s="23"/>
      <c r="P294" s="79" t="s">
        <v>415</v>
      </c>
      <c r="Q294" s="35"/>
      <c r="R294" s="35"/>
      <c r="S294" s="35"/>
      <c r="T294" s="35"/>
      <c r="U294" s="35"/>
      <c r="V294" s="35"/>
      <c r="W294" s="35"/>
      <c r="X294" s="35"/>
      <c r="Y294" s="35"/>
      <c r="Z294" s="35"/>
      <c r="AA294" s="35"/>
      <c r="AB294" s="35"/>
      <c r="AC294" s="35"/>
      <c r="AD294" s="35"/>
      <c r="AE294" s="35"/>
      <c r="AF294" s="36"/>
      <c r="AG294" s="36"/>
      <c r="AH294" s="36"/>
      <c r="AI294" s="36"/>
      <c r="AJ294" s="36"/>
      <c r="AK294" s="36"/>
      <c r="AL294" s="36"/>
      <c r="AM294" s="36"/>
      <c r="AN294" s="36"/>
      <c r="AO294" s="36"/>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v>-0.05</v>
      </c>
      <c r="DJ294" s="35"/>
      <c r="DK294" s="35"/>
      <c r="DL294" s="35"/>
      <c r="DM294" s="35">
        <v>1</v>
      </c>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v>-0.25</v>
      </c>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v>-0.75</v>
      </c>
      <c r="FN294" s="35"/>
      <c r="FO294" s="35"/>
      <c r="FP294" s="35"/>
      <c r="FQ294" s="35"/>
      <c r="FR294" s="35"/>
      <c r="FS294" s="35"/>
      <c r="FT294" s="35"/>
      <c r="FU294" s="35"/>
      <c r="FV294" s="35"/>
      <c r="FW294" s="35"/>
      <c r="FX294" s="35"/>
      <c r="FY294" s="35"/>
      <c r="FZ294" s="35"/>
      <c r="GA294" s="35"/>
      <c r="GB294" s="318"/>
      <c r="GC294" s="178">
        <f t="shared" si="52"/>
        <v>0</v>
      </c>
      <c r="GD294" s="178">
        <f t="shared" si="53"/>
        <v>1.4200000000000001E-2</v>
      </c>
      <c r="GE294" s="178">
        <f t="shared" si="54"/>
        <v>0</v>
      </c>
      <c r="GF294" s="178">
        <f t="shared" si="55"/>
        <v>0</v>
      </c>
      <c r="GG294" s="178">
        <f t="shared" si="51"/>
        <v>0</v>
      </c>
    </row>
    <row r="295" spans="1:189" x14ac:dyDescent="0.35">
      <c r="A295" s="6" t="s">
        <v>1386</v>
      </c>
      <c r="B295" s="6" t="str">
        <f>IF(Technologies!B295&lt;&gt;0,Technologies!B295,"")</f>
        <v>Elektriciteit</v>
      </c>
      <c r="C295" s="6" t="str">
        <f>VLOOKUP($A295,Technologies!$A$7:$H$576,3,FALSE)</f>
        <v>Conversion</v>
      </c>
      <c r="D295" s="6" t="str">
        <f>VLOOKUP($A295,Technologies!$A$7:$H$576,4,FALSE)</f>
        <v>Heat Network</v>
      </c>
      <c r="E295" s="6" t="str">
        <f>VLOOKUP($A295,Technologies!$A$7:$H$576,6,FALSE)</f>
        <v>Heat LT Network</v>
      </c>
      <c r="F295" s="48" t="str">
        <f>VLOOKUP($A295,Technologies!$A$7:$H$576,7,FALSE)</f>
        <v>Hot water storage tank - LT Heat for Network</v>
      </c>
      <c r="G295" s="22"/>
      <c r="H295" s="22"/>
      <c r="I295" s="103" cm="1">
        <f t="array" ref="I295">-SUMPRODUCT((Feedstocks!$C$4:$C$141=A295)*Feedstocks!$E$4:$E$141,Feedstocks!$F$4:$F$141,Feedstocks!$H$4:$H$141,Feedstocks!$I$4:$I$141)</f>
        <v>0</v>
      </c>
      <c r="J295" s="103" cm="1">
        <f t="array" ref="J295">-SUMPRODUCT((Feedstocks!$C$4:$C$141=A295)*Feedstocks!$E$4:$E$141,Feedstocks!$H$4:$H$141,Feedstocks!$I$4:$I$141)</f>
        <v>0</v>
      </c>
      <c r="K295" s="103"/>
      <c r="L295" s="103"/>
      <c r="M295" s="22"/>
      <c r="N295" s="22" t="str">
        <f>VLOOKUP(E295,Activities!$A$9:$M$227,13,FALSE)</f>
        <v>NL</v>
      </c>
      <c r="O295" s="22"/>
      <c r="P295" s="80" t="s">
        <v>415</v>
      </c>
      <c r="Q295" s="36"/>
      <c r="R295" s="36"/>
      <c r="S295" s="36"/>
      <c r="T295" s="36"/>
      <c r="U295" s="36"/>
      <c r="V295" s="36"/>
      <c r="W295" s="36"/>
      <c r="X295" s="36"/>
      <c r="Y295" s="36"/>
      <c r="Z295" s="36"/>
      <c r="AA295" s="36"/>
      <c r="AB295" s="36"/>
      <c r="AC295" s="36"/>
      <c r="AD295" s="36"/>
      <c r="AE295" s="36"/>
      <c r="AF295" s="35"/>
      <c r="AG295" s="35"/>
      <c r="AH295" s="35"/>
      <c r="AI295" s="35"/>
      <c r="AJ295" s="35"/>
      <c r="AK295" s="35"/>
      <c r="AL295" s="35"/>
      <c r="AM295" s="35"/>
      <c r="AN295" s="35"/>
      <c r="AO295" s="35"/>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36"/>
      <c r="DK295" s="36"/>
      <c r="DL295" s="36"/>
      <c r="DM295" s="36"/>
      <c r="DN295" s="36"/>
      <c r="DO295" s="36"/>
      <c r="DP295" s="36"/>
      <c r="DQ295" s="36"/>
      <c r="DR295" s="36"/>
      <c r="DS295" s="36"/>
      <c r="DT295" s="36"/>
      <c r="DU295" s="36"/>
      <c r="DV295" s="36"/>
      <c r="DW295" s="36"/>
      <c r="DX295" s="36"/>
      <c r="DY295" s="36"/>
      <c r="DZ295" s="36"/>
      <c r="EA295" s="36"/>
      <c r="EB295" s="36"/>
      <c r="EC295" s="36"/>
      <c r="ED295" s="36"/>
      <c r="EE295" s="36"/>
      <c r="EF295" s="36"/>
      <c r="EG295" s="36"/>
      <c r="EH295" s="36"/>
      <c r="EI295" s="36"/>
      <c r="EJ295" s="36"/>
      <c r="EK295" s="36"/>
      <c r="EL295" s="36"/>
      <c r="EM295" s="36"/>
      <c r="EN295" s="36"/>
      <c r="EO295" s="36"/>
      <c r="EP295" s="36"/>
      <c r="EQ295" s="36"/>
      <c r="ER295" s="36"/>
      <c r="ES295" s="36"/>
      <c r="ET295" s="36"/>
      <c r="EU295" s="36"/>
      <c r="EV295" s="36"/>
      <c r="EW295" s="36"/>
      <c r="EX295" s="36"/>
      <c r="EY295" s="36"/>
      <c r="EZ295" s="36"/>
      <c r="FA295" s="36"/>
      <c r="FB295" s="36"/>
      <c r="FC295" s="36"/>
      <c r="FD295" s="36"/>
      <c r="FE295" s="36"/>
      <c r="FF295" s="36"/>
      <c r="FG295" s="36"/>
      <c r="FH295" s="36"/>
      <c r="FI295" s="36"/>
      <c r="FJ295" s="36"/>
      <c r="FK295" s="36"/>
      <c r="FL295" s="36"/>
      <c r="FM295" s="36"/>
      <c r="FN295" s="36"/>
      <c r="FO295" s="36"/>
      <c r="FP295" s="36"/>
      <c r="FQ295" s="36"/>
      <c r="FR295" s="36"/>
      <c r="FS295" s="36"/>
      <c r="FT295" s="36"/>
      <c r="FU295" s="36"/>
      <c r="FV295" s="36"/>
      <c r="FW295" s="36"/>
      <c r="FX295" s="36"/>
      <c r="FY295" s="36"/>
      <c r="FZ295" s="36"/>
      <c r="GA295" s="36"/>
      <c r="GB295" s="319"/>
      <c r="GC295" s="179">
        <f t="shared" si="52"/>
        <v>0</v>
      </c>
      <c r="GD295" s="179">
        <f t="shared" si="53"/>
        <v>0</v>
      </c>
      <c r="GE295" s="179">
        <f t="shared" si="54"/>
        <v>0</v>
      </c>
      <c r="GF295" s="179">
        <f t="shared" si="55"/>
        <v>0</v>
      </c>
      <c r="GG295" s="179">
        <f t="shared" si="51"/>
        <v>0</v>
      </c>
    </row>
    <row r="296" spans="1:189" x14ac:dyDescent="0.35">
      <c r="A296" s="5" t="s">
        <v>1389</v>
      </c>
      <c r="B296" s="5" t="str">
        <f>IF(Technologies!B296&lt;&gt;0,Technologies!B296,"")</f>
        <v>Elektriciteit</v>
      </c>
      <c r="C296" s="5" t="str">
        <f>VLOOKUP($A296,Technologies!$A$7:$H$576,3,FALSE)</f>
        <v>Conversion</v>
      </c>
      <c r="D296" s="5" t="str">
        <f>VLOOKUP($A296,Technologies!$A$7:$H$576,4,FALSE)</f>
        <v>Heat Network</v>
      </c>
      <c r="E296" s="5" t="str">
        <f>VLOOKUP($A296,Technologies!$A$7:$H$576,6,FALSE)</f>
        <v>Heat LT Network</v>
      </c>
      <c r="F296" s="5" t="str">
        <f>VLOOKUP($A296,Technologies!$A$7:$H$576,7,FALSE)</f>
        <v>Boiler Hydrogen - LT Heat for Network</v>
      </c>
      <c r="G296" s="23"/>
      <c r="H296" s="23"/>
      <c r="I296" s="104" cm="1">
        <f t="array" ref="I296">-SUMPRODUCT((Feedstocks!$C$4:$C$141=A296)*Feedstocks!$E$4:$E$141,Feedstocks!$F$4:$F$141,Feedstocks!$H$4:$H$141,Feedstocks!$I$4:$I$141)</f>
        <v>0</v>
      </c>
      <c r="J296" s="104" cm="1">
        <f t="array" ref="J296">-SUMPRODUCT((Feedstocks!$C$4:$C$141=A296)*Feedstocks!$E$4:$E$141,Feedstocks!$H$4:$H$141,Feedstocks!$I$4:$I$141)</f>
        <v>0</v>
      </c>
      <c r="K296" s="104"/>
      <c r="L296" s="104"/>
      <c r="M296" s="23">
        <v>1</v>
      </c>
      <c r="N296" s="23" t="str">
        <f>VLOOKUP(E296,Activities!$A$9:$M$227,13,FALSE)</f>
        <v>NL</v>
      </c>
      <c r="O296" s="23"/>
      <c r="P296" s="79" t="s">
        <v>415</v>
      </c>
      <c r="Q296" s="35"/>
      <c r="R296" s="35"/>
      <c r="S296" s="35"/>
      <c r="T296" s="35"/>
      <c r="U296" s="35"/>
      <c r="V296" s="35"/>
      <c r="W296" s="35"/>
      <c r="X296" s="35"/>
      <c r="Y296" s="35"/>
      <c r="Z296" s="35"/>
      <c r="AA296" s="35"/>
      <c r="AB296" s="35"/>
      <c r="AC296" s="35"/>
      <c r="AD296" s="35"/>
      <c r="AE296" s="35"/>
      <c r="AF296" s="36"/>
      <c r="AG296" s="36"/>
      <c r="AH296" s="36"/>
      <c r="AI296" s="36"/>
      <c r="AJ296" s="36"/>
      <c r="AK296" s="36"/>
      <c r="AL296" s="36"/>
      <c r="AM296" s="36"/>
      <c r="AN296" s="36"/>
      <c r="AO296" s="36"/>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v>1</v>
      </c>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v>-1.02</v>
      </c>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18"/>
      <c r="GC296" s="178">
        <f t="shared" si="52"/>
        <v>0</v>
      </c>
      <c r="GD296" s="178">
        <f t="shared" si="53"/>
        <v>0</v>
      </c>
      <c r="GE296" s="178">
        <f t="shared" si="54"/>
        <v>0</v>
      </c>
      <c r="GF296" s="178">
        <f t="shared" si="55"/>
        <v>0</v>
      </c>
      <c r="GG296" s="178">
        <f t="shared" si="51"/>
        <v>0</v>
      </c>
    </row>
    <row r="297" spans="1:189" x14ac:dyDescent="0.35">
      <c r="A297" s="5" t="s">
        <v>1391</v>
      </c>
      <c r="B297" s="5" t="str">
        <f>IF(Technologies!B297&lt;&gt;0,Technologies!B297,"")</f>
        <v>Elektriciteit</v>
      </c>
      <c r="C297" s="5" t="str">
        <f>VLOOKUP($A297,Technologies!$A$7:$H$576,3,FALSE)</f>
        <v>Conversion</v>
      </c>
      <c r="D297" s="5" t="str">
        <f>VLOOKUP($A297,Technologies!$A$7:$H$576,4,FALSE)</f>
        <v>Heat Network</v>
      </c>
      <c r="E297" s="5" t="str">
        <f>VLOOKUP($A297,Technologies!$A$7:$H$576,6,FALSE)</f>
        <v>Heat LT Network</v>
      </c>
      <c r="F297" s="5" t="str">
        <f>VLOOKUP($A297,Technologies!$A$7:$H$576,7,FALSE)</f>
        <v>Electric Boiler - LT Heat for Network</v>
      </c>
      <c r="G297" s="23"/>
      <c r="H297" s="23"/>
      <c r="I297" s="104"/>
      <c r="J297" s="104"/>
      <c r="K297" s="104"/>
      <c r="L297" s="104"/>
      <c r="M297" s="23">
        <v>1</v>
      </c>
      <c r="N297" s="23" t="str">
        <f>VLOOKUP(E297,Activities!$A$9:$M$227,13,FALSE)</f>
        <v>NL</v>
      </c>
      <c r="O297" s="23"/>
      <c r="P297" s="79"/>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6">
        <f>-1/0.99</f>
        <v>-1.0101010101010102</v>
      </c>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c r="GD297" s="178"/>
      <c r="GE297" s="178"/>
      <c r="GF297" s="178"/>
      <c r="GG297" s="178"/>
    </row>
    <row r="298" spans="1:189" x14ac:dyDescent="0.35">
      <c r="A298" s="6" t="s">
        <v>1393</v>
      </c>
      <c r="B298" s="6" t="str">
        <f>IF(Technologies!B298&lt;&gt;0,Technologies!B298,"")</f>
        <v>Landbouw</v>
      </c>
      <c r="C298" s="6" t="str">
        <f>VLOOKUP($A298,Technologies!$A$7:$H$576,3,FALSE)</f>
        <v>Conversion</v>
      </c>
      <c r="D298" s="6" t="str">
        <f>VLOOKUP($A298,Technologies!$A$7:$H$576,4,FALSE)</f>
        <v>Agriculture</v>
      </c>
      <c r="E298" s="6" t="str">
        <f>VLOOKUP($A298,Technologies!$A$7:$H$576,6,FALSE)</f>
        <v>Heat LT Agriculture</v>
      </c>
      <c r="F298" s="48" t="str">
        <f>VLOOKUP($A298,Technologies!$A$7:$H$576,7,FALSE)</f>
        <v>CHP Gas - LT Heat for Agriculture</v>
      </c>
      <c r="G298" s="22"/>
      <c r="H298" s="22"/>
      <c r="I298" s="103" cm="1">
        <f t="array" ref="I298">-SUMPRODUCT((Feedstocks!$C$4:$C$141=A298)*Feedstocks!$E$4:$E$141,Feedstocks!$F$4:$F$141,Feedstocks!$H$4:$H$141,Feedstocks!$I$4:$I$141)</f>
        <v>0</v>
      </c>
      <c r="J298" s="103" cm="1">
        <f t="array" ref="J298">-SUMPRODUCT((Feedstocks!$C$4:$C$141=A298)*Feedstocks!$E$4:$E$141,Feedstocks!$H$4:$H$141,Feedstocks!$I$4:$I$141)</f>
        <v>0</v>
      </c>
      <c r="K298" s="103"/>
      <c r="L298" s="103"/>
      <c r="M298" s="22"/>
      <c r="N298" s="22" t="str">
        <f>VLOOKUP(E298,Activities!$A$9:$M$227,13,FALSE)</f>
        <v>NL</v>
      </c>
      <c r="O298" s="22"/>
      <c r="P298" s="80" t="s">
        <v>415</v>
      </c>
      <c r="Q298" s="36"/>
      <c r="R298" s="36"/>
      <c r="S298" s="36"/>
      <c r="T298" s="36"/>
      <c r="U298" s="36"/>
      <c r="V298" s="36"/>
      <c r="W298" s="36"/>
      <c r="X298" s="36"/>
      <c r="Y298" s="36"/>
      <c r="Z298" s="36"/>
      <c r="AA298" s="36"/>
      <c r="AB298" s="36"/>
      <c r="AC298" s="36"/>
      <c r="AD298" s="36"/>
      <c r="AE298" s="36"/>
      <c r="AF298" s="35"/>
      <c r="AG298" s="35"/>
      <c r="AH298" s="35"/>
      <c r="AI298" s="35"/>
      <c r="AJ298" s="35"/>
      <c r="AK298" s="35"/>
      <c r="AL298" s="35"/>
      <c r="AM298" s="35"/>
      <c r="AN298" s="35"/>
      <c r="AO298" s="35"/>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v>0.6</v>
      </c>
      <c r="DJ298" s="36"/>
      <c r="DK298" s="36"/>
      <c r="DL298" s="36"/>
      <c r="DM298" s="36"/>
      <c r="DN298" s="36">
        <v>1</v>
      </c>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v>-1.9</v>
      </c>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6"/>
      <c r="FI298" s="36"/>
      <c r="FJ298" s="36"/>
      <c r="FK298" s="36"/>
      <c r="FL298" s="36"/>
      <c r="FM298" s="36"/>
      <c r="FN298" s="36"/>
      <c r="FO298" s="36"/>
      <c r="FP298" s="36"/>
      <c r="FQ298" s="36"/>
      <c r="FR298" s="36"/>
      <c r="FS298" s="36"/>
      <c r="FT298" s="36"/>
      <c r="FU298" s="36"/>
      <c r="FV298" s="36"/>
      <c r="FW298" s="36"/>
      <c r="FX298" s="36"/>
      <c r="FY298" s="36"/>
      <c r="FZ298" s="36"/>
      <c r="GA298" s="36"/>
      <c r="GB298" s="319"/>
      <c r="GC298" s="179">
        <f t="shared" ref="GC298:GC303" si="56">ROUND(IF($C298="Primary",0,-$G298*(SUMPRODUCT($Q$4:$GA$4,$Q298:$GA298)+$J298)-$H298)*IF($N298=GC$4,1,0),4)</f>
        <v>0</v>
      </c>
      <c r="GD298" s="179">
        <f t="shared" ref="GD298:GD303" si="57">ROUND(IF($C298="Primary",0,$M298*(1-$O298)*($G298*(SUMPRODUCT($Q$4:$GA$4,$Q298:$GA298)+$J298)+$H298-SUMPRODUCT($Q$5:$GA$5,$Q298:$GA298)-$I298+$K298))*IF($N298=GD$4,1,0),4)</f>
        <v>0</v>
      </c>
      <c r="GE298" s="179">
        <f t="shared" ref="GE298:GE303" si="58">ROUND(IF($C298="Primary",0,(1-$M298)*(1-$O298)*($G298*(SUMPRODUCT($Q$4:$GA$4,$Q298:$GA298)+$J298)+$H298-SUMPRODUCT($Q$5:$GA$5,$Q298:$GA298)-$I298+$L298))*IF($N298=GD$4,1,0),4)</f>
        <v>0.1075</v>
      </c>
      <c r="GF298" s="179">
        <f t="shared" ref="GF298:GF303" si="59">ROUND(IF($C298="Primary",0,$O298*($G298*(SUMPRODUCT($Q$4:$GA$4,$Q298:$GA298)+$J298)-SUMPRODUCT($Q$5:$GA$5,$Q298:$GA298)-$I298))*IF($N298=GD$4,1,0),4)</f>
        <v>0</v>
      </c>
      <c r="GG298" s="179">
        <f t="shared" si="51"/>
        <v>0</v>
      </c>
    </row>
    <row r="299" spans="1:189" x14ac:dyDescent="0.35">
      <c r="A299" s="5" t="s">
        <v>1395</v>
      </c>
      <c r="B299" s="5" t="str">
        <f>IF(Technologies!B299&lt;&gt;0,Technologies!B299,"")</f>
        <v>Landbouw</v>
      </c>
      <c r="C299" s="5" t="str">
        <f>VLOOKUP($A299,Technologies!$A$7:$H$576,3,FALSE)</f>
        <v>Conversion</v>
      </c>
      <c r="D299" s="5" t="str">
        <f>VLOOKUP($A299,Technologies!$A$7:$H$576,4,FALSE)</f>
        <v>Agriculture</v>
      </c>
      <c r="E299" s="5" t="str">
        <f>VLOOKUP($A299,Technologies!$A$7:$H$576,6,FALSE)</f>
        <v>Heat LT Agriculture</v>
      </c>
      <c r="F299" s="5" t="str">
        <f>VLOOKUP($A299,Technologies!$A$7:$H$576,7,FALSE)</f>
        <v>Boiler Gas - LT Heat for Agriculture</v>
      </c>
      <c r="G299" s="23"/>
      <c r="H299" s="23"/>
      <c r="I299" s="104" cm="1">
        <f t="array" ref="I299">-SUMPRODUCT((Feedstocks!$C$4:$C$141=A299)*Feedstocks!$E$4:$E$141,Feedstocks!$F$4:$F$141,Feedstocks!$H$4:$H$141,Feedstocks!$I$4:$I$141)</f>
        <v>0</v>
      </c>
      <c r="J299" s="104" cm="1">
        <f t="array" ref="J299">-SUMPRODUCT((Feedstocks!$C$4:$C$141=A299)*Feedstocks!$E$4:$E$141,Feedstocks!$H$4:$H$141,Feedstocks!$I$4:$I$141)</f>
        <v>0</v>
      </c>
      <c r="K299" s="104"/>
      <c r="L299" s="104"/>
      <c r="M299" s="23"/>
      <c r="N299" s="23" t="str">
        <f>VLOOKUP(E299,Activities!$A$9:$M$227,13,FALSE)</f>
        <v>NL</v>
      </c>
      <c r="O299" s="23"/>
      <c r="P299" s="79" t="s">
        <v>415</v>
      </c>
      <c r="Q299" s="35"/>
      <c r="R299" s="35"/>
      <c r="S299" s="35"/>
      <c r="T299" s="35"/>
      <c r="U299" s="35"/>
      <c r="V299" s="35"/>
      <c r="W299" s="35"/>
      <c r="X299" s="35"/>
      <c r="Y299" s="35"/>
      <c r="Z299" s="35"/>
      <c r="AA299" s="35"/>
      <c r="AB299" s="35"/>
      <c r="AC299" s="35"/>
      <c r="AD299" s="35"/>
      <c r="AE299" s="35"/>
      <c r="AF299" s="36"/>
      <c r="AG299" s="36"/>
      <c r="AH299" s="36"/>
      <c r="AI299" s="36"/>
      <c r="AJ299" s="36"/>
      <c r="AK299" s="36"/>
      <c r="AL299" s="36"/>
      <c r="AM299" s="36"/>
      <c r="AN299" s="36"/>
      <c r="AO299" s="36"/>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v>1</v>
      </c>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v>-1.05</v>
      </c>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18"/>
      <c r="GC299" s="178">
        <f t="shared" si="56"/>
        <v>0</v>
      </c>
      <c r="GD299" s="178">
        <f t="shared" si="57"/>
        <v>0</v>
      </c>
      <c r="GE299" s="178">
        <f t="shared" si="58"/>
        <v>5.9400000000000001E-2</v>
      </c>
      <c r="GF299" s="178">
        <f t="shared" si="59"/>
        <v>0</v>
      </c>
      <c r="GG299" s="178">
        <f t="shared" si="51"/>
        <v>0</v>
      </c>
    </row>
    <row r="300" spans="1:189" x14ac:dyDescent="0.35">
      <c r="A300" s="6" t="s">
        <v>1397</v>
      </c>
      <c r="B300" s="6" t="str">
        <f>IF(Technologies!B300&lt;&gt;0,Technologies!B300,"")</f>
        <v>Landbouw</v>
      </c>
      <c r="C300" s="6" t="str">
        <f>VLOOKUP($A300,Technologies!$A$7:$H$576,3,FALSE)</f>
        <v>Conversion</v>
      </c>
      <c r="D300" s="6" t="str">
        <f>VLOOKUP($A300,Technologies!$A$7:$H$576,4,FALSE)</f>
        <v>Agriculture</v>
      </c>
      <c r="E300" s="6" t="str">
        <f>VLOOKUP($A300,Technologies!$A$7:$H$576,6,FALSE)</f>
        <v>Heat LT Agriculture</v>
      </c>
      <c r="F300" s="48" t="str">
        <f>VLOOKUP($A300,Technologies!$A$7:$H$576,7,FALSE)</f>
        <v>Geothermal HP - LT Heat for Agriculture</v>
      </c>
      <c r="G300" s="22"/>
      <c r="H300" s="22"/>
      <c r="I300" s="103" cm="1">
        <f t="array" ref="I300">-SUMPRODUCT((Feedstocks!$C$4:$C$141=A300)*Feedstocks!$E$4:$E$141,Feedstocks!$F$4:$F$141,Feedstocks!$H$4:$H$141,Feedstocks!$I$4:$I$141)</f>
        <v>0</v>
      </c>
      <c r="J300" s="103" cm="1">
        <f t="array" ref="J300">-SUMPRODUCT((Feedstocks!$C$4:$C$141=A300)*Feedstocks!$E$4:$E$141,Feedstocks!$H$4:$H$141,Feedstocks!$I$4:$I$141)</f>
        <v>0</v>
      </c>
      <c r="K300" s="103"/>
      <c r="L300" s="103"/>
      <c r="M300" s="22"/>
      <c r="N300" s="22" t="str">
        <f>VLOOKUP(E300,Activities!$A$9:$M$227,13,FALSE)</f>
        <v>NL</v>
      </c>
      <c r="O300" s="22"/>
      <c r="P300" s="80" t="s">
        <v>415</v>
      </c>
      <c r="Q300" s="36"/>
      <c r="R300" s="36"/>
      <c r="S300" s="36"/>
      <c r="T300" s="36"/>
      <c r="U300" s="36"/>
      <c r="V300" s="36"/>
      <c r="W300" s="36"/>
      <c r="X300" s="36"/>
      <c r="Y300" s="36"/>
      <c r="Z300" s="36"/>
      <c r="AA300" s="36"/>
      <c r="AB300" s="36"/>
      <c r="AC300" s="36"/>
      <c r="AD300" s="36"/>
      <c r="AE300" s="36"/>
      <c r="AF300" s="35"/>
      <c r="AG300" s="35"/>
      <c r="AH300" s="35"/>
      <c r="AI300" s="35"/>
      <c r="AJ300" s="35"/>
      <c r="AK300" s="35"/>
      <c r="AL300" s="35"/>
      <c r="AM300" s="35"/>
      <c r="AN300" s="35"/>
      <c r="AO300" s="35"/>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v>-0.25</v>
      </c>
      <c r="DJ300" s="36"/>
      <c r="DK300" s="36"/>
      <c r="DL300" s="36"/>
      <c r="DM300" s="36"/>
      <c r="DN300" s="36">
        <v>1</v>
      </c>
      <c r="DO300" s="36"/>
      <c r="DP300" s="36"/>
      <c r="DQ300" s="36"/>
      <c r="DR300" s="36"/>
      <c r="DS300" s="36"/>
      <c r="DT300" s="36"/>
      <c r="DU300" s="36"/>
      <c r="DV300" s="36"/>
      <c r="DW300" s="36"/>
      <c r="DX300" s="36"/>
      <c r="DY300" s="36"/>
      <c r="DZ300" s="36"/>
      <c r="EA300" s="36"/>
      <c r="EB300" s="36"/>
      <c r="EC300" s="36"/>
      <c r="ED300" s="36"/>
      <c r="EE300" s="36"/>
      <c r="EF300" s="36"/>
      <c r="EG300" s="36"/>
      <c r="EH300" s="36"/>
      <c r="EI300" s="36"/>
      <c r="EJ300" s="36"/>
      <c r="EK300" s="36"/>
      <c r="EL300" s="36"/>
      <c r="EM300" s="36"/>
      <c r="EN300" s="36"/>
      <c r="EO300" s="36"/>
      <c r="EP300" s="36"/>
      <c r="EQ300" s="36"/>
      <c r="ER300" s="36"/>
      <c r="ES300" s="36"/>
      <c r="ET300" s="36"/>
      <c r="EU300" s="36"/>
      <c r="EV300" s="36"/>
      <c r="EW300" s="36"/>
      <c r="EX300" s="36"/>
      <c r="EY300" s="36"/>
      <c r="EZ300" s="36"/>
      <c r="FA300" s="36"/>
      <c r="FB300" s="36"/>
      <c r="FC300" s="36"/>
      <c r="FD300" s="36"/>
      <c r="FE300" s="36"/>
      <c r="FF300" s="36"/>
      <c r="FG300" s="36"/>
      <c r="FH300" s="36"/>
      <c r="FI300" s="36"/>
      <c r="FJ300" s="36"/>
      <c r="FK300" s="36"/>
      <c r="FL300" s="36"/>
      <c r="FM300" s="36">
        <v>-0.75</v>
      </c>
      <c r="FN300" s="36"/>
      <c r="FO300" s="36"/>
      <c r="FP300" s="36"/>
      <c r="FQ300" s="36"/>
      <c r="FR300" s="36"/>
      <c r="FS300" s="36"/>
      <c r="FT300" s="36"/>
      <c r="FU300" s="36"/>
      <c r="FV300" s="36"/>
      <c r="FW300" s="36"/>
      <c r="FX300" s="36"/>
      <c r="FY300" s="36"/>
      <c r="FZ300" s="36"/>
      <c r="GA300" s="36"/>
      <c r="GB300" s="319"/>
      <c r="GC300" s="179">
        <f t="shared" si="56"/>
        <v>0</v>
      </c>
      <c r="GD300" s="179">
        <f t="shared" si="57"/>
        <v>0</v>
      </c>
      <c r="GE300" s="179">
        <f t="shared" si="58"/>
        <v>0</v>
      </c>
      <c r="GF300" s="179">
        <f t="shared" si="59"/>
        <v>0</v>
      </c>
      <c r="GG300" s="179">
        <f t="shared" si="51"/>
        <v>0</v>
      </c>
    </row>
    <row r="301" spans="1:189" x14ac:dyDescent="0.35">
      <c r="A301" s="5" t="s">
        <v>1399</v>
      </c>
      <c r="B301" s="5" t="str">
        <f>IF(Technologies!B301&lt;&gt;0,Technologies!B301,"")</f>
        <v>Landbouw</v>
      </c>
      <c r="C301" s="5" t="str">
        <f>VLOOKUP($A301,Technologies!$A$7:$H$576,3,FALSE)</f>
        <v>Conversion</v>
      </c>
      <c r="D301" s="5" t="str">
        <f>VLOOKUP($A301,Technologies!$A$7:$H$576,4,FALSE)</f>
        <v>Agriculture</v>
      </c>
      <c r="E301" s="5" t="str">
        <f>VLOOKUP($A301,Technologies!$A$7:$H$576,6,FALSE)</f>
        <v>Heat LT Agriculture</v>
      </c>
      <c r="F301" s="5" t="str">
        <f>VLOOKUP($A301,Technologies!$A$7:$H$576,7,FALSE)</f>
        <v>Shallow Soil Energy - LT Heat for Agriculture</v>
      </c>
      <c r="G301" s="23"/>
      <c r="H301" s="23"/>
      <c r="I301" s="104" cm="1">
        <f t="array" ref="I301">-SUMPRODUCT((Feedstocks!$C$4:$C$141=A301)*Feedstocks!$E$4:$E$141,Feedstocks!$F$4:$F$141,Feedstocks!$H$4:$H$141,Feedstocks!$I$4:$I$141)</f>
        <v>0</v>
      </c>
      <c r="J301" s="104" cm="1">
        <f t="array" ref="J301">-SUMPRODUCT((Feedstocks!$C$4:$C$141=A301)*Feedstocks!$E$4:$E$141,Feedstocks!$H$4:$H$141,Feedstocks!$I$4:$I$141)</f>
        <v>0</v>
      </c>
      <c r="K301" s="104"/>
      <c r="L301" s="104"/>
      <c r="M301" s="23"/>
      <c r="N301" s="23" t="str">
        <f>VLOOKUP(E301,Activities!$A$9:$M$227,13,FALSE)</f>
        <v>NL</v>
      </c>
      <c r="O301" s="23"/>
      <c r="P301" s="79" t="s">
        <v>415</v>
      </c>
      <c r="Q301" s="35"/>
      <c r="R301" s="35"/>
      <c r="S301" s="35"/>
      <c r="T301" s="35"/>
      <c r="U301" s="35"/>
      <c r="V301" s="35"/>
      <c r="W301" s="35"/>
      <c r="X301" s="35"/>
      <c r="Y301" s="35"/>
      <c r="Z301" s="35"/>
      <c r="AA301" s="35"/>
      <c r="AB301" s="35"/>
      <c r="AC301" s="35"/>
      <c r="AD301" s="35"/>
      <c r="AE301" s="35"/>
      <c r="AF301" s="36"/>
      <c r="AG301" s="36"/>
      <c r="AH301" s="36"/>
      <c r="AI301" s="36"/>
      <c r="AJ301" s="36"/>
      <c r="AK301" s="36"/>
      <c r="AL301" s="36"/>
      <c r="AM301" s="36"/>
      <c r="AN301" s="36"/>
      <c r="AO301" s="36"/>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v>-0.34</v>
      </c>
      <c r="DJ301" s="35"/>
      <c r="DK301" s="35"/>
      <c r="DL301" s="35"/>
      <c r="DM301" s="35"/>
      <c r="DN301" s="35">
        <v>1</v>
      </c>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v>-0.66</v>
      </c>
      <c r="FN301" s="35"/>
      <c r="FO301" s="35"/>
      <c r="FP301" s="35"/>
      <c r="FQ301" s="35"/>
      <c r="FR301" s="35"/>
      <c r="FS301" s="35"/>
      <c r="FT301" s="35"/>
      <c r="FU301" s="35"/>
      <c r="FV301" s="35"/>
      <c r="FW301" s="35"/>
      <c r="FX301" s="35"/>
      <c r="FY301" s="35"/>
      <c r="FZ301" s="35"/>
      <c r="GA301" s="35"/>
      <c r="GB301" s="318"/>
      <c r="GC301" s="178">
        <f t="shared" si="56"/>
        <v>0</v>
      </c>
      <c r="GD301" s="178">
        <f t="shared" si="57"/>
        <v>0</v>
      </c>
      <c r="GE301" s="178">
        <f t="shared" si="58"/>
        <v>0</v>
      </c>
      <c r="GF301" s="178">
        <f t="shared" si="59"/>
        <v>0</v>
      </c>
      <c r="GG301" s="178">
        <f t="shared" si="51"/>
        <v>0</v>
      </c>
    </row>
    <row r="302" spans="1:189" x14ac:dyDescent="0.35">
      <c r="A302" s="6" t="s">
        <v>1401</v>
      </c>
      <c r="B302" s="6" t="str">
        <f>IF(Technologies!B302&lt;&gt;0,Technologies!B302,"")</f>
        <v>Landbouw</v>
      </c>
      <c r="C302" s="6" t="str">
        <f>VLOOKUP($A302,Technologies!$A$7:$H$576,3,FALSE)</f>
        <v>Conversion</v>
      </c>
      <c r="D302" s="6" t="str">
        <f>VLOOKUP($A302,Technologies!$A$7:$H$576,4,FALSE)</f>
        <v>Agriculture</v>
      </c>
      <c r="E302" s="6" t="str">
        <f>VLOOKUP($A302,Technologies!$A$7:$H$576,6,FALSE)</f>
        <v>Heat LT Agriculture</v>
      </c>
      <c r="F302" s="48" t="str">
        <f>VLOOKUP($A302,Technologies!$A$7:$H$576,7,FALSE)</f>
        <v>Boiler Biomass - LT Heat for Agriculture</v>
      </c>
      <c r="G302" s="22"/>
      <c r="H302" s="22"/>
      <c r="I302" s="103" cm="1">
        <f t="array" ref="I302">-SUMPRODUCT((Feedstocks!$C$4:$C$141=A302)*Feedstocks!$E$4:$E$141,Feedstocks!$F$4:$F$141,Feedstocks!$H$4:$H$141,Feedstocks!$I$4:$I$141)</f>
        <v>0</v>
      </c>
      <c r="J302" s="103" cm="1">
        <f t="array" ref="J302">-SUMPRODUCT((Feedstocks!$C$4:$C$141=A302)*Feedstocks!$E$4:$E$141,Feedstocks!$H$4:$H$141,Feedstocks!$I$4:$I$141)</f>
        <v>0</v>
      </c>
      <c r="K302" s="103"/>
      <c r="L302" s="103"/>
      <c r="M302" s="22"/>
      <c r="N302" s="22" t="str">
        <f>VLOOKUP(E302,Activities!$A$9:$M$227,13,FALSE)</f>
        <v>NL</v>
      </c>
      <c r="O302" s="22"/>
      <c r="P302" s="80" t="s">
        <v>415</v>
      </c>
      <c r="Q302" s="36"/>
      <c r="R302" s="36"/>
      <c r="S302" s="36"/>
      <c r="T302" s="36"/>
      <c r="U302" s="36"/>
      <c r="V302" s="36"/>
      <c r="W302" s="36"/>
      <c r="X302" s="36"/>
      <c r="Y302" s="36"/>
      <c r="Z302" s="36"/>
      <c r="AA302" s="36"/>
      <c r="AB302" s="36"/>
      <c r="AC302" s="36"/>
      <c r="AD302" s="36"/>
      <c r="AE302" s="36"/>
      <c r="AF302" s="35"/>
      <c r="AG302" s="35"/>
      <c r="AH302" s="35"/>
      <c r="AI302" s="35"/>
      <c r="AJ302" s="35"/>
      <c r="AK302" s="35"/>
      <c r="AL302" s="35"/>
      <c r="AM302" s="35"/>
      <c r="AN302" s="35"/>
      <c r="AO302" s="35"/>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36"/>
      <c r="DK302" s="36"/>
      <c r="DL302" s="36"/>
      <c r="DM302" s="36"/>
      <c r="DN302" s="36">
        <v>1</v>
      </c>
      <c r="DO302" s="36"/>
      <c r="DP302" s="36"/>
      <c r="DQ302" s="36"/>
      <c r="DR302" s="36"/>
      <c r="DS302" s="36"/>
      <c r="DT302" s="36"/>
      <c r="DU302" s="36"/>
      <c r="DV302" s="36"/>
      <c r="DW302" s="36"/>
      <c r="DX302" s="36"/>
      <c r="DY302" s="36"/>
      <c r="DZ302" s="36"/>
      <c r="EA302" s="36"/>
      <c r="EB302" s="36"/>
      <c r="EC302" s="36"/>
      <c r="ED302" s="36"/>
      <c r="EE302" s="36"/>
      <c r="EF302" s="36"/>
      <c r="EG302" s="36"/>
      <c r="EH302" s="36"/>
      <c r="EI302" s="36"/>
      <c r="EJ302" s="36"/>
      <c r="EK302" s="36"/>
      <c r="EL302" s="36"/>
      <c r="EM302" s="36"/>
      <c r="EN302" s="36"/>
      <c r="EO302" s="36"/>
      <c r="EP302" s="36"/>
      <c r="EQ302" s="36"/>
      <c r="ER302" s="36">
        <v>-1.0900000000000001</v>
      </c>
      <c r="ES302" s="36"/>
      <c r="ET302" s="36"/>
      <c r="EU302" s="36"/>
      <c r="EV302" s="36"/>
      <c r="EW302" s="36"/>
      <c r="EX302" s="36"/>
      <c r="EY302" s="36"/>
      <c r="EZ302" s="36"/>
      <c r="FA302" s="36"/>
      <c r="FB302" s="36"/>
      <c r="FC302" s="36"/>
      <c r="FD302" s="36"/>
      <c r="FE302" s="36"/>
      <c r="FF302" s="36"/>
      <c r="FG302" s="36"/>
      <c r="FH302" s="36"/>
      <c r="FI302" s="36"/>
      <c r="FJ302" s="36"/>
      <c r="FK302" s="36"/>
      <c r="FL302" s="36"/>
      <c r="FM302" s="36"/>
      <c r="FN302" s="36"/>
      <c r="FO302" s="36"/>
      <c r="FP302" s="36"/>
      <c r="FQ302" s="36"/>
      <c r="FR302" s="36"/>
      <c r="FS302" s="36"/>
      <c r="FT302" s="36"/>
      <c r="FU302" s="36"/>
      <c r="FV302" s="36"/>
      <c r="FW302" s="36"/>
      <c r="FX302" s="36"/>
      <c r="FY302" s="36"/>
      <c r="FZ302" s="36"/>
      <c r="GA302" s="36"/>
      <c r="GB302" s="319"/>
      <c r="GC302" s="179">
        <f t="shared" si="56"/>
        <v>0</v>
      </c>
      <c r="GD302" s="179">
        <f t="shared" si="57"/>
        <v>0</v>
      </c>
      <c r="GE302" s="179">
        <f t="shared" si="58"/>
        <v>0</v>
      </c>
      <c r="GF302" s="179">
        <f t="shared" si="59"/>
        <v>0</v>
      </c>
      <c r="GG302" s="179">
        <f t="shared" si="51"/>
        <v>0</v>
      </c>
    </row>
    <row r="303" spans="1:189" x14ac:dyDescent="0.35">
      <c r="A303" s="5" t="s">
        <v>1403</v>
      </c>
      <c r="B303" s="5" t="str">
        <f>IF(Technologies!B303&lt;&gt;0,Technologies!B303,"")</f>
        <v>Landbouw</v>
      </c>
      <c r="C303" s="5" t="str">
        <f>VLOOKUP($A303,Technologies!$A$7:$H$576,3,FALSE)</f>
        <v>Conversion</v>
      </c>
      <c r="D303" s="5" t="str">
        <f>VLOOKUP($A303,Technologies!$A$7:$H$576,4,FALSE)</f>
        <v>Agriculture</v>
      </c>
      <c r="E303" s="5" t="str">
        <f>VLOOKUP($A303,Technologies!$A$7:$H$576,6,FALSE)</f>
        <v>Heat LT Agriculture</v>
      </c>
      <c r="F303" s="5" t="str">
        <f>VLOOKUP($A303,Technologies!$A$7:$H$576,7,FALSE)</f>
        <v>Boiler Hydrogen - LT Heat for Agriculture</v>
      </c>
      <c r="G303" s="23"/>
      <c r="H303" s="23"/>
      <c r="I303" s="104" cm="1">
        <f t="array" ref="I303">-SUMPRODUCT((Feedstocks!$C$4:$C$141=A303)*Feedstocks!$E$4:$E$141,Feedstocks!$F$4:$F$141,Feedstocks!$H$4:$H$141,Feedstocks!$I$4:$I$141)</f>
        <v>0</v>
      </c>
      <c r="J303" s="104" cm="1">
        <f t="array" ref="J303">-SUMPRODUCT((Feedstocks!$C$4:$C$141=A303)*Feedstocks!$E$4:$E$141,Feedstocks!$H$4:$H$141,Feedstocks!$I$4:$I$141)</f>
        <v>0</v>
      </c>
      <c r="K303" s="104"/>
      <c r="L303" s="104"/>
      <c r="M303" s="23"/>
      <c r="N303" s="23" t="str">
        <f>VLOOKUP(E303,Activities!$A$9:$M$227,13,FALSE)</f>
        <v>NL</v>
      </c>
      <c r="O303" s="23"/>
      <c r="P303" s="79" t="s">
        <v>415</v>
      </c>
      <c r="Q303" s="35"/>
      <c r="R303" s="35"/>
      <c r="S303" s="35"/>
      <c r="T303" s="35"/>
      <c r="U303" s="35"/>
      <c r="V303" s="35"/>
      <c r="W303" s="35"/>
      <c r="X303" s="35"/>
      <c r="Y303" s="35"/>
      <c r="Z303" s="35"/>
      <c r="AA303" s="35"/>
      <c r="AB303" s="35"/>
      <c r="AC303" s="35"/>
      <c r="AD303" s="35"/>
      <c r="AE303" s="35"/>
      <c r="AF303" s="36"/>
      <c r="AG303" s="36"/>
      <c r="AH303" s="36"/>
      <c r="AI303" s="36"/>
      <c r="AJ303" s="36"/>
      <c r="AK303" s="36"/>
      <c r="AL303" s="36"/>
      <c r="AM303" s="36"/>
      <c r="AN303" s="36"/>
      <c r="AO303" s="36"/>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v>1</v>
      </c>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v>-1.05</v>
      </c>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18"/>
      <c r="GC303" s="178">
        <f t="shared" si="56"/>
        <v>0</v>
      </c>
      <c r="GD303" s="178">
        <f t="shared" si="57"/>
        <v>0</v>
      </c>
      <c r="GE303" s="178">
        <f t="shared" si="58"/>
        <v>0</v>
      </c>
      <c r="GF303" s="178">
        <f t="shared" si="59"/>
        <v>0</v>
      </c>
      <c r="GG303" s="178">
        <f t="shared" si="51"/>
        <v>0</v>
      </c>
    </row>
    <row r="304" spans="1:189" x14ac:dyDescent="0.35">
      <c r="A304" s="5" t="s">
        <v>1405</v>
      </c>
      <c r="B304" s="5" t="str">
        <f>IF(Technologies!B304&lt;&gt;0,Technologies!B304,"")</f>
        <v>Landbouw</v>
      </c>
      <c r="C304" s="5" t="str">
        <f>VLOOKUP($A304,Technologies!$A$7:$H$576,3,FALSE)</f>
        <v>Conversion</v>
      </c>
      <c r="D304" s="5" t="str">
        <f>VLOOKUP($A304,Technologies!$A$7:$H$576,4,FALSE)</f>
        <v>Agriculture</v>
      </c>
      <c r="E304" s="5" t="str">
        <f>VLOOKUP($A304,Technologies!$A$7:$H$576,6,FALSE)</f>
        <v>Heat LT Agriculture</v>
      </c>
      <c r="F304" s="5" t="str">
        <f>VLOOKUP($A304,Technologies!$A$7:$H$576,7,FALSE)</f>
        <v>Electric Boiler - LT Heat for Agriculture</v>
      </c>
      <c r="G304" s="23"/>
      <c r="H304" s="23"/>
      <c r="I304" s="104"/>
      <c r="J304" s="104"/>
      <c r="K304" s="104"/>
      <c r="L304" s="104"/>
      <c r="M304" s="23"/>
      <c r="N304" s="23" t="str">
        <f>VLOOKUP(E304,Activities!$A$9:$M$227,13,FALSE)</f>
        <v>NL</v>
      </c>
      <c r="O304" s="23"/>
      <c r="P304" s="79"/>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6">
        <f>-1/0.99</f>
        <v>-1.0101010101010102</v>
      </c>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c r="GD304" s="178"/>
      <c r="GE304" s="178"/>
      <c r="GF304" s="178"/>
      <c r="GG304" s="178"/>
    </row>
    <row r="305" spans="1:189" x14ac:dyDescent="0.35">
      <c r="A305" s="6" t="s">
        <v>1407</v>
      </c>
      <c r="B305" s="6" t="str">
        <f>IF(Technologies!B305&lt;&gt;0,Technologies!B305,"")</f>
        <v>Industrie</v>
      </c>
      <c r="C305" s="6" t="str">
        <f>VLOOKUP($A305,Technologies!$A$7:$H$576,3,FALSE)</f>
        <v>Conversion</v>
      </c>
      <c r="D305" s="6" t="str">
        <f>VLOOKUP($A305,Technologies!$A$7:$H$576,4,FALSE)</f>
        <v>Industry</v>
      </c>
      <c r="E305" s="6" t="str">
        <f>VLOOKUP($A305,Technologies!$A$7:$H$576,6,FALSE)</f>
        <v>Heat HT Industry</v>
      </c>
      <c r="F305" s="48" t="str">
        <f>VLOOKUP($A305,Technologies!$A$7:$H$576,7,FALSE)</f>
        <v>Boiler Gas - HT Heat for Industry</v>
      </c>
      <c r="G305" s="22"/>
      <c r="H305" s="22"/>
      <c r="I305" s="103" cm="1">
        <f t="array" ref="I305">-SUMPRODUCT((Feedstocks!$C$4:$C$141=A305)*Feedstocks!$E$4:$E$141,Feedstocks!$F$4:$F$141,Feedstocks!$H$4:$H$141,Feedstocks!$I$4:$I$141)</f>
        <v>0</v>
      </c>
      <c r="J305" s="103" cm="1">
        <f t="array" ref="J305">-SUMPRODUCT((Feedstocks!$C$4:$C$141=A305)*Feedstocks!$E$4:$E$141,Feedstocks!$H$4:$H$141,Feedstocks!$I$4:$I$141)</f>
        <v>0</v>
      </c>
      <c r="K305" s="103"/>
      <c r="L305" s="103"/>
      <c r="M305" s="22">
        <v>1</v>
      </c>
      <c r="N305" s="22" t="str">
        <f>VLOOKUP(E305,Activities!$A$9:$M$227,13,FALSE)</f>
        <v>NL</v>
      </c>
      <c r="O305" s="22"/>
      <c r="P305" s="80" t="s">
        <v>415</v>
      </c>
      <c r="Q305" s="36"/>
      <c r="R305" s="36"/>
      <c r="S305" s="36"/>
      <c r="T305" s="36"/>
      <c r="U305" s="36"/>
      <c r="V305" s="36"/>
      <c r="W305" s="36"/>
      <c r="X305" s="36"/>
      <c r="Y305" s="36"/>
      <c r="Z305" s="36"/>
      <c r="AA305" s="36"/>
      <c r="AB305" s="36"/>
      <c r="AC305" s="36"/>
      <c r="AD305" s="36"/>
      <c r="AE305" s="36"/>
      <c r="AF305" s="35"/>
      <c r="AG305" s="35"/>
      <c r="AH305" s="35"/>
      <c r="AI305" s="35"/>
      <c r="AJ305" s="35"/>
      <c r="AK305" s="35"/>
      <c r="AL305" s="35"/>
      <c r="AM305" s="35"/>
      <c r="AN305" s="35"/>
      <c r="AO305" s="35"/>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36"/>
      <c r="DK305" s="36"/>
      <c r="DL305" s="36"/>
      <c r="DM305" s="36"/>
      <c r="DN305" s="36"/>
      <c r="DO305" s="36">
        <v>1</v>
      </c>
      <c r="DP305" s="36"/>
      <c r="DQ305" s="36"/>
      <c r="DR305" s="36"/>
      <c r="DS305" s="36"/>
      <c r="DT305" s="36"/>
      <c r="DU305" s="36"/>
      <c r="DV305" s="36"/>
      <c r="DW305" s="36"/>
      <c r="DX305" s="36"/>
      <c r="DY305" s="36"/>
      <c r="DZ305" s="36"/>
      <c r="EA305" s="36"/>
      <c r="EB305" s="36"/>
      <c r="EC305" s="36"/>
      <c r="ED305" s="36"/>
      <c r="EE305" s="36"/>
      <c r="EF305" s="36"/>
      <c r="EG305" s="36"/>
      <c r="EH305" s="36"/>
      <c r="EI305" s="36"/>
      <c r="EJ305" s="36">
        <v>-1.087</v>
      </c>
      <c r="EK305" s="36"/>
      <c r="EL305" s="36"/>
      <c r="EM305" s="36"/>
      <c r="EN305" s="36"/>
      <c r="EO305" s="36"/>
      <c r="EP305" s="36"/>
      <c r="EQ305" s="36"/>
      <c r="ER305" s="36"/>
      <c r="ES305" s="36"/>
      <c r="ET305" s="36"/>
      <c r="EU305" s="36"/>
      <c r="EV305" s="36"/>
      <c r="EW305" s="36"/>
      <c r="EX305" s="36"/>
      <c r="EY305" s="36"/>
      <c r="EZ305" s="36"/>
      <c r="FA305" s="36"/>
      <c r="FB305" s="36"/>
      <c r="FC305" s="36"/>
      <c r="FD305" s="36"/>
      <c r="FE305" s="36"/>
      <c r="FF305" s="36"/>
      <c r="FG305" s="36"/>
      <c r="FH305" s="36"/>
      <c r="FI305" s="36"/>
      <c r="FJ305" s="36"/>
      <c r="FK305" s="36"/>
      <c r="FL305" s="36"/>
      <c r="FM305" s="36"/>
      <c r="FN305" s="36"/>
      <c r="FO305" s="36"/>
      <c r="FP305" s="36"/>
      <c r="FQ305" s="36"/>
      <c r="FR305" s="36"/>
      <c r="FS305" s="36"/>
      <c r="FT305" s="36"/>
      <c r="FU305" s="36"/>
      <c r="FV305" s="36"/>
      <c r="FW305" s="36"/>
      <c r="FX305" s="36"/>
      <c r="FY305" s="36"/>
      <c r="FZ305" s="36"/>
      <c r="GA305" s="36"/>
      <c r="GB305" s="319"/>
      <c r="GC305" s="179">
        <f t="shared" ref="GC305:GC336" si="60">ROUND(IF($C305="Primary",0,-$G305*(SUMPRODUCT($Q$4:$GA$4,$Q305:$GA305)+$J305)-$H305)*IF($N305=GC$4,1,0),4)</f>
        <v>0</v>
      </c>
      <c r="GD305" s="179">
        <f t="shared" ref="GD305:GD336" si="61">ROUND(IF($C305="Primary",0,$M305*(1-$O305)*($G305*(SUMPRODUCT($Q$4:$GA$4,$Q305:$GA305)+$J305)+$H305-SUMPRODUCT($Q$5:$GA$5,$Q305:$GA305)-$I305+$K305))*IF($N305=GD$4,1,0),4)</f>
        <v>6.1499999999999999E-2</v>
      </c>
      <c r="GE305" s="179">
        <f t="shared" ref="GE305:GE336" si="62">ROUND(IF($C305="Primary",0,(1-$M305)*(1-$O305)*($G305*(SUMPRODUCT($Q$4:$GA$4,$Q305:$GA305)+$J305)+$H305-SUMPRODUCT($Q$5:$GA$5,$Q305:$GA305)-$I305+$L305))*IF($N305=GD$4,1,0),4)</f>
        <v>0</v>
      </c>
      <c r="GF305" s="179">
        <f t="shared" ref="GF305:GF336" si="63">ROUND(IF($C305="Primary",0,$O305*($G305*(SUMPRODUCT($Q$4:$GA$4,$Q305:$GA305)+$J305)-SUMPRODUCT($Q$5:$GA$5,$Q305:$GA305)-$I305))*IF($N305=GD$4,1,0),4)</f>
        <v>0</v>
      </c>
      <c r="GG305" s="179">
        <f t="shared" si="51"/>
        <v>0</v>
      </c>
    </row>
    <row r="306" spans="1:189" x14ac:dyDescent="0.35">
      <c r="A306" s="5" t="s">
        <v>1410</v>
      </c>
      <c r="B306" s="5" t="str">
        <f>IF(Technologies!B306&lt;&gt;0,Technologies!B306,"")</f>
        <v>Industrie</v>
      </c>
      <c r="C306" s="5" t="str">
        <f>VLOOKUP($A306,Technologies!$A$7:$H$576,3,FALSE)</f>
        <v>Conversion</v>
      </c>
      <c r="D306" s="5" t="str">
        <f>VLOOKUP($A306,Technologies!$A$7:$H$576,4,FALSE)</f>
        <v>Industry</v>
      </c>
      <c r="E306" s="5" t="str">
        <f>VLOOKUP($A306,Technologies!$A$7:$H$576,6,FALSE)</f>
        <v>Heat HT Industry</v>
      </c>
      <c r="F306" s="5" t="str">
        <f>VLOOKUP($A306,Technologies!$A$7:$H$576,7,FALSE)</f>
        <v>Boiler Gas wCCS - HT Heat for Industry</v>
      </c>
      <c r="G306" s="23">
        <v>0.8</v>
      </c>
      <c r="H306" s="23"/>
      <c r="I306" s="104" cm="1">
        <f t="array" ref="I306">-SUMPRODUCT((Feedstocks!$C$4:$C$141=A306)*Feedstocks!$E$4:$E$141,Feedstocks!$F$4:$F$141,Feedstocks!$H$4:$H$141,Feedstocks!$I$4:$I$141)</f>
        <v>0</v>
      </c>
      <c r="J306" s="104" cm="1">
        <f t="array" ref="J306">-SUMPRODUCT((Feedstocks!$C$4:$C$141=A306)*Feedstocks!$E$4:$E$141,Feedstocks!$H$4:$H$141,Feedstocks!$I$4:$I$141)</f>
        <v>0</v>
      </c>
      <c r="K306" s="104"/>
      <c r="L306" s="104"/>
      <c r="M306" s="23">
        <v>1</v>
      </c>
      <c r="N306" s="23" t="str">
        <f>VLOOKUP(E306,Activities!$A$9:$M$227,13,FALSE)</f>
        <v>NL</v>
      </c>
      <c r="O306" s="23"/>
      <c r="P306" s="79" t="s">
        <v>415</v>
      </c>
      <c r="Q306" s="35"/>
      <c r="R306" s="35"/>
      <c r="S306" s="35"/>
      <c r="T306" s="35"/>
      <c r="U306" s="35"/>
      <c r="V306" s="35"/>
      <c r="W306" s="35"/>
      <c r="X306" s="35"/>
      <c r="Y306" s="35"/>
      <c r="Z306" s="35"/>
      <c r="AA306" s="35"/>
      <c r="AB306" s="35"/>
      <c r="AC306" s="35"/>
      <c r="AD306" s="35"/>
      <c r="AE306" s="35"/>
      <c r="AF306" s="36"/>
      <c r="AG306" s="36"/>
      <c r="AH306" s="36"/>
      <c r="AI306" s="36"/>
      <c r="AJ306" s="36"/>
      <c r="AK306" s="36"/>
      <c r="AL306" s="36"/>
      <c r="AM306" s="36"/>
      <c r="AN306" s="36"/>
      <c r="AO306" s="36"/>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v>1</v>
      </c>
      <c r="DP306" s="35"/>
      <c r="DQ306" s="35"/>
      <c r="DR306" s="35"/>
      <c r="DS306" s="35"/>
      <c r="DT306" s="35"/>
      <c r="DU306" s="35"/>
      <c r="DV306" s="35"/>
      <c r="DW306" s="35"/>
      <c r="DX306" s="35"/>
      <c r="DY306" s="35"/>
      <c r="DZ306" s="35"/>
      <c r="EA306" s="35"/>
      <c r="EB306" s="35"/>
      <c r="EC306" s="35"/>
      <c r="ED306" s="35"/>
      <c r="EE306" s="35"/>
      <c r="EF306" s="35"/>
      <c r="EG306" s="35"/>
      <c r="EH306" s="35"/>
      <c r="EI306" s="35"/>
      <c r="EJ306" s="35">
        <v>-1.169</v>
      </c>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18"/>
      <c r="GC306" s="178">
        <f t="shared" si="60"/>
        <v>5.2900000000000003E-2</v>
      </c>
      <c r="GD306" s="178">
        <f t="shared" si="61"/>
        <v>1.32E-2</v>
      </c>
      <c r="GE306" s="178">
        <f t="shared" si="62"/>
        <v>0</v>
      </c>
      <c r="GF306" s="178">
        <f t="shared" si="63"/>
        <v>0</v>
      </c>
      <c r="GG306" s="178">
        <f t="shared" si="51"/>
        <v>0</v>
      </c>
    </row>
    <row r="307" spans="1:189" x14ac:dyDescent="0.35">
      <c r="A307" s="6" t="s">
        <v>1412</v>
      </c>
      <c r="B307" s="6" t="str">
        <f>IF(Technologies!B307&lt;&gt;0,Technologies!B307,"")</f>
        <v>Industrie</v>
      </c>
      <c r="C307" s="6" t="str">
        <f>VLOOKUP($A307,Technologies!$A$7:$H$576,3,FALSE)</f>
        <v>Conversion</v>
      </c>
      <c r="D307" s="6" t="str">
        <f>VLOOKUP($A307,Technologies!$A$7:$H$576,4,FALSE)</f>
        <v>Industry</v>
      </c>
      <c r="E307" s="6" t="str">
        <f>VLOOKUP($A307,Technologies!$A$7:$H$576,6,FALSE)</f>
        <v>Heat HT Industry</v>
      </c>
      <c r="F307" s="48" t="str">
        <f>VLOOKUP($A307,Technologies!$A$7:$H$576,7,FALSE)</f>
        <v>Hybrid Boiler Gas - HT Heat for Industry</v>
      </c>
      <c r="G307" s="22"/>
      <c r="H307" s="22"/>
      <c r="I307" s="103" cm="1">
        <f t="array" ref="I307">-SUMPRODUCT((Feedstocks!$C$4:$C$141=A307)*Feedstocks!$E$4:$E$141,Feedstocks!$F$4:$F$141,Feedstocks!$H$4:$H$141,Feedstocks!$I$4:$I$141)</f>
        <v>0</v>
      </c>
      <c r="J307" s="103" cm="1">
        <f t="array" ref="J307">-SUMPRODUCT((Feedstocks!$C$4:$C$141=A307)*Feedstocks!$E$4:$E$141,Feedstocks!$H$4:$H$141,Feedstocks!$I$4:$I$141)</f>
        <v>0</v>
      </c>
      <c r="K307" s="103"/>
      <c r="L307" s="103"/>
      <c r="M307" s="22">
        <v>1</v>
      </c>
      <c r="N307" s="22" t="str">
        <f>VLOOKUP(E307,Activities!$A$9:$M$227,13,FALSE)</f>
        <v>NL</v>
      </c>
      <c r="O307" s="22"/>
      <c r="P307" s="80" t="s">
        <v>415</v>
      </c>
      <c r="Q307" s="36"/>
      <c r="R307" s="36"/>
      <c r="S307" s="36"/>
      <c r="T307" s="36"/>
      <c r="U307" s="36"/>
      <c r="V307" s="36"/>
      <c r="W307" s="36"/>
      <c r="X307" s="36"/>
      <c r="Y307" s="36"/>
      <c r="Z307" s="36"/>
      <c r="AA307" s="36"/>
      <c r="AB307" s="36"/>
      <c r="AC307" s="36"/>
      <c r="AD307" s="36"/>
      <c r="AE307" s="36"/>
      <c r="AF307" s="35"/>
      <c r="AG307" s="35"/>
      <c r="AH307" s="35"/>
      <c r="AI307" s="35"/>
      <c r="AJ307" s="35"/>
      <c r="AK307" s="35"/>
      <c r="AL307" s="35"/>
      <c r="AM307" s="35"/>
      <c r="AN307" s="35"/>
      <c r="AO307" s="35"/>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c r="CW307" s="36"/>
      <c r="CX307" s="36"/>
      <c r="CY307" s="36"/>
      <c r="CZ307" s="36"/>
      <c r="DA307" s="36"/>
      <c r="DB307" s="36"/>
      <c r="DC307" s="36"/>
      <c r="DD307" s="36"/>
      <c r="DE307" s="36"/>
      <c r="DF307" s="36"/>
      <c r="DG307" s="36"/>
      <c r="DH307" s="36">
        <v>-0.54</v>
      </c>
      <c r="DI307" s="36"/>
      <c r="DJ307" s="36"/>
      <c r="DK307" s="36"/>
      <c r="DL307" s="36"/>
      <c r="DM307" s="36"/>
      <c r="DN307" s="36"/>
      <c r="DO307" s="36">
        <v>1</v>
      </c>
      <c r="DP307" s="36"/>
      <c r="DQ307" s="36"/>
      <c r="DR307" s="36"/>
      <c r="DS307" s="36"/>
      <c r="DT307" s="36"/>
      <c r="DU307" s="36"/>
      <c r="DV307" s="36"/>
      <c r="DW307" s="36"/>
      <c r="DX307" s="36"/>
      <c r="DY307" s="36"/>
      <c r="DZ307" s="36"/>
      <c r="EA307" s="36"/>
      <c r="EB307" s="36"/>
      <c r="EC307" s="36"/>
      <c r="ED307" s="36"/>
      <c r="EE307" s="36"/>
      <c r="EF307" s="36"/>
      <c r="EG307" s="36"/>
      <c r="EH307" s="36"/>
      <c r="EI307" s="36"/>
      <c r="EJ307" s="36">
        <v>-0.54300000000000004</v>
      </c>
      <c r="EK307" s="36"/>
      <c r="EL307" s="36"/>
      <c r="EM307" s="36"/>
      <c r="EN307" s="36"/>
      <c r="EO307" s="36"/>
      <c r="EP307" s="36"/>
      <c r="EQ307" s="36"/>
      <c r="ER307" s="36"/>
      <c r="ES307" s="36"/>
      <c r="ET307" s="36"/>
      <c r="EU307" s="36"/>
      <c r="EV307" s="36"/>
      <c r="EW307" s="36"/>
      <c r="EX307" s="36"/>
      <c r="EY307" s="36"/>
      <c r="EZ307" s="36"/>
      <c r="FA307" s="36"/>
      <c r="FB307" s="36"/>
      <c r="FC307" s="36"/>
      <c r="FD307" s="36"/>
      <c r="FE307" s="36"/>
      <c r="FF307" s="36"/>
      <c r="FG307" s="36"/>
      <c r="FH307" s="36"/>
      <c r="FI307" s="36"/>
      <c r="FJ307" s="36"/>
      <c r="FK307" s="36"/>
      <c r="FL307" s="36"/>
      <c r="FM307" s="36"/>
      <c r="FN307" s="36"/>
      <c r="FO307" s="36"/>
      <c r="FP307" s="36"/>
      <c r="FQ307" s="36"/>
      <c r="FR307" s="36"/>
      <c r="FS307" s="36"/>
      <c r="FT307" s="36"/>
      <c r="FU307" s="36"/>
      <c r="FV307" s="36"/>
      <c r="FW307" s="36"/>
      <c r="FX307" s="36"/>
      <c r="FY307" s="36"/>
      <c r="FZ307" s="36"/>
      <c r="GA307" s="36"/>
      <c r="GB307" s="319"/>
      <c r="GC307" s="179">
        <f t="shared" si="60"/>
        <v>0</v>
      </c>
      <c r="GD307" s="179">
        <f t="shared" si="61"/>
        <v>3.0700000000000002E-2</v>
      </c>
      <c r="GE307" s="179">
        <f t="shared" si="62"/>
        <v>0</v>
      </c>
      <c r="GF307" s="179">
        <f t="shared" si="63"/>
        <v>0</v>
      </c>
      <c r="GG307" s="179">
        <f t="shared" si="51"/>
        <v>0</v>
      </c>
    </row>
    <row r="308" spans="1:189" x14ac:dyDescent="0.35">
      <c r="A308" s="5" t="s">
        <v>1414</v>
      </c>
      <c r="B308" s="5" t="str">
        <f>IF(Technologies!B308&lt;&gt;0,Technologies!B308,"")</f>
        <v>Industrie</v>
      </c>
      <c r="C308" s="5" t="str">
        <f>VLOOKUP($A308,Technologies!$A$7:$H$576,3,FALSE)</f>
        <v>Conversion</v>
      </c>
      <c r="D308" s="5" t="str">
        <f>VLOOKUP($A308,Technologies!$A$7:$H$576,4,FALSE)</f>
        <v>Industry</v>
      </c>
      <c r="E308" s="5" t="str">
        <f>VLOOKUP($A308,Technologies!$A$7:$H$576,6,FALSE)</f>
        <v>Heat HT Industry</v>
      </c>
      <c r="F308" s="5" t="str">
        <f>VLOOKUP($A308,Technologies!$A$7:$H$576,7,FALSE)</f>
        <v>Hybrid Boiler Gas wCCS - HT Heat for Industry</v>
      </c>
      <c r="G308" s="23">
        <v>0.8</v>
      </c>
      <c r="H308" s="23"/>
      <c r="I308" s="104" cm="1">
        <f t="array" ref="I308">-SUMPRODUCT((Feedstocks!$C$4:$C$141=A308)*Feedstocks!$E$4:$E$141,Feedstocks!$F$4:$F$141,Feedstocks!$H$4:$H$141,Feedstocks!$I$4:$I$141)</f>
        <v>0</v>
      </c>
      <c r="J308" s="104" cm="1">
        <f t="array" ref="J308">-SUMPRODUCT((Feedstocks!$C$4:$C$141=A308)*Feedstocks!$E$4:$E$141,Feedstocks!$H$4:$H$141,Feedstocks!$I$4:$I$141)</f>
        <v>0</v>
      </c>
      <c r="K308" s="104"/>
      <c r="L308" s="104"/>
      <c r="M308" s="23">
        <v>1</v>
      </c>
      <c r="N308" s="23" t="str">
        <f>VLOOKUP(E308,Activities!$A$9:$M$227,13,FALSE)</f>
        <v>NL</v>
      </c>
      <c r="O308" s="23"/>
      <c r="P308" s="79" t="s">
        <v>415</v>
      </c>
      <c r="Q308" s="35"/>
      <c r="R308" s="35"/>
      <c r="S308" s="35"/>
      <c r="T308" s="35"/>
      <c r="U308" s="35"/>
      <c r="V308" s="35"/>
      <c r="W308" s="35"/>
      <c r="X308" s="35"/>
      <c r="Y308" s="35"/>
      <c r="Z308" s="35"/>
      <c r="AA308" s="35"/>
      <c r="AB308" s="35"/>
      <c r="AC308" s="35"/>
      <c r="AD308" s="35"/>
      <c r="AE308" s="35"/>
      <c r="AF308" s="36"/>
      <c r="AG308" s="36"/>
      <c r="AH308" s="36"/>
      <c r="AI308" s="36"/>
      <c r="AJ308" s="36"/>
      <c r="AK308" s="36"/>
      <c r="AL308" s="36"/>
      <c r="AM308" s="36"/>
      <c r="AN308" s="36"/>
      <c r="AO308" s="36"/>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v>-0.57999999999999996</v>
      </c>
      <c r="DI308" s="35"/>
      <c r="DJ308" s="35"/>
      <c r="DK308" s="35"/>
      <c r="DL308" s="35"/>
      <c r="DM308" s="35"/>
      <c r="DN308" s="35"/>
      <c r="DO308" s="35">
        <v>1</v>
      </c>
      <c r="DP308" s="35"/>
      <c r="DQ308" s="35"/>
      <c r="DR308" s="35"/>
      <c r="DS308" s="35"/>
      <c r="DT308" s="35"/>
      <c r="DU308" s="35"/>
      <c r="DV308" s="35"/>
      <c r="DW308" s="35"/>
      <c r="DX308" s="35"/>
      <c r="DY308" s="35"/>
      <c r="DZ308" s="35"/>
      <c r="EA308" s="35"/>
      <c r="EB308" s="35"/>
      <c r="EC308" s="35"/>
      <c r="ED308" s="35"/>
      <c r="EE308" s="35"/>
      <c r="EF308" s="35"/>
      <c r="EG308" s="35"/>
      <c r="EH308" s="35"/>
      <c r="EI308" s="35"/>
      <c r="EJ308" s="35">
        <v>-0.58399999999999996</v>
      </c>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18"/>
      <c r="GC308" s="178">
        <f t="shared" si="60"/>
        <v>2.64E-2</v>
      </c>
      <c r="GD308" s="178">
        <f t="shared" si="61"/>
        <v>6.6E-3</v>
      </c>
      <c r="GE308" s="178">
        <f t="shared" si="62"/>
        <v>0</v>
      </c>
      <c r="GF308" s="178">
        <f t="shared" si="63"/>
        <v>0</v>
      </c>
      <c r="GG308" s="178">
        <f t="shared" si="51"/>
        <v>0</v>
      </c>
    </row>
    <row r="309" spans="1:189" x14ac:dyDescent="0.35">
      <c r="A309" s="6" t="s">
        <v>1416</v>
      </c>
      <c r="B309" s="6" t="str">
        <f>IF(Technologies!B309&lt;&gt;0,Technologies!B309,"")</f>
        <v>Industrie</v>
      </c>
      <c r="C309" s="6" t="str">
        <f>VLOOKUP($A309,Technologies!$A$7:$H$576,3,FALSE)</f>
        <v>Conversion</v>
      </c>
      <c r="D309" s="6" t="str">
        <f>VLOOKUP($A309,Technologies!$A$7:$H$576,4,FALSE)</f>
        <v>Industry</v>
      </c>
      <c r="E309" s="6" t="str">
        <f>VLOOKUP($A309,Technologies!$A$7:$H$576,6,FALSE)</f>
        <v>Heat HT Industry</v>
      </c>
      <c r="F309" s="48" t="str">
        <f>VLOOKUP($A309,Technologies!$A$7:$H$576,7,FALSE)</f>
        <v>Boiler Coal - HT Heat for Industry</v>
      </c>
      <c r="G309" s="22"/>
      <c r="H309" s="22"/>
      <c r="I309" s="103" cm="1">
        <f t="array" ref="I309">-SUMPRODUCT((Feedstocks!$C$4:$C$141=A309)*Feedstocks!$E$4:$E$141,Feedstocks!$F$4:$F$141,Feedstocks!$H$4:$H$141,Feedstocks!$I$4:$I$141)</f>
        <v>0</v>
      </c>
      <c r="J309" s="103" cm="1">
        <f t="array" ref="J309">-SUMPRODUCT((Feedstocks!$C$4:$C$141=A309)*Feedstocks!$E$4:$E$141,Feedstocks!$H$4:$H$141,Feedstocks!$I$4:$I$141)</f>
        <v>0</v>
      </c>
      <c r="K309" s="103"/>
      <c r="L309" s="103"/>
      <c r="M309" s="22">
        <v>1</v>
      </c>
      <c r="N309" s="22" t="str">
        <f>VLOOKUP(E309,Activities!$A$9:$M$227,13,FALSE)</f>
        <v>NL</v>
      </c>
      <c r="O309" s="22"/>
      <c r="P309" s="80" t="s">
        <v>415</v>
      </c>
      <c r="Q309" s="36"/>
      <c r="R309" s="36"/>
      <c r="S309" s="36"/>
      <c r="T309" s="36"/>
      <c r="U309" s="36"/>
      <c r="V309" s="36"/>
      <c r="W309" s="36"/>
      <c r="X309" s="36"/>
      <c r="Y309" s="36"/>
      <c r="Z309" s="36"/>
      <c r="AA309" s="36"/>
      <c r="AB309" s="36"/>
      <c r="AC309" s="36"/>
      <c r="AD309" s="36"/>
      <c r="AE309" s="36"/>
      <c r="AF309" s="35"/>
      <c r="AG309" s="35"/>
      <c r="AH309" s="35"/>
      <c r="AI309" s="35"/>
      <c r="AJ309" s="35"/>
      <c r="AK309" s="35"/>
      <c r="AL309" s="35"/>
      <c r="AM309" s="35"/>
      <c r="AN309" s="35"/>
      <c r="AO309" s="35"/>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c r="CW309" s="36"/>
      <c r="CX309" s="36"/>
      <c r="CY309" s="36"/>
      <c r="CZ309" s="36"/>
      <c r="DA309" s="36"/>
      <c r="DB309" s="36"/>
      <c r="DC309" s="36"/>
      <c r="DD309" s="36"/>
      <c r="DE309" s="36"/>
      <c r="DF309" s="36"/>
      <c r="DG309" s="36"/>
      <c r="DH309" s="36"/>
      <c r="DI309" s="36"/>
      <c r="DJ309" s="36"/>
      <c r="DK309" s="36"/>
      <c r="DL309" s="36"/>
      <c r="DM309" s="36"/>
      <c r="DN309" s="36"/>
      <c r="DO309" s="36">
        <v>1</v>
      </c>
      <c r="DP309" s="36"/>
      <c r="DQ309" s="36"/>
      <c r="DR309" s="36"/>
      <c r="DS309" s="36"/>
      <c r="DT309" s="36"/>
      <c r="DU309" s="36"/>
      <c r="DV309" s="36"/>
      <c r="DW309" s="36"/>
      <c r="DX309" s="36"/>
      <c r="DY309" s="36"/>
      <c r="DZ309" s="36"/>
      <c r="EA309" s="36"/>
      <c r="EB309" s="36"/>
      <c r="EC309" s="36"/>
      <c r="ED309" s="36"/>
      <c r="EE309" s="36"/>
      <c r="EF309" s="36"/>
      <c r="EG309" s="36"/>
      <c r="EH309" s="36"/>
      <c r="EI309" s="36"/>
      <c r="EJ309" s="36"/>
      <c r="EK309" s="36"/>
      <c r="EL309" s="36"/>
      <c r="EM309" s="36"/>
      <c r="EN309" s="36"/>
      <c r="EO309" s="36"/>
      <c r="EP309" s="36"/>
      <c r="EQ309" s="36"/>
      <c r="ER309" s="36"/>
      <c r="ES309" s="36">
        <v>-1.2350000000000001</v>
      </c>
      <c r="ET309" s="36"/>
      <c r="EU309" s="36"/>
      <c r="EV309" s="36"/>
      <c r="EW309" s="36"/>
      <c r="EX309" s="36"/>
      <c r="EY309" s="36"/>
      <c r="EZ309" s="36"/>
      <c r="FA309" s="36"/>
      <c r="FB309" s="36"/>
      <c r="FC309" s="36"/>
      <c r="FD309" s="36"/>
      <c r="FE309" s="36"/>
      <c r="FF309" s="36"/>
      <c r="FG309" s="36"/>
      <c r="FH309" s="36"/>
      <c r="FI309" s="36"/>
      <c r="FJ309" s="36"/>
      <c r="FK309" s="36"/>
      <c r="FL309" s="36"/>
      <c r="FM309" s="36"/>
      <c r="FN309" s="36"/>
      <c r="FO309" s="36"/>
      <c r="FP309" s="36"/>
      <c r="FQ309" s="36"/>
      <c r="FR309" s="36"/>
      <c r="FS309" s="36"/>
      <c r="FT309" s="36"/>
      <c r="FU309" s="36"/>
      <c r="FV309" s="36"/>
      <c r="FW309" s="36"/>
      <c r="FX309" s="36"/>
      <c r="FY309" s="36"/>
      <c r="FZ309" s="36"/>
      <c r="GA309" s="36"/>
      <c r="GB309" s="319"/>
      <c r="GC309" s="179">
        <f t="shared" si="60"/>
        <v>0</v>
      </c>
      <c r="GD309" s="179">
        <f t="shared" si="61"/>
        <v>0.12139999999999999</v>
      </c>
      <c r="GE309" s="179">
        <f t="shared" si="62"/>
        <v>0</v>
      </c>
      <c r="GF309" s="179">
        <f t="shared" si="63"/>
        <v>0</v>
      </c>
      <c r="GG309" s="179">
        <f t="shared" si="51"/>
        <v>0</v>
      </c>
    </row>
    <row r="310" spans="1:189" x14ac:dyDescent="0.35">
      <c r="A310" s="5" t="s">
        <v>1418</v>
      </c>
      <c r="B310" s="5" t="str">
        <f>IF(Technologies!B310&lt;&gt;0,Technologies!B310,"")</f>
        <v>Industrie</v>
      </c>
      <c r="C310" s="5" t="str">
        <f>VLOOKUP($A310,Technologies!$A$7:$H$576,3,FALSE)</f>
        <v>Conversion</v>
      </c>
      <c r="D310" s="5" t="str">
        <f>VLOOKUP($A310,Technologies!$A$7:$H$576,4,FALSE)</f>
        <v>Industry</v>
      </c>
      <c r="E310" s="5" t="str">
        <f>VLOOKUP($A310,Technologies!$A$7:$H$576,6,FALSE)</f>
        <v>Heat HT Industry</v>
      </c>
      <c r="F310" s="5" t="str">
        <f>VLOOKUP($A310,Technologies!$A$7:$H$576,7,FALSE)</f>
        <v>Boiler Coal wCCS - HT Heat for Industry</v>
      </c>
      <c r="G310" s="23">
        <v>0.8</v>
      </c>
      <c r="H310" s="23"/>
      <c r="I310" s="104" cm="1">
        <f t="array" ref="I310">-SUMPRODUCT((Feedstocks!$C$4:$C$141=A310)*Feedstocks!$E$4:$E$141,Feedstocks!$F$4:$F$141,Feedstocks!$H$4:$H$141,Feedstocks!$I$4:$I$141)</f>
        <v>0</v>
      </c>
      <c r="J310" s="104" cm="1">
        <f t="array" ref="J310">-SUMPRODUCT((Feedstocks!$C$4:$C$141=A310)*Feedstocks!$E$4:$E$141,Feedstocks!$H$4:$H$141,Feedstocks!$I$4:$I$141)</f>
        <v>0</v>
      </c>
      <c r="K310" s="104"/>
      <c r="L310" s="104"/>
      <c r="M310" s="23">
        <v>1</v>
      </c>
      <c r="N310" s="23" t="str">
        <f>VLOOKUP(E310,Activities!$A$9:$M$227,13,FALSE)</f>
        <v>NL</v>
      </c>
      <c r="O310" s="23"/>
      <c r="P310" s="79" t="s">
        <v>415</v>
      </c>
      <c r="Q310" s="35"/>
      <c r="R310" s="35"/>
      <c r="S310" s="35"/>
      <c r="T310" s="35"/>
      <c r="U310" s="35"/>
      <c r="V310" s="35"/>
      <c r="W310" s="35"/>
      <c r="X310" s="35"/>
      <c r="Y310" s="35"/>
      <c r="Z310" s="35"/>
      <c r="AA310" s="35"/>
      <c r="AB310" s="35"/>
      <c r="AC310" s="35"/>
      <c r="AD310" s="35"/>
      <c r="AE310" s="35"/>
      <c r="AF310" s="36"/>
      <c r="AG310" s="36"/>
      <c r="AH310" s="36"/>
      <c r="AI310" s="36"/>
      <c r="AJ310" s="36"/>
      <c r="AK310" s="36"/>
      <c r="AL310" s="36"/>
      <c r="AM310" s="36"/>
      <c r="AN310" s="36"/>
      <c r="AO310" s="36"/>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v>1</v>
      </c>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v>-1.3280000000000001</v>
      </c>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18"/>
      <c r="GC310" s="178">
        <f t="shared" si="60"/>
        <v>0.10440000000000001</v>
      </c>
      <c r="GD310" s="178">
        <f t="shared" si="61"/>
        <v>2.6100000000000002E-2</v>
      </c>
      <c r="GE310" s="178">
        <f t="shared" si="62"/>
        <v>0</v>
      </c>
      <c r="GF310" s="178">
        <f t="shared" si="63"/>
        <v>0</v>
      </c>
      <c r="GG310" s="178">
        <f t="shared" si="51"/>
        <v>0</v>
      </c>
    </row>
    <row r="311" spans="1:189" x14ac:dyDescent="0.35">
      <c r="A311" s="6" t="s">
        <v>1420</v>
      </c>
      <c r="B311" s="6" t="str">
        <f>IF(Technologies!B311&lt;&gt;0,Technologies!B311,"")</f>
        <v>Industrie</v>
      </c>
      <c r="C311" s="6" t="str">
        <f>VLOOKUP($A311,Technologies!$A$7:$H$576,3,FALSE)</f>
        <v>Conversion</v>
      </c>
      <c r="D311" s="6" t="str">
        <f>VLOOKUP($A311,Technologies!$A$7:$H$576,4,FALSE)</f>
        <v>Industry</v>
      </c>
      <c r="E311" s="6" t="str">
        <f>VLOOKUP($A311,Technologies!$A$7:$H$576,6,FALSE)</f>
        <v>Heat HT Industry</v>
      </c>
      <c r="F311" s="48" t="str">
        <f>VLOOKUP($A311,Technologies!$A$7:$H$576,7,FALSE)</f>
        <v>Boiler Biomass - HT Heat for Industry</v>
      </c>
      <c r="G311" s="22"/>
      <c r="H311" s="22"/>
      <c r="I311" s="103" cm="1">
        <f t="array" ref="I311">-SUMPRODUCT((Feedstocks!$C$4:$C$141=A311)*Feedstocks!$E$4:$E$141,Feedstocks!$F$4:$F$141,Feedstocks!$H$4:$H$141,Feedstocks!$I$4:$I$141)</f>
        <v>0</v>
      </c>
      <c r="J311" s="103" cm="1">
        <f t="array" ref="J311">-SUMPRODUCT((Feedstocks!$C$4:$C$141=A311)*Feedstocks!$E$4:$E$141,Feedstocks!$H$4:$H$141,Feedstocks!$I$4:$I$141)</f>
        <v>0</v>
      </c>
      <c r="K311" s="103"/>
      <c r="L311" s="103"/>
      <c r="M311" s="22">
        <v>1</v>
      </c>
      <c r="N311" s="22" t="str">
        <f>VLOOKUP(E311,Activities!$A$9:$M$227,13,FALSE)</f>
        <v>NL</v>
      </c>
      <c r="O311" s="22"/>
      <c r="P311" s="80" t="s">
        <v>415</v>
      </c>
      <c r="Q311" s="36"/>
      <c r="R311" s="36"/>
      <c r="S311" s="36"/>
      <c r="T311" s="36"/>
      <c r="U311" s="36"/>
      <c r="V311" s="36"/>
      <c r="W311" s="36"/>
      <c r="X311" s="36"/>
      <c r="Y311" s="36"/>
      <c r="Z311" s="36"/>
      <c r="AA311" s="36"/>
      <c r="AB311" s="36"/>
      <c r="AC311" s="36"/>
      <c r="AD311" s="36"/>
      <c r="AE311" s="36"/>
      <c r="AF311" s="35"/>
      <c r="AG311" s="35"/>
      <c r="AH311" s="35"/>
      <c r="AI311" s="35"/>
      <c r="AJ311" s="35"/>
      <c r="AK311" s="35"/>
      <c r="AL311" s="35"/>
      <c r="AM311" s="35"/>
      <c r="AN311" s="35"/>
      <c r="AO311" s="35"/>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36"/>
      <c r="CT311" s="36"/>
      <c r="CU311" s="36"/>
      <c r="CV311" s="36"/>
      <c r="CW311" s="36"/>
      <c r="CX311" s="36"/>
      <c r="CY311" s="36"/>
      <c r="CZ311" s="36"/>
      <c r="DA311" s="36"/>
      <c r="DB311" s="36"/>
      <c r="DC311" s="36"/>
      <c r="DD311" s="36"/>
      <c r="DE311" s="36"/>
      <c r="DF311" s="36"/>
      <c r="DG311" s="36"/>
      <c r="DH311" s="36"/>
      <c r="DI311" s="36"/>
      <c r="DJ311" s="36"/>
      <c r="DK311" s="36"/>
      <c r="DL311" s="36"/>
      <c r="DM311" s="36"/>
      <c r="DN311" s="36"/>
      <c r="DO311" s="36">
        <v>1</v>
      </c>
      <c r="DP311" s="36"/>
      <c r="DQ311" s="36"/>
      <c r="DR311" s="36"/>
      <c r="DS311" s="36"/>
      <c r="DT311" s="36"/>
      <c r="DU311" s="36"/>
      <c r="DV311" s="36"/>
      <c r="DW311" s="36"/>
      <c r="DX311" s="36"/>
      <c r="DY311" s="36"/>
      <c r="DZ311" s="36"/>
      <c r="EA311" s="36"/>
      <c r="EB311" s="36"/>
      <c r="EC311" s="36"/>
      <c r="ED311" s="36"/>
      <c r="EE311" s="36"/>
      <c r="EF311" s="36"/>
      <c r="EG311" s="36"/>
      <c r="EH311" s="36"/>
      <c r="EI311" s="36"/>
      <c r="EJ311" s="36"/>
      <c r="EK311" s="36"/>
      <c r="EL311" s="36"/>
      <c r="EM311" s="36"/>
      <c r="EN311" s="36"/>
      <c r="EO311" s="36"/>
      <c r="EP311" s="36"/>
      <c r="EQ311" s="36"/>
      <c r="ER311" s="36">
        <v>-1.25</v>
      </c>
      <c r="ES311" s="36"/>
      <c r="ET311" s="36"/>
      <c r="EU311" s="36"/>
      <c r="EV311" s="36"/>
      <c r="EW311" s="36"/>
      <c r="EX311" s="36"/>
      <c r="EY311" s="36"/>
      <c r="EZ311" s="36"/>
      <c r="FA311" s="36"/>
      <c r="FB311" s="36"/>
      <c r="FC311" s="36"/>
      <c r="FD311" s="36"/>
      <c r="FE311" s="36"/>
      <c r="FF311" s="36"/>
      <c r="FG311" s="36"/>
      <c r="FH311" s="36"/>
      <c r="FI311" s="36"/>
      <c r="FJ311" s="36"/>
      <c r="FK311" s="36"/>
      <c r="FL311" s="36"/>
      <c r="FM311" s="36"/>
      <c r="FN311" s="36"/>
      <c r="FO311" s="36"/>
      <c r="FP311" s="36"/>
      <c r="FQ311" s="36"/>
      <c r="FR311" s="36"/>
      <c r="FS311" s="36"/>
      <c r="FT311" s="36"/>
      <c r="FU311" s="36"/>
      <c r="FV311" s="36"/>
      <c r="FW311" s="36"/>
      <c r="FX311" s="36"/>
      <c r="FY311" s="36"/>
      <c r="FZ311" s="36"/>
      <c r="GA311" s="36"/>
      <c r="GB311" s="319"/>
      <c r="GC311" s="179">
        <f t="shared" si="60"/>
        <v>0</v>
      </c>
      <c r="GD311" s="179">
        <f t="shared" si="61"/>
        <v>0</v>
      </c>
      <c r="GE311" s="179">
        <f t="shared" si="62"/>
        <v>0</v>
      </c>
      <c r="GF311" s="179">
        <f t="shared" si="63"/>
        <v>0</v>
      </c>
      <c r="GG311" s="179">
        <f t="shared" si="51"/>
        <v>0</v>
      </c>
    </row>
    <row r="312" spans="1:189" ht="14.15" customHeight="1" x14ac:dyDescent="0.35">
      <c r="A312" s="5" t="s">
        <v>1422</v>
      </c>
      <c r="B312" s="5" t="str">
        <f>IF(Technologies!B312&lt;&gt;0,Technologies!B312,"")</f>
        <v>Industrie</v>
      </c>
      <c r="C312" s="5" t="str">
        <f>VLOOKUP($A312,Technologies!$A$7:$H$576,3,FALSE)</f>
        <v>Conversion</v>
      </c>
      <c r="D312" s="5" t="str">
        <f>VLOOKUP($A312,Technologies!$A$7:$H$576,4,FALSE)</f>
        <v>Industry</v>
      </c>
      <c r="E312" s="5" t="str">
        <f>VLOOKUP($A312,Technologies!$A$7:$H$576,6,FALSE)</f>
        <v>Heat HT Industry</v>
      </c>
      <c r="F312" s="5" t="str">
        <f>VLOOKUP($A312,Technologies!$A$7:$H$576,7,FALSE)</f>
        <v>Boiler Biomass wCCS - HT Heat for Industry</v>
      </c>
      <c r="G312" s="23">
        <v>0.8</v>
      </c>
      <c r="H312" s="23"/>
      <c r="I312" s="104" cm="1">
        <f t="array" ref="I312">-SUMPRODUCT((Feedstocks!$C$4:$C$141=A312)*Feedstocks!$E$4:$E$141,Feedstocks!$F$4:$F$141,Feedstocks!$H$4:$H$141,Feedstocks!$I$4:$I$141)</f>
        <v>0</v>
      </c>
      <c r="J312" s="104" cm="1">
        <f t="array" ref="J312">-SUMPRODUCT((Feedstocks!$C$4:$C$141=A312)*Feedstocks!$E$4:$E$141,Feedstocks!$H$4:$H$141,Feedstocks!$I$4:$I$141)</f>
        <v>0</v>
      </c>
      <c r="K312" s="104"/>
      <c r="L312" s="104"/>
      <c r="M312" s="23">
        <v>1</v>
      </c>
      <c r="N312" s="23" t="str">
        <f>VLOOKUP(E312,Activities!$A$9:$M$227,13,FALSE)</f>
        <v>NL</v>
      </c>
      <c r="O312" s="23"/>
      <c r="P312" s="79" t="s">
        <v>415</v>
      </c>
      <c r="Q312" s="35"/>
      <c r="R312" s="35"/>
      <c r="S312" s="35"/>
      <c r="T312" s="35"/>
      <c r="U312" s="35"/>
      <c r="V312" s="35"/>
      <c r="W312" s="35"/>
      <c r="X312" s="35"/>
      <c r="Y312" s="35"/>
      <c r="Z312" s="35"/>
      <c r="AA312" s="35"/>
      <c r="AB312" s="35"/>
      <c r="AC312" s="35"/>
      <c r="AD312" s="35"/>
      <c r="AE312" s="35"/>
      <c r="AF312" s="36"/>
      <c r="AG312" s="36"/>
      <c r="AH312" s="36"/>
      <c r="AI312" s="36"/>
      <c r="AJ312" s="36"/>
      <c r="AK312" s="36"/>
      <c r="AL312" s="36"/>
      <c r="AM312" s="36"/>
      <c r="AN312" s="36"/>
      <c r="AO312" s="36"/>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v>1</v>
      </c>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v>-1.3440000000000001</v>
      </c>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18">
        <f>GC312</f>
        <v>0.1178</v>
      </c>
      <c r="GC312" s="178">
        <f t="shared" si="60"/>
        <v>0.1178</v>
      </c>
      <c r="GD312" s="178">
        <f t="shared" si="61"/>
        <v>-0.1178</v>
      </c>
      <c r="GE312" s="178">
        <f t="shared" si="62"/>
        <v>0</v>
      </c>
      <c r="GF312" s="178">
        <f t="shared" si="63"/>
        <v>0</v>
      </c>
      <c r="GG312" s="178">
        <f t="shared" si="51"/>
        <v>0</v>
      </c>
    </row>
    <row r="313" spans="1:189" x14ac:dyDescent="0.35">
      <c r="A313" s="6" t="s">
        <v>1424</v>
      </c>
      <c r="B313" s="6" t="str">
        <f>IF(Technologies!B313&lt;&gt;0,Technologies!B313,"")</f>
        <v>Industrie</v>
      </c>
      <c r="C313" s="6" t="str">
        <f>VLOOKUP($A313,Technologies!$A$7:$H$576,3,FALSE)</f>
        <v>Conversion</v>
      </c>
      <c r="D313" s="6" t="str">
        <f>VLOOKUP($A313,Technologies!$A$7:$H$576,4,FALSE)</f>
        <v>Industry</v>
      </c>
      <c r="E313" s="6" t="str">
        <f>VLOOKUP($A313,Technologies!$A$7:$H$576,6,FALSE)</f>
        <v>Heat HT Industry</v>
      </c>
      <c r="F313" s="48" t="str">
        <f>VLOOKUP($A313,Technologies!$A$7:$H$576,7,FALSE)</f>
        <v>CHP Gas - HT Heat for Industry</v>
      </c>
      <c r="G313" s="22"/>
      <c r="H313" s="22"/>
      <c r="I313" s="103" cm="1">
        <f t="array" ref="I313">-SUMPRODUCT((Feedstocks!$C$4:$C$141=A313)*Feedstocks!$E$4:$E$141,Feedstocks!$F$4:$F$141,Feedstocks!$H$4:$H$141,Feedstocks!$I$4:$I$141)</f>
        <v>0</v>
      </c>
      <c r="J313" s="103" cm="1">
        <f t="array" ref="J313">-SUMPRODUCT((Feedstocks!$C$4:$C$141=A313)*Feedstocks!$E$4:$E$141,Feedstocks!$H$4:$H$141,Feedstocks!$I$4:$I$141)</f>
        <v>0</v>
      </c>
      <c r="K313" s="103"/>
      <c r="L313" s="103"/>
      <c r="M313" s="22">
        <v>1</v>
      </c>
      <c r="N313" s="22" t="str">
        <f>VLOOKUP(E313,Activities!$A$9:$M$227,13,FALSE)</f>
        <v>NL</v>
      </c>
      <c r="O313" s="22"/>
      <c r="P313" s="80" t="s">
        <v>415</v>
      </c>
      <c r="Q313" s="36"/>
      <c r="R313" s="36"/>
      <c r="S313" s="36"/>
      <c r="T313" s="36"/>
      <c r="U313" s="36"/>
      <c r="V313" s="36"/>
      <c r="W313" s="36"/>
      <c r="X313" s="36"/>
      <c r="Y313" s="36"/>
      <c r="Z313" s="36"/>
      <c r="AA313" s="36"/>
      <c r="AB313" s="36"/>
      <c r="AC313" s="36"/>
      <c r="AD313" s="36"/>
      <c r="AE313" s="36"/>
      <c r="AF313" s="35"/>
      <c r="AG313" s="35"/>
      <c r="AH313" s="35"/>
      <c r="AI313" s="35"/>
      <c r="AJ313" s="35"/>
      <c r="AK313" s="35"/>
      <c r="AL313" s="35"/>
      <c r="AM313" s="35"/>
      <c r="AN313" s="35"/>
      <c r="AO313" s="35"/>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v>0.6</v>
      </c>
      <c r="DI313" s="36"/>
      <c r="DJ313" s="36"/>
      <c r="DK313" s="36"/>
      <c r="DL313" s="36"/>
      <c r="DM313" s="36"/>
      <c r="DN313" s="36"/>
      <c r="DO313" s="36">
        <v>1</v>
      </c>
      <c r="DP313" s="36"/>
      <c r="DQ313" s="36"/>
      <c r="DR313" s="36"/>
      <c r="DS313" s="36"/>
      <c r="DT313" s="36"/>
      <c r="DU313" s="36"/>
      <c r="DV313" s="36"/>
      <c r="DW313" s="36"/>
      <c r="DX313" s="36"/>
      <c r="DY313" s="36"/>
      <c r="DZ313" s="36"/>
      <c r="EA313" s="36"/>
      <c r="EB313" s="36"/>
      <c r="EC313" s="36"/>
      <c r="ED313" s="36"/>
      <c r="EE313" s="36"/>
      <c r="EF313" s="36"/>
      <c r="EG313" s="36"/>
      <c r="EH313" s="36"/>
      <c r="EI313" s="36"/>
      <c r="EJ313" s="36">
        <v>-1.9</v>
      </c>
      <c r="EK313" s="36"/>
      <c r="EL313" s="36"/>
      <c r="EM313" s="36"/>
      <c r="EN313" s="36"/>
      <c r="EO313" s="36"/>
      <c r="EP313" s="36"/>
      <c r="EQ313" s="36"/>
      <c r="ER313" s="36"/>
      <c r="ES313" s="36"/>
      <c r="ET313" s="36"/>
      <c r="EU313" s="36"/>
      <c r="EV313" s="36"/>
      <c r="EW313" s="36"/>
      <c r="EX313" s="36"/>
      <c r="EY313" s="36"/>
      <c r="EZ313" s="36"/>
      <c r="FA313" s="36"/>
      <c r="FB313" s="36"/>
      <c r="FC313" s="36"/>
      <c r="FD313" s="36"/>
      <c r="FE313" s="36"/>
      <c r="FF313" s="36"/>
      <c r="FG313" s="36"/>
      <c r="FH313" s="36"/>
      <c r="FI313" s="36"/>
      <c r="FJ313" s="36"/>
      <c r="FK313" s="36"/>
      <c r="FL313" s="36"/>
      <c r="FM313" s="36"/>
      <c r="FN313" s="36"/>
      <c r="FO313" s="36"/>
      <c r="FP313" s="36"/>
      <c r="FQ313" s="36"/>
      <c r="FR313" s="36"/>
      <c r="FS313" s="36"/>
      <c r="FT313" s="36"/>
      <c r="FU313" s="36"/>
      <c r="FV313" s="36"/>
      <c r="FW313" s="36"/>
      <c r="FX313" s="36"/>
      <c r="FY313" s="36"/>
      <c r="FZ313" s="36"/>
      <c r="GA313" s="36"/>
      <c r="GB313" s="319"/>
      <c r="GC313" s="179">
        <f t="shared" si="60"/>
        <v>0</v>
      </c>
      <c r="GD313" s="179">
        <f t="shared" si="61"/>
        <v>0.1075</v>
      </c>
      <c r="GE313" s="179">
        <f t="shared" si="62"/>
        <v>0</v>
      </c>
      <c r="GF313" s="179">
        <f t="shared" si="63"/>
        <v>0</v>
      </c>
      <c r="GG313" s="179">
        <f t="shared" si="51"/>
        <v>0</v>
      </c>
    </row>
    <row r="314" spans="1:189" x14ac:dyDescent="0.35">
      <c r="A314" s="5" t="s">
        <v>1426</v>
      </c>
      <c r="B314" s="5" t="str">
        <f>IF(Technologies!B314&lt;&gt;0,Technologies!B314,"")</f>
        <v>Industrie</v>
      </c>
      <c r="C314" s="5" t="str">
        <f>VLOOKUP($A314,Technologies!$A$7:$H$576,3,FALSE)</f>
        <v>Conversion</v>
      </c>
      <c r="D314" s="5" t="str">
        <f>VLOOKUP($A314,Technologies!$A$7:$H$576,4,FALSE)</f>
        <v>Industry</v>
      </c>
      <c r="E314" s="5" t="str">
        <f>VLOOKUP($A314,Technologies!$A$7:$H$576,6,FALSE)</f>
        <v>Heat HT Industry</v>
      </c>
      <c r="F314" s="5" t="str">
        <f>VLOOKUP($A314,Technologies!$A$7:$H$576,7,FALSE)</f>
        <v>CHP Gas wCCS - HT Heat for Industry</v>
      </c>
      <c r="G314" s="23">
        <v>0.8</v>
      </c>
      <c r="H314" s="23"/>
      <c r="I314" s="104" cm="1">
        <f t="array" ref="I314">-SUMPRODUCT((Feedstocks!$C$4:$C$141=A314)*Feedstocks!$E$4:$E$141,Feedstocks!$F$4:$F$141,Feedstocks!$H$4:$H$141,Feedstocks!$I$4:$I$141)</f>
        <v>0</v>
      </c>
      <c r="J314" s="104" cm="1">
        <f t="array" ref="J314">-SUMPRODUCT((Feedstocks!$C$4:$C$141=A314)*Feedstocks!$E$4:$E$141,Feedstocks!$H$4:$H$141,Feedstocks!$I$4:$I$141)</f>
        <v>0</v>
      </c>
      <c r="K314" s="104"/>
      <c r="L314" s="104"/>
      <c r="M314" s="23">
        <v>1</v>
      </c>
      <c r="N314" s="23" t="str">
        <f>VLOOKUP(E314,Activities!$A$9:$M$227,13,FALSE)</f>
        <v>NL</v>
      </c>
      <c r="O314" s="23"/>
      <c r="P314" s="79" t="s">
        <v>415</v>
      </c>
      <c r="Q314" s="35"/>
      <c r="R314" s="35"/>
      <c r="S314" s="35"/>
      <c r="T314" s="35"/>
      <c r="U314" s="35"/>
      <c r="V314" s="35"/>
      <c r="W314" s="35"/>
      <c r="X314" s="35"/>
      <c r="Y314" s="35"/>
      <c r="Z314" s="35"/>
      <c r="AA314" s="35"/>
      <c r="AB314" s="35"/>
      <c r="AC314" s="35"/>
      <c r="AD314" s="35"/>
      <c r="AE314" s="35"/>
      <c r="AF314" s="36"/>
      <c r="AG314" s="36"/>
      <c r="AH314" s="36"/>
      <c r="AI314" s="36"/>
      <c r="AJ314" s="36"/>
      <c r="AK314" s="36"/>
      <c r="AL314" s="36"/>
      <c r="AM314" s="36"/>
      <c r="AN314" s="36"/>
      <c r="AO314" s="36"/>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v>0.6</v>
      </c>
      <c r="DI314" s="35"/>
      <c r="DJ314" s="35"/>
      <c r="DK314" s="35"/>
      <c r="DL314" s="35"/>
      <c r="DM314" s="35"/>
      <c r="DN314" s="35"/>
      <c r="DO314" s="35">
        <v>1</v>
      </c>
      <c r="DP314" s="35"/>
      <c r="DQ314" s="35"/>
      <c r="DR314" s="35"/>
      <c r="DS314" s="35"/>
      <c r="DT314" s="35"/>
      <c r="DU314" s="35"/>
      <c r="DV314" s="35"/>
      <c r="DW314" s="35"/>
      <c r="DX314" s="35"/>
      <c r="DY314" s="35"/>
      <c r="DZ314" s="35"/>
      <c r="EA314" s="35"/>
      <c r="EB314" s="35"/>
      <c r="EC314" s="35"/>
      <c r="ED314" s="35"/>
      <c r="EE314" s="35"/>
      <c r="EF314" s="35"/>
      <c r="EG314" s="35"/>
      <c r="EH314" s="35"/>
      <c r="EI314" s="35"/>
      <c r="EJ314" s="35">
        <v>-2</v>
      </c>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18"/>
      <c r="GC314" s="178">
        <f t="shared" si="60"/>
        <v>9.06E-2</v>
      </c>
      <c r="GD314" s="178">
        <f t="shared" si="61"/>
        <v>2.2599999999999999E-2</v>
      </c>
      <c r="GE314" s="178">
        <f t="shared" si="62"/>
        <v>0</v>
      </c>
      <c r="GF314" s="178">
        <f t="shared" si="63"/>
        <v>0</v>
      </c>
      <c r="GG314" s="178">
        <f t="shared" si="51"/>
        <v>0</v>
      </c>
    </row>
    <row r="315" spans="1:189" x14ac:dyDescent="0.35">
      <c r="A315" s="6" t="s">
        <v>1428</v>
      </c>
      <c r="B315" s="6" t="str">
        <f>IF(Technologies!B315&lt;&gt;0,Technologies!B315,"")</f>
        <v>Industrie</v>
      </c>
      <c r="C315" s="6" t="str">
        <f>VLOOKUP($A315,Technologies!$A$7:$H$576,3,FALSE)</f>
        <v>Conversion</v>
      </c>
      <c r="D315" s="6" t="str">
        <f>VLOOKUP($A315,Technologies!$A$7:$H$576,4,FALSE)</f>
        <v>Industry</v>
      </c>
      <c r="E315" s="6" t="str">
        <f>VLOOKUP($A315,Technologies!$A$7:$H$576,6,FALSE)</f>
        <v>Heat HT Industry</v>
      </c>
      <c r="F315" s="48" t="str">
        <f>VLOOKUP($A315,Technologies!$A$7:$H$576,7,FALSE)</f>
        <v>CHP Coal - HT Heat for Industry</v>
      </c>
      <c r="G315" s="22"/>
      <c r="H315" s="22"/>
      <c r="I315" s="103" cm="1">
        <f t="array" ref="I315">-SUMPRODUCT((Feedstocks!$C$4:$C$141=A315)*Feedstocks!$E$4:$E$141,Feedstocks!$F$4:$F$141,Feedstocks!$H$4:$H$141,Feedstocks!$I$4:$I$141)</f>
        <v>0</v>
      </c>
      <c r="J315" s="103" cm="1">
        <f t="array" ref="J315">-SUMPRODUCT((Feedstocks!$C$4:$C$141=A315)*Feedstocks!$E$4:$E$141,Feedstocks!$H$4:$H$141,Feedstocks!$I$4:$I$141)</f>
        <v>0</v>
      </c>
      <c r="K315" s="103"/>
      <c r="L315" s="103"/>
      <c r="M315" s="22">
        <v>1</v>
      </c>
      <c r="N315" s="22" t="str">
        <f>VLOOKUP(E315,Activities!$A$9:$M$227,13,FALSE)</f>
        <v>NL</v>
      </c>
      <c r="O315" s="22"/>
      <c r="P315" s="80" t="s">
        <v>415</v>
      </c>
      <c r="Q315" s="36"/>
      <c r="R315" s="36"/>
      <c r="S315" s="36"/>
      <c r="T315" s="36"/>
      <c r="U315" s="36"/>
      <c r="V315" s="36"/>
      <c r="W315" s="36"/>
      <c r="X315" s="36"/>
      <c r="Y315" s="36"/>
      <c r="Z315" s="36"/>
      <c r="AA315" s="36"/>
      <c r="AB315" s="36"/>
      <c r="AC315" s="36"/>
      <c r="AD315" s="36"/>
      <c r="AE315" s="36"/>
      <c r="AF315" s="35"/>
      <c r="AG315" s="35"/>
      <c r="AH315" s="35"/>
      <c r="AI315" s="35"/>
      <c r="AJ315" s="35"/>
      <c r="AK315" s="35"/>
      <c r="AL315" s="35"/>
      <c r="AM315" s="35"/>
      <c r="AN315" s="35"/>
      <c r="AO315" s="35"/>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v>0.6</v>
      </c>
      <c r="DI315" s="36"/>
      <c r="DJ315" s="36"/>
      <c r="DK315" s="36"/>
      <c r="DL315" s="36"/>
      <c r="DM315" s="36"/>
      <c r="DN315" s="36"/>
      <c r="DO315" s="36">
        <v>1</v>
      </c>
      <c r="DP315" s="36"/>
      <c r="DQ315" s="36"/>
      <c r="DR315" s="36"/>
      <c r="DS315" s="36"/>
      <c r="DT315" s="36"/>
      <c r="DU315" s="36"/>
      <c r="DV315" s="36"/>
      <c r="DW315" s="36"/>
      <c r="DX315" s="36"/>
      <c r="DY315" s="36"/>
      <c r="DZ315" s="36"/>
      <c r="EA315" s="36"/>
      <c r="EB315" s="36"/>
      <c r="EC315" s="36"/>
      <c r="ED315" s="36"/>
      <c r="EE315" s="36"/>
      <c r="EF315" s="36"/>
      <c r="EG315" s="36"/>
      <c r="EH315" s="36"/>
      <c r="EI315" s="36"/>
      <c r="EJ315" s="36">
        <v>-2</v>
      </c>
      <c r="EK315" s="36"/>
      <c r="EL315" s="36"/>
      <c r="EM315" s="36"/>
      <c r="EN315" s="36"/>
      <c r="EO315" s="36"/>
      <c r="EP315" s="36"/>
      <c r="EQ315" s="36"/>
      <c r="ER315" s="36"/>
      <c r="ES315" s="36"/>
      <c r="ET315" s="36"/>
      <c r="EU315" s="36"/>
      <c r="EV315" s="36"/>
      <c r="EW315" s="36"/>
      <c r="EX315" s="36"/>
      <c r="EY315" s="36"/>
      <c r="EZ315" s="36"/>
      <c r="FA315" s="36"/>
      <c r="FB315" s="36"/>
      <c r="FC315" s="36"/>
      <c r="FD315" s="36"/>
      <c r="FE315" s="36"/>
      <c r="FF315" s="36"/>
      <c r="FG315" s="36"/>
      <c r="FH315" s="36"/>
      <c r="FI315" s="36"/>
      <c r="FJ315" s="36"/>
      <c r="FK315" s="36"/>
      <c r="FL315" s="36"/>
      <c r="FM315" s="36"/>
      <c r="FN315" s="36"/>
      <c r="FO315" s="36"/>
      <c r="FP315" s="36"/>
      <c r="FQ315" s="36"/>
      <c r="FR315" s="36"/>
      <c r="FS315" s="36"/>
      <c r="FT315" s="36"/>
      <c r="FU315" s="36"/>
      <c r="FV315" s="36"/>
      <c r="FW315" s="36"/>
      <c r="FX315" s="36"/>
      <c r="FY315" s="36"/>
      <c r="FZ315" s="36"/>
      <c r="GA315" s="36"/>
      <c r="GB315" s="319"/>
      <c r="GC315" s="179">
        <f t="shared" si="60"/>
        <v>0</v>
      </c>
      <c r="GD315" s="179">
        <f t="shared" si="61"/>
        <v>0.1132</v>
      </c>
      <c r="GE315" s="179">
        <f t="shared" si="62"/>
        <v>0</v>
      </c>
      <c r="GF315" s="179">
        <f t="shared" si="63"/>
        <v>0</v>
      </c>
      <c r="GG315" s="179">
        <f t="shared" si="51"/>
        <v>0</v>
      </c>
    </row>
    <row r="316" spans="1:189" x14ac:dyDescent="0.35">
      <c r="A316" s="5" t="s">
        <v>1430</v>
      </c>
      <c r="B316" s="5" t="str">
        <f>IF(Technologies!B316&lt;&gt;0,Technologies!B316,"")</f>
        <v>Industrie</v>
      </c>
      <c r="C316" s="5" t="str">
        <f>VLOOKUP($A316,Technologies!$A$7:$H$576,3,FALSE)</f>
        <v>Conversion</v>
      </c>
      <c r="D316" s="5" t="str">
        <f>VLOOKUP($A316,Technologies!$A$7:$H$576,4,FALSE)</f>
        <v>Industry</v>
      </c>
      <c r="E316" s="5" t="str">
        <f>VLOOKUP($A316,Technologies!$A$7:$H$576,6,FALSE)</f>
        <v>Heat HT Industry</v>
      </c>
      <c r="F316" s="5" t="str">
        <f>VLOOKUP($A316,Technologies!$A$7:$H$576,7,FALSE)</f>
        <v>CHP Coal wCCS - HT Heat for Industry</v>
      </c>
      <c r="G316" s="23">
        <v>0.8</v>
      </c>
      <c r="H316" s="23"/>
      <c r="I316" s="104" cm="1">
        <f t="array" ref="I316">-SUMPRODUCT((Feedstocks!$C$4:$C$141=A316)*Feedstocks!$E$4:$E$141,Feedstocks!$F$4:$F$141,Feedstocks!$H$4:$H$141,Feedstocks!$I$4:$I$141)</f>
        <v>0</v>
      </c>
      <c r="J316" s="104" cm="1">
        <f t="array" ref="J316">-SUMPRODUCT((Feedstocks!$C$4:$C$141=A316)*Feedstocks!$E$4:$E$141,Feedstocks!$H$4:$H$141,Feedstocks!$I$4:$I$141)</f>
        <v>0</v>
      </c>
      <c r="K316" s="104"/>
      <c r="L316" s="104"/>
      <c r="M316" s="23">
        <v>1</v>
      </c>
      <c r="N316" s="23" t="str">
        <f>VLOOKUP(E316,Activities!$A$9:$M$227,13,FALSE)</f>
        <v>NL</v>
      </c>
      <c r="O316" s="23"/>
      <c r="P316" s="79" t="s">
        <v>415</v>
      </c>
      <c r="Q316" s="35"/>
      <c r="R316" s="35"/>
      <c r="S316" s="35"/>
      <c r="T316" s="35"/>
      <c r="U316" s="35"/>
      <c r="V316" s="35"/>
      <c r="W316" s="35"/>
      <c r="X316" s="35"/>
      <c r="Y316" s="35"/>
      <c r="Z316" s="35"/>
      <c r="AA316" s="35"/>
      <c r="AB316" s="35"/>
      <c r="AC316" s="35"/>
      <c r="AD316" s="35"/>
      <c r="AE316" s="35"/>
      <c r="AF316" s="36"/>
      <c r="AG316" s="36"/>
      <c r="AH316" s="36"/>
      <c r="AI316" s="36"/>
      <c r="AJ316" s="36"/>
      <c r="AK316" s="36"/>
      <c r="AL316" s="36"/>
      <c r="AM316" s="36"/>
      <c r="AN316" s="36"/>
      <c r="AO316" s="36"/>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v>0.6</v>
      </c>
      <c r="DI316" s="35"/>
      <c r="DJ316" s="35"/>
      <c r="DK316" s="35"/>
      <c r="DL316" s="35"/>
      <c r="DM316" s="35"/>
      <c r="DN316" s="35"/>
      <c r="DO316" s="35">
        <v>1</v>
      </c>
      <c r="DP316" s="35"/>
      <c r="DQ316" s="35"/>
      <c r="DR316" s="35"/>
      <c r="DS316" s="35"/>
      <c r="DT316" s="35"/>
      <c r="DU316" s="35"/>
      <c r="DV316" s="35"/>
      <c r="DW316" s="35"/>
      <c r="DX316" s="35"/>
      <c r="DY316" s="35"/>
      <c r="DZ316" s="35"/>
      <c r="EA316" s="35"/>
      <c r="EB316" s="35"/>
      <c r="EC316" s="35"/>
      <c r="ED316" s="35"/>
      <c r="EE316" s="35"/>
      <c r="EF316" s="35"/>
      <c r="EG316" s="35"/>
      <c r="EH316" s="35"/>
      <c r="EI316" s="35"/>
      <c r="EJ316" s="35">
        <v>-2.15</v>
      </c>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18"/>
      <c r="GC316" s="178">
        <f t="shared" si="60"/>
        <v>9.74E-2</v>
      </c>
      <c r="GD316" s="178">
        <f t="shared" si="61"/>
        <v>2.4299999999999999E-2</v>
      </c>
      <c r="GE316" s="178">
        <f t="shared" si="62"/>
        <v>0</v>
      </c>
      <c r="GF316" s="178">
        <f t="shared" si="63"/>
        <v>0</v>
      </c>
      <c r="GG316" s="178">
        <f t="shared" si="51"/>
        <v>0</v>
      </c>
    </row>
    <row r="317" spans="1:189" x14ac:dyDescent="0.35">
      <c r="A317" s="6" t="s">
        <v>1432</v>
      </c>
      <c r="B317" s="6" t="str">
        <f>IF(Technologies!B317&lt;&gt;0,Technologies!B317,"")</f>
        <v>Industrie</v>
      </c>
      <c r="C317" s="6" t="str">
        <f>VLOOKUP($A317,Technologies!$A$7:$H$576,3,FALSE)</f>
        <v>Conversion</v>
      </c>
      <c r="D317" s="6" t="str">
        <f>VLOOKUP($A317,Technologies!$A$7:$H$576,4,FALSE)</f>
        <v>Industry</v>
      </c>
      <c r="E317" s="6" t="str">
        <f>VLOOKUP($A317,Technologies!$A$7:$H$576,6,FALSE)</f>
        <v>Heat HT Industry</v>
      </c>
      <c r="F317" s="48" t="str">
        <f>VLOOKUP($A317,Technologies!$A$7:$H$576,7,FALSE)</f>
        <v>CHP BFG - LT Heat for Industry</v>
      </c>
      <c r="G317" s="22"/>
      <c r="H317" s="22"/>
      <c r="I317" s="103" cm="1">
        <f t="array" ref="I317">-SUMPRODUCT((Feedstocks!$C$4:$C$141=A317)*Feedstocks!$E$4:$E$141,Feedstocks!$F$4:$F$141,Feedstocks!$H$4:$H$141,Feedstocks!$I$4:$I$141)</f>
        <v>0</v>
      </c>
      <c r="J317" s="103" cm="1">
        <f t="array" ref="J317">-SUMPRODUCT((Feedstocks!$C$4:$C$141=A317)*Feedstocks!$E$4:$E$141,Feedstocks!$H$4:$H$141,Feedstocks!$I$4:$I$141)</f>
        <v>0</v>
      </c>
      <c r="K317" s="103"/>
      <c r="L317" s="103"/>
      <c r="M317" s="22">
        <v>1</v>
      </c>
      <c r="N317" s="22" t="str">
        <f>VLOOKUP(E317,Activities!$A$9:$M$227,13,FALSE)</f>
        <v>NL</v>
      </c>
      <c r="O317" s="22"/>
      <c r="P317" s="80" t="s">
        <v>415</v>
      </c>
      <c r="Q317" s="36"/>
      <c r="R317" s="36"/>
      <c r="S317" s="36"/>
      <c r="T317" s="36"/>
      <c r="U317" s="36"/>
      <c r="V317" s="36"/>
      <c r="W317" s="36"/>
      <c r="X317" s="36"/>
      <c r="Y317" s="36"/>
      <c r="Z317" s="36"/>
      <c r="AA317" s="36"/>
      <c r="AB317" s="36"/>
      <c r="AC317" s="36"/>
      <c r="AD317" s="36"/>
      <c r="AE317" s="36"/>
      <c r="AF317" s="35"/>
      <c r="AG317" s="35"/>
      <c r="AH317" s="35"/>
      <c r="AI317" s="35"/>
      <c r="AJ317" s="35"/>
      <c r="AK317" s="35"/>
      <c r="AL317" s="35"/>
      <c r="AM317" s="35"/>
      <c r="AN317" s="35"/>
      <c r="AO317" s="35"/>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c r="CW317" s="36"/>
      <c r="CX317" s="36"/>
      <c r="CY317" s="36"/>
      <c r="CZ317" s="36"/>
      <c r="DA317" s="36"/>
      <c r="DB317" s="36"/>
      <c r="DC317" s="36"/>
      <c r="DD317" s="36"/>
      <c r="DE317" s="36"/>
      <c r="DF317" s="36"/>
      <c r="DG317" s="36"/>
      <c r="DH317" s="36">
        <v>0.7</v>
      </c>
      <c r="DI317" s="36"/>
      <c r="DJ317" s="36"/>
      <c r="DK317" s="36"/>
      <c r="DL317" s="36"/>
      <c r="DM317" s="36"/>
      <c r="DN317" s="36"/>
      <c r="DO317" s="36">
        <v>1</v>
      </c>
      <c r="DP317" s="36"/>
      <c r="DQ317" s="36"/>
      <c r="DR317" s="36">
        <v>-2.61</v>
      </c>
      <c r="DS317" s="36"/>
      <c r="DT317" s="36"/>
      <c r="DU317" s="36"/>
      <c r="DV317" s="36"/>
      <c r="DW317" s="36"/>
      <c r="DX317" s="36"/>
      <c r="DY317" s="36"/>
      <c r="DZ317" s="36"/>
      <c r="EA317" s="36"/>
      <c r="EB317" s="36"/>
      <c r="EC317" s="36"/>
      <c r="ED317" s="36"/>
      <c r="EE317" s="36"/>
      <c r="EF317" s="36"/>
      <c r="EG317" s="36"/>
      <c r="EH317" s="36"/>
      <c r="EI317" s="36"/>
      <c r="EJ317" s="36"/>
      <c r="EK317" s="36"/>
      <c r="EL317" s="36"/>
      <c r="EM317" s="36"/>
      <c r="EN317" s="36"/>
      <c r="EO317" s="36"/>
      <c r="EP317" s="36"/>
      <c r="EQ317" s="36"/>
      <c r="ER317" s="36"/>
      <c r="ES317" s="36"/>
      <c r="ET317" s="36"/>
      <c r="EU317" s="36"/>
      <c r="EV317" s="36"/>
      <c r="EW317" s="36"/>
      <c r="EX317" s="36"/>
      <c r="EY317" s="36"/>
      <c r="EZ317" s="36"/>
      <c r="FA317" s="36"/>
      <c r="FB317" s="36"/>
      <c r="FC317" s="36"/>
      <c r="FD317" s="36"/>
      <c r="FE317" s="36"/>
      <c r="FF317" s="36"/>
      <c r="FG317" s="36"/>
      <c r="FH317" s="36"/>
      <c r="FI317" s="36"/>
      <c r="FJ317" s="36"/>
      <c r="FK317" s="36"/>
      <c r="FL317" s="36"/>
      <c r="FM317" s="36"/>
      <c r="FN317" s="36"/>
      <c r="FO317" s="36"/>
      <c r="FP317" s="36"/>
      <c r="FQ317" s="36"/>
      <c r="FR317" s="36"/>
      <c r="FS317" s="36"/>
      <c r="FT317" s="36"/>
      <c r="FU317" s="36"/>
      <c r="FV317" s="36"/>
      <c r="FW317" s="36"/>
      <c r="FX317" s="36"/>
      <c r="FY317" s="36"/>
      <c r="FZ317" s="36"/>
      <c r="GA317" s="36"/>
      <c r="GB317" s="319"/>
      <c r="GC317" s="179">
        <f t="shared" si="60"/>
        <v>0</v>
      </c>
      <c r="GD317" s="179">
        <f t="shared" si="61"/>
        <v>0.64570000000000005</v>
      </c>
      <c r="GE317" s="179">
        <f t="shared" si="62"/>
        <v>0</v>
      </c>
      <c r="GF317" s="179">
        <f t="shared" si="63"/>
        <v>0</v>
      </c>
      <c r="GG317" s="179">
        <f t="shared" si="51"/>
        <v>0</v>
      </c>
    </row>
    <row r="318" spans="1:189" x14ac:dyDescent="0.35">
      <c r="A318" s="5" t="s">
        <v>1434</v>
      </c>
      <c r="B318" s="5" t="str">
        <f>IF(Technologies!B318&lt;&gt;0,Technologies!B318,"")</f>
        <v>Industrie</v>
      </c>
      <c r="C318" s="5" t="str">
        <f>VLOOKUP($A318,Technologies!$A$7:$H$576,3,FALSE)</f>
        <v>Conversion</v>
      </c>
      <c r="D318" s="5" t="str">
        <f>VLOOKUP($A318,Technologies!$A$7:$H$576,4,FALSE)</f>
        <v>Industry</v>
      </c>
      <c r="E318" s="5" t="str">
        <f>VLOOKUP($A318,Technologies!$A$7:$H$576,6,FALSE)</f>
        <v>Heat HT Industry</v>
      </c>
      <c r="F318" s="5" t="str">
        <f>VLOOKUP($A318,Technologies!$A$7:$H$576,7,FALSE)</f>
        <v>CHP Biomass - HT Heat for Industry</v>
      </c>
      <c r="G318" s="23"/>
      <c r="H318" s="23"/>
      <c r="I318" s="104" cm="1">
        <f t="array" ref="I318">-SUMPRODUCT((Feedstocks!$C$4:$C$141=A318)*Feedstocks!$E$4:$E$141,Feedstocks!$F$4:$F$141,Feedstocks!$H$4:$H$141,Feedstocks!$I$4:$I$141)</f>
        <v>0</v>
      </c>
      <c r="J318" s="104" cm="1">
        <f t="array" ref="J318">-SUMPRODUCT((Feedstocks!$C$4:$C$141=A318)*Feedstocks!$E$4:$E$141,Feedstocks!$H$4:$H$141,Feedstocks!$I$4:$I$141)</f>
        <v>0</v>
      </c>
      <c r="K318" s="104"/>
      <c r="L318" s="104"/>
      <c r="M318" s="23">
        <v>1</v>
      </c>
      <c r="N318" s="23" t="str">
        <f>VLOOKUP(E318,Activities!$A$9:$M$227,13,FALSE)</f>
        <v>NL</v>
      </c>
      <c r="O318" s="23"/>
      <c r="P318" s="79" t="s">
        <v>1825</v>
      </c>
      <c r="Q318" s="35"/>
      <c r="R318" s="35"/>
      <c r="S318" s="35"/>
      <c r="T318" s="35"/>
      <c r="U318" s="35"/>
      <c r="V318" s="35"/>
      <c r="W318" s="35"/>
      <c r="X318" s="35"/>
      <c r="Y318" s="35"/>
      <c r="Z318" s="35"/>
      <c r="AA318" s="35"/>
      <c r="AB318" s="35"/>
      <c r="AC318" s="35"/>
      <c r="AD318" s="35"/>
      <c r="AE318" s="35"/>
      <c r="AF318" s="36"/>
      <c r="AG318" s="36"/>
      <c r="AH318" s="36"/>
      <c r="AI318" s="36"/>
      <c r="AJ318" s="36"/>
      <c r="AK318" s="36"/>
      <c r="AL318" s="36"/>
      <c r="AM318" s="36"/>
      <c r="AN318" s="36"/>
      <c r="AO318" s="36"/>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v>0.75</v>
      </c>
      <c r="DI318" s="35"/>
      <c r="DJ318" s="35"/>
      <c r="DK318" s="35"/>
      <c r="DL318" s="35"/>
      <c r="DM318" s="35"/>
      <c r="DN318" s="35"/>
      <c r="DO318" s="35">
        <v>1</v>
      </c>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v>-3.5</v>
      </c>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18"/>
      <c r="GC318" s="178">
        <f t="shared" si="60"/>
        <v>0</v>
      </c>
      <c r="GD318" s="178">
        <f t="shared" si="61"/>
        <v>0</v>
      </c>
      <c r="GE318" s="178">
        <f t="shared" si="62"/>
        <v>0</v>
      </c>
      <c r="GF318" s="178">
        <f t="shared" si="63"/>
        <v>0</v>
      </c>
      <c r="GG318" s="178">
        <f t="shared" si="51"/>
        <v>0</v>
      </c>
    </row>
    <row r="319" spans="1:189" x14ac:dyDescent="0.35">
      <c r="A319" s="6" t="s">
        <v>1436</v>
      </c>
      <c r="B319" s="6" t="str">
        <f>IF(Technologies!B319&lt;&gt;0,Technologies!B319,"")</f>
        <v>Industrie</v>
      </c>
      <c r="C319" s="6" t="str">
        <f>VLOOKUP($A319,Technologies!$A$7:$H$576,3,FALSE)</f>
        <v>Conversion</v>
      </c>
      <c r="D319" s="6" t="str">
        <f>VLOOKUP($A319,Technologies!$A$7:$H$576,4,FALSE)</f>
        <v>Industry</v>
      </c>
      <c r="E319" s="6" t="str">
        <f>VLOOKUP($A319,Technologies!$A$7:$H$576,6,FALSE)</f>
        <v>Heat HT Industry</v>
      </c>
      <c r="F319" s="48" t="str">
        <f>VLOOKUP($A319,Technologies!$A$7:$H$576,7,FALSE)</f>
        <v>CHP Biomass wCCS - HT Heat for Industry</v>
      </c>
      <c r="G319" s="22">
        <v>0.8</v>
      </c>
      <c r="H319" s="22"/>
      <c r="I319" s="103" cm="1">
        <f t="array" ref="I319">-SUMPRODUCT((Feedstocks!$C$4:$C$141=A319)*Feedstocks!$E$4:$E$141,Feedstocks!$F$4:$F$141,Feedstocks!$H$4:$H$141,Feedstocks!$I$4:$I$141)</f>
        <v>0</v>
      </c>
      <c r="J319" s="103" cm="1">
        <f t="array" ref="J319">-SUMPRODUCT((Feedstocks!$C$4:$C$141=A319)*Feedstocks!$E$4:$E$141,Feedstocks!$H$4:$H$141,Feedstocks!$I$4:$I$141)</f>
        <v>0</v>
      </c>
      <c r="K319" s="103"/>
      <c r="L319" s="103"/>
      <c r="M319" s="22">
        <v>1</v>
      </c>
      <c r="N319" s="22" t="str">
        <f>VLOOKUP(E319,Activities!$A$9:$M$227,13,FALSE)</f>
        <v>NL</v>
      </c>
      <c r="O319" s="22"/>
      <c r="P319" s="80" t="s">
        <v>1519</v>
      </c>
      <c r="Q319" s="36"/>
      <c r="R319" s="36"/>
      <c r="S319" s="36"/>
      <c r="T319" s="36"/>
      <c r="U319" s="36"/>
      <c r="V319" s="36"/>
      <c r="W319" s="36"/>
      <c r="X319" s="36"/>
      <c r="Y319" s="36"/>
      <c r="Z319" s="36"/>
      <c r="AA319" s="36"/>
      <c r="AB319" s="36"/>
      <c r="AC319" s="36"/>
      <c r="AD319" s="36"/>
      <c r="AE319" s="36"/>
      <c r="AF319" s="35"/>
      <c r="AG319" s="35"/>
      <c r="AH319" s="35"/>
      <c r="AI319" s="35"/>
      <c r="AJ319" s="35"/>
      <c r="AK319" s="35"/>
      <c r="AL319" s="35"/>
      <c r="AM319" s="35"/>
      <c r="AN319" s="35"/>
      <c r="AO319" s="35"/>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v>0.75</v>
      </c>
      <c r="DI319" s="36"/>
      <c r="DJ319" s="36"/>
      <c r="DK319" s="36"/>
      <c r="DL319" s="36"/>
      <c r="DM319" s="36"/>
      <c r="DN319" s="36"/>
      <c r="DO319" s="36">
        <v>1</v>
      </c>
      <c r="DP319" s="36"/>
      <c r="DQ319" s="36"/>
      <c r="DR319" s="36"/>
      <c r="DS319" s="36"/>
      <c r="DT319" s="36"/>
      <c r="DU319" s="36"/>
      <c r="DV319" s="36"/>
      <c r="DW319" s="36"/>
      <c r="DX319" s="36"/>
      <c r="DY319" s="36"/>
      <c r="DZ319" s="36"/>
      <c r="EA319" s="36"/>
      <c r="EB319" s="36"/>
      <c r="EC319" s="36"/>
      <c r="ED319" s="36"/>
      <c r="EE319" s="36"/>
      <c r="EF319" s="36"/>
      <c r="EG319" s="36"/>
      <c r="EH319" s="36"/>
      <c r="EI319" s="36"/>
      <c r="EJ319" s="36"/>
      <c r="EK319" s="36"/>
      <c r="EL319" s="36"/>
      <c r="EM319" s="36"/>
      <c r="EN319" s="36"/>
      <c r="EO319" s="36"/>
      <c r="EP319" s="36"/>
      <c r="EQ319" s="36"/>
      <c r="ER319" s="36">
        <v>-3.7</v>
      </c>
      <c r="ES319" s="36"/>
      <c r="ET319" s="36"/>
      <c r="EU319" s="36"/>
      <c r="EV319" s="36"/>
      <c r="EW319" s="36"/>
      <c r="EX319" s="36"/>
      <c r="EY319" s="36"/>
      <c r="EZ319" s="36"/>
      <c r="FA319" s="36"/>
      <c r="FB319" s="36"/>
      <c r="FC319" s="36"/>
      <c r="FD319" s="36"/>
      <c r="FE319" s="36"/>
      <c r="FF319" s="36"/>
      <c r="FG319" s="36"/>
      <c r="FH319" s="36"/>
      <c r="FI319" s="36"/>
      <c r="FJ319" s="36"/>
      <c r="FK319" s="36"/>
      <c r="FL319" s="36"/>
      <c r="FM319" s="36"/>
      <c r="FN319" s="36"/>
      <c r="FO319" s="36"/>
      <c r="FP319" s="36"/>
      <c r="FQ319" s="36"/>
      <c r="FR319" s="36"/>
      <c r="FS319" s="36"/>
      <c r="FT319" s="36"/>
      <c r="FU319" s="36"/>
      <c r="FV319" s="36"/>
      <c r="FW319" s="36"/>
      <c r="FX319" s="36"/>
      <c r="FY319" s="36"/>
      <c r="FZ319" s="36"/>
      <c r="GA319" s="36"/>
      <c r="GB319" s="319">
        <f>GC319</f>
        <v>0.32440000000000002</v>
      </c>
      <c r="GC319" s="179">
        <f t="shared" si="60"/>
        <v>0.32440000000000002</v>
      </c>
      <c r="GD319" s="179">
        <f t="shared" si="61"/>
        <v>-0.32440000000000002</v>
      </c>
      <c r="GE319" s="179">
        <f t="shared" si="62"/>
        <v>0</v>
      </c>
      <c r="GF319" s="179">
        <f t="shared" si="63"/>
        <v>0</v>
      </c>
      <c r="GG319" s="179">
        <f t="shared" si="51"/>
        <v>0</v>
      </c>
    </row>
    <row r="320" spans="1:189" x14ac:dyDescent="0.35">
      <c r="A320" s="5" t="s">
        <v>1438</v>
      </c>
      <c r="B320" s="5" t="str">
        <f>IF(Technologies!B320&lt;&gt;0,Technologies!B320,"")</f>
        <v>Industrie</v>
      </c>
      <c r="C320" s="5" t="str">
        <f>VLOOKUP($A320,Technologies!$A$7:$H$576,3,FALSE)</f>
        <v>Conversion</v>
      </c>
      <c r="D320" s="5" t="str">
        <f>VLOOKUP($A320,Technologies!$A$7:$H$576,4,FALSE)</f>
        <v>Industry</v>
      </c>
      <c r="E320" s="5" t="str">
        <f>VLOOKUP($A320,Technologies!$A$7:$H$576,6,FALSE)</f>
        <v>Heat HT Industry</v>
      </c>
      <c r="F320" s="5" t="str">
        <f>VLOOKUP($A320,Technologies!$A$7:$H$576,7,FALSE)</f>
        <v>Electric Boiler - HT Heat for Industry</v>
      </c>
      <c r="G320" s="23"/>
      <c r="H320" s="23"/>
      <c r="I320" s="104" cm="1">
        <f t="array" ref="I320">-SUMPRODUCT((Feedstocks!$C$4:$C$141=A320)*Feedstocks!$E$4:$E$141,Feedstocks!$F$4:$F$141,Feedstocks!$H$4:$H$141,Feedstocks!$I$4:$I$141)</f>
        <v>0</v>
      </c>
      <c r="J320" s="104" cm="1">
        <f t="array" ref="J320">-SUMPRODUCT((Feedstocks!$C$4:$C$141=A320)*Feedstocks!$E$4:$E$141,Feedstocks!$H$4:$H$141,Feedstocks!$I$4:$I$141)</f>
        <v>0</v>
      </c>
      <c r="K320" s="104"/>
      <c r="L320" s="104"/>
      <c r="M320" s="23">
        <v>1</v>
      </c>
      <c r="N320" s="23" t="str">
        <f>VLOOKUP(E320,Activities!$A$9:$M$227,13,FALSE)</f>
        <v>NL</v>
      </c>
      <c r="O320" s="23"/>
      <c r="P320" s="79" t="s">
        <v>415</v>
      </c>
      <c r="Q320" s="35"/>
      <c r="R320" s="35"/>
      <c r="S320" s="35"/>
      <c r="T320" s="35"/>
      <c r="U320" s="35"/>
      <c r="V320" s="35"/>
      <c r="W320" s="35"/>
      <c r="X320" s="35"/>
      <c r="Y320" s="35"/>
      <c r="Z320" s="35"/>
      <c r="AA320" s="35"/>
      <c r="AB320" s="35"/>
      <c r="AC320" s="35"/>
      <c r="AD320" s="35"/>
      <c r="AE320" s="35"/>
      <c r="AF320" s="36"/>
      <c r="AG320" s="36"/>
      <c r="AH320" s="36"/>
      <c r="AI320" s="36"/>
      <c r="AJ320" s="36"/>
      <c r="AK320" s="36"/>
      <c r="AL320" s="36"/>
      <c r="AM320" s="36"/>
      <c r="AN320" s="36"/>
      <c r="AO320" s="36"/>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6">
        <f>-1/0.99</f>
        <v>-1.0101010101010102</v>
      </c>
      <c r="DI320" s="35"/>
      <c r="DJ320" s="35"/>
      <c r="DK320" s="35"/>
      <c r="DL320" s="35"/>
      <c r="DM320" s="35"/>
      <c r="DN320" s="35"/>
      <c r="DO320" s="35">
        <v>1</v>
      </c>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18"/>
      <c r="GC320" s="178">
        <f t="shared" si="60"/>
        <v>0</v>
      </c>
      <c r="GD320" s="178">
        <f t="shared" si="61"/>
        <v>0</v>
      </c>
      <c r="GE320" s="178">
        <f t="shared" si="62"/>
        <v>0</v>
      </c>
      <c r="GF320" s="178">
        <f t="shared" si="63"/>
        <v>0</v>
      </c>
      <c r="GG320" s="178">
        <f t="shared" si="51"/>
        <v>0</v>
      </c>
    </row>
    <row r="321" spans="1:189" x14ac:dyDescent="0.35">
      <c r="A321" s="6" t="s">
        <v>1440</v>
      </c>
      <c r="B321" s="6" t="str">
        <f>IF(Technologies!B321&lt;&gt;0,Technologies!B321,"")</f>
        <v>Industrie</v>
      </c>
      <c r="C321" s="6" t="str">
        <f>VLOOKUP($A321,Technologies!$A$7:$H$576,3,FALSE)</f>
        <v>Conversion</v>
      </c>
      <c r="D321" s="6" t="str">
        <f>VLOOKUP($A321,Technologies!$A$7:$H$576,4,FALSE)</f>
        <v>Industry</v>
      </c>
      <c r="E321" s="6" t="str">
        <f>VLOOKUP($A321,Technologies!$A$7:$H$576,6,FALSE)</f>
        <v>Heat HT Industry</v>
      </c>
      <c r="F321" s="48" t="str">
        <f>VLOOKUP($A321,Technologies!$A$7:$H$576,7,FALSE)</f>
        <v>Boiler H2 - HT Heat for Industry</v>
      </c>
      <c r="G321" s="22"/>
      <c r="H321" s="22"/>
      <c r="I321" s="103" cm="1">
        <f t="array" ref="I321">-SUMPRODUCT((Feedstocks!$C$4:$C$141=A321)*Feedstocks!$E$4:$E$141,Feedstocks!$F$4:$F$141,Feedstocks!$H$4:$H$141,Feedstocks!$I$4:$I$141)</f>
        <v>0</v>
      </c>
      <c r="J321" s="103" cm="1">
        <f t="array" ref="J321">-SUMPRODUCT((Feedstocks!$C$4:$C$141=A321)*Feedstocks!$E$4:$E$141,Feedstocks!$H$4:$H$141,Feedstocks!$I$4:$I$141)</f>
        <v>0</v>
      </c>
      <c r="K321" s="103"/>
      <c r="L321" s="103"/>
      <c r="M321" s="22">
        <v>1</v>
      </c>
      <c r="N321" s="22" t="str">
        <f>VLOOKUP(E321,Activities!$A$9:$M$227,13,FALSE)</f>
        <v>NL</v>
      </c>
      <c r="O321" s="22"/>
      <c r="P321" s="80" t="s">
        <v>415</v>
      </c>
      <c r="Q321" s="36"/>
      <c r="R321" s="36"/>
      <c r="S321" s="36"/>
      <c r="T321" s="36"/>
      <c r="U321" s="36"/>
      <c r="V321" s="36"/>
      <c r="W321" s="36"/>
      <c r="X321" s="36"/>
      <c r="Y321" s="36"/>
      <c r="Z321" s="36"/>
      <c r="AA321" s="36"/>
      <c r="AB321" s="36"/>
      <c r="AC321" s="36"/>
      <c r="AD321" s="36"/>
      <c r="AE321" s="36"/>
      <c r="AF321" s="35"/>
      <c r="AG321" s="35"/>
      <c r="AH321" s="35"/>
      <c r="AI321" s="35"/>
      <c r="AJ321" s="35"/>
      <c r="AK321" s="35"/>
      <c r="AL321" s="35"/>
      <c r="AM321" s="35"/>
      <c r="AN321" s="35"/>
      <c r="AO321" s="35"/>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c r="CW321" s="36"/>
      <c r="CX321" s="36"/>
      <c r="CY321" s="36"/>
      <c r="CZ321" s="36"/>
      <c r="DA321" s="36"/>
      <c r="DB321" s="36"/>
      <c r="DC321" s="36"/>
      <c r="DD321" s="36"/>
      <c r="DE321" s="36"/>
      <c r="DF321" s="36"/>
      <c r="DG321" s="36"/>
      <c r="DH321" s="36"/>
      <c r="DI321" s="36"/>
      <c r="DJ321" s="36"/>
      <c r="DK321" s="36"/>
      <c r="DL321" s="36"/>
      <c r="DM321" s="36"/>
      <c r="DN321" s="36"/>
      <c r="DO321" s="36">
        <v>1</v>
      </c>
      <c r="DP321" s="36"/>
      <c r="DQ321" s="36"/>
      <c r="DR321" s="36"/>
      <c r="DS321" s="36"/>
      <c r="DT321" s="36"/>
      <c r="DU321" s="36"/>
      <c r="DV321" s="36"/>
      <c r="DW321" s="36"/>
      <c r="DX321" s="36"/>
      <c r="DY321" s="36"/>
      <c r="DZ321" s="36"/>
      <c r="EA321" s="36"/>
      <c r="EB321" s="36"/>
      <c r="EC321" s="36"/>
      <c r="ED321" s="36"/>
      <c r="EE321" s="36"/>
      <c r="EF321" s="36"/>
      <c r="EG321" s="36"/>
      <c r="EH321" s="36"/>
      <c r="EI321" s="36"/>
      <c r="EJ321" s="36"/>
      <c r="EK321" s="36"/>
      <c r="EL321" s="36"/>
      <c r="EM321" s="36">
        <v>-1.087</v>
      </c>
      <c r="EN321" s="36"/>
      <c r="EO321" s="36"/>
      <c r="EP321" s="36"/>
      <c r="EQ321" s="36"/>
      <c r="ER321" s="36"/>
      <c r="ES321" s="36"/>
      <c r="ET321" s="36"/>
      <c r="EU321" s="36"/>
      <c r="EV321" s="36"/>
      <c r="EW321" s="36"/>
      <c r="EX321" s="36"/>
      <c r="EY321" s="36"/>
      <c r="EZ321" s="36"/>
      <c r="FA321" s="36"/>
      <c r="FB321" s="36"/>
      <c r="FC321" s="36"/>
      <c r="FD321" s="36"/>
      <c r="FE321" s="36"/>
      <c r="FF321" s="36"/>
      <c r="FG321" s="36"/>
      <c r="FH321" s="36"/>
      <c r="FI321" s="36"/>
      <c r="FJ321" s="36"/>
      <c r="FK321" s="36"/>
      <c r="FL321" s="36"/>
      <c r="FM321" s="36"/>
      <c r="FN321" s="36"/>
      <c r="FO321" s="36"/>
      <c r="FP321" s="36"/>
      <c r="FQ321" s="36"/>
      <c r="FR321" s="36"/>
      <c r="FS321" s="36"/>
      <c r="FT321" s="36"/>
      <c r="FU321" s="36"/>
      <c r="FV321" s="36"/>
      <c r="FW321" s="36"/>
      <c r="FX321" s="36"/>
      <c r="FY321" s="36"/>
      <c r="FZ321" s="36"/>
      <c r="GA321" s="36"/>
      <c r="GB321" s="319"/>
      <c r="GC321" s="179">
        <f t="shared" si="60"/>
        <v>0</v>
      </c>
      <c r="GD321" s="179">
        <f t="shared" si="61"/>
        <v>0</v>
      </c>
      <c r="GE321" s="179">
        <f t="shared" si="62"/>
        <v>0</v>
      </c>
      <c r="GF321" s="179">
        <f t="shared" si="63"/>
        <v>0</v>
      </c>
      <c r="GG321" s="179">
        <f t="shared" si="51"/>
        <v>0</v>
      </c>
    </row>
    <row r="322" spans="1:189" x14ac:dyDescent="0.35">
      <c r="A322" s="6" t="s">
        <v>1442</v>
      </c>
      <c r="B322" s="6" t="str">
        <f>IF(Technologies!B322&lt;&gt;0,Technologies!B322,"")</f>
        <v>Industrie</v>
      </c>
      <c r="C322" s="6" t="str">
        <f>VLOOKUP($A322,Technologies!$A$7:$H$576,3,FALSE)</f>
        <v>Conversion</v>
      </c>
      <c r="D322" s="6" t="str">
        <f>VLOOKUP($A322,Technologies!$A$7:$H$576,4,FALSE)</f>
        <v>Industry</v>
      </c>
      <c r="E322" s="6" t="str">
        <f>VLOOKUP($A322,Technologies!$A$7:$H$576,6,FALSE)</f>
        <v>Heat HT Industry</v>
      </c>
      <c r="F322" s="48" t="str">
        <f>VLOOKUP($A322,Technologies!$A$7:$H$576,7,FALSE)</f>
        <v>Nuclear SMR Heat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c r="EN322" s="36"/>
      <c r="EO322" s="36"/>
      <c r="EP322" s="36"/>
      <c r="EQ322" s="36"/>
      <c r="ER322" s="36"/>
      <c r="ES322" s="36"/>
      <c r="ET322" s="36"/>
      <c r="EU322" s="36"/>
      <c r="EV322" s="36">
        <v>-1</v>
      </c>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VLOOKUP($A323,Technologies!$A$7:$H$576,3,FALSE)</f>
        <v>Conversion</v>
      </c>
      <c r="D323" s="6" t="str">
        <f>VLOOKUP($A323,Technologies!$A$7:$H$576,4,FALSE)</f>
        <v>Industry</v>
      </c>
      <c r="E323" s="6" t="str">
        <f>VLOOKUP($A323,Technologies!$A$7:$H$576,6,FALSE)</f>
        <v>Heat HT Industry</v>
      </c>
      <c r="F323" s="48" t="str">
        <f>VLOOKUP($A323,Technologies!$A$7:$H$576,7,FALSE)</f>
        <v>CHP Nuclear SMR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5"/>
      <c r="AG323" s="35"/>
      <c r="AH323" s="35"/>
      <c r="AI323" s="35"/>
      <c r="AJ323" s="35"/>
      <c r="AK323" s="35"/>
      <c r="AL323" s="35"/>
      <c r="AM323" s="35"/>
      <c r="AN323" s="35"/>
      <c r="AO323" s="35"/>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v>0.6</v>
      </c>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-4</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5" t="s">
        <v>1446</v>
      </c>
      <c r="B324" s="6" t="str">
        <f>IF(Technologies!B324&lt;&gt;0,Technologies!B324,"")</f>
        <v>Industrie</v>
      </c>
      <c r="C324" s="5" t="str">
        <f>VLOOKUP($A324,Technologies!$A$7:$H$576,3,FALSE)</f>
        <v>Conversion</v>
      </c>
      <c r="D324" s="5" t="str">
        <f>VLOOKUP($A324,Technologies!$A$7:$H$576,4,FALSE)</f>
        <v>Industry</v>
      </c>
      <c r="E324" s="5" t="str">
        <f>VLOOKUP($A324,Technologies!$A$7:$H$576,6,FALSE)</f>
        <v>Heat LT Industry</v>
      </c>
      <c r="F324" s="5" t="str">
        <f>VLOOKUP($A324,Technologies!$A$7:$H$576,7,FALSE)</f>
        <v>Dummy HT tech into LT - LT Heat for Industry</v>
      </c>
      <c r="G324" s="23"/>
      <c r="H324" s="23"/>
      <c r="I324" s="104" cm="1">
        <f t="array" ref="I324">-SUMPRODUCT((Feedstocks!$C$4:$C$141=A324)*Feedstocks!$E$4:$E$141,Feedstocks!$F$4:$F$141,Feedstocks!$H$4:$H$141,Feedstocks!$I$4:$I$141)</f>
        <v>0</v>
      </c>
      <c r="J324" s="104" cm="1">
        <f t="array" ref="J324">-SUMPRODUCT((Feedstocks!$C$4:$C$141=A324)*Feedstocks!$E$4:$E$141,Feedstocks!$H$4:$H$141,Feedstocks!$I$4:$I$141)</f>
        <v>0</v>
      </c>
      <c r="K324" s="104"/>
      <c r="L324" s="104"/>
      <c r="M324" s="23">
        <v>1</v>
      </c>
      <c r="N324" s="23" t="str">
        <f>VLOOKUP(E324,Activities!$A$9:$M$227,13,FALSE)</f>
        <v>NL</v>
      </c>
      <c r="O324" s="23"/>
      <c r="P324" s="79" t="s">
        <v>502</v>
      </c>
      <c r="Q324" s="35"/>
      <c r="R324" s="35"/>
      <c r="S324" s="35"/>
      <c r="T324" s="35"/>
      <c r="U324" s="35"/>
      <c r="V324" s="35"/>
      <c r="W324" s="35"/>
      <c r="X324" s="35"/>
      <c r="Y324" s="35"/>
      <c r="Z324" s="35"/>
      <c r="AA324" s="35"/>
      <c r="AB324" s="35"/>
      <c r="AC324" s="35"/>
      <c r="AD324" s="35"/>
      <c r="AE324" s="35"/>
      <c r="AF324" s="36"/>
      <c r="AG324" s="36"/>
      <c r="AH324" s="36"/>
      <c r="AI324" s="36"/>
      <c r="AJ324" s="36"/>
      <c r="AK324" s="36"/>
      <c r="AL324" s="36"/>
      <c r="AM324" s="36"/>
      <c r="AN324" s="36"/>
      <c r="AO324" s="36"/>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v>-1</v>
      </c>
      <c r="DP324" s="35">
        <v>1</v>
      </c>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18"/>
      <c r="GC324" s="178">
        <f t="shared" si="60"/>
        <v>0</v>
      </c>
      <c r="GD324" s="178">
        <f t="shared" si="61"/>
        <v>0</v>
      </c>
      <c r="GE324" s="178">
        <f t="shared" si="62"/>
        <v>0</v>
      </c>
      <c r="GF324" s="178">
        <f t="shared" si="63"/>
        <v>0</v>
      </c>
      <c r="GG324" s="178">
        <f t="shared" si="51"/>
        <v>0</v>
      </c>
    </row>
    <row r="325" spans="1:189" x14ac:dyDescent="0.35">
      <c r="A325" s="6" t="s">
        <v>1448</v>
      </c>
      <c r="B325" s="6" t="str">
        <f>IF(Technologies!B325&lt;&gt;0,Technologies!B325,"")</f>
        <v>Industrie</v>
      </c>
      <c r="C325" s="6" t="str">
        <f>VLOOKUP($A325,Technologies!$A$7:$H$576,3,FALSE)</f>
        <v>Conversion</v>
      </c>
      <c r="D325" s="6" t="str">
        <f>VLOOKUP($A325,Technologies!$A$7:$H$576,4,FALSE)</f>
        <v>Industry</v>
      </c>
      <c r="E325" s="6" t="str">
        <f>VLOOKUP($A325,Technologies!$A$7:$H$576,6,FALSE)</f>
        <v>Heat LT Industry</v>
      </c>
      <c r="F325" s="48" t="str">
        <f>VLOOKUP($A325,Technologies!$A$7:$H$576,7,FALSE)</f>
        <v>Heat Pump Gas - LT Heat for Industry</v>
      </c>
      <c r="G325" s="22"/>
      <c r="H325" s="22"/>
      <c r="I325" s="103" cm="1">
        <f t="array" ref="I325">-SUMPRODUCT((Feedstocks!$C$4:$C$141=A325)*Feedstocks!$E$4:$E$141,Feedstocks!$F$4:$F$141,Feedstocks!$H$4:$H$141,Feedstocks!$I$4:$I$141)</f>
        <v>0</v>
      </c>
      <c r="J325" s="103" cm="1">
        <f t="array" ref="J325">-SUMPRODUCT((Feedstocks!$C$4:$C$141=A325)*Feedstocks!$E$4:$E$141,Feedstocks!$H$4:$H$141,Feedstocks!$I$4:$I$141)</f>
        <v>0</v>
      </c>
      <c r="K325" s="103"/>
      <c r="L325" s="103"/>
      <c r="M325" s="22">
        <v>1</v>
      </c>
      <c r="N325" s="22" t="str">
        <f>VLOOKUP(E325,Activities!$A$9:$M$227,13,FALSE)</f>
        <v>NL</v>
      </c>
      <c r="O325" s="22"/>
      <c r="P325" s="80" t="s">
        <v>415</v>
      </c>
      <c r="Q325" s="36"/>
      <c r="R325" s="36"/>
      <c r="S325" s="36"/>
      <c r="T325" s="36"/>
      <c r="U325" s="36"/>
      <c r="V325" s="36"/>
      <c r="W325" s="36"/>
      <c r="X325" s="36"/>
      <c r="Y325" s="36"/>
      <c r="Z325" s="36"/>
      <c r="AA325" s="36"/>
      <c r="AB325" s="36"/>
      <c r="AC325" s="36"/>
      <c r="AD325" s="36"/>
      <c r="AE325" s="36"/>
      <c r="AF325" s="35"/>
      <c r="AG325" s="35"/>
      <c r="AH325" s="35"/>
      <c r="AI325" s="35"/>
      <c r="AJ325" s="35"/>
      <c r="AK325" s="35"/>
      <c r="AL325" s="35"/>
      <c r="AM325" s="35"/>
      <c r="AN325" s="35"/>
      <c r="AO325" s="35"/>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36"/>
      <c r="CT325" s="36"/>
      <c r="CU325" s="36"/>
      <c r="CV325" s="36"/>
      <c r="CW325" s="36"/>
      <c r="CX325" s="36"/>
      <c r="CY325" s="36"/>
      <c r="CZ325" s="36"/>
      <c r="DA325" s="36"/>
      <c r="DB325" s="36"/>
      <c r="DC325" s="36"/>
      <c r="DD325" s="36"/>
      <c r="DE325" s="36"/>
      <c r="DF325" s="36"/>
      <c r="DG325" s="36"/>
      <c r="DH325" s="36"/>
      <c r="DI325" s="36"/>
      <c r="DJ325" s="36"/>
      <c r="DK325" s="36"/>
      <c r="DL325" s="36"/>
      <c r="DM325" s="36"/>
      <c r="DN325" s="36"/>
      <c r="DO325" s="36"/>
      <c r="DP325" s="36">
        <v>1</v>
      </c>
      <c r="DQ325" s="36"/>
      <c r="DR325" s="36"/>
      <c r="DS325" s="36"/>
      <c r="DT325" s="36"/>
      <c r="DU325" s="36"/>
      <c r="DV325" s="36"/>
      <c r="DW325" s="36"/>
      <c r="DX325" s="36"/>
      <c r="DY325" s="36"/>
      <c r="DZ325" s="36"/>
      <c r="EA325" s="36"/>
      <c r="EB325" s="36"/>
      <c r="EC325" s="36"/>
      <c r="ED325" s="36"/>
      <c r="EE325" s="36"/>
      <c r="EF325" s="36"/>
      <c r="EG325" s="36"/>
      <c r="EH325" s="36"/>
      <c r="EI325" s="36"/>
      <c r="EJ325" s="36">
        <v>-0.71399999999999997</v>
      </c>
      <c r="EK325" s="36"/>
      <c r="EL325" s="36"/>
      <c r="EM325" s="36"/>
      <c r="EN325" s="36"/>
      <c r="EO325" s="36"/>
      <c r="EP325" s="36"/>
      <c r="EQ325" s="36"/>
      <c r="ER325" s="36"/>
      <c r="ES325" s="36"/>
      <c r="ET325" s="36"/>
      <c r="EU325" s="36"/>
      <c r="EV325" s="36"/>
      <c r="EW325" s="36"/>
      <c r="EX325" s="36"/>
      <c r="EY325" s="36"/>
      <c r="EZ325" s="36"/>
      <c r="FA325" s="36"/>
      <c r="FB325" s="36"/>
      <c r="FC325" s="36"/>
      <c r="FD325" s="36"/>
      <c r="FE325" s="36"/>
      <c r="FF325" s="36"/>
      <c r="FG325" s="36"/>
      <c r="FH325" s="36"/>
      <c r="FI325" s="36"/>
      <c r="FJ325" s="36"/>
      <c r="FK325" s="36"/>
      <c r="FL325" s="36">
        <v>-0.65</v>
      </c>
      <c r="FM325" s="36"/>
      <c r="FN325" s="36"/>
      <c r="FO325" s="36"/>
      <c r="FP325" s="36"/>
      <c r="FQ325" s="36"/>
      <c r="FR325" s="36"/>
      <c r="FS325" s="36"/>
      <c r="FT325" s="36"/>
      <c r="FU325" s="36"/>
      <c r="FV325" s="36"/>
      <c r="FW325" s="36"/>
      <c r="FX325" s="36"/>
      <c r="FY325" s="36"/>
      <c r="FZ325" s="36"/>
      <c r="GA325" s="36"/>
      <c r="GB325" s="319"/>
      <c r="GC325" s="179">
        <f t="shared" si="60"/>
        <v>0</v>
      </c>
      <c r="GD325" s="179">
        <f t="shared" si="61"/>
        <v>4.0399999999999998E-2</v>
      </c>
      <c r="GE325" s="179">
        <f t="shared" si="62"/>
        <v>0</v>
      </c>
      <c r="GF325" s="179">
        <f t="shared" si="63"/>
        <v>0</v>
      </c>
      <c r="GG325" s="179">
        <f t="shared" si="51"/>
        <v>0</v>
      </c>
    </row>
    <row r="326" spans="1:189" x14ac:dyDescent="0.35">
      <c r="A326" s="5" t="s">
        <v>1450</v>
      </c>
      <c r="B326" s="5" t="str">
        <f>IF(Technologies!B326&lt;&gt;0,Technologies!B326,"")</f>
        <v>Industrie</v>
      </c>
      <c r="C326" s="5" t="str">
        <f>VLOOKUP($A326,Technologies!$A$7:$H$576,3,FALSE)</f>
        <v>Conversion</v>
      </c>
      <c r="D326" s="5" t="str">
        <f>VLOOKUP($A326,Technologies!$A$7:$H$576,4,FALSE)</f>
        <v>Industry</v>
      </c>
      <c r="E326" s="5" t="str">
        <f>VLOOKUP($A326,Technologies!$A$7:$H$576,6,FALSE)</f>
        <v>Heat LT Industry</v>
      </c>
      <c r="F326" s="5" t="str">
        <f>VLOOKUP($A326,Technologies!$A$7:$H$576,7,FALSE)</f>
        <v>Heat Pump Electricity - LT Heat for Industry</v>
      </c>
      <c r="G326" s="23"/>
      <c r="H326" s="23"/>
      <c r="I326" s="104" cm="1">
        <f t="array" ref="I326">-SUMPRODUCT((Feedstocks!$C$4:$C$141=A326)*Feedstocks!$E$4:$E$141,Feedstocks!$F$4:$F$141,Feedstocks!$H$4:$H$141,Feedstocks!$I$4:$I$141)</f>
        <v>0</v>
      </c>
      <c r="J326" s="104" cm="1">
        <f t="array" ref="J326">-SUMPRODUCT((Feedstocks!$C$4:$C$141=A326)*Feedstocks!$E$4:$E$141,Feedstocks!$H$4:$H$141,Feedstocks!$I$4:$I$141)</f>
        <v>0</v>
      </c>
      <c r="K326" s="104"/>
      <c r="L326" s="104"/>
      <c r="M326" s="23">
        <v>1</v>
      </c>
      <c r="N326" s="23" t="str">
        <f>VLOOKUP(E326,Activities!$A$9:$M$227,13,FALSE)</f>
        <v>NL</v>
      </c>
      <c r="O326" s="23"/>
      <c r="P326" s="79" t="s">
        <v>415</v>
      </c>
      <c r="Q326" s="35"/>
      <c r="R326" s="35"/>
      <c r="S326" s="35"/>
      <c r="T326" s="35"/>
      <c r="U326" s="35"/>
      <c r="V326" s="35"/>
      <c r="W326" s="35"/>
      <c r="X326" s="35"/>
      <c r="Y326" s="35"/>
      <c r="Z326" s="35"/>
      <c r="AA326" s="35"/>
      <c r="AB326" s="35"/>
      <c r="AC326" s="35"/>
      <c r="AD326" s="35"/>
      <c r="AE326" s="35"/>
      <c r="AF326" s="36"/>
      <c r="AG326" s="36"/>
      <c r="AH326" s="36"/>
      <c r="AI326" s="36"/>
      <c r="AJ326" s="36"/>
      <c r="AK326" s="36"/>
      <c r="AL326" s="36"/>
      <c r="AM326" s="36"/>
      <c r="AN326" s="36"/>
      <c r="AO326" s="36"/>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v>-0.25</v>
      </c>
      <c r="DI326" s="35"/>
      <c r="DJ326" s="35"/>
      <c r="DK326" s="35"/>
      <c r="DL326" s="35"/>
      <c r="DM326" s="35"/>
      <c r="DN326" s="35"/>
      <c r="DO326" s="35"/>
      <c r="DP326" s="35">
        <v>1</v>
      </c>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v>-0.75</v>
      </c>
      <c r="FM326" s="35"/>
      <c r="FN326" s="35"/>
      <c r="FO326" s="35"/>
      <c r="FP326" s="35"/>
      <c r="FQ326" s="35"/>
      <c r="FR326" s="35"/>
      <c r="FS326" s="35"/>
      <c r="FT326" s="35"/>
      <c r="FU326" s="35"/>
      <c r="FV326" s="35"/>
      <c r="FW326" s="35"/>
      <c r="FX326" s="35"/>
      <c r="FY326" s="35"/>
      <c r="FZ326" s="35"/>
      <c r="GA326" s="35"/>
      <c r="GB326" s="318"/>
      <c r="GC326" s="178">
        <f t="shared" si="60"/>
        <v>0</v>
      </c>
      <c r="GD326" s="178">
        <f t="shared" si="61"/>
        <v>0</v>
      </c>
      <c r="GE326" s="178">
        <f t="shared" si="62"/>
        <v>0</v>
      </c>
      <c r="GF326" s="178">
        <f t="shared" si="63"/>
        <v>0</v>
      </c>
      <c r="GG326" s="178">
        <f t="shared" si="51"/>
        <v>0</v>
      </c>
    </row>
    <row r="327" spans="1:189" x14ac:dyDescent="0.35">
      <c r="A327" s="6" t="s">
        <v>1452</v>
      </c>
      <c r="B327" s="6" t="str">
        <f>IF(Technologies!B327&lt;&gt;0,Technologies!B327,"")</f>
        <v>Industrie</v>
      </c>
      <c r="C327" s="6" t="str">
        <f>VLOOKUP($A327,Technologies!$A$7:$H$576,3,FALSE)</f>
        <v>Conversion</v>
      </c>
      <c r="D327" s="6" t="str">
        <f>VLOOKUP($A327,Technologies!$A$7:$H$576,4,FALSE)</f>
        <v>Industry</v>
      </c>
      <c r="E327" s="6" t="str">
        <f>VLOOKUP($A327,Technologies!$A$7:$H$576,6,FALSE)</f>
        <v>Heat LT Industry</v>
      </c>
      <c r="F327" s="48" t="str">
        <f>VLOOKUP($A327,Technologies!$A$7:$H$576,7,FALSE)</f>
        <v>Geothermal HP - LT Heat for Industry</v>
      </c>
      <c r="G327" s="22"/>
      <c r="H327" s="22"/>
      <c r="I327" s="103" cm="1">
        <f t="array" ref="I327">-SUMPRODUCT((Feedstocks!$C$4:$C$141=A327)*Feedstocks!$E$4:$E$141,Feedstocks!$F$4:$F$141,Feedstocks!$H$4:$H$141,Feedstocks!$I$4:$I$141)</f>
        <v>0</v>
      </c>
      <c r="J327" s="103" cm="1">
        <f t="array" ref="J327">-SUMPRODUCT((Feedstocks!$C$4:$C$141=A327)*Feedstocks!$E$4:$E$141,Feedstocks!$H$4:$H$141,Feedstocks!$I$4:$I$141)</f>
        <v>0</v>
      </c>
      <c r="K327" s="103"/>
      <c r="L327" s="103"/>
      <c r="M327" s="22">
        <v>1</v>
      </c>
      <c r="N327" s="22" t="str">
        <f>VLOOKUP(E327,Activities!$A$9:$M$227,13,FALSE)</f>
        <v>NL</v>
      </c>
      <c r="O327" s="22"/>
      <c r="P327" s="80" t="s">
        <v>415</v>
      </c>
      <c r="Q327" s="36"/>
      <c r="R327" s="36"/>
      <c r="S327" s="36"/>
      <c r="T327" s="36"/>
      <c r="U327" s="36"/>
      <c r="V327" s="36"/>
      <c r="W327" s="36"/>
      <c r="X327" s="36"/>
      <c r="Y327" s="36"/>
      <c r="Z327" s="36"/>
      <c r="AA327" s="36"/>
      <c r="AB327" s="36"/>
      <c r="AC327" s="36"/>
      <c r="AD327" s="36"/>
      <c r="AE327" s="36"/>
      <c r="AF327" s="35"/>
      <c r="AG327" s="35"/>
      <c r="AH327" s="35"/>
      <c r="AI327" s="35"/>
      <c r="AJ327" s="35"/>
      <c r="AK327" s="35"/>
      <c r="AL327" s="35"/>
      <c r="AM327" s="35"/>
      <c r="AN327" s="35"/>
      <c r="AO327" s="35"/>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c r="CW327" s="36"/>
      <c r="CX327" s="36"/>
      <c r="CY327" s="36"/>
      <c r="CZ327" s="36"/>
      <c r="DA327" s="36"/>
      <c r="DB327" s="36"/>
      <c r="DC327" s="36"/>
      <c r="DD327" s="36"/>
      <c r="DE327" s="36"/>
      <c r="DF327" s="36"/>
      <c r="DG327" s="36"/>
      <c r="DH327" s="36">
        <v>-0.25</v>
      </c>
      <c r="DI327" s="36"/>
      <c r="DJ327" s="36"/>
      <c r="DK327" s="36"/>
      <c r="DL327" s="36"/>
      <c r="DM327" s="36"/>
      <c r="DN327" s="36"/>
      <c r="DO327" s="36"/>
      <c r="DP327" s="36">
        <v>1</v>
      </c>
      <c r="DQ327" s="36"/>
      <c r="DR327" s="36"/>
      <c r="DS327" s="36"/>
      <c r="DT327" s="36"/>
      <c r="DU327" s="36"/>
      <c r="DV327" s="36"/>
      <c r="DW327" s="36"/>
      <c r="DX327" s="36"/>
      <c r="DY327" s="36"/>
      <c r="DZ327" s="36"/>
      <c r="EA327" s="36"/>
      <c r="EB327" s="36"/>
      <c r="EC327" s="36"/>
      <c r="ED327" s="36"/>
      <c r="EE327" s="36"/>
      <c r="EF327" s="36"/>
      <c r="EG327" s="36"/>
      <c r="EH327" s="36"/>
      <c r="EI327" s="36"/>
      <c r="EJ327" s="36"/>
      <c r="EK327" s="36"/>
      <c r="EL327" s="36"/>
      <c r="EM327" s="36"/>
      <c r="EN327" s="36"/>
      <c r="EO327" s="36"/>
      <c r="EP327" s="36"/>
      <c r="EQ327" s="36"/>
      <c r="ER327" s="36"/>
      <c r="ES327" s="36"/>
      <c r="ET327" s="36"/>
      <c r="EU327" s="36"/>
      <c r="EV327" s="36"/>
      <c r="EW327" s="36"/>
      <c r="EX327" s="36"/>
      <c r="EY327" s="36"/>
      <c r="EZ327" s="36"/>
      <c r="FA327" s="36"/>
      <c r="FB327" s="36"/>
      <c r="FC327" s="36"/>
      <c r="FD327" s="36"/>
      <c r="FE327" s="36"/>
      <c r="FF327" s="36"/>
      <c r="FG327" s="36"/>
      <c r="FH327" s="36"/>
      <c r="FI327" s="36"/>
      <c r="FJ327" s="36"/>
      <c r="FK327" s="36"/>
      <c r="FL327" s="36"/>
      <c r="FM327" s="36">
        <v>-0.75</v>
      </c>
      <c r="FN327" s="36"/>
      <c r="FO327" s="36"/>
      <c r="FP327" s="36"/>
      <c r="FQ327" s="36"/>
      <c r="FR327" s="36"/>
      <c r="FS327" s="36"/>
      <c r="FT327" s="36"/>
      <c r="FU327" s="36"/>
      <c r="FV327" s="36"/>
      <c r="FW327" s="36"/>
      <c r="FX327" s="36"/>
      <c r="FY327" s="36"/>
      <c r="FZ327" s="36"/>
      <c r="GA327" s="36"/>
      <c r="GB327" s="319"/>
      <c r="GC327" s="179">
        <f t="shared" si="60"/>
        <v>0</v>
      </c>
      <c r="GD327" s="179">
        <f t="shared" si="61"/>
        <v>0</v>
      </c>
      <c r="GE327" s="179">
        <f t="shared" si="62"/>
        <v>0</v>
      </c>
      <c r="GF327" s="179">
        <f t="shared" si="63"/>
        <v>0</v>
      </c>
      <c r="GG327" s="179">
        <f t="shared" si="51"/>
        <v>0</v>
      </c>
    </row>
    <row r="328" spans="1:189" x14ac:dyDescent="0.35">
      <c r="A328" s="5" t="s">
        <v>1454</v>
      </c>
      <c r="B328" s="5" t="str">
        <f>IF(Technologies!B328&lt;&gt;0,Technologies!B328,"")</f>
        <v>Industrie</v>
      </c>
      <c r="C328" s="5" t="str">
        <f>VLOOKUP($A328,Technologies!$A$7:$H$576,3,FALSE)</f>
        <v>Conversion</v>
      </c>
      <c r="D328" s="5" t="str">
        <f>VLOOKUP($A328,Technologies!$A$7:$H$576,4,FALSE)</f>
        <v>Industry</v>
      </c>
      <c r="E328" s="5" t="str">
        <f>VLOOKUP($A328,Technologies!$A$7:$H$576,6,FALSE)</f>
        <v>Heat LT Industry</v>
      </c>
      <c r="F328" s="5" t="str">
        <f>VLOOKUP($A328,Technologies!$A$7:$H$576,7,FALSE)</f>
        <v>Co-Digestion Biomass - LT Heat for Industry</v>
      </c>
      <c r="G328" s="23"/>
      <c r="H328" s="23"/>
      <c r="I328" s="104" cm="1">
        <f t="array" ref="I328">-SUMPRODUCT((Feedstocks!$C$4:$C$141=A328)*Feedstocks!$E$4:$E$141,Feedstocks!$F$4:$F$141,Feedstocks!$H$4:$H$141,Feedstocks!$I$4:$I$141)</f>
        <v>0</v>
      </c>
      <c r="J328" s="104" cm="1">
        <f t="array" ref="J328">-SUMPRODUCT((Feedstocks!$C$4:$C$141=A328)*Feedstocks!$E$4:$E$141,Feedstocks!$H$4:$H$141,Feedstocks!$I$4:$I$141)</f>
        <v>0</v>
      </c>
      <c r="K328" s="104"/>
      <c r="L328" s="104"/>
      <c r="M328" s="23">
        <v>1</v>
      </c>
      <c r="N328" s="23" t="str">
        <f>VLOOKUP(E328,Activities!$A$9:$M$227,13,FALSE)</f>
        <v>NL</v>
      </c>
      <c r="O328" s="23"/>
      <c r="P328" s="79" t="s">
        <v>1519</v>
      </c>
      <c r="Q328" s="35"/>
      <c r="R328" s="35"/>
      <c r="S328" s="35"/>
      <c r="T328" s="35"/>
      <c r="U328" s="35"/>
      <c r="V328" s="35"/>
      <c r="W328" s="35"/>
      <c r="X328" s="35"/>
      <c r="Y328" s="35"/>
      <c r="Z328" s="35"/>
      <c r="AA328" s="35"/>
      <c r="AB328" s="35"/>
      <c r="AC328" s="35"/>
      <c r="AD328" s="35"/>
      <c r="AE328" s="35"/>
      <c r="AF328" s="36"/>
      <c r="AG328" s="36"/>
      <c r="AH328" s="36"/>
      <c r="AI328" s="36"/>
      <c r="AJ328" s="36"/>
      <c r="AK328" s="36"/>
      <c r="AL328" s="36"/>
      <c r="AM328" s="36"/>
      <c r="AN328" s="36"/>
      <c r="AO328" s="36"/>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v>1</v>
      </c>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v>-1.1764705882352899</v>
      </c>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18"/>
      <c r="GC328" s="178">
        <f t="shared" si="60"/>
        <v>0</v>
      </c>
      <c r="GD328" s="178">
        <f t="shared" si="61"/>
        <v>0</v>
      </c>
      <c r="GE328" s="178">
        <f t="shared" si="62"/>
        <v>0</v>
      </c>
      <c r="GF328" s="178">
        <f t="shared" si="63"/>
        <v>0</v>
      </c>
      <c r="GG328" s="178">
        <f t="shared" si="51"/>
        <v>0</v>
      </c>
    </row>
    <row r="329" spans="1:189" x14ac:dyDescent="0.35">
      <c r="A329" s="6" t="s">
        <v>1456</v>
      </c>
      <c r="B329" s="6" t="str">
        <f>IF(Technologies!B329&lt;&gt;0,Technologies!B329,"")</f>
        <v>Industrie</v>
      </c>
      <c r="C329" s="6" t="str">
        <f>VLOOKUP($A329,Technologies!$A$7:$H$576,3,FALSE)</f>
        <v>Conversion</v>
      </c>
      <c r="D329" s="6" t="str">
        <f>VLOOKUP($A329,Technologies!$A$7:$H$576,4,FALSE)</f>
        <v>Industry</v>
      </c>
      <c r="E329" s="6" t="str">
        <f>VLOOKUP($A329,Technologies!$A$7:$H$576,6,FALSE)</f>
        <v>Furnace Heat Industry</v>
      </c>
      <c r="F329" s="48" t="str">
        <f>VLOOKUP($A329,Technologies!$A$7:$H$576,7,FALSE)</f>
        <v>Natural Gas Furnace - FH Industry</v>
      </c>
      <c r="G329" s="22"/>
      <c r="H329" s="22"/>
      <c r="I329" s="103" cm="1">
        <f t="array" ref="I329">-SUMPRODUCT((Feedstocks!$C$4:$C$141=A329)*Feedstocks!$E$4:$E$141,Feedstocks!$F$4:$F$141,Feedstocks!$H$4:$H$141,Feedstocks!$I$4:$I$141)</f>
        <v>0</v>
      </c>
      <c r="J329" s="103" cm="1">
        <f t="array" ref="J329">-SUMPRODUCT((Feedstocks!$C$4:$C$141=A329)*Feedstocks!$E$4:$E$141,Feedstocks!$H$4:$H$141,Feedstocks!$I$4:$I$141)</f>
        <v>0</v>
      </c>
      <c r="K329" s="103"/>
      <c r="L329" s="103"/>
      <c r="M329" s="22">
        <v>1</v>
      </c>
      <c r="N329" s="22" t="str">
        <f>VLOOKUP(E329,Activities!$A$9:$M$227,13,FALSE)</f>
        <v>NL</v>
      </c>
      <c r="O329" s="22"/>
      <c r="P329" s="80"/>
      <c r="Q329" s="36"/>
      <c r="R329" s="36"/>
      <c r="S329" s="36"/>
      <c r="T329" s="36"/>
      <c r="U329" s="36"/>
      <c r="V329" s="36"/>
      <c r="W329" s="36"/>
      <c r="X329" s="36"/>
      <c r="Y329" s="36"/>
      <c r="Z329" s="36"/>
      <c r="AA329" s="36"/>
      <c r="AB329" s="36"/>
      <c r="AC329" s="36"/>
      <c r="AD329" s="36"/>
      <c r="AE329" s="36"/>
      <c r="AF329" s="35"/>
      <c r="AG329" s="35"/>
      <c r="AH329" s="35"/>
      <c r="AI329" s="35"/>
      <c r="AJ329" s="35"/>
      <c r="AK329" s="35"/>
      <c r="AL329" s="35"/>
      <c r="AM329" s="35"/>
      <c r="AN329" s="35"/>
      <c r="AO329" s="35"/>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c r="CW329" s="36"/>
      <c r="CX329" s="36"/>
      <c r="CY329" s="36"/>
      <c r="CZ329" s="36"/>
      <c r="DA329" s="36"/>
      <c r="DB329" s="36"/>
      <c r="DC329" s="36"/>
      <c r="DD329" s="36"/>
      <c r="DE329" s="36"/>
      <c r="DF329" s="36"/>
      <c r="DG329" s="36"/>
      <c r="DH329" s="36"/>
      <c r="DI329" s="36"/>
      <c r="DJ329" s="36"/>
      <c r="DK329" s="36"/>
      <c r="DL329" s="36"/>
      <c r="DM329" s="36"/>
      <c r="DN329" s="36"/>
      <c r="DO329" s="36"/>
      <c r="DP329" s="36"/>
      <c r="DQ329" s="36">
        <v>1</v>
      </c>
      <c r="DR329" s="36"/>
      <c r="DS329" s="36"/>
      <c r="DT329" s="36"/>
      <c r="DU329" s="36"/>
      <c r="DV329" s="36"/>
      <c r="DW329" s="36"/>
      <c r="DX329" s="36"/>
      <c r="DY329" s="36"/>
      <c r="DZ329" s="36"/>
      <c r="EA329" s="36"/>
      <c r="EB329" s="36"/>
      <c r="EC329" s="36"/>
      <c r="ED329" s="36"/>
      <c r="EE329" s="36"/>
      <c r="EF329" s="36"/>
      <c r="EG329" s="36"/>
      <c r="EH329" s="36"/>
      <c r="EI329" s="36"/>
      <c r="EJ329" s="36">
        <v>-1.2</v>
      </c>
      <c r="EK329" s="36"/>
      <c r="EL329" s="36"/>
      <c r="EM329" s="36"/>
      <c r="EN329" s="36"/>
      <c r="EO329" s="36"/>
      <c r="EP329" s="36"/>
      <c r="EQ329" s="36"/>
      <c r="ER329" s="36"/>
      <c r="ES329" s="36"/>
      <c r="ET329" s="36"/>
      <c r="EU329" s="36"/>
      <c r="EV329" s="36"/>
      <c r="EW329" s="36"/>
      <c r="EX329" s="36"/>
      <c r="EY329" s="36"/>
      <c r="EZ329" s="36"/>
      <c r="FA329" s="36"/>
      <c r="FB329" s="36"/>
      <c r="FC329" s="36"/>
      <c r="FD329" s="36"/>
      <c r="FE329" s="36"/>
      <c r="FF329" s="36"/>
      <c r="FG329" s="36"/>
      <c r="FH329" s="36"/>
      <c r="FI329" s="36"/>
      <c r="FJ329" s="36"/>
      <c r="FK329" s="36"/>
      <c r="FL329" s="36"/>
      <c r="FM329" s="36"/>
      <c r="FN329" s="36"/>
      <c r="FO329" s="36"/>
      <c r="FP329" s="36"/>
      <c r="FQ329" s="36"/>
      <c r="FR329" s="36"/>
      <c r="FS329" s="36"/>
      <c r="FT329" s="36"/>
      <c r="FU329" s="36"/>
      <c r="FV329" s="36"/>
      <c r="FW329" s="36"/>
      <c r="FX329" s="36"/>
      <c r="FY329" s="36"/>
      <c r="FZ329" s="36"/>
      <c r="GA329" s="36"/>
      <c r="GB329" s="319"/>
      <c r="GC329" s="179">
        <f t="shared" si="60"/>
        <v>0</v>
      </c>
      <c r="GD329" s="179">
        <f t="shared" si="61"/>
        <v>6.7900000000000002E-2</v>
      </c>
      <c r="GE329" s="179">
        <f t="shared" si="62"/>
        <v>0</v>
      </c>
      <c r="GF329" s="179">
        <f t="shared" si="63"/>
        <v>0</v>
      </c>
      <c r="GG329" s="179">
        <f t="shared" si="51"/>
        <v>0</v>
      </c>
    </row>
    <row r="330" spans="1:189" x14ac:dyDescent="0.35">
      <c r="A330" s="5" t="s">
        <v>1458</v>
      </c>
      <c r="B330" s="5" t="str">
        <f>IF(Technologies!B330&lt;&gt;0,Technologies!B330,"")</f>
        <v>Industrie</v>
      </c>
      <c r="C330" s="5" t="str">
        <f>VLOOKUP($A330,Technologies!$A$7:$H$576,3,FALSE)</f>
        <v>Conversion</v>
      </c>
      <c r="D330" s="5" t="str">
        <f>VLOOKUP($A330,Technologies!$A$7:$H$576,4,FALSE)</f>
        <v>Industry</v>
      </c>
      <c r="E330" s="5" t="str">
        <f>VLOOKUP($A330,Technologies!$A$7:$H$576,6,FALSE)</f>
        <v>Furnace Heat Industry</v>
      </c>
      <c r="F330" s="5" t="str">
        <f>VLOOKUP($A330,Technologies!$A$7:$H$576,7,FALSE)</f>
        <v>Natural Gas Furnace wCCUS - FH Industry</v>
      </c>
      <c r="G330" s="23">
        <v>0.8</v>
      </c>
      <c r="H330" s="23"/>
      <c r="I330" s="104" cm="1">
        <f t="array" ref="I330">-SUMPRODUCT((Feedstocks!$C$4:$C$141=A330)*Feedstocks!$E$4:$E$141,Feedstocks!$F$4:$F$141,Feedstocks!$H$4:$H$141,Feedstocks!$I$4:$I$141)</f>
        <v>0</v>
      </c>
      <c r="J330" s="104" cm="1">
        <f t="array" ref="J330">-SUMPRODUCT((Feedstocks!$C$4:$C$141=A330)*Feedstocks!$E$4:$E$141,Feedstocks!$H$4:$H$141,Feedstocks!$I$4:$I$141)</f>
        <v>0</v>
      </c>
      <c r="K330" s="104"/>
      <c r="L330" s="104"/>
      <c r="M330" s="23">
        <v>1</v>
      </c>
      <c r="N330" s="23" t="str">
        <f>VLOOKUP(E330,Activities!$A$9:$M$227,13,FALSE)</f>
        <v>NL</v>
      </c>
      <c r="O330" s="23"/>
      <c r="P330" s="79"/>
      <c r="Q330" s="35"/>
      <c r="R330" s="35"/>
      <c r="S330" s="35"/>
      <c r="T330" s="35"/>
      <c r="U330" s="35"/>
      <c r="V330" s="35"/>
      <c r="W330" s="35"/>
      <c r="X330" s="35"/>
      <c r="Y330" s="35"/>
      <c r="Z330" s="35"/>
      <c r="AA330" s="35"/>
      <c r="AB330" s="35"/>
      <c r="AC330" s="35"/>
      <c r="AD330" s="35"/>
      <c r="AE330" s="35"/>
      <c r="AF330" s="36"/>
      <c r="AG330" s="36"/>
      <c r="AH330" s="36"/>
      <c r="AI330" s="36"/>
      <c r="AJ330" s="36"/>
      <c r="AK330" s="36"/>
      <c r="AL330" s="36"/>
      <c r="AM330" s="36"/>
      <c r="AN330" s="36"/>
      <c r="AO330" s="36"/>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v>1</v>
      </c>
      <c r="DR330" s="35"/>
      <c r="DS330" s="35"/>
      <c r="DT330" s="35"/>
      <c r="DU330" s="35"/>
      <c r="DV330" s="35"/>
      <c r="DW330" s="35"/>
      <c r="DX330" s="35"/>
      <c r="DY330" s="35"/>
      <c r="DZ330" s="35"/>
      <c r="EA330" s="35"/>
      <c r="EB330" s="35"/>
      <c r="EC330" s="35"/>
      <c r="ED330" s="35"/>
      <c r="EE330" s="35"/>
      <c r="EF330" s="35"/>
      <c r="EG330" s="35"/>
      <c r="EH330" s="35"/>
      <c r="EI330" s="35"/>
      <c r="EJ330" s="35">
        <v>-1.3</v>
      </c>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18"/>
      <c r="GC330" s="178">
        <f t="shared" si="60"/>
        <v>5.8900000000000001E-2</v>
      </c>
      <c r="GD330" s="178">
        <f t="shared" si="61"/>
        <v>1.47E-2</v>
      </c>
      <c r="GE330" s="178">
        <f t="shared" si="62"/>
        <v>0</v>
      </c>
      <c r="GF330" s="178">
        <f t="shared" si="63"/>
        <v>0</v>
      </c>
      <c r="GG330" s="178">
        <f t="shared" si="51"/>
        <v>0</v>
      </c>
    </row>
    <row r="331" spans="1:189" x14ac:dyDescent="0.35">
      <c r="A331" s="6" t="s">
        <v>1460</v>
      </c>
      <c r="B331" s="6" t="str">
        <f>IF(Technologies!B331&lt;&gt;0,Technologies!B331,"")</f>
        <v>Industrie</v>
      </c>
      <c r="C331" s="6" t="str">
        <f>VLOOKUP($A331,Technologies!$A$7:$H$576,3,FALSE)</f>
        <v>Conversion</v>
      </c>
      <c r="D331" s="6" t="str">
        <f>VLOOKUP($A331,Technologies!$A$7:$H$576,4,FALSE)</f>
        <v>Industry</v>
      </c>
      <c r="E331" s="6" t="str">
        <f>VLOOKUP($A331,Technologies!$A$7:$H$576,6,FALSE)</f>
        <v>Furnace Heat Industry</v>
      </c>
      <c r="F331" s="48" t="str">
        <f>VLOOKUP($A331,Technologies!$A$7:$H$576,7,FALSE)</f>
        <v>Biomass Furnace - FH Industry</v>
      </c>
      <c r="G331" s="22"/>
      <c r="H331" s="22"/>
      <c r="I331" s="103" cm="1">
        <f t="array" ref="I331">-SUMPRODUCT((Feedstocks!$C$4:$C$141=A331)*Feedstocks!$E$4:$E$141,Feedstocks!$F$4:$F$141,Feedstocks!$H$4:$H$141,Feedstocks!$I$4:$I$141)</f>
        <v>0</v>
      </c>
      <c r="J331" s="103" cm="1">
        <f t="array" ref="J331">-SUMPRODUCT((Feedstocks!$C$4:$C$141=A331)*Feedstocks!$E$4:$E$141,Feedstocks!$H$4:$H$141,Feedstocks!$I$4:$I$141)</f>
        <v>0</v>
      </c>
      <c r="K331" s="103"/>
      <c r="L331" s="103"/>
      <c r="M331" s="22">
        <v>1</v>
      </c>
      <c r="N331" s="22" t="str">
        <f>VLOOKUP(E331,Activities!$A$9:$M$227,13,FALSE)</f>
        <v>NL</v>
      </c>
      <c r="O331" s="22"/>
      <c r="P331" s="80"/>
      <c r="Q331" s="36"/>
      <c r="R331" s="36"/>
      <c r="S331" s="36"/>
      <c r="T331" s="36"/>
      <c r="U331" s="36"/>
      <c r="V331" s="36"/>
      <c r="W331" s="36"/>
      <c r="X331" s="36"/>
      <c r="Y331" s="36"/>
      <c r="Z331" s="36"/>
      <c r="AA331" s="36"/>
      <c r="AB331" s="36"/>
      <c r="AC331" s="36"/>
      <c r="AD331" s="36"/>
      <c r="AE331" s="36"/>
      <c r="AF331" s="35"/>
      <c r="AG331" s="35"/>
      <c r="AH331" s="35"/>
      <c r="AI331" s="35"/>
      <c r="AJ331" s="35"/>
      <c r="AK331" s="35"/>
      <c r="AL331" s="35"/>
      <c r="AM331" s="35"/>
      <c r="AN331" s="35"/>
      <c r="AO331" s="35"/>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v>1</v>
      </c>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v>-1.3</v>
      </c>
      <c r="ES331" s="36"/>
      <c r="ET331" s="36"/>
      <c r="EU331" s="36"/>
      <c r="EV331" s="36"/>
      <c r="EW331" s="36"/>
      <c r="EX331" s="36"/>
      <c r="EY331" s="36"/>
      <c r="EZ331" s="36"/>
      <c r="FA331" s="36"/>
      <c r="FB331" s="36"/>
      <c r="FC331" s="36"/>
      <c r="FD331" s="36"/>
      <c r="FE331" s="36"/>
      <c r="FF331" s="36"/>
      <c r="FG331" s="36"/>
      <c r="FH331" s="36"/>
      <c r="FI331" s="36"/>
      <c r="FJ331" s="36"/>
      <c r="FK331" s="36"/>
      <c r="FL331" s="36"/>
      <c r="FM331" s="36"/>
      <c r="FN331" s="36"/>
      <c r="FO331" s="36"/>
      <c r="FP331" s="36"/>
      <c r="FQ331" s="36"/>
      <c r="FR331" s="36"/>
      <c r="FS331" s="36"/>
      <c r="FT331" s="36"/>
      <c r="FU331" s="36"/>
      <c r="FV331" s="36"/>
      <c r="FW331" s="36"/>
      <c r="FX331" s="36"/>
      <c r="FY331" s="36"/>
      <c r="FZ331" s="36"/>
      <c r="GA331" s="36"/>
      <c r="GB331" s="319"/>
      <c r="GC331" s="179">
        <f t="shared" si="60"/>
        <v>0</v>
      </c>
      <c r="GD331" s="179">
        <f t="shared" si="61"/>
        <v>0</v>
      </c>
      <c r="GE331" s="179">
        <f t="shared" si="62"/>
        <v>0</v>
      </c>
      <c r="GF331" s="179">
        <f t="shared" si="63"/>
        <v>0</v>
      </c>
      <c r="GG331" s="179">
        <f t="shared" si="51"/>
        <v>0</v>
      </c>
    </row>
    <row r="332" spans="1:189" x14ac:dyDescent="0.35">
      <c r="A332" s="5" t="s">
        <v>1462</v>
      </c>
      <c r="B332" s="5" t="str">
        <f>IF(Technologies!B332&lt;&gt;0,Technologies!B332,"")</f>
        <v>Industrie</v>
      </c>
      <c r="C332" s="5" t="str">
        <f>VLOOKUP($A332,Technologies!$A$7:$H$576,3,FALSE)</f>
        <v>Conversion</v>
      </c>
      <c r="D332" s="5" t="str">
        <f>VLOOKUP($A332,Technologies!$A$7:$H$576,4,FALSE)</f>
        <v>Industry</v>
      </c>
      <c r="E332" s="5" t="str">
        <f>VLOOKUP($A332,Technologies!$A$7:$H$576,6,FALSE)</f>
        <v>Furnace Heat Industry</v>
      </c>
      <c r="F332" s="5" t="str">
        <f>VLOOKUP($A332,Technologies!$A$7:$H$576,7,FALSE)</f>
        <v>Biomass Furnace wCCUS - FH Industry</v>
      </c>
      <c r="G332" s="23">
        <v>0.8</v>
      </c>
      <c r="H332" s="23"/>
      <c r="I332" s="104" cm="1">
        <f t="array" ref="I332">-SUMPRODUCT((Feedstocks!$C$4:$C$141=A332)*Feedstocks!$E$4:$E$141,Feedstocks!$F$4:$F$141,Feedstocks!$H$4:$H$141,Feedstocks!$I$4:$I$141)</f>
        <v>0</v>
      </c>
      <c r="J332" s="104" cm="1">
        <f t="array" ref="J332">-SUMPRODUCT((Feedstocks!$C$4:$C$141=A332)*Feedstocks!$E$4:$E$141,Feedstocks!$H$4:$H$141,Feedstocks!$I$4:$I$141)</f>
        <v>0</v>
      </c>
      <c r="K332" s="104"/>
      <c r="L332" s="104"/>
      <c r="M332" s="23">
        <v>1</v>
      </c>
      <c r="N332" s="23" t="str">
        <f>VLOOKUP(E332,Activities!$A$9:$M$227,13,FALSE)</f>
        <v>NL</v>
      </c>
      <c r="O332" s="23"/>
      <c r="P332" s="79"/>
      <c r="Q332" s="35"/>
      <c r="R332" s="35"/>
      <c r="S332" s="35"/>
      <c r="T332" s="35"/>
      <c r="U332" s="35"/>
      <c r="V332" s="35"/>
      <c r="W332" s="35"/>
      <c r="X332" s="35"/>
      <c r="Y332" s="35"/>
      <c r="Z332" s="35"/>
      <c r="AA332" s="35"/>
      <c r="AB332" s="35"/>
      <c r="AC332" s="35"/>
      <c r="AD332" s="35"/>
      <c r="AE332" s="35"/>
      <c r="AF332" s="36"/>
      <c r="AG332" s="36"/>
      <c r="AH332" s="36"/>
      <c r="AI332" s="36"/>
      <c r="AJ332" s="36"/>
      <c r="AK332" s="36"/>
      <c r="AL332" s="36"/>
      <c r="AM332" s="36"/>
      <c r="AN332" s="36"/>
      <c r="AO332" s="36"/>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v>1</v>
      </c>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v>-1.4</v>
      </c>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18">
        <f>GC332</f>
        <v>0.12280000000000001</v>
      </c>
      <c r="GC332" s="178">
        <f t="shared" si="60"/>
        <v>0.12280000000000001</v>
      </c>
      <c r="GD332" s="178">
        <f t="shared" si="61"/>
        <v>-0.12280000000000001</v>
      </c>
      <c r="GE332" s="178">
        <f t="shared" si="62"/>
        <v>0</v>
      </c>
      <c r="GF332" s="178">
        <f t="shared" si="63"/>
        <v>0</v>
      </c>
      <c r="GG332" s="178">
        <f t="shared" si="51"/>
        <v>0</v>
      </c>
    </row>
    <row r="333" spans="1:189" x14ac:dyDescent="0.35">
      <c r="A333" s="6" t="s">
        <v>1464</v>
      </c>
      <c r="B333" s="6" t="str">
        <f>IF(Technologies!B333&lt;&gt;0,Technologies!B333,"")</f>
        <v>Industrie</v>
      </c>
      <c r="C333" s="6" t="str">
        <f>VLOOKUP($A333,Technologies!$A$7:$H$576,3,FALSE)</f>
        <v>Conversion</v>
      </c>
      <c r="D333" s="6" t="str">
        <f>VLOOKUP($A333,Technologies!$A$7:$H$576,4,FALSE)</f>
        <v>Industry</v>
      </c>
      <c r="E333" s="6" t="str">
        <f>VLOOKUP($A333,Technologies!$A$7:$H$576,6,FALSE)</f>
        <v>Furnace Heat Industry</v>
      </c>
      <c r="F333" s="48" t="str">
        <f>VLOOKUP($A333,Technologies!$A$7:$H$576,7,FALSE)</f>
        <v>Hydrogen Furnace - FH Industry</v>
      </c>
      <c r="G333" s="22"/>
      <c r="H333" s="22"/>
      <c r="I333" s="103" cm="1">
        <f t="array" ref="I333">-SUMPRODUCT((Feedstocks!$C$4:$C$141=A333)*Feedstocks!$E$4:$E$141,Feedstocks!$F$4:$F$141,Feedstocks!$H$4:$H$141,Feedstocks!$I$4:$I$141)</f>
        <v>0</v>
      </c>
      <c r="J333" s="103" cm="1">
        <f t="array" ref="J333">-SUMPRODUCT((Feedstocks!$C$4:$C$141=A333)*Feedstocks!$E$4:$E$141,Feedstocks!$H$4:$H$141,Feedstocks!$I$4:$I$141)</f>
        <v>0</v>
      </c>
      <c r="K333" s="103"/>
      <c r="L333" s="103"/>
      <c r="M333" s="22">
        <v>1</v>
      </c>
      <c r="N333" s="22" t="str">
        <f>VLOOKUP(E333,Activities!$A$9:$M$227,13,FALSE)</f>
        <v>NL</v>
      </c>
      <c r="O333" s="22"/>
      <c r="P333" s="80"/>
      <c r="Q333" s="36"/>
      <c r="R333" s="36"/>
      <c r="S333" s="36"/>
      <c r="T333" s="36"/>
      <c r="U333" s="36"/>
      <c r="V333" s="36"/>
      <c r="W333" s="36"/>
      <c r="X333" s="36"/>
      <c r="Y333" s="36"/>
      <c r="Z333" s="36"/>
      <c r="AA333" s="36"/>
      <c r="AB333" s="36"/>
      <c r="AC333" s="36"/>
      <c r="AD333" s="36"/>
      <c r="AE333" s="36"/>
      <c r="AF333" s="35"/>
      <c r="AG333" s="35"/>
      <c r="AH333" s="35"/>
      <c r="AI333" s="35"/>
      <c r="AJ333" s="35"/>
      <c r="AK333" s="35"/>
      <c r="AL333" s="35"/>
      <c r="AM333" s="35"/>
      <c r="AN333" s="35"/>
      <c r="AO333" s="35"/>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c r="CW333" s="36"/>
      <c r="CX333" s="36"/>
      <c r="CY333" s="36"/>
      <c r="CZ333" s="36"/>
      <c r="DA333" s="36"/>
      <c r="DB333" s="36"/>
      <c r="DC333" s="36"/>
      <c r="DD333" s="36"/>
      <c r="DE333" s="36"/>
      <c r="DF333" s="36"/>
      <c r="DG333" s="36"/>
      <c r="DH333" s="36"/>
      <c r="DI333" s="36"/>
      <c r="DJ333" s="36"/>
      <c r="DK333" s="36"/>
      <c r="DL333" s="36"/>
      <c r="DM333" s="36"/>
      <c r="DN333" s="36"/>
      <c r="DO333" s="36"/>
      <c r="DP333" s="36"/>
      <c r="DQ333" s="36">
        <v>1</v>
      </c>
      <c r="DR333" s="36"/>
      <c r="DS333" s="36"/>
      <c r="DT333" s="36"/>
      <c r="DU333" s="36"/>
      <c r="DV333" s="36"/>
      <c r="DW333" s="36"/>
      <c r="DX333" s="36"/>
      <c r="DY333" s="36"/>
      <c r="DZ333" s="36"/>
      <c r="EA333" s="36"/>
      <c r="EB333" s="36"/>
      <c r="EC333" s="36"/>
      <c r="ED333" s="36"/>
      <c r="EE333" s="36"/>
      <c r="EF333" s="36"/>
      <c r="EG333" s="36"/>
      <c r="EH333" s="36"/>
      <c r="EI333" s="36"/>
      <c r="EJ333" s="36"/>
      <c r="EK333" s="36"/>
      <c r="EL333" s="36"/>
      <c r="EM333" s="36">
        <v>-1.1499999999999999</v>
      </c>
      <c r="EN333" s="36"/>
      <c r="EO333" s="36"/>
      <c r="EP333" s="36"/>
      <c r="EQ333" s="36"/>
      <c r="ER333" s="36"/>
      <c r="ES333" s="36"/>
      <c r="ET333" s="36"/>
      <c r="EU333" s="36"/>
      <c r="EV333" s="36"/>
      <c r="EW333" s="36"/>
      <c r="EX333" s="36"/>
      <c r="EY333" s="36"/>
      <c r="EZ333" s="36"/>
      <c r="FA333" s="36"/>
      <c r="FB333" s="36"/>
      <c r="FC333" s="36"/>
      <c r="FD333" s="36"/>
      <c r="FE333" s="36"/>
      <c r="FF333" s="36"/>
      <c r="FG333" s="36"/>
      <c r="FH333" s="36"/>
      <c r="FI333" s="36"/>
      <c r="FJ333" s="36"/>
      <c r="FK333" s="36"/>
      <c r="FL333" s="36"/>
      <c r="FM333" s="36"/>
      <c r="FN333" s="36"/>
      <c r="FO333" s="36"/>
      <c r="FP333" s="36"/>
      <c r="FQ333" s="36"/>
      <c r="FR333" s="36"/>
      <c r="FS333" s="36"/>
      <c r="FT333" s="36"/>
      <c r="FU333" s="36"/>
      <c r="FV333" s="36"/>
      <c r="FW333" s="36"/>
      <c r="FX333" s="36"/>
      <c r="FY333" s="36"/>
      <c r="FZ333" s="36"/>
      <c r="GA333" s="36"/>
      <c r="GB333" s="319"/>
      <c r="GC333" s="179">
        <f t="shared" si="60"/>
        <v>0</v>
      </c>
      <c r="GD333" s="179">
        <f t="shared" si="61"/>
        <v>0</v>
      </c>
      <c r="GE333" s="179">
        <f t="shared" si="62"/>
        <v>0</v>
      </c>
      <c r="GF333" s="179">
        <f t="shared" si="63"/>
        <v>0</v>
      </c>
      <c r="GG333" s="179">
        <f t="shared" si="51"/>
        <v>0</v>
      </c>
    </row>
    <row r="334" spans="1:189" x14ac:dyDescent="0.35">
      <c r="A334" s="5" t="s">
        <v>1466</v>
      </c>
      <c r="B334" s="5" t="str">
        <f>IF(Technologies!B334&lt;&gt;0,Technologies!B334,"")</f>
        <v>Industrie</v>
      </c>
      <c r="C334" s="5" t="str">
        <f>VLOOKUP($A334,Technologies!$A$7:$H$576,3,FALSE)</f>
        <v>Conversion</v>
      </c>
      <c r="D334" s="5" t="str">
        <f>VLOOKUP($A334,Technologies!$A$7:$H$576,4,FALSE)</f>
        <v>Industry</v>
      </c>
      <c r="E334" s="5" t="str">
        <f>VLOOKUP($A334,Technologies!$A$7:$H$576,6,FALSE)</f>
        <v>Furnace Heat Industry</v>
      </c>
      <c r="F334" s="5" t="str">
        <f>VLOOKUP($A334,Technologies!$A$7:$H$576,7,FALSE)</f>
        <v>Electric Furnace - FH Industry</v>
      </c>
      <c r="G334" s="23"/>
      <c r="H334" s="23"/>
      <c r="I334" s="104" cm="1">
        <f t="array" ref="I334">-SUMPRODUCT((Feedstocks!$C$4:$C$141=A334)*Feedstocks!$E$4:$E$141,Feedstocks!$F$4:$F$141,Feedstocks!$H$4:$H$141,Feedstocks!$I$4:$I$141)</f>
        <v>0</v>
      </c>
      <c r="J334" s="104" cm="1">
        <f t="array" ref="J334">-SUMPRODUCT((Feedstocks!$C$4:$C$141=A334)*Feedstocks!$E$4:$E$141,Feedstocks!$H$4:$H$141,Feedstocks!$I$4:$I$141)</f>
        <v>0</v>
      </c>
      <c r="K334" s="104"/>
      <c r="L334" s="104"/>
      <c r="M334" s="23">
        <v>1</v>
      </c>
      <c r="N334" s="23" t="str">
        <f>VLOOKUP(E334,Activities!$A$9:$M$227,13,FALSE)</f>
        <v>NL</v>
      </c>
      <c r="O334" s="23"/>
      <c r="P334" s="79"/>
      <c r="Q334" s="35"/>
      <c r="R334" s="35"/>
      <c r="S334" s="35"/>
      <c r="T334" s="35"/>
      <c r="U334" s="35"/>
      <c r="V334" s="35"/>
      <c r="W334" s="35"/>
      <c r="X334" s="35"/>
      <c r="Y334" s="35"/>
      <c r="Z334" s="35"/>
      <c r="AA334" s="35"/>
      <c r="AB334" s="35"/>
      <c r="AC334" s="35"/>
      <c r="AD334" s="35"/>
      <c r="AE334" s="35"/>
      <c r="AF334" s="36"/>
      <c r="AG334" s="36"/>
      <c r="AH334" s="36"/>
      <c r="AI334" s="36"/>
      <c r="AJ334" s="36"/>
      <c r="AK334" s="36"/>
      <c r="AL334" s="36"/>
      <c r="AM334" s="36"/>
      <c r="AN334" s="36"/>
      <c r="AO334" s="36"/>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v>-1.25</v>
      </c>
      <c r="DI334" s="35"/>
      <c r="DJ334" s="35"/>
      <c r="DK334" s="35"/>
      <c r="DL334" s="35"/>
      <c r="DM334" s="35"/>
      <c r="DN334" s="35"/>
      <c r="DO334" s="35"/>
      <c r="DP334" s="35"/>
      <c r="DQ334" s="35">
        <v>1</v>
      </c>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18"/>
      <c r="GC334" s="178">
        <f t="shared" si="60"/>
        <v>0</v>
      </c>
      <c r="GD334" s="178">
        <f t="shared" si="61"/>
        <v>0</v>
      </c>
      <c r="GE334" s="178">
        <f t="shared" si="62"/>
        <v>0</v>
      </c>
      <c r="GF334" s="178">
        <f t="shared" si="63"/>
        <v>0</v>
      </c>
      <c r="GG334" s="178">
        <f t="shared" si="51"/>
        <v>0</v>
      </c>
    </row>
    <row r="335" spans="1:189" x14ac:dyDescent="0.35">
      <c r="A335" s="6" t="s">
        <v>1468</v>
      </c>
      <c r="B335" s="6" t="str">
        <f>IF(Technologies!B335&lt;&gt;0,Technologies!B335,"")</f>
        <v>Industrie</v>
      </c>
      <c r="C335" s="6" t="str">
        <f>VLOOKUP($A335,Technologies!$A$7:$H$576,3,FALSE)</f>
        <v>Primary</v>
      </c>
      <c r="D335" s="6" t="str">
        <f>VLOOKUP($A335,Technologies!$A$7:$H$576,4,FALSE)</f>
        <v>Fossil</v>
      </c>
      <c r="E335" s="6" t="str">
        <f>VLOOKUP($A335,Technologies!$A$7:$H$576,6,FALSE)</f>
        <v>LPG</v>
      </c>
      <c r="F335" s="48" t="str">
        <f>VLOOKUP($A335,Technologies!$A$7:$H$576,7,FALSE)</f>
        <v>Imported LPG - Refineries</v>
      </c>
      <c r="G335" s="22"/>
      <c r="H335" s="22"/>
      <c r="I335" s="103" cm="1">
        <f t="array" ref="I335">-SUMPRODUCT((Feedstocks!$C$4:$C$141=A335)*Feedstocks!$E$4:$E$141,Feedstocks!$F$4:$F$141,Feedstocks!$H$4:$H$141,Feedstocks!$I$4:$I$141)</f>
        <v>0</v>
      </c>
      <c r="J335" s="103" cm="1">
        <f t="array" ref="J335">-SUMPRODUCT((Feedstocks!$C$4:$C$141=A335)*Feedstocks!$E$4:$E$141,Feedstocks!$H$4:$H$141,Feedstocks!$I$4:$I$141)</f>
        <v>0</v>
      </c>
      <c r="K335" s="103"/>
      <c r="L335" s="103"/>
      <c r="M335" s="22">
        <v>1</v>
      </c>
      <c r="N335" s="22" t="str">
        <f>VLOOKUP(E335,Activities!$A$9:$M$227,13,FALSE)</f>
        <v>NL</v>
      </c>
      <c r="O335" s="22"/>
      <c r="P335" s="80" t="s">
        <v>415</v>
      </c>
      <c r="Q335" s="36"/>
      <c r="R335" s="36"/>
      <c r="S335" s="36"/>
      <c r="T335" s="36"/>
      <c r="U335" s="36"/>
      <c r="V335" s="36"/>
      <c r="W335" s="36"/>
      <c r="X335" s="36"/>
      <c r="Y335" s="36"/>
      <c r="Z335" s="36"/>
      <c r="AA335" s="36"/>
      <c r="AB335" s="36"/>
      <c r="AC335" s="36"/>
      <c r="AD335" s="36"/>
      <c r="AE335" s="36"/>
      <c r="AF335" s="35"/>
      <c r="AG335" s="35"/>
      <c r="AH335" s="35"/>
      <c r="AI335" s="35"/>
      <c r="AJ335" s="35"/>
      <c r="AK335" s="35"/>
      <c r="AL335" s="35"/>
      <c r="AM335" s="35"/>
      <c r="AN335" s="35"/>
      <c r="AO335" s="35"/>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36"/>
      <c r="DK335" s="36"/>
      <c r="DL335" s="36"/>
      <c r="DM335" s="36"/>
      <c r="DN335" s="36"/>
      <c r="DO335" s="36"/>
      <c r="DP335" s="36"/>
      <c r="DQ335" s="36"/>
      <c r="DR335" s="36"/>
      <c r="DS335" s="36">
        <v>1</v>
      </c>
      <c r="DT335" s="36"/>
      <c r="DU335" s="36"/>
      <c r="DV335" s="36"/>
      <c r="DW335" s="36"/>
      <c r="DX335" s="36"/>
      <c r="DY335" s="36"/>
      <c r="DZ335" s="36"/>
      <c r="EA335" s="36"/>
      <c r="EB335" s="36"/>
      <c r="EC335" s="36"/>
      <c r="ED335" s="36"/>
      <c r="EE335" s="36"/>
      <c r="EF335" s="36"/>
      <c r="EG335" s="36"/>
      <c r="EH335" s="36"/>
      <c r="EI335" s="36"/>
      <c r="EJ335" s="36"/>
      <c r="EK335" s="36"/>
      <c r="EL335" s="36"/>
      <c r="EM335" s="36"/>
      <c r="EN335" s="36"/>
      <c r="EO335" s="36"/>
      <c r="EP335" s="36"/>
      <c r="EQ335" s="36"/>
      <c r="ER335" s="36"/>
      <c r="ES335" s="36"/>
      <c r="ET335" s="36"/>
      <c r="EU335" s="36"/>
      <c r="EV335" s="36"/>
      <c r="EW335" s="36"/>
      <c r="EX335" s="36"/>
      <c r="EY335" s="36"/>
      <c r="EZ335" s="36"/>
      <c r="FA335" s="36"/>
      <c r="FB335" s="36"/>
      <c r="FC335" s="36"/>
      <c r="FD335" s="36"/>
      <c r="FE335" s="36"/>
      <c r="FF335" s="36"/>
      <c r="FG335" s="36"/>
      <c r="FH335" s="36"/>
      <c r="FI335" s="36"/>
      <c r="FJ335" s="36"/>
      <c r="FK335" s="36"/>
      <c r="FL335" s="36"/>
      <c r="FM335" s="36"/>
      <c r="FN335" s="36"/>
      <c r="FO335" s="36"/>
      <c r="FP335" s="36"/>
      <c r="FQ335" s="36"/>
      <c r="FR335" s="36"/>
      <c r="FS335" s="36"/>
      <c r="FT335" s="36"/>
      <c r="FU335" s="36"/>
      <c r="FV335" s="36"/>
      <c r="FW335" s="36"/>
      <c r="FX335" s="36"/>
      <c r="FY335" s="36"/>
      <c r="FZ335" s="36"/>
      <c r="GA335" s="36"/>
      <c r="GB335" s="319"/>
      <c r="GC335" s="179">
        <f t="shared" si="60"/>
        <v>0</v>
      </c>
      <c r="GD335" s="179">
        <f t="shared" si="61"/>
        <v>0</v>
      </c>
      <c r="GE335" s="179">
        <f t="shared" si="62"/>
        <v>0</v>
      </c>
      <c r="GF335" s="179">
        <f t="shared" si="63"/>
        <v>0</v>
      </c>
      <c r="GG335" s="179">
        <f t="shared" si="51"/>
        <v>0</v>
      </c>
    </row>
    <row r="336" spans="1:189" x14ac:dyDescent="0.35">
      <c r="A336" s="5" t="s">
        <v>1472</v>
      </c>
      <c r="B336" s="5" t="str">
        <f>IF(Technologies!B336&lt;&gt;0,Technologies!B336,"")</f>
        <v>Industrie</v>
      </c>
      <c r="C336" s="5" t="str">
        <f>VLOOKUP($A336,Technologies!$A$7:$H$576,3,FALSE)</f>
        <v>Primary</v>
      </c>
      <c r="D336" s="5" t="str">
        <f>VLOOKUP($A336,Technologies!$A$7:$H$576,4,FALSE)</f>
        <v>Fossil</v>
      </c>
      <c r="E336" s="5" t="str">
        <f>VLOOKUP($A336,Technologies!$A$7:$H$576,6,FALSE)</f>
        <v>Naphtha</v>
      </c>
      <c r="F336" s="5" t="str">
        <f>VLOOKUP($A336,Technologies!$A$7:$H$576,7,FALSE)</f>
        <v>Imported Naphtha - Refineries</v>
      </c>
      <c r="G336" s="23"/>
      <c r="H336" s="23"/>
      <c r="I336" s="104" cm="1">
        <f t="array" ref="I336">-SUMPRODUCT((Feedstocks!$C$4:$C$141=A336)*Feedstocks!$E$4:$E$141,Feedstocks!$F$4:$F$141,Feedstocks!$H$4:$H$141,Feedstocks!$I$4:$I$141)</f>
        <v>0</v>
      </c>
      <c r="J336" s="104" cm="1">
        <f t="array" ref="J336">-SUMPRODUCT((Feedstocks!$C$4:$C$141=A336)*Feedstocks!$E$4:$E$141,Feedstocks!$H$4:$H$141,Feedstocks!$I$4:$I$141)</f>
        <v>0</v>
      </c>
      <c r="K336" s="104"/>
      <c r="L336" s="104"/>
      <c r="M336" s="23">
        <v>1</v>
      </c>
      <c r="N336" s="23" t="str">
        <f>VLOOKUP(E336,Activities!$A$9:$M$227,13,FALSE)</f>
        <v>NL</v>
      </c>
      <c r="O336" s="23"/>
      <c r="P336" s="79" t="s">
        <v>415</v>
      </c>
      <c r="Q336" s="35"/>
      <c r="R336" s="35"/>
      <c r="S336" s="35"/>
      <c r="T336" s="35"/>
      <c r="U336" s="35"/>
      <c r="V336" s="35"/>
      <c r="W336" s="35"/>
      <c r="X336" s="35"/>
      <c r="Y336" s="35"/>
      <c r="Z336" s="35"/>
      <c r="AA336" s="35"/>
      <c r="AB336" s="35"/>
      <c r="AC336" s="35"/>
      <c r="AD336" s="35"/>
      <c r="AE336" s="35"/>
      <c r="AF336" s="36"/>
      <c r="AG336" s="36"/>
      <c r="AH336" s="36"/>
      <c r="AI336" s="36"/>
      <c r="AJ336" s="36"/>
      <c r="AK336" s="36"/>
      <c r="AL336" s="36"/>
      <c r="AM336" s="36"/>
      <c r="AN336" s="36"/>
      <c r="AO336" s="36"/>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v>1</v>
      </c>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18"/>
      <c r="GC336" s="178">
        <f t="shared" si="60"/>
        <v>0</v>
      </c>
      <c r="GD336" s="178">
        <f t="shared" si="61"/>
        <v>0</v>
      </c>
      <c r="GE336" s="178">
        <f t="shared" si="62"/>
        <v>0</v>
      </c>
      <c r="GF336" s="178">
        <f t="shared" si="63"/>
        <v>0</v>
      </c>
      <c r="GG336" s="178">
        <f t="shared" si="51"/>
        <v>0</v>
      </c>
    </row>
    <row r="337" spans="1:189" x14ac:dyDescent="0.35">
      <c r="A337" s="6" t="s">
        <v>1474</v>
      </c>
      <c r="B337" s="6" t="str">
        <f>IF(Technologies!B337&lt;&gt;0,Technologies!B337,"")</f>
        <v>Industrie</v>
      </c>
      <c r="C337" s="6" t="str">
        <f>VLOOKUP($A337,Technologies!$A$7:$H$576,3,FALSE)</f>
        <v>Conversion</v>
      </c>
      <c r="D337" s="6" t="str">
        <f>VLOOKUP($A337,Technologies!$A$7:$H$576,4,FALSE)</f>
        <v>Refineries</v>
      </c>
      <c r="E337" s="6" t="str">
        <f>VLOOKUP($A337,Technologies!$A$7:$H$576,6,FALSE)</f>
        <v>Road Fuel</v>
      </c>
      <c r="F337" s="48" t="str">
        <f>VLOOKUP($A337,Technologies!$A$7:$H$576,7,FALSE)</f>
        <v>Deep cracking refinery - Refineries</v>
      </c>
      <c r="G337" s="22"/>
      <c r="H337" s="22"/>
      <c r="I337" s="103" cm="1">
        <f t="array" ref="I337">-SUMPRODUCT((Feedstocks!$C$4:$C$141=A337)*Feedstocks!$E$4:$E$141,Feedstocks!$F$4:$F$141,Feedstocks!$H$4:$H$141,Feedstocks!$I$4:$I$141)</f>
        <v>0</v>
      </c>
      <c r="J337" s="103" cm="1">
        <f t="array" ref="J337">-SUMPRODUCT((Feedstocks!$C$4:$C$141=A337)*Feedstocks!$E$4:$E$141,Feedstocks!$H$4:$H$141,Feedstocks!$I$4:$I$141)</f>
        <v>0</v>
      </c>
      <c r="K337" s="103"/>
      <c r="L337" s="103"/>
      <c r="M337" s="22">
        <v>1</v>
      </c>
      <c r="N337" s="22" t="str">
        <f>VLOOKUP(E337,Activities!$A$9:$M$227,13,FALSE)</f>
        <v>NL</v>
      </c>
      <c r="O337" s="22"/>
      <c r="P337" s="80" t="s">
        <v>415</v>
      </c>
      <c r="Q337" s="36"/>
      <c r="R337" s="36"/>
      <c r="S337" s="36"/>
      <c r="T337" s="36"/>
      <c r="U337" s="36"/>
      <c r="V337" s="36"/>
      <c r="W337" s="36"/>
      <c r="X337" s="36"/>
      <c r="Y337" s="36"/>
      <c r="Z337" s="36"/>
      <c r="AA337" s="36"/>
      <c r="AB337" s="36"/>
      <c r="AC337" s="36"/>
      <c r="AD337" s="36"/>
      <c r="AE337" s="36"/>
      <c r="AF337" s="35"/>
      <c r="AG337" s="203">
        <f>0.67*DV337/43</f>
        <v>7.7906976744186052E-3</v>
      </c>
      <c r="AH337" s="203"/>
      <c r="AI337" s="203"/>
      <c r="AJ337" s="203"/>
      <c r="AK337" s="203"/>
      <c r="AL337" s="203"/>
      <c r="AM337" s="203"/>
      <c r="AN337" s="203"/>
      <c r="AO337" s="203"/>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v>-0.02</v>
      </c>
      <c r="DI337" s="36"/>
      <c r="DJ337" s="36"/>
      <c r="DK337" s="36"/>
      <c r="DL337" s="36"/>
      <c r="DM337" s="36"/>
      <c r="DN337" s="36"/>
      <c r="DO337" s="36">
        <v>-0.01</v>
      </c>
      <c r="DP337" s="36"/>
      <c r="DQ337" s="36"/>
      <c r="DR337" s="36"/>
      <c r="DS337" s="36">
        <v>0.1</v>
      </c>
      <c r="DT337" s="36">
        <v>0.45</v>
      </c>
      <c r="DU337" s="36">
        <v>1</v>
      </c>
      <c r="DV337" s="36">
        <v>0.5</v>
      </c>
      <c r="DW337" s="36">
        <v>0.2</v>
      </c>
      <c r="DX337" s="36">
        <v>0.1</v>
      </c>
      <c r="DY337" s="36"/>
      <c r="DZ337" s="36"/>
      <c r="EA337" s="36"/>
      <c r="EB337" s="36"/>
      <c r="EC337" s="36"/>
      <c r="ED337" s="36"/>
      <c r="EE337" s="36"/>
      <c r="EF337" s="36"/>
      <c r="EG337" s="36"/>
      <c r="EH337" s="36"/>
      <c r="EI337" s="36"/>
      <c r="EJ337" s="36">
        <v>-0.05</v>
      </c>
      <c r="EK337" s="36"/>
      <c r="EL337" s="36"/>
      <c r="EM337" s="36"/>
      <c r="EN337" s="36"/>
      <c r="EO337" s="36"/>
      <c r="EP337" s="36"/>
      <c r="EQ337" s="36"/>
      <c r="ER337" s="36"/>
      <c r="ES337" s="36"/>
      <c r="ET337" s="36">
        <v>-2.5</v>
      </c>
      <c r="EU337" s="36"/>
      <c r="EV337" s="36"/>
      <c r="EW337" s="36"/>
      <c r="EX337" s="36"/>
      <c r="EY337" s="36"/>
      <c r="EZ337" s="36"/>
      <c r="FA337" s="36"/>
      <c r="FB337" s="36"/>
      <c r="FC337" s="36"/>
      <c r="FD337" s="36"/>
      <c r="FE337" s="36"/>
      <c r="FF337" s="36"/>
      <c r="FG337" s="36"/>
      <c r="FH337" s="36"/>
      <c r="FI337" s="36"/>
      <c r="FJ337" s="36"/>
      <c r="FK337" s="36"/>
      <c r="FL337" s="36"/>
      <c r="FM337" s="36"/>
      <c r="FN337" s="36"/>
      <c r="FO337" s="36"/>
      <c r="FP337" s="36"/>
      <c r="FQ337" s="36"/>
      <c r="FR337" s="36"/>
      <c r="FS337" s="36"/>
      <c r="FT337" s="36"/>
      <c r="FU337" s="36"/>
      <c r="FV337" s="36"/>
      <c r="FW337" s="36"/>
      <c r="FX337" s="36"/>
      <c r="FY337" s="36"/>
      <c r="FZ337" s="36"/>
      <c r="GA337" s="36"/>
      <c r="GB337" s="319"/>
      <c r="GC337" s="179">
        <f t="shared" ref="GC337:GC368" si="64">ROUND(IF($C337="Primary",0,-$G337*(SUMPRODUCT($Q$4:$GA$4,$Q337:$GA337)+$J337)-$H337)*IF($N337=GC$4,1,0),4)</f>
        <v>0</v>
      </c>
      <c r="GD337" s="179">
        <f t="shared" ref="GD337:GD368" si="65">ROUND(IF($C337="Primary",0,$M337*(1-$O337)*($G337*(SUMPRODUCT($Q$4:$GA$4,$Q337:$GA337)+$J337)+$H337-SUMPRODUCT($Q$5:$GA$5,$Q337:$GA337)-$I337+$K337))*IF($N337=GD$4,1,0),4)</f>
        <v>1.5299999999999999E-2</v>
      </c>
      <c r="GE337" s="179">
        <f t="shared" ref="GE337:GE368" si="66">ROUND(IF($C337="Primary",0,(1-$M337)*(1-$O337)*($G337*(SUMPRODUCT($Q$4:$GA$4,$Q337:$GA337)+$J337)+$H337-SUMPRODUCT($Q$5:$GA$5,$Q337:$GA337)-$I337+$L337))*IF($N337=GD$4,1,0),4)</f>
        <v>0</v>
      </c>
      <c r="GF337" s="179">
        <f t="shared" ref="GF337:GF368" si="67">ROUND(IF($C337="Primary",0,$O337*($G337*(SUMPRODUCT($Q$4:$GA$4,$Q337:$GA337)+$J337)-SUMPRODUCT($Q$5:$GA$5,$Q337:$GA337)-$I337))*IF($N337=GD$4,1,0),4)</f>
        <v>0</v>
      </c>
      <c r="GG337" s="179">
        <f t="shared" si="51"/>
        <v>0</v>
      </c>
    </row>
    <row r="338" spans="1:189" x14ac:dyDescent="0.35">
      <c r="A338" s="5" t="s">
        <v>1477</v>
      </c>
      <c r="B338" s="5" t="str">
        <f>IF(Technologies!B338&lt;&gt;0,Technologies!B338,"")</f>
        <v>Industrie</v>
      </c>
      <c r="C338" s="5" t="str">
        <f>VLOOKUP($A338,Technologies!$A$7:$H$576,3,FALSE)</f>
        <v>Conversion</v>
      </c>
      <c r="D338" s="5" t="str">
        <f>VLOOKUP($A338,Technologies!$A$7:$H$576,4,FALSE)</f>
        <v>Refineries</v>
      </c>
      <c r="E338" s="5" t="str">
        <f>VLOOKUP($A338,Technologies!$A$7:$H$576,6,FALSE)</f>
        <v>Road Fuel</v>
      </c>
      <c r="F338" s="5" t="str">
        <f>VLOOKUP($A338,Technologies!$A$7:$H$576,7,FALSE)</f>
        <v>Deep cracking refinery wCCS - Refineries</v>
      </c>
      <c r="G338" s="23">
        <v>0.8</v>
      </c>
      <c r="H338" s="23"/>
      <c r="I338" s="104" cm="1">
        <f t="array" ref="I338">-SUMPRODUCT((Feedstocks!$C$4:$C$141=A338)*Feedstocks!$E$4:$E$141,Feedstocks!$F$4:$F$141,Feedstocks!$H$4:$H$141,Feedstocks!$I$4:$I$141)</f>
        <v>0</v>
      </c>
      <c r="J338" s="104" cm="1">
        <f t="array" ref="J338">-SUMPRODUCT((Feedstocks!$C$4:$C$141=A338)*Feedstocks!$E$4:$E$141,Feedstocks!$H$4:$H$141,Feedstocks!$I$4:$I$141)</f>
        <v>0</v>
      </c>
      <c r="K338" s="104"/>
      <c r="L338" s="104"/>
      <c r="M338" s="23">
        <v>1</v>
      </c>
      <c r="N338" s="23" t="str">
        <f>VLOOKUP(E338,Activities!$A$9:$M$227,13,FALSE)</f>
        <v>NL</v>
      </c>
      <c r="O338" s="23"/>
      <c r="P338" s="79" t="s">
        <v>415</v>
      </c>
      <c r="Q338" s="35"/>
      <c r="R338" s="35"/>
      <c r="S338" s="35"/>
      <c r="T338" s="35"/>
      <c r="U338" s="35"/>
      <c r="V338" s="35"/>
      <c r="W338" s="35"/>
      <c r="X338" s="35"/>
      <c r="Y338" s="35"/>
      <c r="Z338" s="35"/>
      <c r="AA338" s="35"/>
      <c r="AB338" s="35"/>
      <c r="AC338" s="35"/>
      <c r="AD338" s="35"/>
      <c r="AE338" s="35"/>
      <c r="AF338" s="36"/>
      <c r="AG338" s="212">
        <f t="shared" ref="AG338:AG342" si="68">0.67*DV338/43</f>
        <v>7.7906976744186052E-3</v>
      </c>
      <c r="AH338" s="212"/>
      <c r="AI338" s="212"/>
      <c r="AJ338" s="212"/>
      <c r="AK338" s="212"/>
      <c r="AL338" s="212"/>
      <c r="AM338" s="212"/>
      <c r="AN338" s="212"/>
      <c r="AO338" s="212"/>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v>-0.05</v>
      </c>
      <c r="DI338" s="35"/>
      <c r="DJ338" s="35"/>
      <c r="DK338" s="35"/>
      <c r="DL338" s="35"/>
      <c r="DM338" s="35"/>
      <c r="DN338" s="35"/>
      <c r="DO338" s="35">
        <v>-0.06</v>
      </c>
      <c r="DP338" s="35"/>
      <c r="DQ338" s="35"/>
      <c r="DR338" s="35"/>
      <c r="DS338" s="35">
        <v>0.1</v>
      </c>
      <c r="DT338" s="35">
        <v>0.45</v>
      </c>
      <c r="DU338" s="35">
        <v>1</v>
      </c>
      <c r="DV338" s="35">
        <v>0.5</v>
      </c>
      <c r="DW338" s="35">
        <v>0.2</v>
      </c>
      <c r="DX338" s="35">
        <v>0.1</v>
      </c>
      <c r="DY338" s="35"/>
      <c r="DZ338" s="35"/>
      <c r="EA338" s="35"/>
      <c r="EB338" s="35"/>
      <c r="EC338" s="35"/>
      <c r="ED338" s="35"/>
      <c r="EE338" s="35"/>
      <c r="EF338" s="35"/>
      <c r="EG338" s="35"/>
      <c r="EH338" s="35"/>
      <c r="EI338" s="35"/>
      <c r="EJ338" s="35">
        <v>-0.05</v>
      </c>
      <c r="EK338" s="35"/>
      <c r="EL338" s="35"/>
      <c r="EM338" s="35"/>
      <c r="EN338" s="35"/>
      <c r="EO338" s="35"/>
      <c r="EP338" s="35"/>
      <c r="EQ338" s="35"/>
      <c r="ER338" s="35"/>
      <c r="ES338" s="35"/>
      <c r="ET338" s="35">
        <v>-2.5</v>
      </c>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18"/>
      <c r="GC338" s="178">
        <f t="shared" si="64"/>
        <v>1.23E-2</v>
      </c>
      <c r="GD338" s="178">
        <f t="shared" si="65"/>
        <v>3.0999999999999999E-3</v>
      </c>
      <c r="GE338" s="178">
        <f t="shared" si="66"/>
        <v>0</v>
      </c>
      <c r="GF338" s="178">
        <f t="shared" si="67"/>
        <v>0</v>
      </c>
      <c r="GG338" s="178">
        <f t="shared" si="51"/>
        <v>0</v>
      </c>
    </row>
    <row r="339" spans="1:189" x14ac:dyDescent="0.35">
      <c r="A339" s="6" t="s">
        <v>1479</v>
      </c>
      <c r="B339" s="6" t="str">
        <f>IF(Technologies!B339&lt;&gt;0,Technologies!B339,"")</f>
        <v>Industrie</v>
      </c>
      <c r="C339" s="6" t="str">
        <f>VLOOKUP($A339,Technologies!$A$7:$H$576,3,FALSE)</f>
        <v>Conversion</v>
      </c>
      <c r="D339" s="6" t="str">
        <f>VLOOKUP($A339,Technologies!$A$7:$H$576,4,FALSE)</f>
        <v>Refineries</v>
      </c>
      <c r="E339" s="6" t="str">
        <f>VLOOKUP($A339,Technologies!$A$7:$H$576,6,FALSE)</f>
        <v>Road Fuel</v>
      </c>
      <c r="F339" s="48" t="str">
        <f>VLOOKUP($A339,Technologies!$A$7:$H$576,7,FALSE)</f>
        <v>Basic cracking refinery - Refineries</v>
      </c>
      <c r="G339" s="22"/>
      <c r="H339" s="22"/>
      <c r="I339" s="103" cm="1">
        <f t="array" ref="I339">-SUMPRODUCT((Feedstocks!$C$4:$C$141=A339)*Feedstocks!$E$4:$E$141,Feedstocks!$F$4:$F$141,Feedstocks!$H$4:$H$141,Feedstocks!$I$4:$I$141)</f>
        <v>0</v>
      </c>
      <c r="J339" s="103" cm="1">
        <f t="array" ref="J339">-SUMPRODUCT((Feedstocks!$C$4:$C$141=A339)*Feedstocks!$E$4:$E$141,Feedstocks!$H$4:$H$141,Feedstocks!$I$4:$I$141)</f>
        <v>0</v>
      </c>
      <c r="K339" s="103"/>
      <c r="L339" s="103"/>
      <c r="M339" s="22">
        <v>1</v>
      </c>
      <c r="N339" s="22" t="str">
        <f>VLOOKUP(E339,Activities!$A$9:$M$227,13,FALSE)</f>
        <v>NL</v>
      </c>
      <c r="O339" s="22"/>
      <c r="P339" s="80" t="s">
        <v>415</v>
      </c>
      <c r="Q339" s="36"/>
      <c r="R339" s="36"/>
      <c r="S339" s="36"/>
      <c r="T339" s="36"/>
      <c r="U339" s="36"/>
      <c r="V339" s="36"/>
      <c r="W339" s="36"/>
      <c r="X339" s="36"/>
      <c r="Y339" s="36"/>
      <c r="Z339" s="36"/>
      <c r="AA339" s="36"/>
      <c r="AB339" s="36"/>
      <c r="AC339" s="36"/>
      <c r="AD339" s="36"/>
      <c r="AE339" s="36"/>
      <c r="AF339" s="35"/>
      <c r="AG339" s="203">
        <f t="shared" si="68"/>
        <v>4.674418604651163E-3</v>
      </c>
      <c r="AH339" s="203"/>
      <c r="AI339" s="203"/>
      <c r="AJ339" s="203"/>
      <c r="AK339" s="203"/>
      <c r="AL339" s="203"/>
      <c r="AM339" s="203"/>
      <c r="AN339" s="203"/>
      <c r="AO339" s="203"/>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6"/>
      <c r="BV339" s="36"/>
      <c r="BW339" s="36"/>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36"/>
      <c r="CT339" s="36"/>
      <c r="CU339" s="36"/>
      <c r="CV339" s="36"/>
      <c r="CW339" s="36"/>
      <c r="CX339" s="36"/>
      <c r="CY339" s="36"/>
      <c r="CZ339" s="36"/>
      <c r="DA339" s="36"/>
      <c r="DB339" s="36"/>
      <c r="DC339" s="36"/>
      <c r="DD339" s="36"/>
      <c r="DE339" s="36"/>
      <c r="DF339" s="36"/>
      <c r="DG339" s="36"/>
      <c r="DH339" s="36">
        <v>-0.02</v>
      </c>
      <c r="DI339" s="36"/>
      <c r="DJ339" s="36"/>
      <c r="DK339" s="36"/>
      <c r="DL339" s="36"/>
      <c r="DM339" s="36"/>
      <c r="DN339" s="36"/>
      <c r="DO339" s="36">
        <v>-0.01</v>
      </c>
      <c r="DP339" s="36"/>
      <c r="DQ339" s="36"/>
      <c r="DR339" s="36"/>
      <c r="DS339" s="36">
        <v>0.05</v>
      </c>
      <c r="DT339" s="36">
        <v>0.3</v>
      </c>
      <c r="DU339" s="36">
        <v>1</v>
      </c>
      <c r="DV339" s="36">
        <v>0.3</v>
      </c>
      <c r="DW339" s="36">
        <v>0.45</v>
      </c>
      <c r="DX339" s="36">
        <v>0.3</v>
      </c>
      <c r="DY339" s="36"/>
      <c r="DZ339" s="36"/>
      <c r="EA339" s="36"/>
      <c r="EB339" s="36"/>
      <c r="EC339" s="36"/>
      <c r="ED339" s="36"/>
      <c r="EE339" s="36"/>
      <c r="EF339" s="36"/>
      <c r="EG339" s="36"/>
      <c r="EH339" s="36"/>
      <c r="EI339" s="36"/>
      <c r="EJ339" s="36">
        <v>-0.02</v>
      </c>
      <c r="EK339" s="36"/>
      <c r="EL339" s="36"/>
      <c r="EM339" s="36"/>
      <c r="EN339" s="36"/>
      <c r="EO339" s="36"/>
      <c r="EP339" s="36"/>
      <c r="EQ339" s="36"/>
      <c r="ER339" s="36"/>
      <c r="ES339" s="36"/>
      <c r="ET339" s="36">
        <v>-2.5499999999999998</v>
      </c>
      <c r="EU339" s="36"/>
      <c r="EV339" s="36"/>
      <c r="EW339" s="36"/>
      <c r="EX339" s="36"/>
      <c r="EY339" s="36"/>
      <c r="EZ339" s="36"/>
      <c r="FA339" s="36"/>
      <c r="FB339" s="36"/>
      <c r="FC339" s="36"/>
      <c r="FD339" s="36"/>
      <c r="FE339" s="36"/>
      <c r="FF339" s="36"/>
      <c r="FG339" s="36"/>
      <c r="FH339" s="36"/>
      <c r="FI339" s="36"/>
      <c r="FJ339" s="36"/>
      <c r="FK339" s="36"/>
      <c r="FL339" s="36"/>
      <c r="FM339" s="36"/>
      <c r="FN339" s="36"/>
      <c r="FO339" s="36"/>
      <c r="FP339" s="36"/>
      <c r="FQ339" s="36"/>
      <c r="FR339" s="36"/>
      <c r="FS339" s="36"/>
      <c r="FT339" s="36"/>
      <c r="FU339" s="36"/>
      <c r="FV339" s="36"/>
      <c r="FW339" s="36"/>
      <c r="FX339" s="36"/>
      <c r="FY339" s="36"/>
      <c r="FZ339" s="36"/>
      <c r="GA339" s="36"/>
      <c r="GB339" s="319"/>
      <c r="GC339" s="179">
        <f t="shared" si="64"/>
        <v>0</v>
      </c>
      <c r="GD339" s="179">
        <f t="shared" si="65"/>
        <v>0.01</v>
      </c>
      <c r="GE339" s="179">
        <f t="shared" si="66"/>
        <v>0</v>
      </c>
      <c r="GF339" s="179">
        <f t="shared" si="67"/>
        <v>0</v>
      </c>
      <c r="GG339" s="179">
        <f t="shared" si="51"/>
        <v>0</v>
      </c>
    </row>
    <row r="340" spans="1:189" x14ac:dyDescent="0.35">
      <c r="A340" s="5" t="s">
        <v>1481</v>
      </c>
      <c r="B340" s="5" t="str">
        <f>IF(Technologies!B340&lt;&gt;0,Technologies!B340,"")</f>
        <v>Industrie</v>
      </c>
      <c r="C340" s="5" t="str">
        <f>VLOOKUP($A340,Technologies!$A$7:$H$576,3,FALSE)</f>
        <v>Conversion</v>
      </c>
      <c r="D340" s="5" t="str">
        <f>VLOOKUP($A340,Technologies!$A$7:$H$576,4,FALSE)</f>
        <v>Refineries</v>
      </c>
      <c r="E340" s="5" t="str">
        <f>VLOOKUP($A340,Technologies!$A$7:$H$576,6,FALSE)</f>
        <v>Road Fuel</v>
      </c>
      <c r="F340" s="5" t="str">
        <f>VLOOKUP($A340,Technologies!$A$7:$H$576,7,FALSE)</f>
        <v>Basic cracking refinery wCCS - Refineries</v>
      </c>
      <c r="G340" s="23">
        <v>0.8</v>
      </c>
      <c r="H340" s="23"/>
      <c r="I340" s="104" cm="1">
        <f t="array" ref="I340">-SUMPRODUCT((Feedstocks!$C$4:$C$141=A340)*Feedstocks!$E$4:$E$141,Feedstocks!$F$4:$F$141,Feedstocks!$H$4:$H$141,Feedstocks!$I$4:$I$141)</f>
        <v>0</v>
      </c>
      <c r="J340" s="104" cm="1">
        <f t="array" ref="J340">-SUMPRODUCT((Feedstocks!$C$4:$C$141=A340)*Feedstocks!$E$4:$E$141,Feedstocks!$H$4:$H$141,Feedstocks!$I$4:$I$141)</f>
        <v>0</v>
      </c>
      <c r="K340" s="104"/>
      <c r="L340" s="104"/>
      <c r="M340" s="23">
        <v>1</v>
      </c>
      <c r="N340" s="23" t="str">
        <f>VLOOKUP(E340,Activities!$A$9:$M$227,13,FALSE)</f>
        <v>NL</v>
      </c>
      <c r="O340" s="23"/>
      <c r="P340" s="79" t="s">
        <v>415</v>
      </c>
      <c r="Q340" s="35"/>
      <c r="R340" s="35"/>
      <c r="S340" s="35"/>
      <c r="T340" s="35"/>
      <c r="U340" s="35"/>
      <c r="V340" s="35"/>
      <c r="W340" s="35"/>
      <c r="X340" s="35"/>
      <c r="Y340" s="35"/>
      <c r="Z340" s="35"/>
      <c r="AA340" s="35"/>
      <c r="AB340" s="35"/>
      <c r="AC340" s="35"/>
      <c r="AD340" s="35"/>
      <c r="AE340" s="35"/>
      <c r="AF340" s="36"/>
      <c r="AG340" s="212">
        <f t="shared" si="68"/>
        <v>4.674418604651163E-3</v>
      </c>
      <c r="AH340" s="212"/>
      <c r="AI340" s="212"/>
      <c r="AJ340" s="212"/>
      <c r="AK340" s="212"/>
      <c r="AL340" s="212"/>
      <c r="AM340" s="212"/>
      <c r="AN340" s="212"/>
      <c r="AO340" s="212"/>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v>-0.05</v>
      </c>
      <c r="DI340" s="35"/>
      <c r="DJ340" s="35"/>
      <c r="DK340" s="35"/>
      <c r="DL340" s="35"/>
      <c r="DM340" s="35"/>
      <c r="DN340" s="35"/>
      <c r="DO340" s="35">
        <v>-0.06</v>
      </c>
      <c r="DP340" s="35"/>
      <c r="DQ340" s="35"/>
      <c r="DR340" s="35"/>
      <c r="DS340" s="35">
        <v>0.05</v>
      </c>
      <c r="DT340" s="35">
        <v>0.3</v>
      </c>
      <c r="DU340" s="35">
        <v>1</v>
      </c>
      <c r="DV340" s="35">
        <v>0.3</v>
      </c>
      <c r="DW340" s="35">
        <v>0.45</v>
      </c>
      <c r="DX340" s="35">
        <v>0.3</v>
      </c>
      <c r="DY340" s="35"/>
      <c r="DZ340" s="35"/>
      <c r="EA340" s="35"/>
      <c r="EB340" s="35"/>
      <c r="EC340" s="35"/>
      <c r="ED340" s="35"/>
      <c r="EE340" s="35"/>
      <c r="EF340" s="35"/>
      <c r="EG340" s="35"/>
      <c r="EH340" s="35"/>
      <c r="EI340" s="35"/>
      <c r="EJ340" s="35">
        <v>-0.02</v>
      </c>
      <c r="EK340" s="35"/>
      <c r="EL340" s="35"/>
      <c r="EM340" s="35"/>
      <c r="EN340" s="35"/>
      <c r="EO340" s="35"/>
      <c r="EP340" s="35"/>
      <c r="EQ340" s="35"/>
      <c r="ER340" s="35"/>
      <c r="ES340" s="35"/>
      <c r="ET340" s="35">
        <v>-2.5499999999999998</v>
      </c>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18"/>
      <c r="GC340" s="178">
        <f t="shared" si="64"/>
        <v>8.0000000000000002E-3</v>
      </c>
      <c r="GD340" s="178">
        <f t="shared" si="65"/>
        <v>2E-3</v>
      </c>
      <c r="GE340" s="178">
        <f t="shared" si="66"/>
        <v>0</v>
      </c>
      <c r="GF340" s="178">
        <f t="shared" si="67"/>
        <v>0</v>
      </c>
      <c r="GG340" s="178">
        <f t="shared" si="51"/>
        <v>0</v>
      </c>
    </row>
    <row r="341" spans="1:189" x14ac:dyDescent="0.35">
      <c r="A341" s="6" t="s">
        <v>1483</v>
      </c>
      <c r="B341" s="6" t="str">
        <f>IF(Technologies!B341&lt;&gt;0,Technologies!B341,"")</f>
        <v>Industrie</v>
      </c>
      <c r="C341" s="6" t="str">
        <f>VLOOKUP($A341,Technologies!$A$7:$H$576,3,FALSE)</f>
        <v>Conversion</v>
      </c>
      <c r="D341" s="6" t="str">
        <f>VLOOKUP($A341,Technologies!$A$7:$H$576,4,FALSE)</f>
        <v>Refineries</v>
      </c>
      <c r="E341" s="6" t="str">
        <f>VLOOKUP($A341,Technologies!$A$7:$H$576,6,FALSE)</f>
        <v>Road Fuel</v>
      </c>
      <c r="F341" s="48" t="str">
        <f>VLOOKUP($A341,Technologies!$A$7:$H$576,7,FALSE)</f>
        <v>Koch refinery - Refineries</v>
      </c>
      <c r="G341" s="22"/>
      <c r="H341" s="22"/>
      <c r="I341" s="103" cm="1">
        <f t="array" ref="I341">-SUMPRODUCT((Feedstocks!$C$4:$C$141=A341)*Feedstocks!$E$4:$E$141,Feedstocks!$F$4:$F$141,Feedstocks!$H$4:$H$141,Feedstocks!$I$4:$I$141)</f>
        <v>0</v>
      </c>
      <c r="J341" s="103" cm="1">
        <f t="array" ref="J341">-SUMPRODUCT((Feedstocks!$C$4:$C$141=A341)*Feedstocks!$E$4:$E$141,Feedstocks!$H$4:$H$141,Feedstocks!$I$4:$I$141)</f>
        <v>0</v>
      </c>
      <c r="K341" s="103"/>
      <c r="L341" s="103"/>
      <c r="M341" s="22">
        <v>1</v>
      </c>
      <c r="N341" s="22" t="str">
        <f>VLOOKUP(E341,Activities!$A$9:$M$227,13,FALSE)</f>
        <v>NL</v>
      </c>
      <c r="O341" s="22"/>
      <c r="P341" s="80" t="s">
        <v>415</v>
      </c>
      <c r="Q341" s="36"/>
      <c r="R341" s="36"/>
      <c r="S341" s="36"/>
      <c r="T341" s="36"/>
      <c r="U341" s="36"/>
      <c r="V341" s="36"/>
      <c r="W341" s="36"/>
      <c r="X341" s="36"/>
      <c r="Y341" s="36"/>
      <c r="Z341" s="36"/>
      <c r="AA341" s="36"/>
      <c r="AB341" s="36"/>
      <c r="AC341" s="36"/>
      <c r="AD341" s="36"/>
      <c r="AE341" s="36"/>
      <c r="AF341" s="35"/>
      <c r="AG341" s="203">
        <f t="shared" si="68"/>
        <v>9.3488372093023259E-3</v>
      </c>
      <c r="AH341" s="203"/>
      <c r="AI341" s="203"/>
      <c r="AJ341" s="203"/>
      <c r="AK341" s="203"/>
      <c r="AL341" s="203"/>
      <c r="AM341" s="203"/>
      <c r="AN341" s="203"/>
      <c r="AO341" s="203"/>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c r="CW341" s="36"/>
      <c r="CX341" s="36"/>
      <c r="CY341" s="36"/>
      <c r="CZ341" s="36"/>
      <c r="DA341" s="36"/>
      <c r="DB341" s="36"/>
      <c r="DC341" s="36"/>
      <c r="DD341" s="36"/>
      <c r="DE341" s="36"/>
      <c r="DF341" s="36"/>
      <c r="DG341" s="36"/>
      <c r="DH341" s="36">
        <v>-0.02</v>
      </c>
      <c r="DI341" s="36"/>
      <c r="DJ341" s="36"/>
      <c r="DK341" s="36"/>
      <c r="DL341" s="36"/>
      <c r="DM341" s="36"/>
      <c r="DN341" s="36"/>
      <c r="DO341" s="36">
        <v>-0.1</v>
      </c>
      <c r="DP341" s="36"/>
      <c r="DQ341" s="36"/>
      <c r="DR341" s="36"/>
      <c r="DS341" s="36">
        <v>0.3</v>
      </c>
      <c r="DT341" s="36">
        <v>2.5</v>
      </c>
      <c r="DU341" s="36">
        <v>1</v>
      </c>
      <c r="DV341" s="36">
        <v>0.6</v>
      </c>
      <c r="DW341" s="36">
        <v>0.15</v>
      </c>
      <c r="DX341" s="36"/>
      <c r="DY341" s="36"/>
      <c r="DZ341" s="36"/>
      <c r="EA341" s="36"/>
      <c r="EB341" s="36"/>
      <c r="EC341" s="36"/>
      <c r="ED341" s="36"/>
      <c r="EE341" s="36"/>
      <c r="EF341" s="36"/>
      <c r="EG341" s="36"/>
      <c r="EH341" s="36"/>
      <c r="EI341" s="36"/>
      <c r="EJ341" s="36"/>
      <c r="EK341" s="36"/>
      <c r="EL341" s="36"/>
      <c r="EM341" s="36"/>
      <c r="EN341" s="36"/>
      <c r="EO341" s="36"/>
      <c r="EP341" s="36"/>
      <c r="EQ341" s="36"/>
      <c r="ER341" s="36"/>
      <c r="ES341" s="36"/>
      <c r="ET341" s="36">
        <v>-4.8</v>
      </c>
      <c r="EU341" s="36"/>
      <c r="EV341" s="36"/>
      <c r="EW341" s="36"/>
      <c r="EX341" s="36"/>
      <c r="EY341" s="36"/>
      <c r="EZ341" s="36"/>
      <c r="FA341" s="36"/>
      <c r="FB341" s="36"/>
      <c r="FC341" s="36"/>
      <c r="FD341" s="36"/>
      <c r="FE341" s="36"/>
      <c r="FF341" s="36"/>
      <c r="FG341" s="36"/>
      <c r="FH341" s="36"/>
      <c r="FI341" s="36"/>
      <c r="FJ341" s="36"/>
      <c r="FK341" s="36"/>
      <c r="FL341" s="36"/>
      <c r="FM341" s="36"/>
      <c r="FN341" s="36"/>
      <c r="FO341" s="36"/>
      <c r="FP341" s="36"/>
      <c r="FQ341" s="36"/>
      <c r="FR341" s="36"/>
      <c r="FS341" s="36"/>
      <c r="FT341" s="36"/>
      <c r="FU341" s="36"/>
      <c r="FV341" s="36"/>
      <c r="FW341" s="36"/>
      <c r="FX341" s="36"/>
      <c r="FY341" s="36"/>
      <c r="FZ341" s="36"/>
      <c r="GA341" s="36"/>
      <c r="GB341" s="319"/>
      <c r="GC341" s="179">
        <f t="shared" si="64"/>
        <v>0</v>
      </c>
      <c r="GD341" s="179">
        <f t="shared" si="65"/>
        <v>2.7699999999999999E-2</v>
      </c>
      <c r="GE341" s="179">
        <f t="shared" si="66"/>
        <v>0</v>
      </c>
      <c r="GF341" s="179">
        <f t="shared" si="67"/>
        <v>0</v>
      </c>
      <c r="GG341" s="179">
        <f t="shared" si="51"/>
        <v>0</v>
      </c>
    </row>
    <row r="342" spans="1:189" x14ac:dyDescent="0.35">
      <c r="A342" s="5" t="s">
        <v>1485</v>
      </c>
      <c r="B342" s="5" t="str">
        <f>IF(Technologies!B342&lt;&gt;0,Technologies!B342,"")</f>
        <v>Industrie</v>
      </c>
      <c r="C342" s="5" t="str">
        <f>VLOOKUP($A342,Technologies!$A$7:$H$576,3,FALSE)</f>
        <v>Conversion</v>
      </c>
      <c r="D342" s="5" t="str">
        <f>VLOOKUP($A342,Technologies!$A$7:$H$576,4,FALSE)</f>
        <v>Refineries</v>
      </c>
      <c r="E342" s="5" t="str">
        <f>VLOOKUP($A342,Technologies!$A$7:$H$576,6,FALSE)</f>
        <v>Road Fuel</v>
      </c>
      <c r="F342" s="5" t="str">
        <f>VLOOKUP($A342,Technologies!$A$7:$H$576,7,FALSE)</f>
        <v>Koch refinery wCCS - Refineries</v>
      </c>
      <c r="G342" s="23">
        <v>0.8</v>
      </c>
      <c r="H342" s="23"/>
      <c r="I342" s="104" cm="1">
        <f t="array" ref="I342">-SUMPRODUCT((Feedstocks!$C$4:$C$141=A342)*Feedstocks!$E$4:$E$141,Feedstocks!$F$4:$F$141,Feedstocks!$H$4:$H$141,Feedstocks!$I$4:$I$141)</f>
        <v>0</v>
      </c>
      <c r="J342" s="104" cm="1">
        <f t="array" ref="J342">-SUMPRODUCT((Feedstocks!$C$4:$C$141=A342)*Feedstocks!$E$4:$E$141,Feedstocks!$H$4:$H$141,Feedstocks!$I$4:$I$141)</f>
        <v>0</v>
      </c>
      <c r="K342" s="104"/>
      <c r="L342" s="104"/>
      <c r="M342" s="23">
        <v>1</v>
      </c>
      <c r="N342" s="23" t="str">
        <f>VLOOKUP(E342,Activities!$A$9:$M$227,13,FALSE)</f>
        <v>NL</v>
      </c>
      <c r="O342" s="23"/>
      <c r="P342" s="79" t="s">
        <v>415</v>
      </c>
      <c r="Q342" s="35"/>
      <c r="R342" s="35"/>
      <c r="S342" s="35"/>
      <c r="T342" s="35"/>
      <c r="U342" s="35"/>
      <c r="V342" s="35"/>
      <c r="W342" s="35"/>
      <c r="X342" s="35"/>
      <c r="Y342" s="35"/>
      <c r="Z342" s="35"/>
      <c r="AA342" s="35"/>
      <c r="AB342" s="35"/>
      <c r="AC342" s="35"/>
      <c r="AD342" s="35"/>
      <c r="AE342" s="35"/>
      <c r="AF342" s="36"/>
      <c r="AG342" s="212">
        <f t="shared" si="68"/>
        <v>9.3488372093023259E-3</v>
      </c>
      <c r="AH342" s="212"/>
      <c r="AI342" s="212"/>
      <c r="AJ342" s="212"/>
      <c r="AK342" s="212"/>
      <c r="AL342" s="212"/>
      <c r="AM342" s="212"/>
      <c r="AN342" s="212"/>
      <c r="AO342" s="212"/>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v>-0.05</v>
      </c>
      <c r="DI342" s="35"/>
      <c r="DJ342" s="35"/>
      <c r="DK342" s="35"/>
      <c r="DL342" s="35"/>
      <c r="DM342" s="35"/>
      <c r="DN342" s="35"/>
      <c r="DO342" s="35">
        <v>-0.2</v>
      </c>
      <c r="DP342" s="35"/>
      <c r="DQ342" s="35"/>
      <c r="DR342" s="35"/>
      <c r="DS342" s="35">
        <v>0.3</v>
      </c>
      <c r="DT342" s="35">
        <v>2.5</v>
      </c>
      <c r="DU342" s="35">
        <v>1</v>
      </c>
      <c r="DV342" s="35">
        <v>0.6</v>
      </c>
      <c r="DW342" s="35">
        <v>0.15</v>
      </c>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v>-4.8</v>
      </c>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18"/>
      <c r="GC342" s="178">
        <f t="shared" si="64"/>
        <v>2.2100000000000002E-2</v>
      </c>
      <c r="GD342" s="178">
        <f t="shared" si="65"/>
        <v>5.4999999999999997E-3</v>
      </c>
      <c r="GE342" s="178">
        <f t="shared" si="66"/>
        <v>0</v>
      </c>
      <c r="GF342" s="178">
        <f t="shared" si="67"/>
        <v>0</v>
      </c>
      <c r="GG342" s="178">
        <f t="shared" si="51"/>
        <v>0</v>
      </c>
    </row>
    <row r="343" spans="1:189" x14ac:dyDescent="0.35">
      <c r="A343" s="5" t="s">
        <v>1487</v>
      </c>
      <c r="B343" s="5" t="str">
        <f>IF(Technologies!B343&lt;&gt;0,Technologies!B343,"")</f>
        <v>Industrie</v>
      </c>
      <c r="C343" s="5" t="str">
        <f>VLOOKUP($A343,Technologies!$A$7:$H$576,3,FALSE)</f>
        <v>Primary</v>
      </c>
      <c r="D343" s="5" t="str">
        <f>VLOOKUP($A343,Technologies!$A$7:$H$576,4,FALSE)</f>
        <v>Fossil</v>
      </c>
      <c r="E343" s="5" t="str">
        <f>VLOOKUP($A343,Technologies!$A$7:$H$576,6,FALSE)</f>
        <v>Road Fuel</v>
      </c>
      <c r="F343" s="5" t="str">
        <f>VLOOKUP($A343,Technologies!$A$7:$H$576,7,FALSE)</f>
        <v>Imported Road Fuel - Refineries</v>
      </c>
      <c r="G343" s="23"/>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36"/>
      <c r="AH343" s="36"/>
      <c r="AI343" s="36"/>
      <c r="AJ343" s="36"/>
      <c r="AK343" s="36"/>
      <c r="AL343" s="36"/>
      <c r="AM343" s="36"/>
      <c r="AN343" s="36"/>
      <c r="AO343" s="36"/>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v>1</v>
      </c>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0</v>
      </c>
      <c r="GD343" s="178">
        <f t="shared" si="65"/>
        <v>0</v>
      </c>
      <c r="GE343" s="178">
        <f t="shared" si="66"/>
        <v>0</v>
      </c>
      <c r="GF343" s="178">
        <f t="shared" si="67"/>
        <v>0</v>
      </c>
      <c r="GG343" s="178">
        <f t="shared" si="51"/>
        <v>0</v>
      </c>
    </row>
    <row r="344" spans="1:189" x14ac:dyDescent="0.35">
      <c r="A344" s="6" t="s">
        <v>1489</v>
      </c>
      <c r="B344" s="6" t="str">
        <f>IF(Technologies!B344&lt;&gt;0,Technologies!B344,"")</f>
        <v>Industrie</v>
      </c>
      <c r="C344" s="6" t="str">
        <f>VLOOKUP($A344,Technologies!$A$7:$H$576,3,FALSE)</f>
        <v>Primary</v>
      </c>
      <c r="D344" s="6" t="str">
        <f>VLOOKUP($A344,Technologies!$A$7:$H$576,4,FALSE)</f>
        <v>Fossil</v>
      </c>
      <c r="E344" s="6" t="str">
        <f>VLOOKUP($A344,Technologies!$A$7:$H$576,6,FALSE)</f>
        <v>Kerosene</v>
      </c>
      <c r="F344" s="48" t="str">
        <f>VLOOKUP($A344,Technologies!$A$7:$H$576,7,FALSE)</f>
        <v>Imported Kerosene - Refineries</v>
      </c>
      <c r="G344" s="22"/>
      <c r="H344" s="22"/>
      <c r="I344" s="103" cm="1">
        <f t="array" ref="I344">-SUMPRODUCT((Feedstocks!$C$4:$C$141=A344)*Feedstocks!$E$4:$E$141,Feedstocks!$F$4:$F$141,Feedstocks!$H$4:$H$141,Feedstocks!$I$4:$I$141)</f>
        <v>0</v>
      </c>
      <c r="J344" s="103" cm="1">
        <f t="array" ref="J344">-SUMPRODUCT((Feedstocks!$C$4:$C$141=A344)*Feedstocks!$E$4:$E$141,Feedstocks!$H$4:$H$141,Feedstocks!$I$4:$I$141)</f>
        <v>0</v>
      </c>
      <c r="K344" s="103"/>
      <c r="L344" s="103"/>
      <c r="M344" s="22">
        <v>1</v>
      </c>
      <c r="N344" s="22" t="str">
        <f>VLOOKUP(E344,Activities!$A$9:$M$227,13,FALSE)</f>
        <v>NL</v>
      </c>
      <c r="O344" s="22"/>
      <c r="P344" s="80" t="s">
        <v>415</v>
      </c>
      <c r="Q344" s="36"/>
      <c r="R344" s="36"/>
      <c r="S344" s="36"/>
      <c r="T344" s="36"/>
      <c r="U344" s="36"/>
      <c r="V344" s="36"/>
      <c r="W344" s="36"/>
      <c r="X344" s="36"/>
      <c r="Y344" s="36"/>
      <c r="Z344" s="36"/>
      <c r="AA344" s="36"/>
      <c r="AB344" s="36"/>
      <c r="AC344" s="36"/>
      <c r="AD344" s="36"/>
      <c r="AE344" s="36"/>
      <c r="AF344" s="35"/>
      <c r="AG344" s="35"/>
      <c r="AH344" s="35"/>
      <c r="AI344" s="35"/>
      <c r="AJ344" s="35"/>
      <c r="AK344" s="35"/>
      <c r="AL344" s="35"/>
      <c r="AM344" s="35"/>
      <c r="AN344" s="35"/>
      <c r="AO344" s="35"/>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6"/>
      <c r="BV344" s="36"/>
      <c r="BW344" s="3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36"/>
      <c r="DK344" s="36"/>
      <c r="DL344" s="36"/>
      <c r="DM344" s="36"/>
      <c r="DN344" s="36"/>
      <c r="DO344" s="36"/>
      <c r="DP344" s="36"/>
      <c r="DQ344" s="36"/>
      <c r="DR344" s="36"/>
      <c r="DS344" s="36"/>
      <c r="DT344" s="36"/>
      <c r="DU344" s="36"/>
      <c r="DV344" s="36">
        <v>1</v>
      </c>
      <c r="DW344" s="36"/>
      <c r="DX344" s="36"/>
      <c r="DY344" s="36"/>
      <c r="DZ344" s="36"/>
      <c r="EA344" s="36"/>
      <c r="EB344" s="36"/>
      <c r="EC344" s="36"/>
      <c r="ED344" s="36"/>
      <c r="EE344" s="36"/>
      <c r="EF344" s="36"/>
      <c r="EG344" s="36"/>
      <c r="EH344" s="36"/>
      <c r="EI344" s="36"/>
      <c r="EJ344" s="36"/>
      <c r="EK344" s="36"/>
      <c r="EL344" s="36"/>
      <c r="EM344" s="36"/>
      <c r="EN344" s="36"/>
      <c r="EO344" s="36"/>
      <c r="EP344" s="36"/>
      <c r="EQ344" s="36"/>
      <c r="ER344" s="36"/>
      <c r="ES344" s="36"/>
      <c r="ET344" s="36"/>
      <c r="EU344" s="36"/>
      <c r="EV344" s="36"/>
      <c r="EW344" s="36"/>
      <c r="EX344" s="36"/>
      <c r="EY344" s="36"/>
      <c r="EZ344" s="36"/>
      <c r="FA344" s="36"/>
      <c r="FB344" s="36"/>
      <c r="FC344" s="36"/>
      <c r="FD344" s="36"/>
      <c r="FE344" s="36"/>
      <c r="FF344" s="36"/>
      <c r="FG344" s="36"/>
      <c r="FH344" s="36"/>
      <c r="FI344" s="36"/>
      <c r="FJ344" s="36"/>
      <c r="FK344" s="36"/>
      <c r="FL344" s="36"/>
      <c r="FM344" s="36"/>
      <c r="FN344" s="36"/>
      <c r="FO344" s="36"/>
      <c r="FP344" s="36"/>
      <c r="FQ344" s="36"/>
      <c r="FR344" s="36"/>
      <c r="FS344" s="36"/>
      <c r="FT344" s="36"/>
      <c r="FU344" s="36"/>
      <c r="FV344" s="36"/>
      <c r="FW344" s="36"/>
      <c r="FX344" s="36"/>
      <c r="FY344" s="36"/>
      <c r="FZ344" s="36"/>
      <c r="GA344" s="36"/>
      <c r="GB344" s="319"/>
      <c r="GC344" s="179">
        <f t="shared" si="64"/>
        <v>0</v>
      </c>
      <c r="GD344" s="179">
        <f t="shared" si="65"/>
        <v>0</v>
      </c>
      <c r="GE344" s="179">
        <f t="shared" si="66"/>
        <v>0</v>
      </c>
      <c r="GF344" s="179">
        <f t="shared" si="67"/>
        <v>0</v>
      </c>
      <c r="GG344" s="179">
        <f t="shared" si="51"/>
        <v>0</v>
      </c>
    </row>
    <row r="345" spans="1:189" x14ac:dyDescent="0.35">
      <c r="A345" s="5" t="s">
        <v>1491</v>
      </c>
      <c r="B345" s="5" t="str">
        <f>IF(Technologies!B345&lt;&gt;0,Technologies!B345,"")</f>
        <v>Industrie</v>
      </c>
      <c r="C345" s="5" t="str">
        <f>VLOOKUP($A345,Technologies!$A$7:$H$576,3,FALSE)</f>
        <v>Primary</v>
      </c>
      <c r="D345" s="5" t="str">
        <f>VLOOKUP($A345,Technologies!$A$7:$H$576,4,FALSE)</f>
        <v>Fossil</v>
      </c>
      <c r="E345" s="5" t="str">
        <f>VLOOKUP($A345,Technologies!$A$7:$H$576,6,FALSE)</f>
        <v>Fuel Oil</v>
      </c>
      <c r="F345" s="5" t="str">
        <f>VLOOKUP($A345,Technologies!$A$7:$H$576,7,FALSE)</f>
        <v>Imported Fuel Oil - Refineries</v>
      </c>
      <c r="G345" s="23"/>
      <c r="H345" s="23"/>
      <c r="I345" s="104" cm="1">
        <f t="array" ref="I345">-SUMPRODUCT((Feedstocks!$C$4:$C$141=A345)*Feedstocks!$E$4:$E$141,Feedstocks!$F$4:$F$141,Feedstocks!$H$4:$H$141,Feedstocks!$I$4:$I$141)</f>
        <v>0</v>
      </c>
      <c r="J345" s="104" cm="1">
        <f t="array" ref="J345">-SUMPRODUCT((Feedstocks!$C$4:$C$141=A345)*Feedstocks!$E$4:$E$141,Feedstocks!$H$4:$H$141,Feedstocks!$I$4:$I$141)</f>
        <v>0</v>
      </c>
      <c r="K345" s="104"/>
      <c r="L345" s="104"/>
      <c r="M345" s="23">
        <v>1</v>
      </c>
      <c r="N345" s="23" t="str">
        <f>VLOOKUP(E345,Activities!$A$9:$M$227,13,FALSE)</f>
        <v>NL</v>
      </c>
      <c r="O345" s="23"/>
      <c r="P345" s="79" t="s">
        <v>415</v>
      </c>
      <c r="Q345" s="35"/>
      <c r="R345" s="35"/>
      <c r="S345" s="35"/>
      <c r="T345" s="35"/>
      <c r="U345" s="35"/>
      <c r="V345" s="35"/>
      <c r="W345" s="35"/>
      <c r="X345" s="35"/>
      <c r="Y345" s="35"/>
      <c r="Z345" s="35"/>
      <c r="AA345" s="35"/>
      <c r="AB345" s="35"/>
      <c r="AC345" s="35"/>
      <c r="AD345" s="35"/>
      <c r="AE345" s="35"/>
      <c r="AF345" s="36"/>
      <c r="AG345" s="36"/>
      <c r="AH345" s="36"/>
      <c r="AI345" s="36"/>
      <c r="AJ345" s="36"/>
      <c r="AK345" s="36"/>
      <c r="AL345" s="36"/>
      <c r="AM345" s="36"/>
      <c r="AN345" s="36"/>
      <c r="AO345" s="36"/>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v>1</v>
      </c>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18"/>
      <c r="GC345" s="178">
        <f t="shared" si="64"/>
        <v>0</v>
      </c>
      <c r="GD345" s="178">
        <f t="shared" si="65"/>
        <v>0</v>
      </c>
      <c r="GE345" s="178">
        <f t="shared" si="66"/>
        <v>0</v>
      </c>
      <c r="GF345" s="178">
        <f t="shared" si="67"/>
        <v>0</v>
      </c>
      <c r="GG345" s="178">
        <f t="shared" si="51"/>
        <v>0</v>
      </c>
    </row>
    <row r="346" spans="1:189" x14ac:dyDescent="0.35">
      <c r="A346" s="6" t="s">
        <v>1493</v>
      </c>
      <c r="B346" s="6" t="str">
        <f>IF(Technologies!B346&lt;&gt;0,Technologies!B346,"")</f>
        <v>Industrie</v>
      </c>
      <c r="C346" s="6" t="str">
        <f>VLOOKUP($A346,Technologies!$A$7:$H$576,3,FALSE)</f>
        <v>Primary</v>
      </c>
      <c r="D346" s="6" t="str">
        <f>VLOOKUP($A346,Technologies!$A$7:$H$576,4,FALSE)</f>
        <v>Fossil</v>
      </c>
      <c r="E346" s="6" t="str">
        <f>VLOOKUP($A346,Technologies!$A$7:$H$576,6,FALSE)</f>
        <v>Other Oil Products</v>
      </c>
      <c r="F346" s="48" t="str">
        <f>VLOOKUP($A346,Technologies!$A$7:$H$576,7,FALSE)</f>
        <v>Imported Other Oil Products - Refineries</v>
      </c>
      <c r="G346" s="22"/>
      <c r="H346" s="22"/>
      <c r="I346" s="103" cm="1">
        <f t="array" ref="I346">-SUMPRODUCT((Feedstocks!$C$4:$C$141=A346)*Feedstocks!$E$4:$E$141,Feedstocks!$F$4:$F$141,Feedstocks!$H$4:$H$141,Feedstocks!$I$4:$I$141)</f>
        <v>0</v>
      </c>
      <c r="J346" s="103" cm="1">
        <f t="array" ref="J346">-SUMPRODUCT((Feedstocks!$C$4:$C$141=A346)*Feedstocks!$E$4:$E$141,Feedstocks!$H$4:$H$141,Feedstocks!$I$4:$I$141)</f>
        <v>0</v>
      </c>
      <c r="K346" s="103"/>
      <c r="L346" s="103"/>
      <c r="M346" s="22">
        <v>1</v>
      </c>
      <c r="N346" s="22" t="str">
        <f>VLOOKUP(E346,Activities!$A$9:$M$227,13,FALSE)</f>
        <v>NL</v>
      </c>
      <c r="O346" s="22"/>
      <c r="P346" s="80" t="s">
        <v>415</v>
      </c>
      <c r="Q346" s="36"/>
      <c r="R346" s="36"/>
      <c r="S346" s="36"/>
      <c r="T346" s="36"/>
      <c r="U346" s="36"/>
      <c r="V346" s="36"/>
      <c r="W346" s="36"/>
      <c r="X346" s="36"/>
      <c r="Y346" s="36"/>
      <c r="Z346" s="36"/>
      <c r="AA346" s="36"/>
      <c r="AB346" s="36"/>
      <c r="AC346" s="36"/>
      <c r="AD346" s="36"/>
      <c r="AE346" s="36"/>
      <c r="AF346" s="35"/>
      <c r="AG346" s="35"/>
      <c r="AH346" s="35"/>
      <c r="AI346" s="35"/>
      <c r="AJ346" s="35"/>
      <c r="AK346" s="35"/>
      <c r="AL346" s="35"/>
      <c r="AM346" s="35"/>
      <c r="AN346" s="35"/>
      <c r="AO346" s="35"/>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6"/>
      <c r="BV346" s="36"/>
      <c r="BW346" s="3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v>1</v>
      </c>
      <c r="DY346" s="36"/>
      <c r="DZ346" s="36"/>
      <c r="EA346" s="36"/>
      <c r="EB346" s="36"/>
      <c r="EC346" s="36"/>
      <c r="ED346" s="36"/>
      <c r="EE346" s="36"/>
      <c r="EF346" s="36"/>
      <c r="EG346" s="36"/>
      <c r="EH346" s="36"/>
      <c r="EI346" s="36"/>
      <c r="EJ346" s="36"/>
      <c r="EK346" s="36"/>
      <c r="EL346" s="36"/>
      <c r="EM346" s="36"/>
      <c r="EN346" s="36"/>
      <c r="EO346" s="36"/>
      <c r="EP346" s="36"/>
      <c r="EQ346" s="36"/>
      <c r="ER346" s="36"/>
      <c r="ES346" s="36"/>
      <c r="ET346" s="36"/>
      <c r="EU346" s="36"/>
      <c r="EV346" s="36"/>
      <c r="EW346" s="36"/>
      <c r="EX346" s="36"/>
      <c r="EY346" s="36"/>
      <c r="EZ346" s="36"/>
      <c r="FA346" s="36"/>
      <c r="FB346" s="36"/>
      <c r="FC346" s="36"/>
      <c r="FD346" s="36"/>
      <c r="FE346" s="36"/>
      <c r="FF346" s="36"/>
      <c r="FG346" s="36"/>
      <c r="FH346" s="36"/>
      <c r="FI346" s="36"/>
      <c r="FJ346" s="36"/>
      <c r="FK346" s="36"/>
      <c r="FL346" s="36"/>
      <c r="FM346" s="36"/>
      <c r="FN346" s="36"/>
      <c r="FO346" s="36"/>
      <c r="FP346" s="36"/>
      <c r="FQ346" s="36"/>
      <c r="FR346" s="36"/>
      <c r="FS346" s="36"/>
      <c r="FT346" s="36"/>
      <c r="FU346" s="36"/>
      <c r="FV346" s="36"/>
      <c r="FW346" s="36"/>
      <c r="FX346" s="36"/>
      <c r="FY346" s="36"/>
      <c r="FZ346" s="36"/>
      <c r="GA346" s="36"/>
      <c r="GB346" s="319"/>
      <c r="GC346" s="179">
        <f t="shared" si="64"/>
        <v>0</v>
      </c>
      <c r="GD346" s="179">
        <f t="shared" si="65"/>
        <v>0</v>
      </c>
      <c r="GE346" s="179">
        <f t="shared" si="66"/>
        <v>0</v>
      </c>
      <c r="GF346" s="179">
        <f t="shared" si="67"/>
        <v>0</v>
      </c>
      <c r="GG346" s="179">
        <f t="shared" si="51"/>
        <v>0</v>
      </c>
    </row>
    <row r="347" spans="1:189" x14ac:dyDescent="0.35">
      <c r="A347" s="5" t="s">
        <v>1495</v>
      </c>
      <c r="B347" s="5" t="str">
        <f>IF(Technologies!B347&lt;&gt;0,Technologies!B347,"")</f>
        <v>Industrie</v>
      </c>
      <c r="C347" s="5" t="str">
        <f>VLOOKUP($A347,Technologies!$A$7:$H$576,3,FALSE)</f>
        <v>Primary</v>
      </c>
      <c r="D347" s="5" t="str">
        <f>VLOOKUP($A347,Technologies!$A$7:$H$576,4,FALSE)</f>
        <v>Renewable</v>
      </c>
      <c r="E347" s="5" t="str">
        <f>VLOOKUP($A347,Technologies!$A$7:$H$576,6,FALSE)</f>
        <v>Bio Naphtha</v>
      </c>
      <c r="F347" s="5" t="str">
        <f>VLOOKUP($A347,Technologies!$A$7:$H$576,7,FALSE)</f>
        <v>Imported Bionaphtha - Refineries</v>
      </c>
      <c r="G347" s="23"/>
      <c r="H347" s="23"/>
      <c r="I347" s="104" cm="1">
        <f t="array" ref="I347">-SUMPRODUCT((Feedstocks!$C$4:$C$141=A347)*Feedstocks!$E$4:$E$141,Feedstocks!$F$4:$F$141,Feedstocks!$H$4:$H$141,Feedstocks!$I$4:$I$141)</f>
        <v>0</v>
      </c>
      <c r="J347" s="104" cm="1">
        <f t="array" ref="J347">-SUMPRODUCT((Feedstocks!$C$4:$C$141=A347)*Feedstocks!$E$4:$E$141,Feedstocks!$H$4:$H$141,Feedstocks!$I$4:$I$141)</f>
        <v>0</v>
      </c>
      <c r="K347" s="104"/>
      <c r="L347" s="104"/>
      <c r="M347" s="23">
        <v>1</v>
      </c>
      <c r="N347" s="23" t="str">
        <f>VLOOKUP(E347,Activities!$A$9:$M$227,13,FALSE)</f>
        <v>NL</v>
      </c>
      <c r="O347" s="23"/>
      <c r="P347" s="79" t="s">
        <v>415</v>
      </c>
      <c r="Q347" s="35"/>
      <c r="R347" s="35"/>
      <c r="S347" s="35"/>
      <c r="T347" s="35"/>
      <c r="U347" s="35"/>
      <c r="V347" s="35"/>
      <c r="W347" s="35"/>
      <c r="X347" s="35"/>
      <c r="Y347" s="35"/>
      <c r="Z347" s="35"/>
      <c r="AA347" s="35"/>
      <c r="AB347" s="35"/>
      <c r="AC347" s="35"/>
      <c r="AD347" s="35"/>
      <c r="AE347" s="35"/>
      <c r="AF347" s="36"/>
      <c r="AG347" s="36"/>
      <c r="AH347" s="36"/>
      <c r="AI347" s="36"/>
      <c r="AJ347" s="36"/>
      <c r="AK347" s="36"/>
      <c r="AL347" s="36"/>
      <c r="AM347" s="36"/>
      <c r="AN347" s="36"/>
      <c r="AO347" s="36"/>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v>1</v>
      </c>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18"/>
      <c r="GC347" s="178">
        <f t="shared" si="64"/>
        <v>0</v>
      </c>
      <c r="GD347" s="178">
        <f t="shared" si="65"/>
        <v>0</v>
      </c>
      <c r="GE347" s="178">
        <f t="shared" si="66"/>
        <v>0</v>
      </c>
      <c r="GF347" s="178">
        <f t="shared" si="67"/>
        <v>0</v>
      </c>
      <c r="GG347" s="178">
        <f t="shared" si="51"/>
        <v>0</v>
      </c>
    </row>
    <row r="348" spans="1:189" x14ac:dyDescent="0.35">
      <c r="A348" s="6" t="s">
        <v>1499</v>
      </c>
      <c r="B348" s="6" t="str">
        <f>IF(Technologies!B348&lt;&gt;0,Technologies!B348,"")</f>
        <v>Industrie</v>
      </c>
      <c r="C348" s="6" t="str">
        <f>VLOOKUP($A348,Technologies!$A$7:$H$576,3,FALSE)</f>
        <v>Conversion</v>
      </c>
      <c r="D348" s="6" t="str">
        <f>VLOOKUP($A348,Technologies!$A$7:$H$576,4,FALSE)</f>
        <v>Refineries</v>
      </c>
      <c r="E348" s="6" t="str">
        <f>VLOOKUP($A348,Technologies!$A$7:$H$576,6,FALSE)</f>
        <v>Bio Ethanol</v>
      </c>
      <c r="F348" s="48" t="str">
        <f>VLOOKUP($A348,Technologies!$A$7:$H$576,7,FALSE)</f>
        <v>Bioethanol from sugar fermentation - Refineries</v>
      </c>
      <c r="G348" s="22"/>
      <c r="H348" s="22"/>
      <c r="I348" s="103" cm="1">
        <f t="array" ref="I348">-SUMPRODUCT((Feedstocks!$C$4:$C$141=A348)*Feedstocks!$E$4:$E$141,Feedstocks!$F$4:$F$141,Feedstocks!$H$4:$H$141,Feedstocks!$I$4:$I$141)</f>
        <v>0</v>
      </c>
      <c r="J348" s="103" cm="1">
        <f t="array" ref="J348">-SUMPRODUCT((Feedstocks!$C$4:$C$141=A348)*Feedstocks!$E$4:$E$141,Feedstocks!$H$4:$H$141,Feedstocks!$I$4:$I$141)</f>
        <v>0</v>
      </c>
      <c r="K348" s="103"/>
      <c r="L348" s="103"/>
      <c r="M348" s="22">
        <v>1</v>
      </c>
      <c r="N348" s="22" t="str">
        <f>VLOOKUP(E348,Activities!$A$9:$M$227,13,FALSE)</f>
        <v>NL</v>
      </c>
      <c r="O348" s="22"/>
      <c r="P348" s="80" t="s">
        <v>415</v>
      </c>
      <c r="Q348" s="36"/>
      <c r="R348" s="36"/>
      <c r="S348" s="36"/>
      <c r="T348" s="36"/>
      <c r="U348" s="36"/>
      <c r="V348" s="36"/>
      <c r="W348" s="36"/>
      <c r="X348" s="36"/>
      <c r="Y348" s="36"/>
      <c r="Z348" s="36"/>
      <c r="AA348" s="36"/>
      <c r="AB348" s="36"/>
      <c r="AC348" s="36"/>
      <c r="AD348" s="36"/>
      <c r="AE348" s="36"/>
      <c r="AF348" s="35"/>
      <c r="AG348" s="35"/>
      <c r="AH348" s="35"/>
      <c r="AI348" s="35"/>
      <c r="AJ348" s="35"/>
      <c r="AK348" s="35"/>
      <c r="AL348" s="35"/>
      <c r="AM348" s="35"/>
      <c r="AN348" s="35"/>
      <c r="AO348" s="35"/>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6"/>
      <c r="BV348" s="36"/>
      <c r="BW348" s="3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v>-0.03</v>
      </c>
      <c r="DI348" s="36"/>
      <c r="DJ348" s="36"/>
      <c r="DK348" s="36"/>
      <c r="DL348" s="36"/>
      <c r="DM348" s="36"/>
      <c r="DN348" s="36"/>
      <c r="DO348" s="36"/>
      <c r="DP348" s="36">
        <v>-0.08</v>
      </c>
      <c r="DQ348" s="36"/>
      <c r="DR348" s="36"/>
      <c r="DS348" s="36"/>
      <c r="DT348" s="36"/>
      <c r="DU348" s="36"/>
      <c r="DV348" s="36"/>
      <c r="DW348" s="36"/>
      <c r="DX348" s="36"/>
      <c r="DY348" s="36"/>
      <c r="DZ348" s="36">
        <v>1</v>
      </c>
      <c r="EA348" s="36"/>
      <c r="EB348" s="36"/>
      <c r="EC348" s="36"/>
      <c r="ED348" s="36"/>
      <c r="EE348" s="36"/>
      <c r="EF348" s="36"/>
      <c r="EG348" s="36"/>
      <c r="EH348" s="36"/>
      <c r="EI348" s="36"/>
      <c r="EJ348" s="36"/>
      <c r="EK348" s="36"/>
      <c r="EL348" s="36"/>
      <c r="EM348" s="36"/>
      <c r="EN348" s="36"/>
      <c r="EO348" s="36"/>
      <c r="EP348" s="36"/>
      <c r="EQ348" s="36"/>
      <c r="ER348" s="36"/>
      <c r="ES348" s="36"/>
      <c r="ET348" s="36"/>
      <c r="EU348" s="36"/>
      <c r="EV348" s="36"/>
      <c r="EW348" s="36"/>
      <c r="EX348" s="36"/>
      <c r="EY348" s="36"/>
      <c r="EZ348" s="36"/>
      <c r="FA348" s="36"/>
      <c r="FB348" s="36"/>
      <c r="FC348" s="36"/>
      <c r="FD348" s="36"/>
      <c r="FE348" s="36"/>
      <c r="FF348" s="36">
        <v>-1.42</v>
      </c>
      <c r="FG348" s="36"/>
      <c r="FH348" s="36"/>
      <c r="FI348" s="36"/>
      <c r="FJ348" s="36"/>
      <c r="FK348" s="36"/>
      <c r="FL348" s="36"/>
      <c r="FM348" s="36"/>
      <c r="FN348" s="36"/>
      <c r="FO348" s="36"/>
      <c r="FP348" s="36"/>
      <c r="FQ348" s="36"/>
      <c r="FR348" s="36"/>
      <c r="FS348" s="36"/>
      <c r="FT348" s="36"/>
      <c r="FU348" s="36"/>
      <c r="FV348" s="36"/>
      <c r="FW348" s="36"/>
      <c r="FX348" s="36"/>
      <c r="FY348" s="36"/>
      <c r="FZ348" s="36"/>
      <c r="GA348" s="36"/>
      <c r="GB348" s="319"/>
      <c r="GC348" s="179">
        <f t="shared" si="64"/>
        <v>0</v>
      </c>
      <c r="GD348" s="179">
        <f t="shared" si="65"/>
        <v>0</v>
      </c>
      <c r="GE348" s="179">
        <f t="shared" si="66"/>
        <v>0</v>
      </c>
      <c r="GF348" s="179">
        <f t="shared" si="67"/>
        <v>0</v>
      </c>
      <c r="GG348" s="179">
        <f t="shared" si="51"/>
        <v>0</v>
      </c>
    </row>
    <row r="349" spans="1:189" x14ac:dyDescent="0.35">
      <c r="A349" s="5" t="s">
        <v>1502</v>
      </c>
      <c r="B349" s="5" t="str">
        <f>IF(Technologies!B349&lt;&gt;0,Technologies!B349,"")</f>
        <v>Industrie</v>
      </c>
      <c r="C349" s="5" t="str">
        <f>VLOOKUP($A349,Technologies!$A$7:$H$576,3,FALSE)</f>
        <v>Conversion</v>
      </c>
      <c r="D349" s="5" t="str">
        <f>VLOOKUP($A349,Technologies!$A$7:$H$576,4,FALSE)</f>
        <v>Refineries</v>
      </c>
      <c r="E349" s="5" t="str">
        <f>VLOOKUP($A349,Technologies!$A$7:$H$576,6,FALSE)</f>
        <v>Bio Ethanol</v>
      </c>
      <c r="F349" s="5" t="str">
        <f>VLOOKUP($A349,Technologies!$A$7:$H$576,7,FALSE)</f>
        <v>Bioethanol from starch fermentation - Refineries</v>
      </c>
      <c r="G349" s="23"/>
      <c r="H349" s="23"/>
      <c r="I349" s="104" cm="1">
        <f t="array" ref="I349">-SUMPRODUCT((Feedstocks!$C$4:$C$141=A349)*Feedstocks!$E$4:$E$141,Feedstocks!$F$4:$F$141,Feedstocks!$H$4:$H$141,Feedstocks!$I$4:$I$141)</f>
        <v>0</v>
      </c>
      <c r="J349" s="104" cm="1">
        <f t="array" ref="J349">-SUMPRODUCT((Feedstocks!$C$4:$C$141=A349)*Feedstocks!$E$4:$E$141,Feedstocks!$H$4:$H$141,Feedstocks!$I$4:$I$141)</f>
        <v>0</v>
      </c>
      <c r="K349" s="104"/>
      <c r="L349" s="104"/>
      <c r="M349" s="23">
        <v>1</v>
      </c>
      <c r="N349" s="23" t="str">
        <f>VLOOKUP(E349,Activities!$A$9:$M$227,13,FALSE)</f>
        <v>NL</v>
      </c>
      <c r="O349" s="23"/>
      <c r="P349" s="79" t="s">
        <v>415</v>
      </c>
      <c r="Q349" s="35"/>
      <c r="R349" s="35"/>
      <c r="S349" s="35"/>
      <c r="T349" s="35"/>
      <c r="U349" s="35"/>
      <c r="V349" s="35"/>
      <c r="W349" s="35"/>
      <c r="X349" s="35"/>
      <c r="Y349" s="35"/>
      <c r="Z349" s="35"/>
      <c r="AA349" s="35"/>
      <c r="AB349" s="35"/>
      <c r="AC349" s="35"/>
      <c r="AD349" s="35"/>
      <c r="AE349" s="35"/>
      <c r="AF349" s="36"/>
      <c r="AG349" s="36"/>
      <c r="AH349" s="36"/>
      <c r="AI349" s="36"/>
      <c r="AJ349" s="36"/>
      <c r="AK349" s="36"/>
      <c r="AL349" s="36"/>
      <c r="AM349" s="36"/>
      <c r="AN349" s="36"/>
      <c r="AO349" s="36"/>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v>-2.5000000000000001E-2</v>
      </c>
      <c r="DI349" s="35"/>
      <c r="DJ349" s="35"/>
      <c r="DK349" s="35"/>
      <c r="DL349" s="35"/>
      <c r="DM349" s="35"/>
      <c r="DN349" s="35"/>
      <c r="DO349" s="35"/>
      <c r="DP349" s="35">
        <v>-7.0000000000000007E-2</v>
      </c>
      <c r="DQ349" s="35"/>
      <c r="DR349" s="35"/>
      <c r="DS349" s="35"/>
      <c r="DT349" s="35"/>
      <c r="DU349" s="35"/>
      <c r="DV349" s="35"/>
      <c r="DW349" s="35"/>
      <c r="DX349" s="35"/>
      <c r="DY349" s="35"/>
      <c r="DZ349" s="35">
        <v>1</v>
      </c>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v>-1.24</v>
      </c>
      <c r="FH349" s="35"/>
      <c r="FI349" s="35"/>
      <c r="FJ349" s="35"/>
      <c r="FK349" s="35"/>
      <c r="FL349" s="35"/>
      <c r="FM349" s="35"/>
      <c r="FN349" s="35"/>
      <c r="FO349" s="35"/>
      <c r="FP349" s="35"/>
      <c r="FQ349" s="35"/>
      <c r="FR349" s="35"/>
      <c r="FS349" s="35"/>
      <c r="FT349" s="35"/>
      <c r="FU349" s="35"/>
      <c r="FV349" s="35"/>
      <c r="FW349" s="35"/>
      <c r="FX349" s="35"/>
      <c r="FY349" s="35"/>
      <c r="FZ349" s="35"/>
      <c r="GA349" s="35"/>
      <c r="GB349" s="318"/>
      <c r="GC349" s="178">
        <f t="shared" si="64"/>
        <v>0</v>
      </c>
      <c r="GD349" s="178">
        <f t="shared" si="65"/>
        <v>0</v>
      </c>
      <c r="GE349" s="178">
        <f t="shared" si="66"/>
        <v>0</v>
      </c>
      <c r="GF349" s="178">
        <f t="shared" si="67"/>
        <v>0</v>
      </c>
      <c r="GG349" s="178">
        <f t="shared" ref="GG349:GG425" si="69">$I349</f>
        <v>0</v>
      </c>
    </row>
    <row r="350" spans="1:189" x14ac:dyDescent="0.35">
      <c r="A350" s="6" t="s">
        <v>1504</v>
      </c>
      <c r="B350" s="6" t="str">
        <f>IF(Technologies!B350&lt;&gt;0,Technologies!B350,"")</f>
        <v>Industrie</v>
      </c>
      <c r="C350" s="6" t="str">
        <f>VLOOKUP($A350,Technologies!$A$7:$H$576,3,FALSE)</f>
        <v>Conversion</v>
      </c>
      <c r="D350" s="6" t="str">
        <f>VLOOKUP($A350,Technologies!$A$7:$H$576,4,FALSE)</f>
        <v>Refineries</v>
      </c>
      <c r="E350" s="6" t="str">
        <f>VLOOKUP($A350,Technologies!$A$7:$H$576,6,FALSE)</f>
        <v>Bio Ethanol</v>
      </c>
      <c r="F350" s="48" t="str">
        <f>VLOOKUP($A350,Technologies!$A$7:$H$576,7,FALSE)</f>
        <v>Bioethanol from cellulosic biomass trough hydrolisis and fermentation - Refineries</v>
      </c>
      <c r="G350" s="22"/>
      <c r="H350" s="22"/>
      <c r="I350" s="103" cm="1">
        <f t="array" ref="I350">-SUMPRODUCT((Feedstocks!$C$4:$C$141=A350)*Feedstocks!$E$4:$E$141,Feedstocks!$F$4:$F$141,Feedstocks!$H$4:$H$141,Feedstocks!$I$4:$I$141)</f>
        <v>0</v>
      </c>
      <c r="J350" s="103" cm="1">
        <f t="array" ref="J350">-SUMPRODUCT((Feedstocks!$C$4:$C$141=A350)*Feedstocks!$E$4:$E$141,Feedstocks!$H$4:$H$141,Feedstocks!$I$4:$I$141)</f>
        <v>0</v>
      </c>
      <c r="K350" s="103"/>
      <c r="L350" s="103"/>
      <c r="M350" s="22">
        <v>1</v>
      </c>
      <c r="N350" s="22" t="str">
        <f>VLOOKUP(E350,Activities!$A$9:$M$227,13,FALSE)</f>
        <v>NL</v>
      </c>
      <c r="O350" s="22"/>
      <c r="P350" s="80" t="s">
        <v>415</v>
      </c>
      <c r="Q350" s="36"/>
      <c r="R350" s="36"/>
      <c r="S350" s="36"/>
      <c r="T350" s="36"/>
      <c r="U350" s="36"/>
      <c r="V350" s="36"/>
      <c r="W350" s="36"/>
      <c r="X350" s="36"/>
      <c r="Y350" s="36"/>
      <c r="Z350" s="36"/>
      <c r="AA350" s="36"/>
      <c r="AB350" s="36"/>
      <c r="AC350" s="36"/>
      <c r="AD350" s="36"/>
      <c r="AE350" s="36"/>
      <c r="AF350" s="35"/>
      <c r="AG350" s="35"/>
      <c r="AH350" s="35"/>
      <c r="AI350" s="35"/>
      <c r="AJ350" s="35"/>
      <c r="AK350" s="35"/>
      <c r="AL350" s="35"/>
      <c r="AM350" s="35"/>
      <c r="AN350" s="35"/>
      <c r="AO350" s="35"/>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v>-0.04</v>
      </c>
      <c r="DI350" s="36"/>
      <c r="DJ350" s="36"/>
      <c r="DK350" s="36"/>
      <c r="DL350" s="36"/>
      <c r="DM350" s="36"/>
      <c r="DN350" s="36"/>
      <c r="DO350" s="36"/>
      <c r="DP350" s="36">
        <v>-0.1</v>
      </c>
      <c r="DQ350" s="36"/>
      <c r="DR350" s="36"/>
      <c r="DS350" s="36"/>
      <c r="DT350" s="36"/>
      <c r="DU350" s="36"/>
      <c r="DV350" s="36"/>
      <c r="DW350" s="36"/>
      <c r="DX350" s="36"/>
      <c r="DY350" s="36"/>
      <c r="DZ350" s="36">
        <v>1</v>
      </c>
      <c r="EA350" s="36"/>
      <c r="EB350" s="36"/>
      <c r="EC350" s="36"/>
      <c r="ED350" s="36"/>
      <c r="EE350" s="36"/>
      <c r="EF350" s="36"/>
      <c r="EG350" s="36"/>
      <c r="EH350" s="36"/>
      <c r="EI350" s="36"/>
      <c r="EJ350" s="36"/>
      <c r="EK350" s="36"/>
      <c r="EL350" s="36"/>
      <c r="EM350" s="36"/>
      <c r="EN350" s="36"/>
      <c r="EO350" s="36"/>
      <c r="EP350" s="36"/>
      <c r="EQ350" s="36"/>
      <c r="ER350" s="36"/>
      <c r="ES350" s="36"/>
      <c r="ET350" s="36"/>
      <c r="EU350" s="36"/>
      <c r="EV350" s="36"/>
      <c r="EW350" s="36"/>
      <c r="EX350" s="36"/>
      <c r="EY350" s="36"/>
      <c r="EZ350" s="36"/>
      <c r="FA350" s="36">
        <v>-2</v>
      </c>
      <c r="FB350" s="36"/>
      <c r="FC350" s="36"/>
      <c r="FD350" s="36"/>
      <c r="FE350" s="36"/>
      <c r="FF350" s="36"/>
      <c r="FG350" s="36"/>
      <c r="FH350" s="36"/>
      <c r="FI350" s="36"/>
      <c r="FJ350" s="36"/>
      <c r="FK350" s="36"/>
      <c r="FL350" s="36"/>
      <c r="FM350" s="36"/>
      <c r="FN350" s="36"/>
      <c r="FO350" s="36"/>
      <c r="FP350" s="36"/>
      <c r="FQ350" s="36"/>
      <c r="FR350" s="36"/>
      <c r="FS350" s="36"/>
      <c r="FT350" s="36"/>
      <c r="FU350" s="36"/>
      <c r="FV350" s="36"/>
      <c r="FW350" s="36"/>
      <c r="FX350" s="36"/>
      <c r="FY350" s="36"/>
      <c r="FZ350" s="36"/>
      <c r="GA350" s="36"/>
      <c r="GB350" s="319"/>
      <c r="GC350" s="179">
        <f t="shared" si="64"/>
        <v>0</v>
      </c>
      <c r="GD350" s="179">
        <f t="shared" si="65"/>
        <v>0</v>
      </c>
      <c r="GE350" s="179">
        <f t="shared" si="66"/>
        <v>0</v>
      </c>
      <c r="GF350" s="179">
        <f t="shared" si="67"/>
        <v>0</v>
      </c>
      <c r="GG350" s="179">
        <f t="shared" si="69"/>
        <v>0</v>
      </c>
    </row>
    <row r="351" spans="1:189" x14ac:dyDescent="0.35">
      <c r="A351" s="5" t="s">
        <v>1506</v>
      </c>
      <c r="B351" s="5" t="str">
        <f>IF(Technologies!B351&lt;&gt;0,Technologies!B351,"")</f>
        <v>Industrie</v>
      </c>
      <c r="C351" s="5" t="str">
        <f>VLOOKUP($A351,Technologies!$A$7:$H$576,3,FALSE)</f>
        <v>Primary</v>
      </c>
      <c r="D351" s="5" t="str">
        <f>VLOOKUP($A351,Technologies!$A$7:$H$576,4,FALSE)</f>
        <v>Renewable</v>
      </c>
      <c r="E351" s="5" t="str">
        <f>VLOOKUP($A351,Technologies!$A$7:$H$576,6,FALSE)</f>
        <v>Bio Ethanol</v>
      </c>
      <c r="F351" s="5" t="str">
        <f>VLOOKUP($A351,Technologies!$A$7:$H$576,7,FALSE)</f>
        <v>Imported Bioethanol - Refineries</v>
      </c>
      <c r="G351" s="23"/>
      <c r="H351" s="23"/>
      <c r="I351" s="104" cm="1">
        <f t="array" ref="I351">-SUMPRODUCT((Feedstocks!$C$4:$C$141=A351)*Feedstocks!$E$4:$E$141,Feedstocks!$F$4:$F$141,Feedstocks!$H$4:$H$141,Feedstocks!$I$4:$I$141)</f>
        <v>0</v>
      </c>
      <c r="J351" s="104" cm="1">
        <f t="array" ref="J351">-SUMPRODUCT((Feedstocks!$C$4:$C$141=A351)*Feedstocks!$E$4:$E$141,Feedstocks!$H$4:$H$141,Feedstocks!$I$4:$I$141)</f>
        <v>0</v>
      </c>
      <c r="K351" s="104"/>
      <c r="L351" s="104"/>
      <c r="M351" s="23">
        <v>1</v>
      </c>
      <c r="N351" s="23" t="str">
        <f>VLOOKUP(E351,Activities!$A$9:$M$227,13,FALSE)</f>
        <v>NL</v>
      </c>
      <c r="O351" s="23"/>
      <c r="P351" s="79" t="s">
        <v>415</v>
      </c>
      <c r="Q351" s="35"/>
      <c r="R351" s="35"/>
      <c r="S351" s="35"/>
      <c r="T351" s="35"/>
      <c r="U351" s="35"/>
      <c r="V351" s="35"/>
      <c r="W351" s="35"/>
      <c r="X351" s="35"/>
      <c r="Y351" s="35"/>
      <c r="Z351" s="35"/>
      <c r="AA351" s="35"/>
      <c r="AB351" s="35"/>
      <c r="AC351" s="35"/>
      <c r="AD351" s="35"/>
      <c r="AE351" s="35"/>
      <c r="AF351" s="36"/>
      <c r="AG351" s="36"/>
      <c r="AH351" s="36"/>
      <c r="AI351" s="36"/>
      <c r="AJ351" s="36"/>
      <c r="AK351" s="36"/>
      <c r="AL351" s="36"/>
      <c r="AM351" s="36"/>
      <c r="AN351" s="36"/>
      <c r="AO351" s="36"/>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v>1</v>
      </c>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18"/>
      <c r="GC351" s="178">
        <f t="shared" si="64"/>
        <v>0</v>
      </c>
      <c r="GD351" s="178">
        <f t="shared" si="65"/>
        <v>0</v>
      </c>
      <c r="GE351" s="178">
        <f t="shared" si="66"/>
        <v>0</v>
      </c>
      <c r="GF351" s="178">
        <f t="shared" si="67"/>
        <v>0</v>
      </c>
      <c r="GG351" s="178">
        <f t="shared" si="69"/>
        <v>0</v>
      </c>
    </row>
    <row r="352" spans="1:189" x14ac:dyDescent="0.35">
      <c r="A352" s="6" t="s">
        <v>1508</v>
      </c>
      <c r="B352" s="6" t="str">
        <f>IF(Technologies!B352&lt;&gt;0,Technologies!B352,"")</f>
        <v>Industrie</v>
      </c>
      <c r="C352" s="6" t="str">
        <f>VLOOKUP($A352,Technologies!$A$7:$H$576,3,FALSE)</f>
        <v>Conversion</v>
      </c>
      <c r="D352" s="6" t="str">
        <f>VLOOKUP($A352,Technologies!$A$7:$H$576,4,FALSE)</f>
        <v>Refineries</v>
      </c>
      <c r="E352" s="6" t="str">
        <f>VLOOKUP($A352,Technologies!$A$7:$H$576,6,FALSE)</f>
        <v>Bio Diesel</v>
      </c>
      <c r="F352" s="48" t="str">
        <f>VLOOKUP($A352,Technologies!$A$7:$H$576,7,FALSE)</f>
        <v>Biodiesel from FAME  - Refineries</v>
      </c>
      <c r="G352" s="22"/>
      <c r="H352" s="22"/>
      <c r="I352" s="103" cm="1">
        <f t="array" ref="I352">-SUMPRODUCT((Feedstocks!$C$4:$C$141=A352)*Feedstocks!$E$4:$E$141,Feedstocks!$F$4:$F$141,Feedstocks!$H$4:$H$141,Feedstocks!$I$4:$I$141)</f>
        <v>0</v>
      </c>
      <c r="J352" s="103" cm="1">
        <f t="array" ref="J352">-SUMPRODUCT((Feedstocks!$C$4:$C$141=A352)*Feedstocks!$E$4:$E$141,Feedstocks!$H$4:$H$141,Feedstocks!$I$4:$I$141)</f>
        <v>0</v>
      </c>
      <c r="K352" s="103"/>
      <c r="L352" s="103"/>
      <c r="M352" s="22">
        <v>1</v>
      </c>
      <c r="N352" s="22" t="str">
        <f>VLOOKUP(E352,Activities!$A$9:$M$227,13,FALSE)</f>
        <v>NL</v>
      </c>
      <c r="O352" s="22"/>
      <c r="P352" s="80" t="s">
        <v>415</v>
      </c>
      <c r="Q352" s="36"/>
      <c r="R352" s="36"/>
      <c r="S352" s="36"/>
      <c r="T352" s="36"/>
      <c r="U352" s="36"/>
      <c r="V352" s="36"/>
      <c r="W352" s="36"/>
      <c r="X352" s="36"/>
      <c r="Y352" s="36"/>
      <c r="Z352" s="36"/>
      <c r="AA352" s="36"/>
      <c r="AB352" s="36"/>
      <c r="AC352" s="36"/>
      <c r="AD352" s="36"/>
      <c r="AE352" s="36"/>
      <c r="AF352" s="35"/>
      <c r="AG352" s="35"/>
      <c r="AH352" s="35"/>
      <c r="AI352" s="35"/>
      <c r="AJ352" s="35"/>
      <c r="AK352" s="35"/>
      <c r="AL352" s="35"/>
      <c r="AM352" s="35"/>
      <c r="AN352" s="35"/>
      <c r="AO352" s="35"/>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v>-1.72759930220075E-2</v>
      </c>
      <c r="DI352" s="36"/>
      <c r="DJ352" s="36"/>
      <c r="DK352" s="36"/>
      <c r="DL352" s="36"/>
      <c r="DM352" s="36"/>
      <c r="DN352" s="36"/>
      <c r="DO352" s="36">
        <v>-0.170568632581857</v>
      </c>
      <c r="DP352" s="36"/>
      <c r="DQ352" s="36"/>
      <c r="DR352" s="36"/>
      <c r="DS352" s="36"/>
      <c r="DT352" s="36"/>
      <c r="DU352" s="36"/>
      <c r="DV352" s="36"/>
      <c r="DW352" s="36"/>
      <c r="DX352" s="36"/>
      <c r="DY352" s="36"/>
      <c r="DZ352" s="36"/>
      <c r="EA352" s="36">
        <v>1</v>
      </c>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v>-1.7</v>
      </c>
      <c r="FI352" s="36"/>
      <c r="FJ352" s="36"/>
      <c r="FK352" s="36"/>
      <c r="FL352" s="36"/>
      <c r="FM352" s="36"/>
      <c r="FN352" s="36"/>
      <c r="FO352" s="36"/>
      <c r="FP352" s="36"/>
      <c r="FQ352" s="36"/>
      <c r="FR352" s="36"/>
      <c r="FS352" s="36"/>
      <c r="FT352" s="36"/>
      <c r="FU352" s="36"/>
      <c r="FV352" s="36"/>
      <c r="FW352" s="36"/>
      <c r="FX352" s="36"/>
      <c r="FY352" s="36"/>
      <c r="FZ352" s="36"/>
      <c r="GA352" s="36"/>
      <c r="GB352" s="319"/>
      <c r="GC352" s="179">
        <f t="shared" si="64"/>
        <v>0</v>
      </c>
      <c r="GD352" s="179">
        <f t="shared" si="65"/>
        <v>0</v>
      </c>
      <c r="GE352" s="179">
        <f t="shared" si="66"/>
        <v>0</v>
      </c>
      <c r="GF352" s="179">
        <f t="shared" si="67"/>
        <v>0</v>
      </c>
      <c r="GG352" s="179">
        <f t="shared" si="69"/>
        <v>0</v>
      </c>
    </row>
    <row r="353" spans="1:342" x14ac:dyDescent="0.35">
      <c r="A353" s="5" t="s">
        <v>1510</v>
      </c>
      <c r="B353" s="5" t="str">
        <f>IF(Technologies!B353&lt;&gt;0,Technologies!B353,"")</f>
        <v>Industrie</v>
      </c>
      <c r="C353" s="5" t="str">
        <f>VLOOKUP($A353,Technologies!$A$7:$H$576,3,FALSE)</f>
        <v>Conversion</v>
      </c>
      <c r="D353" s="5" t="str">
        <f>VLOOKUP($A353,Technologies!$A$7:$H$576,4,FALSE)</f>
        <v>Refineries</v>
      </c>
      <c r="E353" s="5" t="str">
        <f>VLOOKUP($A353,Technologies!$A$7:$H$576,6,FALSE)</f>
        <v>Bio Diesel</v>
      </c>
      <c r="F353" s="5" t="str">
        <f>VLOOKUP($A353,Technologies!$A$7:$H$576,7,FALSE)</f>
        <v>Biodiesel oriented hydro pyrolisis - Refineries</v>
      </c>
      <c r="G353" s="23"/>
      <c r="H353" s="23"/>
      <c r="I353" s="104" cm="1">
        <f t="array" ref="I353">-SUMPRODUCT((Feedstocks!$C$4:$C$141=A353)*Feedstocks!$E$4:$E$141,Feedstocks!$F$4:$F$141,Feedstocks!$H$4:$H$141,Feedstocks!$I$4:$I$141)</f>
        <v>0</v>
      </c>
      <c r="J353" s="104" cm="1">
        <f t="array" ref="J353">-SUMPRODUCT((Feedstocks!$C$4:$C$141=A353)*Feedstocks!$E$4:$E$141,Feedstocks!$H$4:$H$141,Feedstocks!$I$4:$I$141)</f>
        <v>0</v>
      </c>
      <c r="K353" s="104"/>
      <c r="L353" s="104"/>
      <c r="M353" s="23">
        <v>1</v>
      </c>
      <c r="N353" s="23" t="str">
        <f>VLOOKUP(E353,Activities!$A$9:$M$227,13,FALSE)</f>
        <v>NL</v>
      </c>
      <c r="O353" s="23"/>
      <c r="P353" s="79" t="s">
        <v>1512</v>
      </c>
      <c r="Q353" s="35"/>
      <c r="R353" s="35"/>
      <c r="S353" s="35"/>
      <c r="T353" s="35"/>
      <c r="U353" s="35"/>
      <c r="V353" s="35"/>
      <c r="W353" s="35"/>
      <c r="X353" s="35"/>
      <c r="Y353" s="35"/>
      <c r="Z353" s="35"/>
      <c r="AA353" s="35"/>
      <c r="AB353" s="35"/>
      <c r="AC353" s="35"/>
      <c r="AD353" s="35"/>
      <c r="AE353" s="35"/>
      <c r="AF353" s="36"/>
      <c r="AG353" s="36"/>
      <c r="AH353" s="36"/>
      <c r="AI353" s="36"/>
      <c r="AJ353" s="36"/>
      <c r="AK353" s="36"/>
      <c r="AL353" s="36"/>
      <c r="AM353" s="36"/>
      <c r="AN353" s="36"/>
      <c r="AO353" s="36"/>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v>-7.0000000000000007E-2</v>
      </c>
      <c r="DI353" s="35"/>
      <c r="DJ353" s="35"/>
      <c r="DK353" s="35"/>
      <c r="DL353" s="35"/>
      <c r="DM353" s="35"/>
      <c r="DN353" s="35"/>
      <c r="DO353" s="35">
        <v>-0.34</v>
      </c>
      <c r="DP353" s="35"/>
      <c r="DQ353" s="35"/>
      <c r="DR353" s="35"/>
      <c r="DS353" s="35"/>
      <c r="DT353" s="35"/>
      <c r="DU353" s="35"/>
      <c r="DV353" s="35"/>
      <c r="DW353" s="35"/>
      <c r="DX353" s="35"/>
      <c r="DY353" s="35">
        <v>0.5</v>
      </c>
      <c r="DZ353" s="35"/>
      <c r="EA353" s="35">
        <v>1</v>
      </c>
      <c r="EB353" s="35">
        <v>0.5</v>
      </c>
      <c r="EC353" s="35"/>
      <c r="ED353" s="35"/>
      <c r="EE353" s="35"/>
      <c r="EF353" s="35"/>
      <c r="EG353" s="35"/>
      <c r="EH353" s="35"/>
      <c r="EI353" s="35"/>
      <c r="EJ353" s="35"/>
      <c r="EK353" s="35"/>
      <c r="EL353" s="35"/>
      <c r="EM353" s="35">
        <v>-0.4</v>
      </c>
      <c r="EN353" s="35"/>
      <c r="EO353" s="35"/>
      <c r="EP353" s="35"/>
      <c r="EQ353" s="35"/>
      <c r="ER353" s="35">
        <v>-2.36</v>
      </c>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18"/>
      <c r="GC353" s="178">
        <f t="shared" si="64"/>
        <v>0</v>
      </c>
      <c r="GD353" s="178">
        <f t="shared" si="65"/>
        <v>0</v>
      </c>
      <c r="GE353" s="178">
        <f t="shared" si="66"/>
        <v>0</v>
      </c>
      <c r="GF353" s="178">
        <f t="shared" si="67"/>
        <v>0</v>
      </c>
      <c r="GG353" s="178">
        <f t="shared" si="69"/>
        <v>0</v>
      </c>
    </row>
    <row r="354" spans="1:342" x14ac:dyDescent="0.35">
      <c r="A354" s="6" t="s">
        <v>1513</v>
      </c>
      <c r="B354" s="6" t="str">
        <f>IF(Technologies!B354&lt;&gt;0,Technologies!B354,"")</f>
        <v>Industrie</v>
      </c>
      <c r="C354" s="6" t="str">
        <f>VLOOKUP($A354,Technologies!$A$7:$H$576,3,FALSE)</f>
        <v>Primary</v>
      </c>
      <c r="D354" s="6" t="str">
        <f>VLOOKUP($A354,Technologies!$A$7:$H$576,4,FALSE)</f>
        <v>Renewable</v>
      </c>
      <c r="E354" s="6" t="str">
        <f>VLOOKUP($A354,Technologies!$A$7:$H$576,6,FALSE)</f>
        <v>Bio Diesel</v>
      </c>
      <c r="F354" s="48" t="str">
        <f>VLOOKUP($A354,Technologies!$A$7:$H$576,7,FALSE)</f>
        <v>Imported Biodiesel - Refineries</v>
      </c>
      <c r="G354" s="22"/>
      <c r="H354" s="22"/>
      <c r="I354" s="103" cm="1">
        <f t="array" ref="I354">-SUMPRODUCT((Feedstocks!$C$4:$C$141=A354)*Feedstocks!$E$4:$E$141,Feedstocks!$F$4:$F$141,Feedstocks!$H$4:$H$141,Feedstocks!$I$4:$I$141)</f>
        <v>0</v>
      </c>
      <c r="J354" s="103" cm="1">
        <f t="array" ref="J354">-SUMPRODUCT((Feedstocks!$C$4:$C$141=A354)*Feedstocks!$E$4:$E$141,Feedstocks!$H$4:$H$141,Feedstocks!$I$4:$I$141)</f>
        <v>0</v>
      </c>
      <c r="K354" s="103"/>
      <c r="L354" s="103"/>
      <c r="M354" s="22">
        <v>1</v>
      </c>
      <c r="N354" s="22" t="str">
        <f>VLOOKUP(E354,Activities!$A$9:$M$227,13,FALSE)</f>
        <v>NL</v>
      </c>
      <c r="O354" s="22"/>
      <c r="P354" s="80" t="s">
        <v>415</v>
      </c>
      <c r="Q354" s="36"/>
      <c r="R354" s="36"/>
      <c r="S354" s="36"/>
      <c r="T354" s="36"/>
      <c r="U354" s="36"/>
      <c r="V354" s="36"/>
      <c r="W354" s="36"/>
      <c r="X354" s="36"/>
      <c r="Y354" s="36"/>
      <c r="Z354" s="36"/>
      <c r="AA354" s="36"/>
      <c r="AB354" s="36"/>
      <c r="AC354" s="36"/>
      <c r="AD354" s="36"/>
      <c r="AE354" s="36"/>
      <c r="AF354" s="35"/>
      <c r="AG354" s="35"/>
      <c r="AH354" s="35"/>
      <c r="AI354" s="35"/>
      <c r="AJ354" s="35"/>
      <c r="AK354" s="35"/>
      <c r="AL354" s="35"/>
      <c r="AM354" s="35"/>
      <c r="AN354" s="35"/>
      <c r="AO354" s="35"/>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36"/>
      <c r="DX354" s="36"/>
      <c r="DY354" s="36"/>
      <c r="DZ354" s="36"/>
      <c r="EA354" s="36">
        <v>1</v>
      </c>
      <c r="EB354" s="36"/>
      <c r="EC354" s="36"/>
      <c r="ED354" s="36"/>
      <c r="EE354" s="36"/>
      <c r="EF354" s="36"/>
      <c r="EG354" s="36"/>
      <c r="EH354" s="36"/>
      <c r="EI354" s="36"/>
      <c r="EJ354" s="36"/>
      <c r="EK354" s="36"/>
      <c r="EL354" s="36"/>
      <c r="EM354" s="36"/>
      <c r="EN354" s="36"/>
      <c r="EO354" s="36"/>
      <c r="EP354" s="36"/>
      <c r="EQ354" s="36"/>
      <c r="ER354" s="36"/>
      <c r="ES354" s="36"/>
      <c r="ET354" s="36"/>
      <c r="EU354" s="36"/>
      <c r="EV354" s="36"/>
      <c r="EW354" s="36"/>
      <c r="EX354" s="36"/>
      <c r="EY354" s="36"/>
      <c r="EZ354" s="36"/>
      <c r="FA354" s="36"/>
      <c r="FB354" s="36"/>
      <c r="FC354" s="36"/>
      <c r="FD354" s="36"/>
      <c r="FE354" s="36"/>
      <c r="FF354" s="36"/>
      <c r="FG354" s="36"/>
      <c r="FH354" s="36"/>
      <c r="FI354" s="36"/>
      <c r="FJ354" s="36"/>
      <c r="FK354" s="36"/>
      <c r="FL354" s="36"/>
      <c r="FM354" s="36"/>
      <c r="FN354" s="36"/>
      <c r="FO354" s="36"/>
      <c r="FP354" s="36"/>
      <c r="FQ354" s="36"/>
      <c r="FR354" s="36"/>
      <c r="FS354" s="36"/>
      <c r="FT354" s="36"/>
      <c r="FU354" s="36"/>
      <c r="FV354" s="36"/>
      <c r="FW354" s="36"/>
      <c r="FX354" s="36"/>
      <c r="FY354" s="36"/>
      <c r="FZ354" s="36"/>
      <c r="GA354" s="36"/>
      <c r="GB354" s="319"/>
      <c r="GC354" s="179">
        <f t="shared" si="64"/>
        <v>0</v>
      </c>
      <c r="GD354" s="179">
        <f t="shared" si="65"/>
        <v>0</v>
      </c>
      <c r="GE354" s="179">
        <f t="shared" si="66"/>
        <v>0</v>
      </c>
      <c r="GF354" s="179">
        <f t="shared" si="67"/>
        <v>0</v>
      </c>
      <c r="GG354" s="179">
        <f t="shared" si="69"/>
        <v>0</v>
      </c>
    </row>
    <row r="355" spans="1:342" x14ac:dyDescent="0.35">
      <c r="A355" s="5" t="s">
        <v>1515</v>
      </c>
      <c r="B355" s="5" t="str">
        <f>IF(Technologies!B355&lt;&gt;0,Technologies!B355,"")</f>
        <v>Industrie</v>
      </c>
      <c r="C355" s="5" t="str">
        <f>VLOOKUP($A355,Technologies!$A$7:$H$576,3,FALSE)</f>
        <v>Conversion</v>
      </c>
      <c r="D355" s="5" t="str">
        <f>VLOOKUP($A355,Technologies!$A$7:$H$576,4,FALSE)</f>
        <v>Refineries</v>
      </c>
      <c r="E355" s="5" t="str">
        <f>VLOOKUP($A355,Technologies!$A$7:$H$576,6,FALSE)</f>
        <v>Bio Kerosene</v>
      </c>
      <c r="F355" s="5" t="str">
        <f>VLOOKUP($A355,Technologies!$A$7:$H$576,7,FALSE)</f>
        <v>Biokerosene oriented hydro pyrolisis - Refineries</v>
      </c>
      <c r="G355" s="23"/>
      <c r="H355" s="23"/>
      <c r="I355" s="104" cm="1">
        <f t="array" ref="I355">-SUMPRODUCT((Feedstocks!$C$4:$C$141=A355)*Feedstocks!$E$4:$E$141,Feedstocks!$F$4:$F$141,Feedstocks!$H$4:$H$141,Feedstocks!$I$4:$I$141)</f>
        <v>0</v>
      </c>
      <c r="J355" s="104" cm="1">
        <f t="array" ref="J355">-SUMPRODUCT((Feedstocks!$C$4:$C$141=A355)*Feedstocks!$E$4:$E$141,Feedstocks!$H$4:$H$141,Feedstocks!$I$4:$I$141)</f>
        <v>0</v>
      </c>
      <c r="K355" s="104"/>
      <c r="L355" s="104"/>
      <c r="M355" s="23">
        <v>1</v>
      </c>
      <c r="N355" s="23" t="str">
        <f>VLOOKUP(E355,Activities!$A$9:$M$227,13,FALSE)</f>
        <v>NL</v>
      </c>
      <c r="O355" s="23"/>
      <c r="P355" s="79" t="s">
        <v>1512</v>
      </c>
      <c r="Q355" s="35"/>
      <c r="R355" s="35"/>
      <c r="S355" s="35"/>
      <c r="T355" s="35"/>
      <c r="U355" s="35"/>
      <c r="V355" s="35"/>
      <c r="W355" s="35"/>
      <c r="X355" s="35"/>
      <c r="Y355" s="35"/>
      <c r="Z355" s="35"/>
      <c r="AA355" s="35"/>
      <c r="AB355" s="35"/>
      <c r="AC355" s="35"/>
      <c r="AD355" s="35"/>
      <c r="AE355" s="35"/>
      <c r="AF355" s="36"/>
      <c r="AG355" s="36"/>
      <c r="AH355" s="36"/>
      <c r="AI355" s="36"/>
      <c r="AJ355" s="36"/>
      <c r="AK355" s="36"/>
      <c r="AL355" s="36"/>
      <c r="AM355" s="36"/>
      <c r="AN355" s="36"/>
      <c r="AO355" s="36"/>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v>-7.0000000000000007E-2</v>
      </c>
      <c r="DI355" s="35"/>
      <c r="DJ355" s="35"/>
      <c r="DK355" s="35"/>
      <c r="DL355" s="35"/>
      <c r="DM355" s="35"/>
      <c r="DN355" s="35"/>
      <c r="DO355" s="35">
        <v>-0.34</v>
      </c>
      <c r="DP355" s="35"/>
      <c r="DQ355" s="35"/>
      <c r="DR355" s="35"/>
      <c r="DS355" s="35"/>
      <c r="DT355" s="35"/>
      <c r="DU355" s="35"/>
      <c r="DV355" s="35"/>
      <c r="DW355" s="35"/>
      <c r="DX355" s="35"/>
      <c r="DY355" s="35">
        <v>0.75</v>
      </c>
      <c r="DZ355" s="35"/>
      <c r="EA355" s="35">
        <v>0.25</v>
      </c>
      <c r="EB355" s="35">
        <v>1</v>
      </c>
      <c r="EC355" s="35"/>
      <c r="ED355" s="35"/>
      <c r="EE355" s="35"/>
      <c r="EF355" s="35"/>
      <c r="EG355" s="35"/>
      <c r="EH355" s="35"/>
      <c r="EI355" s="35"/>
      <c r="EJ355" s="35"/>
      <c r="EK355" s="35"/>
      <c r="EL355" s="35"/>
      <c r="EM355" s="35">
        <v>-0.4</v>
      </c>
      <c r="EN355" s="35"/>
      <c r="EO355" s="35"/>
      <c r="EP355" s="35"/>
      <c r="EQ355" s="35"/>
      <c r="ER355" s="35">
        <v>-2.36</v>
      </c>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18"/>
      <c r="GC355" s="178">
        <f t="shared" si="64"/>
        <v>0</v>
      </c>
      <c r="GD355" s="178">
        <f t="shared" si="65"/>
        <v>0</v>
      </c>
      <c r="GE355" s="178">
        <f t="shared" si="66"/>
        <v>0</v>
      </c>
      <c r="GF355" s="178">
        <f t="shared" si="67"/>
        <v>0</v>
      </c>
      <c r="GG355" s="178">
        <f t="shared" si="69"/>
        <v>0</v>
      </c>
    </row>
    <row r="356" spans="1:342" x14ac:dyDescent="0.35">
      <c r="A356" s="6" t="s">
        <v>1517</v>
      </c>
      <c r="B356" s="6" t="str">
        <f>IF(Technologies!B356&lt;&gt;0,Technologies!B356,"")</f>
        <v>Industrie</v>
      </c>
      <c r="C356" s="6" t="str">
        <f>VLOOKUP($A356,Technologies!$A$7:$H$576,3,FALSE)</f>
        <v>Primary</v>
      </c>
      <c r="D356" s="6" t="str">
        <f>VLOOKUP($A356,Technologies!$A$7:$H$576,4,FALSE)</f>
        <v>Renewable</v>
      </c>
      <c r="E356" s="6" t="str">
        <f>VLOOKUP($A356,Technologies!$A$7:$H$576,6,FALSE)</f>
        <v>Bio Kerosene</v>
      </c>
      <c r="F356" s="48" t="str">
        <f>VLOOKUP($A356,Technologies!$A$7:$H$576,7,FALSE)</f>
        <v>Imported Biokerosene - Refineries</v>
      </c>
      <c r="G356" s="22"/>
      <c r="H356" s="22"/>
      <c r="I356" s="103" cm="1">
        <f t="array" ref="I356">-SUMPRODUCT((Feedstocks!$C$4:$C$141=A356)*Feedstocks!$E$4:$E$141,Feedstocks!$F$4:$F$141,Feedstocks!$H$4:$H$141,Feedstocks!$I$4:$I$141)</f>
        <v>0</v>
      </c>
      <c r="J356" s="103" cm="1">
        <f t="array" ref="J356">-SUMPRODUCT((Feedstocks!$C$4:$C$141=A356)*Feedstocks!$E$4:$E$141,Feedstocks!$H$4:$H$141,Feedstocks!$I$4:$I$141)</f>
        <v>0</v>
      </c>
      <c r="K356" s="103"/>
      <c r="L356" s="103"/>
      <c r="M356" s="22">
        <v>1</v>
      </c>
      <c r="N356" s="22" t="str">
        <f>VLOOKUP(E356,Activities!$A$9:$M$227,13,FALSE)</f>
        <v>NL</v>
      </c>
      <c r="O356" s="22"/>
      <c r="P356" s="80" t="s">
        <v>415</v>
      </c>
      <c r="Q356" s="36"/>
      <c r="R356" s="36"/>
      <c r="S356" s="36"/>
      <c r="T356" s="36"/>
      <c r="U356" s="36"/>
      <c r="V356" s="36"/>
      <c r="W356" s="36"/>
      <c r="X356" s="36"/>
      <c r="Y356" s="36"/>
      <c r="Z356" s="36"/>
      <c r="AA356" s="36"/>
      <c r="AB356" s="36"/>
      <c r="AC356" s="36"/>
      <c r="AD356" s="36"/>
      <c r="AE356" s="36"/>
      <c r="AF356" s="35"/>
      <c r="AG356" s="35"/>
      <c r="AH356" s="35"/>
      <c r="AI356" s="35"/>
      <c r="AJ356" s="35"/>
      <c r="AK356" s="35"/>
      <c r="AL356" s="35"/>
      <c r="AM356" s="35"/>
      <c r="AN356" s="35"/>
      <c r="AO356" s="35"/>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36"/>
      <c r="DX356" s="36"/>
      <c r="DY356" s="36"/>
      <c r="DZ356" s="36"/>
      <c r="EA356" s="36"/>
      <c r="EB356" s="36">
        <v>1</v>
      </c>
      <c r="EC356" s="36"/>
      <c r="ED356" s="36"/>
      <c r="EE356" s="36"/>
      <c r="EF356" s="36"/>
      <c r="EG356" s="36"/>
      <c r="EH356" s="36"/>
      <c r="EI356" s="36"/>
      <c r="EJ356" s="36"/>
      <c r="EK356" s="36"/>
      <c r="EL356" s="36"/>
      <c r="EM356" s="36"/>
      <c r="EN356" s="36"/>
      <c r="EO356" s="36"/>
      <c r="EP356" s="36"/>
      <c r="EQ356" s="36"/>
      <c r="ER356" s="36"/>
      <c r="ES356" s="36"/>
      <c r="ET356" s="36"/>
      <c r="EU356" s="36"/>
      <c r="EV356" s="36"/>
      <c r="EW356" s="36"/>
      <c r="EX356" s="36"/>
      <c r="EY356" s="36"/>
      <c r="EZ356" s="36"/>
      <c r="FA356" s="36"/>
      <c r="FB356" s="36"/>
      <c r="FC356" s="36"/>
      <c r="FD356" s="36"/>
      <c r="FE356" s="36"/>
      <c r="FF356" s="36"/>
      <c r="FG356" s="36"/>
      <c r="FH356" s="36"/>
      <c r="FI356" s="36"/>
      <c r="FJ356" s="36"/>
      <c r="FK356" s="36"/>
      <c r="FL356" s="36"/>
      <c r="FM356" s="36"/>
      <c r="FN356" s="36"/>
      <c r="FO356" s="36"/>
      <c r="FP356" s="36"/>
      <c r="FQ356" s="36"/>
      <c r="FR356" s="36"/>
      <c r="FS356" s="36"/>
      <c r="FT356" s="36"/>
      <c r="FU356" s="36"/>
      <c r="FV356" s="36"/>
      <c r="FW356" s="36"/>
      <c r="FX356" s="36"/>
      <c r="FY356" s="36"/>
      <c r="FZ356" s="36"/>
      <c r="GA356" s="36"/>
      <c r="GB356" s="319"/>
      <c r="GC356" s="179">
        <f t="shared" si="64"/>
        <v>0</v>
      </c>
      <c r="GD356" s="179">
        <f t="shared" si="65"/>
        <v>0</v>
      </c>
      <c r="GE356" s="179">
        <f t="shared" si="66"/>
        <v>0</v>
      </c>
      <c r="GF356" s="179">
        <f t="shared" si="67"/>
        <v>0</v>
      </c>
      <c r="GG356" s="179">
        <f t="shared" si="69"/>
        <v>0</v>
      </c>
    </row>
    <row r="357" spans="1:342" s="261" customFormat="1" x14ac:dyDescent="0.35">
      <c r="A357" s="256" t="s">
        <v>1520</v>
      </c>
      <c r="B357" s="290" t="str">
        <f>IF(Technologies!B357&lt;&gt;0,Technologies!B357,"")</f>
        <v>Industrie</v>
      </c>
      <c r="C357" s="290" t="str">
        <f>VLOOKUP($A357,Technologies!$A$7:$H$576,3,FALSE)</f>
        <v>Conversion</v>
      </c>
      <c r="D357" s="290" t="str">
        <f>VLOOKUP($A357,Technologies!$A$7:$H$576,4,FALSE)</f>
        <v>Refineries</v>
      </c>
      <c r="E357" s="290" t="str">
        <f>VLOOKUP($A357,Technologies!$A$7:$H$576,6,FALSE)</f>
        <v>Bio Kerosene</v>
      </c>
      <c r="F357" s="268" t="str">
        <f>VLOOKUP($A357,Technologies!$A$7:$H$576,7,FALSE)</f>
        <v>Biokerosene from HEFA</v>
      </c>
      <c r="G357" s="262"/>
      <c r="H357" s="262"/>
      <c r="I357" s="264" cm="1">
        <f t="array" ref="I357">-SUMPRODUCT((Feedstocks!$C$4:$C$141=A357)*Feedstocks!$E$4:$E$141,Feedstocks!$F$4:$F$141,Feedstocks!$H$4:$H$141,Feedstocks!$I$4:$I$141)</f>
        <v>0</v>
      </c>
      <c r="J357" s="264" cm="1">
        <f t="array" ref="J357">-SUMPRODUCT((Feedstocks!$C$4:$C$141=A357)*Feedstocks!$E$4:$E$141,Feedstocks!$H$4:$H$141,Feedstocks!$I$4:$I$141)</f>
        <v>0</v>
      </c>
      <c r="K357" s="264"/>
      <c r="L357" s="264"/>
      <c r="M357" s="262">
        <v>1</v>
      </c>
      <c r="N357" s="262" t="str">
        <f>VLOOKUP(E357,Activities!$A$9:$M$227,13,FALSE)</f>
        <v>NL</v>
      </c>
      <c r="O357" s="262"/>
      <c r="P357" s="265"/>
      <c r="Q357" s="266"/>
      <c r="R357" s="266"/>
      <c r="S357" s="266"/>
      <c r="T357" s="266"/>
      <c r="U357" s="266"/>
      <c r="V357" s="266"/>
      <c r="W357" s="266"/>
      <c r="X357" s="266"/>
      <c r="Y357" s="266"/>
      <c r="Z357" s="266"/>
      <c r="AA357" s="266"/>
      <c r="AB357" s="266"/>
      <c r="AC357" s="266"/>
      <c r="AD357" s="266"/>
      <c r="AE357" s="266"/>
      <c r="AF357" s="266"/>
      <c r="AG357" s="266"/>
      <c r="AH357" s="266"/>
      <c r="AI357" s="266"/>
      <c r="AJ357" s="266"/>
      <c r="AK357" s="266"/>
      <c r="AL357" s="266"/>
      <c r="AM357" s="266"/>
      <c r="AN357" s="266"/>
      <c r="AO357" s="266"/>
      <c r="AP357" s="266"/>
      <c r="AQ357" s="266"/>
      <c r="AR357" s="266"/>
      <c r="AS357" s="266"/>
      <c r="AT357" s="266"/>
      <c r="AU357" s="266"/>
      <c r="AV357" s="266"/>
      <c r="AW357" s="266"/>
      <c r="AX357" s="266"/>
      <c r="AY357" s="266"/>
      <c r="AZ357" s="266"/>
      <c r="BA357" s="266"/>
      <c r="BB357" s="266"/>
      <c r="BC357" s="266"/>
      <c r="BD357" s="266"/>
      <c r="BE357" s="266"/>
      <c r="BF357" s="266"/>
      <c r="BG357" s="266"/>
      <c r="BH357" s="266"/>
      <c r="BI357" s="266"/>
      <c r="BJ357" s="266"/>
      <c r="BK357" s="266"/>
      <c r="BL357" s="266"/>
      <c r="BM357" s="266"/>
      <c r="BN357" s="266"/>
      <c r="BO357" s="266"/>
      <c r="BP357" s="266"/>
      <c r="BQ357" s="266"/>
      <c r="BR357" s="266"/>
      <c r="BS357" s="266"/>
      <c r="BT357" s="266"/>
      <c r="BU357" s="266"/>
      <c r="BV357" s="266"/>
      <c r="BW357" s="266"/>
      <c r="BX357" s="266"/>
      <c r="BY357" s="266"/>
      <c r="BZ357" s="266"/>
      <c r="CA357" s="266"/>
      <c r="CB357" s="266"/>
      <c r="CC357" s="266"/>
      <c r="CD357" s="266"/>
      <c r="CE357" s="266"/>
      <c r="CF357" s="266"/>
      <c r="CG357" s="266"/>
      <c r="CH357" s="266"/>
      <c r="CI357" s="266"/>
      <c r="CJ357" s="266"/>
      <c r="CK357" s="266"/>
      <c r="CL357" s="266"/>
      <c r="CM357" s="266"/>
      <c r="CN357" s="266"/>
      <c r="CO357" s="266"/>
      <c r="CP357" s="266"/>
      <c r="CQ357" s="266"/>
      <c r="CR357" s="266"/>
      <c r="CS357" s="266"/>
      <c r="CT357" s="266"/>
      <c r="CU357" s="266"/>
      <c r="CV357" s="266"/>
      <c r="CW357" s="266"/>
      <c r="CX357" s="266"/>
      <c r="CY357" s="266"/>
      <c r="CZ357" s="266"/>
      <c r="DA357" s="266"/>
      <c r="DB357" s="266"/>
      <c r="DC357" s="266"/>
      <c r="DD357" s="266"/>
      <c r="DE357" s="266"/>
      <c r="DF357" s="266"/>
      <c r="DG357" s="266"/>
      <c r="DH357" s="266">
        <v>-7.0000000000000007E-2</v>
      </c>
      <c r="DI357" s="266"/>
      <c r="DJ357" s="266"/>
      <c r="DK357" s="266"/>
      <c r="DL357" s="266"/>
      <c r="DM357" s="266"/>
      <c r="DN357" s="266"/>
      <c r="DO357" s="266">
        <v>-0.34</v>
      </c>
      <c r="DP357" s="266"/>
      <c r="DQ357" s="266"/>
      <c r="DR357" s="266"/>
      <c r="DS357" s="266"/>
      <c r="DT357" s="266"/>
      <c r="DU357" s="266"/>
      <c r="DV357" s="266"/>
      <c r="DW357" s="266"/>
      <c r="DX357" s="266"/>
      <c r="DY357" s="266"/>
      <c r="DZ357" s="266"/>
      <c r="EA357" s="266"/>
      <c r="EB357" s="266">
        <v>1</v>
      </c>
      <c r="EC357" s="266"/>
      <c r="ED357" s="266"/>
      <c r="EE357" s="266"/>
      <c r="EF357" s="266"/>
      <c r="EG357" s="266"/>
      <c r="EH357" s="266"/>
      <c r="EI357" s="266"/>
      <c r="EJ357" s="266"/>
      <c r="EK357" s="266"/>
      <c r="EL357" s="266"/>
      <c r="EM357" s="266">
        <v>-0.05</v>
      </c>
      <c r="EN357" s="266"/>
      <c r="EO357" s="266"/>
      <c r="EP357" s="266"/>
      <c r="EQ357" s="266"/>
      <c r="ER357" s="266"/>
      <c r="ES357" s="266"/>
      <c r="ET357" s="266"/>
      <c r="EU357" s="266"/>
      <c r="EV357" s="266"/>
      <c r="EW357" s="266"/>
      <c r="EX357" s="266"/>
      <c r="EY357" s="266"/>
      <c r="EZ357" s="266"/>
      <c r="FA357" s="266"/>
      <c r="FB357" s="266"/>
      <c r="FC357" s="266"/>
      <c r="FD357" s="266"/>
      <c r="FE357" s="266"/>
      <c r="FF357" s="266"/>
      <c r="FG357" s="266"/>
      <c r="FH357" s="266">
        <v>-1.1100000000000001</v>
      </c>
      <c r="FI357" s="266"/>
      <c r="FJ357" s="266"/>
      <c r="FK357" s="266"/>
      <c r="FL357" s="266"/>
      <c r="FM357" s="266"/>
      <c r="FN357" s="266"/>
      <c r="FO357" s="266"/>
      <c r="FP357" s="266"/>
      <c r="FQ357" s="266"/>
      <c r="FR357" s="266"/>
      <c r="FS357" s="266"/>
      <c r="FT357" s="266"/>
      <c r="FU357" s="266"/>
      <c r="FV357" s="266"/>
      <c r="FW357" s="266"/>
      <c r="FX357" s="266"/>
      <c r="FY357" s="266"/>
      <c r="FZ357" s="266"/>
      <c r="GA357" s="266"/>
      <c r="GB357" s="321"/>
      <c r="GC357" s="267">
        <f t="shared" si="64"/>
        <v>0</v>
      </c>
      <c r="GD357" s="267">
        <f t="shared" si="65"/>
        <v>0</v>
      </c>
      <c r="GE357" s="267">
        <f t="shared" si="66"/>
        <v>0</v>
      </c>
      <c r="GF357" s="267">
        <f t="shared" si="67"/>
        <v>0</v>
      </c>
      <c r="GG357" s="267">
        <f t="shared" si="69"/>
        <v>0</v>
      </c>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row>
    <row r="358" spans="1:342" s="261" customFormat="1" x14ac:dyDescent="0.35">
      <c r="A358" s="256" t="s">
        <v>1522</v>
      </c>
      <c r="B358" s="290" t="str">
        <f>IF(Technologies!B358&lt;&gt;0,Technologies!B358,"")</f>
        <v>Industrie</v>
      </c>
      <c r="C358" s="290" t="str">
        <f>VLOOKUP($A358,Technologies!$A$7:$H$576,3,FALSE)</f>
        <v>Primary</v>
      </c>
      <c r="D358" s="290" t="str">
        <f>VLOOKUP($A358,Technologies!$A$7:$H$576,4,FALSE)</f>
        <v>Renewable</v>
      </c>
      <c r="E358" s="290" t="str">
        <f>VLOOKUP($A358,Technologies!$A$7:$H$576,6,FALSE)</f>
        <v>Bio LPG</v>
      </c>
      <c r="F358" s="268" t="str">
        <f>VLOOKUP($A358,Technologies!$A$7:$H$576,7,FALSE)</f>
        <v>Imported Bio LPG - Refineries</v>
      </c>
      <c r="G358" s="262"/>
      <c r="H358" s="262"/>
      <c r="I358" s="264"/>
      <c r="J358" s="264"/>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c r="DI358" s="266"/>
      <c r="DJ358" s="266"/>
      <c r="DK358" s="266"/>
      <c r="DL358" s="266"/>
      <c r="DM358" s="266"/>
      <c r="DN358" s="266"/>
      <c r="DO358" s="266"/>
      <c r="DP358" s="266"/>
      <c r="DQ358" s="266"/>
      <c r="DR358" s="266"/>
      <c r="DS358" s="266"/>
      <c r="DT358" s="266"/>
      <c r="DU358" s="266"/>
      <c r="DV358" s="266"/>
      <c r="DW358" s="266"/>
      <c r="DX358" s="266"/>
      <c r="DY358" s="266"/>
      <c r="DZ358" s="266"/>
      <c r="EA358" s="266"/>
      <c r="EB358" s="266"/>
      <c r="EC358" s="266">
        <v>1</v>
      </c>
      <c r="ED358" s="266"/>
      <c r="EE358" s="266"/>
      <c r="EF358" s="266"/>
      <c r="EG358" s="266"/>
      <c r="EH358" s="266"/>
      <c r="EI358" s="266"/>
      <c r="EJ358" s="266"/>
      <c r="EK358" s="266"/>
      <c r="EL358" s="266"/>
      <c r="EM358" s="266"/>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x14ac:dyDescent="0.35">
      <c r="A359" s="5" t="s">
        <v>1524</v>
      </c>
      <c r="B359" s="5" t="str">
        <f>IF(Technologies!B359&lt;&gt;0,Technologies!B359,"")</f>
        <v>Industrie</v>
      </c>
      <c r="C359" s="5" t="str">
        <f>VLOOKUP($A359,Technologies!$A$7:$H$576,3,FALSE)</f>
        <v>Conversion</v>
      </c>
      <c r="D359" s="5" t="str">
        <f>VLOOKUP($A359,Technologies!$A$7:$H$576,4,FALSE)</f>
        <v>Refineries</v>
      </c>
      <c r="E359" s="5" t="str">
        <f>VLOOKUP($A359,Technologies!$A$7:$H$576,6,FALSE)</f>
        <v>Syn Diesel</v>
      </c>
      <c r="F359" s="5" t="str">
        <f>VLOOKUP($A359,Technologies!$A$7:$H$576,7,FALSE)</f>
        <v>Syndiesel oriented Fischer Tropsch - Refineries</v>
      </c>
      <c r="G359" s="23"/>
      <c r="H359" s="23"/>
      <c r="I359" s="104" cm="1">
        <f t="array" ref="I359">-SUMPRODUCT((Feedstocks!$C$4:$C$141=A359)*Feedstocks!$E$4:$E$141,Feedstocks!$F$4:$F$141,Feedstocks!$H$4:$H$141,Feedstocks!$I$4:$I$141)</f>
        <v>0</v>
      </c>
      <c r="J359" s="104" cm="1">
        <f t="array" ref="J359">-SUMPRODUCT((Feedstocks!$C$4:$C$141=A359)*Feedstocks!$E$4:$E$141,Feedstocks!$H$4:$H$141,Feedstocks!$I$4:$I$141)</f>
        <v>0</v>
      </c>
      <c r="K359" s="104"/>
      <c r="L359" s="104"/>
      <c r="M359" s="23">
        <v>1</v>
      </c>
      <c r="N359" s="23" t="str">
        <f>VLOOKUP(E359,Activities!$A$9:$M$227,13,FALSE)</f>
        <v>NL</v>
      </c>
      <c r="O359" s="23"/>
      <c r="P359" s="79" t="s">
        <v>1527</v>
      </c>
      <c r="Q359" s="35"/>
      <c r="R359" s="35"/>
      <c r="S359" s="35"/>
      <c r="T359" s="35"/>
      <c r="U359" s="35"/>
      <c r="V359" s="35"/>
      <c r="W359" s="35"/>
      <c r="X359" s="35"/>
      <c r="Y359" s="35"/>
      <c r="Z359" s="35"/>
      <c r="AA359" s="35"/>
      <c r="AB359" s="35"/>
      <c r="AC359" s="35"/>
      <c r="AD359" s="35"/>
      <c r="AE359" s="35"/>
      <c r="AF359" s="36"/>
      <c r="AG359" s="36"/>
      <c r="AH359" s="36"/>
      <c r="AI359" s="36"/>
      <c r="AJ359" s="36"/>
      <c r="AK359" s="36"/>
      <c r="AL359" s="36"/>
      <c r="AM359" s="36"/>
      <c r="AN359" s="36"/>
      <c r="AO359" s="36"/>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266">
        <v>-0.03</v>
      </c>
      <c r="DI359" s="35"/>
      <c r="DJ359" s="35"/>
      <c r="DK359" s="35"/>
      <c r="DL359" s="35"/>
      <c r="DM359" s="35"/>
      <c r="DN359" s="35"/>
      <c r="DO359" s="35"/>
      <c r="DP359" s="266">
        <v>0.44</v>
      </c>
      <c r="DQ359" s="35"/>
      <c r="DR359" s="35"/>
      <c r="DS359" s="35"/>
      <c r="DT359" s="35"/>
      <c r="DU359" s="35"/>
      <c r="DV359" s="35"/>
      <c r="DW359" s="35"/>
      <c r="DX359" s="35"/>
      <c r="DY359" s="35"/>
      <c r="DZ359" s="35"/>
      <c r="EA359" s="35"/>
      <c r="EB359" s="35"/>
      <c r="EC359" s="35"/>
      <c r="ED359" s="266">
        <v>0.33</v>
      </c>
      <c r="EE359" s="266">
        <v>1</v>
      </c>
      <c r="EF359" s="35"/>
      <c r="EG359" s="266">
        <v>-1.6</v>
      </c>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18"/>
      <c r="GC359" s="178">
        <f t="shared" si="64"/>
        <v>0</v>
      </c>
      <c r="GD359" s="178">
        <f t="shared" si="65"/>
        <v>2.1999999999999999E-2</v>
      </c>
      <c r="GE359" s="178">
        <f t="shared" si="66"/>
        <v>0</v>
      </c>
      <c r="GF359" s="178">
        <f t="shared" si="67"/>
        <v>0</v>
      </c>
      <c r="GG359" s="178">
        <f t="shared" si="69"/>
        <v>0</v>
      </c>
    </row>
    <row r="360" spans="1:342" x14ac:dyDescent="0.35">
      <c r="A360" s="6" t="s">
        <v>1528</v>
      </c>
      <c r="B360" s="6" t="str">
        <f>IF(Technologies!B360&lt;&gt;0,Technologies!B360,"")</f>
        <v>Industrie</v>
      </c>
      <c r="C360" s="6" t="str">
        <f>VLOOKUP($A360,Technologies!$A$7:$H$576,3,FALSE)</f>
        <v>Conversion</v>
      </c>
      <c r="D360" s="6" t="str">
        <f>VLOOKUP($A360,Technologies!$A$7:$H$576,4,FALSE)</f>
        <v>Refineries</v>
      </c>
      <c r="E360" s="6" t="str">
        <f>VLOOKUP($A360,Technologies!$A$7:$H$576,6,FALSE)</f>
        <v>Syn Diesel</v>
      </c>
      <c r="F360" s="48" t="str">
        <f>VLOOKUP($A360,Technologies!$A$7:$H$576,7,FALSE)</f>
        <v>Syndiesel oriented methanol to fuels - Refineries</v>
      </c>
      <c r="G360" s="22"/>
      <c r="H360" s="22"/>
      <c r="I360" s="103" cm="1">
        <f t="array" ref="I360">-SUMPRODUCT((Feedstocks!$C$4:$C$141=A360)*Feedstocks!$E$4:$E$141,Feedstocks!$F$4:$F$141,Feedstocks!$H$4:$H$141,Feedstocks!$I$4:$I$141)</f>
        <v>0</v>
      </c>
      <c r="J360" s="103" cm="1">
        <f t="array" ref="J360">-SUMPRODUCT((Feedstocks!$C$4:$C$141=A360)*Feedstocks!$E$4:$E$141,Feedstocks!$H$4:$H$141,Feedstocks!$I$4:$I$141)</f>
        <v>0</v>
      </c>
      <c r="K360" s="103"/>
      <c r="L360" s="103"/>
      <c r="M360" s="22">
        <v>1</v>
      </c>
      <c r="N360" s="22" t="str">
        <f>VLOOKUP(E360,Activities!$A$9:$M$227,13,FALSE)</f>
        <v>NL</v>
      </c>
      <c r="O360" s="22"/>
      <c r="P360" s="80" t="s">
        <v>1828</v>
      </c>
      <c r="Q360" s="36"/>
      <c r="R360" s="36"/>
      <c r="S360" s="36"/>
      <c r="T360" s="36"/>
      <c r="U360" s="36"/>
      <c r="V360" s="36"/>
      <c r="W360" s="36"/>
      <c r="X360" s="36"/>
      <c r="Y360" s="36"/>
      <c r="Z360" s="36"/>
      <c r="AA360" s="36"/>
      <c r="AB360" s="36"/>
      <c r="AC360" s="36"/>
      <c r="AD360" s="36"/>
      <c r="AE360" s="36"/>
      <c r="AF360" s="35"/>
      <c r="AG360" s="35"/>
      <c r="AH360" s="35"/>
      <c r="AI360" s="35"/>
      <c r="AJ360" s="35"/>
      <c r="AK360" s="35"/>
      <c r="AL360" s="35"/>
      <c r="AM360" s="35"/>
      <c r="AN360" s="35"/>
      <c r="AO360" s="35"/>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v>-0.02</v>
      </c>
      <c r="DI360" s="36"/>
      <c r="DJ360" s="36"/>
      <c r="DK360" s="36"/>
      <c r="DL360" s="36"/>
      <c r="DM360" s="36"/>
      <c r="DN360" s="36"/>
      <c r="DO360" s="36"/>
      <c r="DP360" s="36">
        <v>-0.21</v>
      </c>
      <c r="DQ360" s="36"/>
      <c r="DR360" s="36"/>
      <c r="DS360" s="36"/>
      <c r="DT360" s="36"/>
      <c r="DU360" s="36"/>
      <c r="DV360" s="36"/>
      <c r="DW360" s="36"/>
      <c r="DX360" s="36"/>
      <c r="DY360" s="36"/>
      <c r="DZ360" s="36"/>
      <c r="EA360" s="36"/>
      <c r="EB360" s="36"/>
      <c r="EC360" s="36"/>
      <c r="ED360" s="266">
        <v>0.33</v>
      </c>
      <c r="EE360" s="266">
        <v>1</v>
      </c>
      <c r="EF360" s="36"/>
      <c r="EG360" s="36"/>
      <c r="EH360" s="36"/>
      <c r="EI360" s="266">
        <v>-1.7</v>
      </c>
      <c r="EJ360" s="36"/>
      <c r="EK360" s="36"/>
      <c r="EL360" s="36"/>
      <c r="EM360" s="36"/>
      <c r="EN360" s="36"/>
      <c r="EO360" s="36"/>
      <c r="EP360" s="36"/>
      <c r="EQ360" s="36"/>
      <c r="ER360" s="36"/>
      <c r="ES360" s="36"/>
      <c r="ET360" s="36"/>
      <c r="EU360" s="36"/>
      <c r="EV360" s="36"/>
      <c r="EW360" s="36"/>
      <c r="EX360" s="36"/>
      <c r="EY360" s="36"/>
      <c r="EZ360" s="36"/>
      <c r="FA360" s="36"/>
      <c r="FB360" s="36"/>
      <c r="FC360" s="36"/>
      <c r="FD360" s="36"/>
      <c r="FE360" s="36"/>
      <c r="FF360" s="36"/>
      <c r="FG360" s="36"/>
      <c r="FH360" s="36"/>
      <c r="FI360" s="36"/>
      <c r="FJ360" s="36"/>
      <c r="FK360" s="36"/>
      <c r="FL360" s="36"/>
      <c r="FM360" s="36"/>
      <c r="FN360" s="36"/>
      <c r="FO360" s="36"/>
      <c r="FP360" s="36"/>
      <c r="FQ360" s="36"/>
      <c r="FR360" s="36"/>
      <c r="FS360" s="36"/>
      <c r="FT360" s="36"/>
      <c r="FU360" s="36"/>
      <c r="FV360" s="36"/>
      <c r="FW360" s="36"/>
      <c r="FX360" s="36"/>
      <c r="FY360" s="36"/>
      <c r="FZ360" s="36"/>
      <c r="GA360" s="36"/>
      <c r="GB360" s="319"/>
      <c r="GC360" s="179">
        <f t="shared" si="64"/>
        <v>0</v>
      </c>
      <c r="GD360" s="179">
        <f t="shared" si="65"/>
        <v>1.9199999999999998E-2</v>
      </c>
      <c r="GE360" s="179">
        <f t="shared" si="66"/>
        <v>0</v>
      </c>
      <c r="GF360" s="179">
        <f t="shared" si="67"/>
        <v>0</v>
      </c>
      <c r="GG360" s="179">
        <f t="shared" si="69"/>
        <v>0</v>
      </c>
    </row>
    <row r="361" spans="1:342" x14ac:dyDescent="0.35">
      <c r="A361" s="5" t="s">
        <v>1531</v>
      </c>
      <c r="B361" s="5" t="str">
        <f>IF(Technologies!B361&lt;&gt;0,Technologies!B361,"")</f>
        <v>Industrie</v>
      </c>
      <c r="C361" s="5" t="str">
        <f>VLOOKUP($A361,Technologies!$A$7:$H$576,3,FALSE)</f>
        <v>Conversion</v>
      </c>
      <c r="D361" s="5" t="str">
        <f>VLOOKUP($A361,Technologies!$A$7:$H$576,4,FALSE)</f>
        <v>Refineries</v>
      </c>
      <c r="E361" s="5" t="str">
        <f>VLOOKUP($A361,Technologies!$A$7:$H$576,6,FALSE)</f>
        <v>Syn Kerosene</v>
      </c>
      <c r="F361" s="5" t="str">
        <f>VLOOKUP($A361,Technologies!$A$7:$H$576,7,FALSE)</f>
        <v>Synkerosene oriented Fischer Tropsch - Refineries</v>
      </c>
      <c r="G361" s="23"/>
      <c r="H361" s="23"/>
      <c r="I361" s="104" cm="1">
        <f t="array" ref="I361">-SUMPRODUCT((Feedstocks!$C$4:$C$141=A361)*Feedstocks!$E$4:$E$141,Feedstocks!$F$4:$F$141,Feedstocks!$H$4:$H$141,Feedstocks!$I$4:$I$141)</f>
        <v>0</v>
      </c>
      <c r="J361" s="104" cm="1">
        <f t="array" ref="J361">-SUMPRODUCT((Feedstocks!$C$4:$C$141=A361)*Feedstocks!$E$4:$E$141,Feedstocks!$H$4:$H$141,Feedstocks!$I$4:$I$141)</f>
        <v>0</v>
      </c>
      <c r="K361" s="104"/>
      <c r="L361" s="104"/>
      <c r="M361" s="23">
        <v>1</v>
      </c>
      <c r="N361" s="23" t="str">
        <f>VLOOKUP(E361,Activities!$A$9:$M$227,13,FALSE)</f>
        <v>NL</v>
      </c>
      <c r="O361" s="23"/>
      <c r="P361" s="79" t="s">
        <v>1527</v>
      </c>
      <c r="Q361" s="35"/>
      <c r="R361" s="35"/>
      <c r="S361" s="35"/>
      <c r="T361" s="35"/>
      <c r="U361" s="35"/>
      <c r="V361" s="35"/>
      <c r="W361" s="35"/>
      <c r="X361" s="35"/>
      <c r="Y361" s="35"/>
      <c r="Z361" s="35"/>
      <c r="AA361" s="35"/>
      <c r="AB361" s="35"/>
      <c r="AC361" s="35"/>
      <c r="AD361" s="35"/>
      <c r="AE361" s="35"/>
      <c r="AF361" s="36"/>
      <c r="AG361" s="36"/>
      <c r="AH361" s="36"/>
      <c r="AI361" s="36"/>
      <c r="AJ361" s="36"/>
      <c r="AK361" s="36"/>
      <c r="AL361" s="36"/>
      <c r="AM361" s="36"/>
      <c r="AN361" s="36"/>
      <c r="AO361" s="36"/>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266">
        <v>-0.03</v>
      </c>
      <c r="DI361" s="35"/>
      <c r="DJ361" s="35"/>
      <c r="DK361" s="35"/>
      <c r="DL361" s="35"/>
      <c r="DM361" s="35"/>
      <c r="DN361" s="35"/>
      <c r="DO361" s="35"/>
      <c r="DP361" s="266">
        <v>0.44</v>
      </c>
      <c r="DQ361" s="35"/>
      <c r="DR361" s="35"/>
      <c r="DS361" s="35"/>
      <c r="DT361" s="35"/>
      <c r="DU361" s="35"/>
      <c r="DV361" s="35"/>
      <c r="DW361" s="35"/>
      <c r="DX361" s="35"/>
      <c r="DY361" s="35"/>
      <c r="DZ361" s="35"/>
      <c r="EA361" s="35"/>
      <c r="EB361" s="35"/>
      <c r="EC361" s="35"/>
      <c r="ED361" s="266">
        <v>0.33</v>
      </c>
      <c r="EE361" s="35"/>
      <c r="EF361" s="266">
        <v>1</v>
      </c>
      <c r="EG361" s="266">
        <v>-1.6</v>
      </c>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18"/>
      <c r="GC361" s="178">
        <f t="shared" si="64"/>
        <v>0</v>
      </c>
      <c r="GD361" s="178">
        <f t="shared" si="65"/>
        <v>2.3E-2</v>
      </c>
      <c r="GE361" s="178">
        <f t="shared" si="66"/>
        <v>0</v>
      </c>
      <c r="GF361" s="178">
        <f t="shared" si="67"/>
        <v>0</v>
      </c>
      <c r="GG361" s="178">
        <f t="shared" si="69"/>
        <v>0</v>
      </c>
    </row>
    <row r="362" spans="1:342" x14ac:dyDescent="0.35">
      <c r="A362" s="6" t="s">
        <v>1533</v>
      </c>
      <c r="B362" s="6" t="str">
        <f>IF(Technologies!B362&lt;&gt;0,Technologies!B362,"")</f>
        <v>Industrie</v>
      </c>
      <c r="C362" s="6" t="str">
        <f>VLOOKUP($A362,Technologies!$A$7:$H$576,3,FALSE)</f>
        <v>Conversion</v>
      </c>
      <c r="D362" s="6" t="str">
        <f>VLOOKUP($A362,Technologies!$A$7:$H$576,4,FALSE)</f>
        <v>Refineries</v>
      </c>
      <c r="E362" s="6" t="str">
        <f>VLOOKUP($A362,Technologies!$A$7:$H$576,6,FALSE)</f>
        <v>Syn Kerosene</v>
      </c>
      <c r="F362" s="48" t="str">
        <f>VLOOKUP($A362,Technologies!$A$7:$H$576,7,FALSE)</f>
        <v>Synkerosene oriented methanol to fuels - Refineries</v>
      </c>
      <c r="G362" s="22"/>
      <c r="H362" s="22"/>
      <c r="I362" s="103" cm="1">
        <f t="array" ref="I362">-SUMPRODUCT((Feedstocks!$C$4:$C$141=A362)*Feedstocks!$E$4:$E$141,Feedstocks!$F$4:$F$141,Feedstocks!$H$4:$H$141,Feedstocks!$I$4:$I$141)</f>
        <v>0</v>
      </c>
      <c r="J362" s="103" cm="1">
        <f t="array" ref="J362">-SUMPRODUCT((Feedstocks!$C$4:$C$141=A362)*Feedstocks!$E$4:$E$141,Feedstocks!$H$4:$H$141,Feedstocks!$I$4:$I$141)</f>
        <v>0</v>
      </c>
      <c r="K362" s="103"/>
      <c r="L362" s="103"/>
      <c r="M362" s="22">
        <v>1</v>
      </c>
      <c r="N362" s="22" t="str">
        <f>VLOOKUP(E362,Activities!$A$9:$M$227,13,FALSE)</f>
        <v>NL</v>
      </c>
      <c r="O362" s="22"/>
      <c r="P362" s="80" t="s">
        <v>1828</v>
      </c>
      <c r="Q362" s="36"/>
      <c r="R362" s="36"/>
      <c r="S362" s="36"/>
      <c r="T362" s="36"/>
      <c r="U362" s="36"/>
      <c r="V362" s="36"/>
      <c r="W362" s="36"/>
      <c r="X362" s="36"/>
      <c r="Y362" s="36"/>
      <c r="Z362" s="36"/>
      <c r="AA362" s="36"/>
      <c r="AB362" s="36"/>
      <c r="AC362" s="36"/>
      <c r="AD362" s="36"/>
      <c r="AE362" s="36"/>
      <c r="AF362" s="35"/>
      <c r="AG362" s="35"/>
      <c r="AH362" s="35"/>
      <c r="AI362" s="35"/>
      <c r="AJ362" s="35"/>
      <c r="AK362" s="35"/>
      <c r="AL362" s="35"/>
      <c r="AM362" s="35"/>
      <c r="AN362" s="35"/>
      <c r="AO362" s="35"/>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6"/>
      <c r="BV362" s="36"/>
      <c r="BW362" s="36"/>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v>-0.02</v>
      </c>
      <c r="DI362" s="36"/>
      <c r="DJ362" s="36"/>
      <c r="DK362" s="36"/>
      <c r="DL362" s="36"/>
      <c r="DM362" s="36"/>
      <c r="DN362" s="36"/>
      <c r="DO362" s="36"/>
      <c r="DP362" s="36">
        <v>-0.21</v>
      </c>
      <c r="DQ362" s="36"/>
      <c r="DR362" s="36"/>
      <c r="DS362" s="36"/>
      <c r="DT362" s="36"/>
      <c r="DU362" s="36"/>
      <c r="DV362" s="36"/>
      <c r="DW362" s="36"/>
      <c r="DX362" s="36"/>
      <c r="DY362" s="36"/>
      <c r="DZ362" s="36"/>
      <c r="EA362" s="36"/>
      <c r="EB362" s="36"/>
      <c r="EC362" s="36"/>
      <c r="ED362" s="266">
        <v>0.33</v>
      </c>
      <c r="EE362" s="36"/>
      <c r="EF362" s="266">
        <v>1</v>
      </c>
      <c r="EG362" s="36"/>
      <c r="EH362" s="36"/>
      <c r="EI362" s="266">
        <v>-1.7</v>
      </c>
      <c r="EJ362" s="36"/>
      <c r="EK362" s="36"/>
      <c r="EL362" s="36"/>
      <c r="EM362" s="36"/>
      <c r="EN362" s="36"/>
      <c r="EO362" s="36"/>
      <c r="EP362" s="36"/>
      <c r="EQ362" s="36"/>
      <c r="ER362" s="36"/>
      <c r="ES362" s="36"/>
      <c r="ET362" s="36"/>
      <c r="EU362" s="36"/>
      <c r="EV362" s="36"/>
      <c r="EW362" s="36"/>
      <c r="EX362" s="36"/>
      <c r="EY362" s="36"/>
      <c r="EZ362" s="36"/>
      <c r="FA362" s="36"/>
      <c r="FB362" s="36"/>
      <c r="FC362" s="36"/>
      <c r="FD362" s="36"/>
      <c r="FE362" s="36"/>
      <c r="FF362" s="36"/>
      <c r="FG362" s="36"/>
      <c r="FH362" s="36"/>
      <c r="FI362" s="36"/>
      <c r="FJ362" s="36"/>
      <c r="FK362" s="36"/>
      <c r="FL362" s="36"/>
      <c r="FM362" s="36"/>
      <c r="FN362" s="36"/>
      <c r="FO362" s="36"/>
      <c r="FP362" s="36"/>
      <c r="FQ362" s="36"/>
      <c r="FR362" s="36"/>
      <c r="FS362" s="36"/>
      <c r="FT362" s="36"/>
      <c r="FU362" s="36"/>
      <c r="FV362" s="36"/>
      <c r="FW362" s="36"/>
      <c r="FX362" s="36"/>
      <c r="FY362" s="36"/>
      <c r="FZ362" s="36"/>
      <c r="GA362" s="36"/>
      <c r="GB362" s="319"/>
      <c r="GC362" s="179">
        <f t="shared" si="64"/>
        <v>0</v>
      </c>
      <c r="GD362" s="179">
        <f t="shared" si="65"/>
        <v>2.0199999999999999E-2</v>
      </c>
      <c r="GE362" s="179">
        <f t="shared" si="66"/>
        <v>0</v>
      </c>
      <c r="GF362" s="179">
        <f t="shared" si="67"/>
        <v>0</v>
      </c>
      <c r="GG362" s="179">
        <f t="shared" si="69"/>
        <v>0</v>
      </c>
    </row>
    <row r="363" spans="1:342" s="261" customFormat="1" x14ac:dyDescent="0.35">
      <c r="A363" s="256" t="s">
        <v>1535</v>
      </c>
      <c r="B363" s="256" t="str">
        <f>IF(Technologies!B363&lt;&gt;0,Technologies!B363,"")</f>
        <v>Industrie</v>
      </c>
      <c r="C363" s="256" t="str">
        <f>VLOOKUP($A363,Technologies!$A$7:$H$576,3,FALSE)</f>
        <v>Conversion</v>
      </c>
      <c r="D363" s="256" t="str">
        <f>VLOOKUP($A363,Technologies!$A$7:$H$576,4,FALSE)</f>
        <v>Refineries</v>
      </c>
      <c r="E363" s="256" t="str">
        <f>VLOOKUP($A363,Technologies!$A$7:$H$576,6,FALSE)</f>
        <v>E-Kerosene</v>
      </c>
      <c r="F363" s="256" t="str">
        <f>VLOOKUP($A363,Technologies!$A$7:$H$576,7,FALSE)</f>
        <v>E-Kerosene oriented Fischer Tropsch incl. RWGS</v>
      </c>
      <c r="G363" s="262"/>
      <c r="H363" s="262">
        <f>ROUND(H367*(-EG361),2)</f>
        <v>0.12</v>
      </c>
      <c r="I363" s="264" cm="1">
        <f t="array" ref="I363">-SUMPRODUCT((Feedstocks!$C$4:$C$141=A363)*Feedstocks!$E$4:$E$141,Feedstocks!$F$4:$F$141,Feedstocks!$H$4:$H$141,Feedstocks!$I$4:$I$141)</f>
        <v>0</v>
      </c>
      <c r="J363" s="264" cm="1">
        <f t="array" ref="J363">-SUMPRODUCT((Feedstocks!$C$4:$C$141=A363)*Feedstocks!$E$4:$E$141,Feedstocks!$H$4:$H$141,Feedstocks!$I$4:$I$141)</f>
        <v>0</v>
      </c>
      <c r="K363" s="264"/>
      <c r="L363" s="264"/>
      <c r="M363" s="262">
        <v>1</v>
      </c>
      <c r="N363" s="262" t="s">
        <v>320</v>
      </c>
      <c r="O363" s="262"/>
      <c r="P363" s="265"/>
      <c r="Q363" s="266"/>
      <c r="R363" s="266"/>
      <c r="S363" s="266"/>
      <c r="T363" s="266"/>
      <c r="U363" s="266"/>
      <c r="V363" s="266"/>
      <c r="W363" s="266"/>
      <c r="X363" s="266"/>
      <c r="Y363" s="266"/>
      <c r="Z363" s="266"/>
      <c r="AA363" s="266"/>
      <c r="AB363" s="266"/>
      <c r="AC363" s="266"/>
      <c r="AD363" s="266"/>
      <c r="AE363" s="266"/>
      <c r="AF363" s="266"/>
      <c r="AG363" s="266"/>
      <c r="AH363" s="266"/>
      <c r="AI363" s="266"/>
      <c r="AJ363" s="266"/>
      <c r="AK363" s="266"/>
      <c r="AL363" s="266"/>
      <c r="AM363" s="266"/>
      <c r="AN363" s="266"/>
      <c r="AO363" s="266"/>
      <c r="AP363" s="266"/>
      <c r="AQ363" s="266"/>
      <c r="AR363" s="266"/>
      <c r="AS363" s="266"/>
      <c r="AT363" s="266"/>
      <c r="AU363" s="266"/>
      <c r="AV363" s="266"/>
      <c r="AW363" s="266"/>
      <c r="AX363" s="266"/>
      <c r="AY363" s="266"/>
      <c r="AZ363" s="266"/>
      <c r="BA363" s="266"/>
      <c r="BB363" s="266"/>
      <c r="BC363" s="266"/>
      <c r="BD363" s="266"/>
      <c r="BE363" s="266"/>
      <c r="BF363" s="266"/>
      <c r="BG363" s="266"/>
      <c r="BH363" s="266"/>
      <c r="BI363" s="266"/>
      <c r="BJ363" s="266"/>
      <c r="BK363" s="266"/>
      <c r="BL363" s="266"/>
      <c r="BM363" s="266"/>
      <c r="BN363" s="266"/>
      <c r="BO363" s="266"/>
      <c r="BP363" s="266"/>
      <c r="BQ363" s="266"/>
      <c r="BR363" s="266"/>
      <c r="BS363" s="266"/>
      <c r="BT363" s="266"/>
      <c r="BU363" s="266"/>
      <c r="BV363" s="266"/>
      <c r="BW363" s="266"/>
      <c r="BX363" s="266"/>
      <c r="BY363" s="266"/>
      <c r="BZ363" s="266"/>
      <c r="CA363" s="266"/>
      <c r="CB363" s="266"/>
      <c r="CC363" s="266"/>
      <c r="CD363" s="266"/>
      <c r="CE363" s="266"/>
      <c r="CF363" s="266"/>
      <c r="CG363" s="266"/>
      <c r="CH363" s="266"/>
      <c r="CI363" s="266"/>
      <c r="CJ363" s="266"/>
      <c r="CK363" s="266"/>
      <c r="CL363" s="266"/>
      <c r="CM363" s="266"/>
      <c r="CN363" s="266"/>
      <c r="CO363" s="266"/>
      <c r="CP363" s="266"/>
      <c r="CQ363" s="266"/>
      <c r="CR363" s="266"/>
      <c r="CS363" s="266"/>
      <c r="CT363" s="266"/>
      <c r="CU363" s="266"/>
      <c r="CV363" s="266"/>
      <c r="CW363" s="266"/>
      <c r="CX363" s="266"/>
      <c r="CY363" s="266"/>
      <c r="CZ363" s="266"/>
      <c r="DA363" s="266"/>
      <c r="DB363" s="266"/>
      <c r="DC363" s="266"/>
      <c r="DD363" s="266"/>
      <c r="DE363" s="266"/>
      <c r="DF363" s="266"/>
      <c r="DG363" s="266"/>
      <c r="DH363" s="266">
        <f>ROUND(-0.03+(DH367*-EG361),2)</f>
        <v>-0.03</v>
      </c>
      <c r="DI363" s="266"/>
      <c r="DJ363" s="266"/>
      <c r="DK363" s="266"/>
      <c r="DL363" s="266"/>
      <c r="DM363" s="266"/>
      <c r="DN363" s="266"/>
      <c r="DO363" s="266"/>
      <c r="DP363" s="266">
        <v>0.44</v>
      </c>
      <c r="DQ363" s="266"/>
      <c r="DR363" s="266"/>
      <c r="DS363" s="266"/>
      <c r="DT363" s="266"/>
      <c r="DU363" s="266"/>
      <c r="DV363" s="266"/>
      <c r="DW363" s="266"/>
      <c r="DX363" s="266"/>
      <c r="DY363" s="266"/>
      <c r="DZ363" s="266"/>
      <c r="EA363" s="266"/>
      <c r="EB363" s="266"/>
      <c r="EC363" s="266"/>
      <c r="ED363" s="266">
        <v>0.33</v>
      </c>
      <c r="EE363" s="266"/>
      <c r="EF363" s="266"/>
      <c r="EG363" s="266"/>
      <c r="EH363" s="266">
        <v>1</v>
      </c>
      <c r="EI363" s="266"/>
      <c r="EJ363" s="266"/>
      <c r="EK363" s="266"/>
      <c r="EL363" s="266"/>
      <c r="EM363" s="266">
        <f>ROUND(EM367*-EG361,2)</f>
        <v>-2.16</v>
      </c>
      <c r="EN363" s="266"/>
      <c r="EO363" s="266"/>
      <c r="EP363" s="266"/>
      <c r="EQ363" s="266"/>
      <c r="ER363" s="266"/>
      <c r="ES363" s="266"/>
      <c r="ET363" s="266"/>
      <c r="EU363" s="266"/>
      <c r="EV363" s="266"/>
      <c r="EW363" s="266"/>
      <c r="EX363" s="266"/>
      <c r="EY363" s="266"/>
      <c r="EZ363" s="266"/>
      <c r="FA363" s="266"/>
      <c r="FB363" s="266"/>
      <c r="FC363" s="266"/>
      <c r="FD363" s="266"/>
      <c r="FE363" s="266"/>
      <c r="FF363" s="266"/>
      <c r="FG363" s="266"/>
      <c r="FH363" s="266"/>
      <c r="FI363" s="266"/>
      <c r="FJ363" s="266"/>
      <c r="FK363" s="266"/>
      <c r="FL363" s="266"/>
      <c r="FM363" s="266"/>
      <c r="FN363" s="266"/>
      <c r="FO363" s="266"/>
      <c r="FP363" s="266"/>
      <c r="FQ363" s="266"/>
      <c r="FR363" s="266"/>
      <c r="FS363" s="266"/>
      <c r="FT363" s="266"/>
      <c r="FU363" s="266"/>
      <c r="FV363" s="266"/>
      <c r="FW363" s="266"/>
      <c r="FX363" s="266"/>
      <c r="FY363" s="266"/>
      <c r="FZ363" s="266"/>
      <c r="GA363" s="266"/>
      <c r="GB363" s="321"/>
      <c r="GC363" s="267">
        <f t="shared" si="64"/>
        <v>-0.12</v>
      </c>
      <c r="GD363" s="267">
        <f t="shared" si="65"/>
        <v>2.46E-2</v>
      </c>
      <c r="GE363" s="267">
        <f t="shared" si="66"/>
        <v>0</v>
      </c>
      <c r="GF363" s="267">
        <f t="shared" si="67"/>
        <v>0</v>
      </c>
      <c r="GG363" s="267">
        <f t="shared" si="69"/>
        <v>0</v>
      </c>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row>
    <row r="364" spans="1:342" s="261" customFormat="1" x14ac:dyDescent="0.35">
      <c r="A364" s="256" t="s">
        <v>1537</v>
      </c>
      <c r="B364" s="256" t="str">
        <f>IF(Technologies!B364&lt;&gt;0,Technologies!B364,"")</f>
        <v>Industrie</v>
      </c>
      <c r="C364" s="256" t="str">
        <f>VLOOKUP($A364,Technologies!$A$7:$H$576,3,FALSE)</f>
        <v>Conversion</v>
      </c>
      <c r="D364" s="256" t="str">
        <f>VLOOKUP($A364,Technologies!$A$7:$H$576,4,FALSE)</f>
        <v>Refineries</v>
      </c>
      <c r="E364" s="256" t="str">
        <f>VLOOKUP($A364,Technologies!$A$7:$H$576,6,FALSE)</f>
        <v>E-Kerosene</v>
      </c>
      <c r="F364" s="268" t="str">
        <f>VLOOKUP($A364,Technologies!$A$7:$H$576,7,FALSE)</f>
        <v>E-Kerosene oriented methanol to fuels incl. methanol production</v>
      </c>
      <c r="G364" s="262"/>
      <c r="H364" s="262">
        <f>ROUND(H372*-EI362,2)</f>
        <v>0.13</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ROUND(-0.02+(DH372*-EI362),2)</f>
        <v>-0.11</v>
      </c>
      <c r="DI364" s="266"/>
      <c r="DJ364" s="266"/>
      <c r="DK364" s="266"/>
      <c r="DL364" s="266"/>
      <c r="DM364" s="266"/>
      <c r="DN364" s="266"/>
      <c r="DO364" s="266"/>
      <c r="DP364" s="266">
        <v>-0.21</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ROUND(EM372*-EI362,2)</f>
        <v>-2.0699999999999998</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-0.13</v>
      </c>
      <c r="GD364" s="267">
        <f t="shared" si="65"/>
        <v>3.4599999999999999E-2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5" t="s">
        <v>1539</v>
      </c>
      <c r="B365" s="5" t="str">
        <f>IF(Technologies!B365&lt;&gt;0,Technologies!B365,"")</f>
        <v>Industrie</v>
      </c>
      <c r="C365" s="5" t="str">
        <f>VLOOKUP($A365,Technologies!$A$7:$H$576,3,FALSE)</f>
        <v>Conversion</v>
      </c>
      <c r="D365" s="5" t="str">
        <f>VLOOKUP($A365,Technologies!$A$7:$H$576,4,FALSE)</f>
        <v>Refineries</v>
      </c>
      <c r="E365" s="5" t="str">
        <f>VLOOKUP($A365,Technologies!$A$7:$H$576,6,FALSE)</f>
        <v>Syngas</v>
      </c>
      <c r="F365" s="5" t="str">
        <f>VLOOKUP($A365,Technologies!$A$7:$H$576,7,FALSE)</f>
        <v>Syngas from biomass indirect gasification with pure stream capture - Refineries</v>
      </c>
      <c r="G365" s="23">
        <v>0.47903606817085026</v>
      </c>
      <c r="H365" s="23"/>
      <c r="I365" s="104" cm="1">
        <f t="array" ref="I365">-SUMPRODUCT((Feedstocks!$C$4:$C$141=A365)*Feedstocks!$E$4:$E$141,Feedstocks!$F$4:$F$141,Feedstocks!$H$4:$H$141,Feedstocks!$I$4:$I$141)</f>
        <v>0</v>
      </c>
      <c r="J365" s="104" cm="1">
        <f t="array" ref="J365">-SUMPRODUCT((Feedstocks!$C$4:$C$141=A365)*Feedstocks!$E$4:$E$141,Feedstocks!$H$4:$H$141,Feedstocks!$I$4:$I$141)</f>
        <v>0</v>
      </c>
      <c r="K365" s="104"/>
      <c r="L365" s="104"/>
      <c r="M365" s="23">
        <v>1</v>
      </c>
      <c r="N365" s="23" t="str">
        <f>VLOOKUP(E365,Activities!$A$9:$M$227,13,FALSE)</f>
        <v>NL</v>
      </c>
      <c r="O365" s="23"/>
      <c r="P365" s="289" t="s">
        <v>1829</v>
      </c>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v>1</v>
      </c>
      <c r="EH365" s="35"/>
      <c r="EI365" s="35"/>
      <c r="EJ365" s="35"/>
      <c r="EK365" s="35"/>
      <c r="EL365" s="35"/>
      <c r="EM365" s="35"/>
      <c r="EN365" s="35"/>
      <c r="EO365" s="35"/>
      <c r="EP365" s="35"/>
      <c r="EQ365" s="35"/>
      <c r="ER365" s="35">
        <v>-2.4634811357447797</v>
      </c>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3">
        <f>GC365</f>
        <v>9.3899999999999997E-2</v>
      </c>
      <c r="GC365" s="267">
        <f t="shared" si="64"/>
        <v>9.3899999999999997E-2</v>
      </c>
      <c r="GD365" s="267">
        <f t="shared" si="65"/>
        <v>-0.16789999999999999</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347" customFormat="1" x14ac:dyDescent="0.35">
      <c r="A366" s="327" t="s">
        <v>1542</v>
      </c>
      <c r="B366" s="5" t="str">
        <f>IF(Technologies!B366&lt;&gt;0,Technologies!B366,"")</f>
        <v>Industrie</v>
      </c>
      <c r="C366" s="5" t="str">
        <f>VLOOKUP($A366,Technologies!$A$7:$H$576,3,FALSE)</f>
        <v>Conversion</v>
      </c>
      <c r="D366" s="5" t="str">
        <f>VLOOKUP($A366,Technologies!$A$7:$H$576,4,FALSE)</f>
        <v>Refineries</v>
      </c>
      <c r="E366" s="5" t="str">
        <f>VLOOKUP($A366,Technologies!$A$7:$H$576,6,FALSE)</f>
        <v>Syngas</v>
      </c>
      <c r="F366" s="5" t="str">
        <f>VLOOKUP($A366,Technologies!$A$7:$H$576,7,FALSE)</f>
        <v>Syngas from biomass indirect gasification with pure stream and flue gas capture - Refineries</v>
      </c>
      <c r="G366" s="23">
        <v>0.94790360681708508</v>
      </c>
      <c r="H366" s="350"/>
      <c r="I366" s="104" cm="1">
        <f t="array" ref="I366">-SUMPRODUCT((Feedstocks!$C$4:$C$141=A366)*Feedstocks!$E$4:$E$141,Feedstocks!$F$4:$F$141,Feedstocks!$H$4:$H$141,Feedstocks!$I$4:$I$141)</f>
        <v>0</v>
      </c>
      <c r="J366" s="104" cm="1">
        <f t="array" ref="J366">-SUMPRODUCT((Feedstocks!$C$4:$C$141=A366)*Feedstocks!$E$4:$E$141,Feedstocks!$H$4:$H$141,Feedstocks!$I$4:$I$141)</f>
        <v>0</v>
      </c>
      <c r="K366" s="351"/>
      <c r="L366" s="351"/>
      <c r="M366" s="350">
        <v>1</v>
      </c>
      <c r="N366" s="23" t="str">
        <f>VLOOKUP(E366,Activities!$A$9:$M$227,13,FALSE)</f>
        <v>NL</v>
      </c>
      <c r="O366" s="350"/>
      <c r="P366" s="289" t="s">
        <v>1829</v>
      </c>
      <c r="Q366" s="352"/>
      <c r="R366" s="352"/>
      <c r="S366" s="352"/>
      <c r="T366" s="352"/>
      <c r="U366" s="352"/>
      <c r="V366" s="352"/>
      <c r="W366" s="352"/>
      <c r="X366" s="352"/>
      <c r="Y366" s="352"/>
      <c r="Z366" s="352"/>
      <c r="AA366" s="352"/>
      <c r="AB366" s="352"/>
      <c r="AC366" s="352"/>
      <c r="AD366" s="352"/>
      <c r="AE366" s="352"/>
      <c r="AF366" s="352"/>
      <c r="AG366" s="352"/>
      <c r="AH366" s="352"/>
      <c r="AI366" s="352"/>
      <c r="AJ366" s="352"/>
      <c r="AK366" s="352"/>
      <c r="AL366" s="352"/>
      <c r="AM366" s="352"/>
      <c r="AN366" s="352"/>
      <c r="AO366" s="352"/>
      <c r="AP366" s="352"/>
      <c r="AQ366" s="352"/>
      <c r="AR366" s="352"/>
      <c r="AS366" s="352"/>
      <c r="AT366" s="352"/>
      <c r="AU366" s="352"/>
      <c r="AV366" s="352"/>
      <c r="AW366" s="352"/>
      <c r="AX366" s="352"/>
      <c r="AY366" s="352"/>
      <c r="AZ366" s="352"/>
      <c r="BA366" s="352"/>
      <c r="BB366" s="352"/>
      <c r="BC366" s="352"/>
      <c r="BD366" s="352"/>
      <c r="BE366" s="352"/>
      <c r="BF366" s="352"/>
      <c r="BG366" s="352"/>
      <c r="BH366" s="352"/>
      <c r="BI366" s="352"/>
      <c r="BJ366" s="352"/>
      <c r="BK366" s="352"/>
      <c r="BL366" s="352"/>
      <c r="BM366" s="352"/>
      <c r="BN366" s="352"/>
      <c r="BO366" s="352"/>
      <c r="BP366" s="352"/>
      <c r="BQ366" s="352"/>
      <c r="BR366" s="352"/>
      <c r="BS366" s="352"/>
      <c r="BT366" s="352"/>
      <c r="BU366" s="352"/>
      <c r="BV366" s="352"/>
      <c r="BW366" s="352"/>
      <c r="BX366" s="352"/>
      <c r="BY366" s="352"/>
      <c r="BZ366" s="352"/>
      <c r="CA366" s="352"/>
      <c r="CB366" s="352"/>
      <c r="CC366" s="352"/>
      <c r="CD366" s="352"/>
      <c r="CE366" s="352"/>
      <c r="CF366" s="352"/>
      <c r="CG366" s="352"/>
      <c r="CH366" s="352"/>
      <c r="CI366" s="352"/>
      <c r="CJ366" s="352"/>
      <c r="CK366" s="352"/>
      <c r="CL366" s="352"/>
      <c r="CM366" s="352"/>
      <c r="CN366" s="352"/>
      <c r="CO366" s="352"/>
      <c r="CP366" s="352"/>
      <c r="CQ366" s="352"/>
      <c r="CR366" s="352"/>
      <c r="CS366" s="352"/>
      <c r="CT366" s="352"/>
      <c r="CU366" s="352"/>
      <c r="CV366" s="352"/>
      <c r="CW366" s="352"/>
      <c r="CX366" s="352"/>
      <c r="CY366" s="352"/>
      <c r="CZ366" s="352"/>
      <c r="DA366" s="352"/>
      <c r="DB366" s="352"/>
      <c r="DC366" s="352"/>
      <c r="DD366" s="352"/>
      <c r="DE366" s="352"/>
      <c r="DF366" s="352"/>
      <c r="DG366" s="352"/>
      <c r="DH366" s="387">
        <v>-1.2099332676061682E-3</v>
      </c>
      <c r="DI366" s="352"/>
      <c r="DJ366" s="352"/>
      <c r="DK366" s="352"/>
      <c r="DL366" s="352"/>
      <c r="DM366" s="352"/>
      <c r="DN366" s="352"/>
      <c r="DO366" s="352">
        <v>-0.69856540643296117</v>
      </c>
      <c r="DP366" s="352"/>
      <c r="DQ366" s="352"/>
      <c r="DR366" s="352"/>
      <c r="DS366" s="352"/>
      <c r="DT366" s="352"/>
      <c r="DU366" s="352"/>
      <c r="DV366" s="352"/>
      <c r="DW366" s="352"/>
      <c r="DX366" s="352"/>
      <c r="DY366" s="352"/>
      <c r="DZ366" s="352"/>
      <c r="EA366" s="352"/>
      <c r="EB366" s="352"/>
      <c r="EC366" s="352"/>
      <c r="ED366" s="352"/>
      <c r="EE366" s="352"/>
      <c r="EF366" s="352"/>
      <c r="EG366" s="352">
        <v>1</v>
      </c>
      <c r="EH366" s="352"/>
      <c r="EI366" s="352"/>
      <c r="EJ366" s="352"/>
      <c r="EK366" s="352"/>
      <c r="EL366" s="352"/>
      <c r="EM366" s="352"/>
      <c r="EN366" s="352"/>
      <c r="EO366" s="352"/>
      <c r="EP366" s="352"/>
      <c r="EQ366" s="352"/>
      <c r="ER366" s="35">
        <v>-2.4634811357447797</v>
      </c>
      <c r="ES366" s="352"/>
      <c r="ET366" s="352"/>
      <c r="EU366" s="352"/>
      <c r="EV366" s="352"/>
      <c r="EW366" s="352"/>
      <c r="EX366" s="352"/>
      <c r="EY366" s="352"/>
      <c r="EZ366" s="352"/>
      <c r="FA366" s="352"/>
      <c r="FB366" s="352"/>
      <c r="FC366" s="352"/>
      <c r="FD366" s="352"/>
      <c r="FE366" s="352"/>
      <c r="FF366" s="352"/>
      <c r="FG366" s="352"/>
      <c r="FH366" s="352"/>
      <c r="FI366" s="352"/>
      <c r="FJ366" s="352"/>
      <c r="FK366" s="352"/>
      <c r="FL366" s="352"/>
      <c r="FM366" s="352"/>
      <c r="FN366" s="352"/>
      <c r="FO366" s="352"/>
      <c r="FP366" s="352"/>
      <c r="FQ366" s="352"/>
      <c r="FR366" s="352"/>
      <c r="FS366" s="352"/>
      <c r="FT366" s="352"/>
      <c r="FU366" s="352"/>
      <c r="FV366" s="352"/>
      <c r="FW366" s="352"/>
      <c r="FX366" s="352"/>
      <c r="FY366" s="352"/>
      <c r="FZ366" s="352"/>
      <c r="GA366" s="352"/>
      <c r="GB366" s="353">
        <f>GC366</f>
        <v>0.18579999999999999</v>
      </c>
      <c r="GC366" s="178">
        <f t="shared" si="64"/>
        <v>0.18579999999999999</v>
      </c>
      <c r="GD366" s="178">
        <f t="shared" si="65"/>
        <v>-0.25979999999999998</v>
      </c>
      <c r="GE366" s="178">
        <f t="shared" si="66"/>
        <v>0</v>
      </c>
      <c r="GF366" s="178">
        <f t="shared" si="67"/>
        <v>0</v>
      </c>
      <c r="GG366" s="178">
        <f>$I366</f>
        <v>0</v>
      </c>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x14ac:dyDescent="0.35">
      <c r="A367" s="6" t="s">
        <v>1544</v>
      </c>
      <c r="B367" s="6" t="str">
        <f>IF(Technologies!B367&lt;&gt;0,Technologies!B367,"")</f>
        <v>Industrie</v>
      </c>
      <c r="C367" s="6" t="str">
        <f>VLOOKUP($A367,Technologies!$A$7:$H$576,3,FALSE)</f>
        <v>Conversion</v>
      </c>
      <c r="D367" s="6" t="str">
        <f>VLOOKUP($A367,Technologies!$A$7:$H$576,4,FALSE)</f>
        <v>Refineries</v>
      </c>
      <c r="E367" s="6" t="str">
        <f>VLOOKUP($A367,Technologies!$A$7:$H$576,6,FALSE)</f>
        <v>Syngas</v>
      </c>
      <c r="F367" s="48" t="str">
        <f>VLOOKUP($A367,Technologies!$A$7:$H$576,7,FALSE)</f>
        <v>Syngas from CO2 and H2 RWGS - Refineries</v>
      </c>
      <c r="G367" s="22"/>
      <c r="H367" s="207">
        <v>7.7974810767610231E-2</v>
      </c>
      <c r="I367" s="103" cm="1">
        <f t="array" ref="I367">-SUMPRODUCT((Feedstocks!$C$4:$C$141=A367)*Feedstocks!$E$4:$E$141,Feedstocks!$F$4:$F$141,Feedstocks!$H$4:$H$141,Feedstocks!$I$4:$I$141)</f>
        <v>0</v>
      </c>
      <c r="J367" s="103" cm="1">
        <f t="array" ref="J367">-SUMPRODUCT((Feedstocks!$C$4:$C$141=A367)*Feedstocks!$E$4:$E$141,Feedstocks!$H$4:$H$141,Feedstocks!$I$4:$I$141)</f>
        <v>0</v>
      </c>
      <c r="K367" s="103"/>
      <c r="L367" s="103"/>
      <c r="M367" s="22">
        <v>1</v>
      </c>
      <c r="N367" s="22" t="str">
        <f>VLOOKUP(E367,Activities!$A$9:$M$227,13,FALSE)</f>
        <v>NL</v>
      </c>
      <c r="O367" s="22"/>
      <c r="P367" s="80" t="s">
        <v>792</v>
      </c>
      <c r="Q367" s="36"/>
      <c r="R367" s="36"/>
      <c r="S367" s="36"/>
      <c r="T367" s="36"/>
      <c r="U367" s="36"/>
      <c r="V367" s="36"/>
      <c r="W367" s="36"/>
      <c r="X367" s="36"/>
      <c r="Y367" s="36"/>
      <c r="Z367" s="36"/>
      <c r="AA367" s="36"/>
      <c r="AB367" s="36"/>
      <c r="AC367" s="36"/>
      <c r="AD367" s="36"/>
      <c r="AE367" s="36"/>
      <c r="AF367" s="35"/>
      <c r="AG367" s="35"/>
      <c r="AH367" s="35"/>
      <c r="AI367" s="35"/>
      <c r="AJ367" s="35"/>
      <c r="AK367" s="35"/>
      <c r="AL367" s="35"/>
      <c r="AM367" s="35"/>
      <c r="AN367" s="35"/>
      <c r="AO367" s="35"/>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6"/>
      <c r="BV367" s="36"/>
      <c r="BW367" s="36"/>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36"/>
      <c r="CT367" s="36"/>
      <c r="CU367" s="36"/>
      <c r="CV367" s="36"/>
      <c r="CW367" s="36"/>
      <c r="CX367" s="36"/>
      <c r="CY367" s="36"/>
      <c r="CZ367" s="36"/>
      <c r="DA367" s="36"/>
      <c r="DB367" s="36"/>
      <c r="DC367" s="36"/>
      <c r="DD367" s="36"/>
      <c r="DE367" s="36"/>
      <c r="DF367" s="36"/>
      <c r="DG367" s="36"/>
      <c r="DH367" s="36"/>
      <c r="DI367" s="36"/>
      <c r="DJ367" s="36"/>
      <c r="DK367" s="36"/>
      <c r="DL367" s="36"/>
      <c r="DM367" s="36"/>
      <c r="DN367" s="36"/>
      <c r="DO367" s="36"/>
      <c r="DP367" s="36"/>
      <c r="DQ367" s="36"/>
      <c r="DR367" s="36"/>
      <c r="DS367" s="36"/>
      <c r="DT367" s="36"/>
      <c r="DU367" s="36"/>
      <c r="DV367" s="36"/>
      <c r="DW367" s="36"/>
      <c r="DX367" s="36"/>
      <c r="DY367" s="36"/>
      <c r="DZ367" s="36"/>
      <c r="EA367" s="36"/>
      <c r="EB367" s="36"/>
      <c r="EC367" s="36"/>
      <c r="ED367" s="36"/>
      <c r="EE367" s="36"/>
      <c r="EF367" s="36"/>
      <c r="EG367" s="36">
        <v>1</v>
      </c>
      <c r="EH367" s="36"/>
      <c r="EI367" s="36"/>
      <c r="EJ367" s="36"/>
      <c r="EK367" s="36"/>
      <c r="EL367" s="36"/>
      <c r="EM367" s="36">
        <v>-1.3513346605269925</v>
      </c>
      <c r="EN367" s="36"/>
      <c r="EO367" s="36"/>
      <c r="EP367" s="36"/>
      <c r="EQ367" s="36"/>
      <c r="ER367" s="36"/>
      <c r="ES367" s="36"/>
      <c r="ET367" s="36"/>
      <c r="EU367" s="36"/>
      <c r="EV367" s="36"/>
      <c r="EW367" s="36"/>
      <c r="EX367" s="36"/>
      <c r="EY367" s="36"/>
      <c r="EZ367" s="36"/>
      <c r="FA367" s="36"/>
      <c r="FB367" s="36"/>
      <c r="FC367" s="36"/>
      <c r="FD367" s="36"/>
      <c r="FE367" s="36"/>
      <c r="FF367" s="36"/>
      <c r="FG367" s="36"/>
      <c r="FH367" s="36"/>
      <c r="FI367" s="36"/>
      <c r="FJ367" s="36"/>
      <c r="FK367" s="36"/>
      <c r="FL367" s="36"/>
      <c r="FM367" s="36"/>
      <c r="FN367" s="36"/>
      <c r="FO367" s="36"/>
      <c r="FP367" s="36"/>
      <c r="FQ367" s="36"/>
      <c r="FR367" s="36"/>
      <c r="FS367" s="36"/>
      <c r="FT367" s="36"/>
      <c r="FU367" s="36"/>
      <c r="FV367" s="36"/>
      <c r="FW367" s="36"/>
      <c r="FX367" s="36"/>
      <c r="FY367" s="36"/>
      <c r="FZ367" s="36"/>
      <c r="GA367" s="36"/>
      <c r="GB367" s="319"/>
      <c r="GC367" s="179">
        <f t="shared" si="64"/>
        <v>-7.8E-2</v>
      </c>
      <c r="GD367" s="179">
        <f t="shared" si="65"/>
        <v>4.0000000000000001E-3</v>
      </c>
      <c r="GE367" s="179">
        <f t="shared" si="66"/>
        <v>0</v>
      </c>
      <c r="GF367" s="179">
        <f t="shared" si="67"/>
        <v>0</v>
      </c>
      <c r="GG367" s="179">
        <f t="shared" si="69"/>
        <v>0</v>
      </c>
    </row>
    <row r="368" spans="1:342" x14ac:dyDescent="0.35">
      <c r="A368" s="5" t="s">
        <v>1546</v>
      </c>
      <c r="B368" s="5" t="str">
        <f>IF(Technologies!B368&lt;&gt;0,Technologies!B368,"")</f>
        <v>Industrie</v>
      </c>
      <c r="C368" s="5" t="str">
        <f>VLOOKUP($A368,Technologies!$A$7:$H$576,3,FALSE)</f>
        <v>Conversion</v>
      </c>
      <c r="D368" s="5" t="str">
        <f>VLOOKUP($A368,Technologies!$A$7:$H$576,4,FALSE)</f>
        <v>Refineries</v>
      </c>
      <c r="E368" s="5" t="str">
        <f>VLOOKUP($A368,Technologies!$A$7:$H$576,6,FALSE)</f>
        <v>Syngas</v>
      </c>
      <c r="F368" s="5" t="str">
        <f>VLOOKUP($A368,Technologies!$A$7:$H$576,7,FALSE)</f>
        <v>Syngas from SOEC  electrolysis - Refineries</v>
      </c>
      <c r="G368" s="23"/>
      <c r="H368" s="208">
        <v>7.3999999999999996E-2</v>
      </c>
      <c r="I368" s="104" cm="1">
        <f t="array" ref="I368">-SUMPRODUCT((Feedstocks!$C$4:$C$141=A368)*Feedstocks!$E$4:$E$141,Feedstocks!$F$4:$F$141,Feedstocks!$H$4:$H$141,Feedstocks!$I$4:$I$141)</f>
        <v>0</v>
      </c>
      <c r="J368" s="104" cm="1">
        <f t="array" ref="J368">-SUMPRODUCT((Feedstocks!$C$4:$C$141=A368)*Feedstocks!$E$4:$E$141,Feedstocks!$H$4:$H$141,Feedstocks!$I$4:$I$141)</f>
        <v>0</v>
      </c>
      <c r="K368" s="104"/>
      <c r="L368" s="104"/>
      <c r="M368" s="23">
        <v>1</v>
      </c>
      <c r="N368" s="23" t="str">
        <f>VLOOKUP(E368,Activities!$A$9:$M$227,13,FALSE)</f>
        <v>NL</v>
      </c>
      <c r="O368" s="23"/>
      <c r="P368" s="79" t="s">
        <v>1548</v>
      </c>
      <c r="Q368" s="35"/>
      <c r="R368" s="35"/>
      <c r="S368" s="35"/>
      <c r="T368" s="35"/>
      <c r="U368" s="35"/>
      <c r="V368" s="35"/>
      <c r="W368" s="35"/>
      <c r="X368" s="35"/>
      <c r="Y368" s="35"/>
      <c r="Z368" s="35"/>
      <c r="AA368" s="35"/>
      <c r="AB368" s="35"/>
      <c r="AC368" s="35"/>
      <c r="AD368" s="35"/>
      <c r="AE368" s="35"/>
      <c r="AF368" s="36"/>
      <c r="AG368" s="36"/>
      <c r="AH368" s="36"/>
      <c r="AI368" s="36"/>
      <c r="AJ368" s="36"/>
      <c r="AK368" s="36"/>
      <c r="AL368" s="36"/>
      <c r="AM368" s="36"/>
      <c r="AN368" s="36"/>
      <c r="AO368" s="36"/>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v>-0.85</v>
      </c>
      <c r="DI368" s="35"/>
      <c r="DJ368" s="35"/>
      <c r="DK368" s="35"/>
      <c r="DL368" s="35"/>
      <c r="DM368" s="35"/>
      <c r="DN368" s="35"/>
      <c r="DO368" s="35">
        <v>-0.5</v>
      </c>
      <c r="DP368" s="35"/>
      <c r="DQ368" s="35"/>
      <c r="DR368" s="35"/>
      <c r="DS368" s="35"/>
      <c r="DT368" s="35"/>
      <c r="DU368" s="35"/>
      <c r="DV368" s="35"/>
      <c r="DW368" s="35"/>
      <c r="DX368" s="35"/>
      <c r="DY368" s="35"/>
      <c r="DZ368" s="35"/>
      <c r="EA368" s="35"/>
      <c r="EB368" s="35"/>
      <c r="EC368" s="35"/>
      <c r="ED368" s="35"/>
      <c r="EE368" s="35"/>
      <c r="EF368" s="35"/>
      <c r="EG368" s="35">
        <v>1</v>
      </c>
      <c r="EH368" s="35"/>
      <c r="EI368" s="35"/>
      <c r="EJ368" s="35"/>
      <c r="EK368" s="35"/>
      <c r="EL368" s="35"/>
      <c r="EM368" s="35">
        <v>-0.12</v>
      </c>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18"/>
      <c r="GC368" s="178">
        <f t="shared" si="64"/>
        <v>-7.3999999999999996E-2</v>
      </c>
      <c r="GD368" s="178">
        <f t="shared" si="65"/>
        <v>0</v>
      </c>
      <c r="GE368" s="178">
        <f t="shared" si="66"/>
        <v>0</v>
      </c>
      <c r="GF368" s="178">
        <f t="shared" si="67"/>
        <v>0</v>
      </c>
      <c r="GG368" s="178">
        <f t="shared" si="69"/>
        <v>0</v>
      </c>
    </row>
    <row r="369" spans="1:342" s="261" customFormat="1" x14ac:dyDescent="0.35">
      <c r="A369" s="256" t="s">
        <v>1549</v>
      </c>
      <c r="B369" s="290" t="str">
        <f>IF(Technologies!B369&lt;&gt;0,Technologies!B369,"")</f>
        <v>Industrie</v>
      </c>
      <c r="C369" s="290" t="str">
        <f>VLOOKUP($A369,Technologies!$A$7:$H$576,3,FALSE)</f>
        <v>Conversion</v>
      </c>
      <c r="D369" s="290" t="str">
        <f>VLOOKUP($A369,Technologies!$A$7:$H$576,4,FALSE)</f>
        <v>Refineries</v>
      </c>
      <c r="E369" s="290" t="str">
        <f>VLOOKUP($A369,Technologies!$A$7:$H$576,6,FALSE)</f>
        <v>Syngas</v>
      </c>
      <c r="F369" s="256" t="str">
        <f>VLOOKUP($A369,Technologies!$A$7:$H$576,7,FALSE)</f>
        <v>Syngas from eSMR</v>
      </c>
      <c r="G369" s="262"/>
      <c r="H369" s="263"/>
      <c r="I369" s="264" cm="1">
        <f t="array" ref="I369">-SUMPRODUCT((Feedstocks!$C$4:$C$141=A369)*Feedstocks!$E$4:$E$141,Feedstocks!$F$4:$F$141,Feedstocks!$H$4:$H$141,Feedstocks!$I$4:$I$141)</f>
        <v>0</v>
      </c>
      <c r="J369" s="264" cm="1">
        <f t="array" ref="J369">-SUMPRODUCT((Feedstocks!$C$4:$C$141=A369)*Feedstocks!$E$4:$E$141,Feedstocks!$H$4:$H$141,Feedstocks!$I$4:$I$141)</f>
        <v>0</v>
      </c>
      <c r="K369" s="264"/>
      <c r="L369" s="264"/>
      <c r="M369" s="262">
        <v>1</v>
      </c>
      <c r="N369" s="262" t="str">
        <f>VLOOKUP(E369,Activities!$A$9:$M$227,13,FALSE)</f>
        <v>NL</v>
      </c>
      <c r="O369" s="262"/>
      <c r="P369" s="265"/>
      <c r="Q369" s="266"/>
      <c r="R369" s="266"/>
      <c r="S369" s="266"/>
      <c r="T369" s="266"/>
      <c r="U369" s="266"/>
      <c r="V369" s="266"/>
      <c r="W369" s="266"/>
      <c r="X369" s="266"/>
      <c r="Y369" s="266"/>
      <c r="Z369" s="266"/>
      <c r="AA369" s="266"/>
      <c r="AB369" s="266"/>
      <c r="AC369" s="266"/>
      <c r="AD369" s="266"/>
      <c r="AE369" s="266"/>
      <c r="AF369" s="266"/>
      <c r="AG369" s="266"/>
      <c r="AH369" s="266"/>
      <c r="AI369" s="266"/>
      <c r="AJ369" s="266"/>
      <c r="AK369" s="266"/>
      <c r="AL369" s="266"/>
      <c r="AM369" s="266"/>
      <c r="AN369" s="266"/>
      <c r="AO369" s="266"/>
      <c r="AP369" s="266"/>
      <c r="AQ369" s="266"/>
      <c r="AR369" s="266"/>
      <c r="AS369" s="266"/>
      <c r="AT369" s="266"/>
      <c r="AU369" s="266"/>
      <c r="AV369" s="266"/>
      <c r="AW369" s="266"/>
      <c r="AX369" s="266"/>
      <c r="AY369" s="266"/>
      <c r="AZ369" s="266"/>
      <c r="BA369" s="266"/>
      <c r="BB369" s="266"/>
      <c r="BC369" s="266"/>
      <c r="BD369" s="266"/>
      <c r="BE369" s="266"/>
      <c r="BF369" s="266"/>
      <c r="BG369" s="266"/>
      <c r="BH369" s="266"/>
      <c r="BI369" s="266"/>
      <c r="BJ369" s="266"/>
      <c r="BK369" s="266"/>
      <c r="BL369" s="266"/>
      <c r="BM369" s="266"/>
      <c r="BN369" s="266"/>
      <c r="BO369" s="266"/>
      <c r="BP369" s="266"/>
      <c r="BQ369" s="266"/>
      <c r="BR369" s="266"/>
      <c r="BS369" s="266"/>
      <c r="BT369" s="266"/>
      <c r="BU369" s="266"/>
      <c r="BV369" s="266"/>
      <c r="BW369" s="266"/>
      <c r="BX369" s="266"/>
      <c r="BY369" s="266"/>
      <c r="BZ369" s="266"/>
      <c r="CA369" s="266"/>
      <c r="CB369" s="266"/>
      <c r="CC369" s="266"/>
      <c r="CD369" s="266"/>
      <c r="CE369" s="266"/>
      <c r="CF369" s="266"/>
      <c r="CG369" s="266"/>
      <c r="CH369" s="266"/>
      <c r="CI369" s="266"/>
      <c r="CJ369" s="266"/>
      <c r="CK369" s="266"/>
      <c r="CL369" s="266"/>
      <c r="CM369" s="266"/>
      <c r="CN369" s="266"/>
      <c r="CO369" s="266"/>
      <c r="CP369" s="266"/>
      <c r="CQ369" s="266"/>
      <c r="CR369" s="266"/>
      <c r="CS369" s="266"/>
      <c r="CT369" s="266"/>
      <c r="CU369" s="266"/>
      <c r="CV369" s="266"/>
      <c r="CW369" s="266"/>
      <c r="CX369" s="266"/>
      <c r="CY369" s="266"/>
      <c r="CZ369" s="266"/>
      <c r="DA369" s="266"/>
      <c r="DB369" s="266"/>
      <c r="DC369" s="266"/>
      <c r="DD369" s="266"/>
      <c r="DE369" s="266"/>
      <c r="DF369" s="266"/>
      <c r="DG369" s="266"/>
      <c r="DH369" s="266">
        <v>-0.27200000000000002</v>
      </c>
      <c r="DI369" s="266"/>
      <c r="DJ369" s="266"/>
      <c r="DK369" s="266"/>
      <c r="DL369" s="266"/>
      <c r="DM369" s="266"/>
      <c r="DN369" s="266"/>
      <c r="DO369" s="266"/>
      <c r="DP369" s="266"/>
      <c r="DQ369" s="266"/>
      <c r="DR369" s="266"/>
      <c r="DS369" s="266"/>
      <c r="DT369" s="266"/>
      <c r="DU369" s="266"/>
      <c r="DV369" s="266"/>
      <c r="DW369" s="266"/>
      <c r="DX369" s="266"/>
      <c r="DY369" s="266"/>
      <c r="DZ369" s="266"/>
      <c r="EA369" s="266"/>
      <c r="EB369" s="266"/>
      <c r="EC369" s="266"/>
      <c r="ED369" s="266"/>
      <c r="EE369" s="266"/>
      <c r="EF369" s="266"/>
      <c r="EG369" s="266">
        <v>1</v>
      </c>
      <c r="EH369" s="266"/>
      <c r="EI369" s="266"/>
      <c r="EJ369" s="266">
        <f>-3.6/(0.187*14.4)</f>
        <v>-1.3368983957219251</v>
      </c>
      <c r="EK369" s="266"/>
      <c r="EL369" s="266"/>
      <c r="EM369" s="266"/>
      <c r="EN369" s="266"/>
      <c r="EO369" s="266"/>
      <c r="EP369" s="266"/>
      <c r="EQ369" s="266"/>
      <c r="ER369" s="266"/>
      <c r="ES369" s="266"/>
      <c r="ET369" s="266"/>
      <c r="EU369" s="266"/>
      <c r="EV369" s="266"/>
      <c r="EW369" s="266"/>
      <c r="EX369" s="266"/>
      <c r="EY369" s="266"/>
      <c r="EZ369" s="266"/>
      <c r="FA369" s="266"/>
      <c r="FB369" s="266"/>
      <c r="FC369" s="266"/>
      <c r="FD369" s="266"/>
      <c r="FE369" s="266"/>
      <c r="FF369" s="266"/>
      <c r="FG369" s="266"/>
      <c r="FH369" s="266"/>
      <c r="FI369" s="266"/>
      <c r="FJ369" s="266"/>
      <c r="FK369" s="266"/>
      <c r="FL369" s="266"/>
      <c r="FM369" s="266"/>
      <c r="FN369" s="266"/>
      <c r="FO369" s="266"/>
      <c r="FP369" s="266"/>
      <c r="FQ369" s="266"/>
      <c r="FR369" s="266"/>
      <c r="FS369" s="266"/>
      <c r="FT369" s="266"/>
      <c r="FU369" s="266"/>
      <c r="FV369" s="266"/>
      <c r="FW369" s="266"/>
      <c r="FX369" s="266"/>
      <c r="FY369" s="266"/>
      <c r="FZ369" s="266"/>
      <c r="GA369" s="266"/>
      <c r="GB369" s="321"/>
      <c r="GC369" s="267">
        <f t="shared" ref="GC369:GC400" si="70">ROUND(IF($C369="Primary",0,-$G369*(SUMPRODUCT($Q$4:$GA$4,$Q369:$GA369)+$J369)-$H369)*IF($N369=GC$4,1,0),4)</f>
        <v>0</v>
      </c>
      <c r="GD369" s="267">
        <f t="shared" ref="GD369:GD400" si="71">ROUND(IF($C369="Primary",0,$M369*(1-$O369)*($G369*(SUMPRODUCT($Q$4:$GA$4,$Q369:$GA369)+$J369)+$H369-SUMPRODUCT($Q$5:$GA$5,$Q369:$GA369)-$I369+$K369))*IF($N369=GD$4,1,0),4)</f>
        <v>1.6999999999999999E-3</v>
      </c>
      <c r="GE369" s="267">
        <f t="shared" ref="GE369:GE400" si="72">ROUND(IF($C369="Primary",0,(1-$M369)*(1-$O369)*($G369*(SUMPRODUCT($Q$4:$GA$4,$Q369:$GA369)+$J369)+$H369-SUMPRODUCT($Q$5:$GA$5,$Q369:$GA369)-$I369+$L369))*IF($N369=GD$4,1,0),4)</f>
        <v>0</v>
      </c>
      <c r="GF369" s="267"/>
      <c r="GG369" s="267">
        <f t="shared" si="69"/>
        <v>0</v>
      </c>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row>
    <row r="370" spans="1:342" x14ac:dyDescent="0.35">
      <c r="A370" s="6" t="s">
        <v>1552</v>
      </c>
      <c r="B370" s="6" t="str">
        <f>IF(Technologies!B370&lt;&gt;0,Technologies!B370,"")</f>
        <v>Industrie</v>
      </c>
      <c r="C370" s="6" t="str">
        <f>VLOOKUP($A370,Technologies!$A$7:$H$576,3,FALSE)</f>
        <v>Conversion</v>
      </c>
      <c r="D370" s="6" t="str">
        <f>VLOOKUP($A370,Technologies!$A$7:$H$576,4,FALSE)</f>
        <v>Refineries</v>
      </c>
      <c r="E370" s="6" t="str">
        <f>VLOOKUP($A370,Technologies!$A$7:$H$576,6,FALSE)</f>
        <v>Methanol</v>
      </c>
      <c r="F370" s="48" t="str">
        <f>VLOOKUP($A370,Technologies!$A$7:$H$576,7,FALSE)</f>
        <v>Methanol from syngas - Refineries</v>
      </c>
      <c r="G370" s="22"/>
      <c r="H370" s="207"/>
      <c r="I370" s="103" cm="1">
        <f t="array" ref="I370">-SUMPRODUCT((Feedstocks!$C$4:$C$141=A370)*Feedstocks!$E$4:$E$141,Feedstocks!$F$4:$F$141,Feedstocks!$H$4:$H$141,Feedstocks!$I$4:$I$141)</f>
        <v>0</v>
      </c>
      <c r="J370" s="103" cm="1">
        <f t="array" ref="J370">-SUMPRODUCT((Feedstocks!$C$4:$C$141=A370)*Feedstocks!$E$4:$E$141,Feedstocks!$H$4:$H$141,Feedstocks!$I$4:$I$141)</f>
        <v>0</v>
      </c>
      <c r="K370" s="103"/>
      <c r="L370" s="103"/>
      <c r="M370" s="22">
        <v>1</v>
      </c>
      <c r="N370" s="22" t="str">
        <f>VLOOKUP(E370,Activities!$A$9:$M$227,13,FALSE)</f>
        <v>NL</v>
      </c>
      <c r="O370" s="22"/>
      <c r="P370" s="80" t="s">
        <v>792</v>
      </c>
      <c r="Q370" s="36"/>
      <c r="R370" s="36"/>
      <c r="S370" s="36"/>
      <c r="T370" s="36"/>
      <c r="U370" s="36"/>
      <c r="V370" s="36"/>
      <c r="W370" s="36"/>
      <c r="X370" s="36"/>
      <c r="Y370" s="36"/>
      <c r="Z370" s="36"/>
      <c r="AA370" s="36"/>
      <c r="AB370" s="36"/>
      <c r="AC370" s="36"/>
      <c r="AD370" s="36"/>
      <c r="AE370" s="36"/>
      <c r="AF370" s="35"/>
      <c r="AG370" s="35"/>
      <c r="AH370" s="35"/>
      <c r="AI370" s="35"/>
      <c r="AJ370" s="35"/>
      <c r="AK370" s="35"/>
      <c r="AL370" s="35"/>
      <c r="AM370" s="35"/>
      <c r="AN370" s="35"/>
      <c r="AO370" s="35"/>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6"/>
      <c r="BV370" s="36"/>
      <c r="BW370" s="36"/>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v>-2.5717896896389602E-2</v>
      </c>
      <c r="DI370" s="36"/>
      <c r="DJ370" s="36"/>
      <c r="DK370" s="36"/>
      <c r="DL370" s="36"/>
      <c r="DM370" s="36"/>
      <c r="DN370" s="36"/>
      <c r="DO370" s="36">
        <v>-0.12573194038234917</v>
      </c>
      <c r="DP370" s="36"/>
      <c r="DQ370" s="36"/>
      <c r="DR370" s="36"/>
      <c r="DS370" s="36"/>
      <c r="DT370" s="36"/>
      <c r="DU370" s="36"/>
      <c r="DV370" s="36"/>
      <c r="DW370" s="36"/>
      <c r="DX370" s="36"/>
      <c r="DY370" s="36"/>
      <c r="DZ370" s="36"/>
      <c r="EA370" s="36"/>
      <c r="EB370" s="36"/>
      <c r="EC370" s="36"/>
      <c r="ED370" s="36"/>
      <c r="EE370" s="36"/>
      <c r="EF370" s="36"/>
      <c r="EG370" s="36">
        <v>-0.9223273109166733</v>
      </c>
      <c r="EH370" s="36"/>
      <c r="EI370" s="36">
        <v>1</v>
      </c>
      <c r="EJ370" s="36"/>
      <c r="EK370" s="36"/>
      <c r="EL370" s="36"/>
      <c r="EM370" s="36"/>
      <c r="EN370" s="36"/>
      <c r="EO370" s="36"/>
      <c r="EP370" s="36"/>
      <c r="EQ370" s="36"/>
      <c r="ER370" s="36"/>
      <c r="ES370" s="36"/>
      <c r="ET370" s="36"/>
      <c r="EU370" s="36"/>
      <c r="EV370" s="36"/>
      <c r="EW370" s="36"/>
      <c r="EX370" s="36"/>
      <c r="EY370" s="36"/>
      <c r="EZ370" s="36"/>
      <c r="FA370" s="36"/>
      <c r="FB370" s="36"/>
      <c r="FC370" s="36"/>
      <c r="FD370" s="36"/>
      <c r="FE370" s="36"/>
      <c r="FF370" s="36"/>
      <c r="FG370" s="36"/>
      <c r="FH370" s="36"/>
      <c r="FI370" s="36"/>
      <c r="FJ370" s="36"/>
      <c r="FK370" s="36"/>
      <c r="FL370" s="36"/>
      <c r="FM370" s="36"/>
      <c r="FN370" s="36"/>
      <c r="FO370" s="36"/>
      <c r="FP370" s="36"/>
      <c r="FQ370" s="36"/>
      <c r="FR370" s="36"/>
      <c r="FS370" s="36"/>
      <c r="FT370" s="36"/>
      <c r="FU370" s="36"/>
      <c r="FV370" s="36"/>
      <c r="FW370" s="36"/>
      <c r="FX370" s="36"/>
      <c r="FY370" s="36"/>
      <c r="FZ370" s="36"/>
      <c r="GA370" s="36"/>
      <c r="GB370" s="319"/>
      <c r="GC370" s="179">
        <f t="shared" si="70"/>
        <v>0</v>
      </c>
      <c r="GD370" s="179">
        <f t="shared" si="71"/>
        <v>2.9999999999999997E-4</v>
      </c>
      <c r="GE370" s="179">
        <f t="shared" si="72"/>
        <v>0</v>
      </c>
      <c r="GF370" s="179">
        <f t="shared" ref="GF370:GF401" si="73">ROUND(IF($C370="Primary",0,$O370*($G370*(SUMPRODUCT($Q$4:$GA$4,$Q370:$GA370)+$J370)-SUMPRODUCT($Q$5:$GA$5,$Q370:$GA370)-$I370))*IF($N370=GD$4,1,0),4)</f>
        <v>0</v>
      </c>
      <c r="GG370" s="179">
        <f t="shared" si="69"/>
        <v>0</v>
      </c>
    </row>
    <row r="371" spans="1:342" x14ac:dyDescent="0.35">
      <c r="A371" s="5" t="s">
        <v>1555</v>
      </c>
      <c r="B371" s="5" t="str">
        <f>IF(Technologies!B371&lt;&gt;0,Technologies!B371,"")</f>
        <v>Industrie</v>
      </c>
      <c r="C371" s="5" t="str">
        <f>VLOOKUP($A371,Technologies!$A$7:$H$576,3,FALSE)</f>
        <v>Conversion</v>
      </c>
      <c r="D371" s="5" t="str">
        <f>VLOOKUP($A371,Technologies!$A$7:$H$576,4,FALSE)</f>
        <v>Refineries</v>
      </c>
      <c r="E371" s="5" t="str">
        <f>VLOOKUP($A371,Technologies!$A$7:$H$576,6,FALSE)</f>
        <v>Methanol</v>
      </c>
      <c r="F371" s="5" t="str">
        <f>VLOOKUP($A371,Technologies!$A$7:$H$576,7,FALSE)</f>
        <v>Methanol direct synthesis from CO2 and H2 - Refineries</v>
      </c>
      <c r="G371" s="23"/>
      <c r="H371" s="208">
        <v>7.3999999999999996E-2</v>
      </c>
      <c r="I371" s="104" cm="1">
        <f t="array" ref="I371">-SUMPRODUCT((Feedstocks!$C$4:$C$141=A371)*Feedstocks!$E$4:$E$141,Feedstocks!$F$4:$F$141,Feedstocks!$H$4:$H$141,Feedstocks!$I$4:$I$141)</f>
        <v>0</v>
      </c>
      <c r="J371" s="104" cm="1">
        <f t="array" ref="J371">-SUMPRODUCT((Feedstocks!$C$4:$C$141=A371)*Feedstocks!$E$4:$E$141,Feedstocks!$H$4:$H$141,Feedstocks!$I$4:$I$141)</f>
        <v>0</v>
      </c>
      <c r="K371" s="209"/>
      <c r="L371" s="104"/>
      <c r="M371" s="23">
        <v>1</v>
      </c>
      <c r="N371" s="23" t="str">
        <f>VLOOKUP(E371,Activities!$A$9:$M$227,13,FALSE)</f>
        <v>NL</v>
      </c>
      <c r="O371" s="23"/>
      <c r="P371" s="79" t="s">
        <v>1557</v>
      </c>
      <c r="Q371" s="35"/>
      <c r="R371" s="35"/>
      <c r="S371" s="35"/>
      <c r="T371" s="35"/>
      <c r="U371" s="35"/>
      <c r="V371" s="35"/>
      <c r="W371" s="35"/>
      <c r="X371" s="35"/>
      <c r="Y371" s="35"/>
      <c r="Z371" s="35"/>
      <c r="AA371" s="35"/>
      <c r="AB371" s="35"/>
      <c r="AC371" s="35"/>
      <c r="AD371" s="35"/>
      <c r="AE371" s="35"/>
      <c r="AF371" s="36"/>
      <c r="AG371" s="36"/>
      <c r="AH371" s="36"/>
      <c r="AI371" s="36"/>
      <c r="AJ371" s="36"/>
      <c r="AK371" s="36"/>
      <c r="AL371" s="36"/>
      <c r="AM371" s="36"/>
      <c r="AN371" s="36"/>
      <c r="AO371" s="36"/>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v>-0.05</v>
      </c>
      <c r="DI371" s="35"/>
      <c r="DJ371" s="35"/>
      <c r="DK371" s="35"/>
      <c r="DL371" s="35"/>
      <c r="DM371" s="35"/>
      <c r="DN371" s="35"/>
      <c r="DO371" s="35"/>
      <c r="DP371" s="35">
        <v>0.09</v>
      </c>
      <c r="DQ371" s="35"/>
      <c r="DR371" s="35"/>
      <c r="DS371" s="35"/>
      <c r="DT371" s="35"/>
      <c r="DU371" s="35"/>
      <c r="DV371" s="35"/>
      <c r="DW371" s="35"/>
      <c r="DX371" s="35"/>
      <c r="DY371" s="35"/>
      <c r="DZ371" s="35"/>
      <c r="EA371" s="35"/>
      <c r="EB371" s="35"/>
      <c r="EC371" s="35"/>
      <c r="ED371" s="35"/>
      <c r="EE371" s="35"/>
      <c r="EF371" s="35"/>
      <c r="EG371" s="35"/>
      <c r="EH371" s="35"/>
      <c r="EI371" s="35">
        <v>1</v>
      </c>
      <c r="EJ371" s="35"/>
      <c r="EK371" s="35"/>
      <c r="EL371" s="35"/>
      <c r="EM371" s="35">
        <v>-1.22</v>
      </c>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18"/>
      <c r="GC371" s="178">
        <f t="shared" si="70"/>
        <v>-7.3999999999999996E-2</v>
      </c>
      <c r="GD371" s="178">
        <f t="shared" si="71"/>
        <v>6.0000000000000001E-3</v>
      </c>
      <c r="GE371" s="178">
        <f t="shared" si="72"/>
        <v>0</v>
      </c>
      <c r="GF371" s="178">
        <f t="shared" si="73"/>
        <v>0</v>
      </c>
      <c r="GG371" s="178">
        <f t="shared" si="69"/>
        <v>0</v>
      </c>
    </row>
    <row r="372" spans="1:342" s="310" customFormat="1" x14ac:dyDescent="0.35">
      <c r="A372" s="290" t="s">
        <v>1558</v>
      </c>
      <c r="B372" s="290" t="str">
        <f>IF(Technologies!B372&lt;&gt;0,Technologies!B372,"")</f>
        <v>Industrie</v>
      </c>
      <c r="C372" s="290" t="str">
        <f>VLOOKUP($A372,Technologies!$A$7:$H$576,3,FALSE)</f>
        <v>Conversion</v>
      </c>
      <c r="D372" s="290" t="str">
        <f>VLOOKUP($A372,Technologies!$A$7:$H$576,4,FALSE)</f>
        <v>Refineries</v>
      </c>
      <c r="E372" s="290" t="str">
        <f>VLOOKUP($A372,Technologies!$A$7:$H$576,6,FALSE)</f>
        <v>Methanol</v>
      </c>
      <c r="F372" s="290" t="str">
        <f>VLOOKUP($A372,Technologies!$A$7:$H$576,7,FALSE)</f>
        <v>E-Methanol direct synthesis from CO2 and H2 - Refineries</v>
      </c>
      <c r="G372" s="311"/>
      <c r="H372" s="312">
        <v>7.3999999999999996E-2</v>
      </c>
      <c r="I372" s="313" cm="1">
        <f t="array" ref="I372">-SUMPRODUCT((Feedstocks!$C$4:$C$141=A372)*Feedstocks!$E$4:$E$141,Feedstocks!$F$4:$F$141,Feedstocks!$H$4:$H$141,Feedstocks!$I$4:$I$141)</f>
        <v>0</v>
      </c>
      <c r="J372" s="313" cm="1">
        <f t="array" ref="J372">-SUMPRODUCT((Feedstocks!$C$4:$C$141=A372)*Feedstocks!$E$4:$E$141,Feedstocks!$H$4:$H$141,Feedstocks!$I$4:$I$141)</f>
        <v>0</v>
      </c>
      <c r="K372" s="314"/>
      <c r="L372" s="313"/>
      <c r="M372" s="311">
        <v>1</v>
      </c>
      <c r="N372" s="311" t="str">
        <f>VLOOKUP(E372,Activities!$A$9:$M$227,13,FALSE)</f>
        <v>NL</v>
      </c>
      <c r="O372" s="311"/>
      <c r="P372" s="308" t="s">
        <v>1557</v>
      </c>
      <c r="Q372" s="315"/>
      <c r="R372" s="315"/>
      <c r="S372" s="315"/>
      <c r="T372" s="315"/>
      <c r="U372" s="315"/>
      <c r="V372" s="315"/>
      <c r="W372" s="315"/>
      <c r="X372" s="315"/>
      <c r="Y372" s="315"/>
      <c r="Z372" s="315"/>
      <c r="AA372" s="315"/>
      <c r="AB372" s="315"/>
      <c r="AC372" s="315"/>
      <c r="AD372" s="315"/>
      <c r="AE372" s="315"/>
      <c r="AF372" s="315"/>
      <c r="AG372" s="315"/>
      <c r="AH372" s="315"/>
      <c r="AI372" s="315"/>
      <c r="AJ372" s="315"/>
      <c r="AK372" s="315"/>
      <c r="AL372" s="315"/>
      <c r="AM372" s="315"/>
      <c r="AN372" s="315"/>
      <c r="AO372" s="315"/>
      <c r="AP372" s="315"/>
      <c r="AQ372" s="315"/>
      <c r="AR372" s="315"/>
      <c r="AS372" s="315"/>
      <c r="AT372" s="315"/>
      <c r="AU372" s="315"/>
      <c r="AV372" s="315"/>
      <c r="AW372" s="315"/>
      <c r="AX372" s="315"/>
      <c r="AY372" s="315"/>
      <c r="AZ372" s="315"/>
      <c r="BA372" s="315"/>
      <c r="BB372" s="315"/>
      <c r="BC372" s="315"/>
      <c r="BD372" s="315"/>
      <c r="BE372" s="315"/>
      <c r="BF372" s="315"/>
      <c r="BG372" s="315"/>
      <c r="BH372" s="315"/>
      <c r="BI372" s="315"/>
      <c r="BJ372" s="315"/>
      <c r="BK372" s="315"/>
      <c r="BL372" s="315"/>
      <c r="BM372" s="315"/>
      <c r="BN372" s="315"/>
      <c r="BO372" s="315"/>
      <c r="BP372" s="315"/>
      <c r="BQ372" s="315"/>
      <c r="BR372" s="315"/>
      <c r="BS372" s="315"/>
      <c r="BT372" s="315"/>
      <c r="BU372" s="315"/>
      <c r="BV372" s="315"/>
      <c r="BW372" s="315"/>
      <c r="BX372" s="315"/>
      <c r="BY372" s="315"/>
      <c r="BZ372" s="315"/>
      <c r="CA372" s="315"/>
      <c r="CB372" s="315"/>
      <c r="CC372" s="315"/>
      <c r="CD372" s="315"/>
      <c r="CE372" s="315"/>
      <c r="CF372" s="315"/>
      <c r="CG372" s="315"/>
      <c r="CH372" s="315"/>
      <c r="CI372" s="315"/>
      <c r="CJ372" s="315"/>
      <c r="CK372" s="315"/>
      <c r="CL372" s="315"/>
      <c r="CM372" s="315"/>
      <c r="CN372" s="315"/>
      <c r="CO372" s="315"/>
      <c r="CP372" s="315"/>
      <c r="CQ372" s="315"/>
      <c r="CR372" s="315"/>
      <c r="CS372" s="315"/>
      <c r="CT372" s="315"/>
      <c r="CU372" s="315"/>
      <c r="CV372" s="315"/>
      <c r="CW372" s="315"/>
      <c r="CX372" s="315"/>
      <c r="CY372" s="315"/>
      <c r="CZ372" s="315"/>
      <c r="DA372" s="315"/>
      <c r="DB372" s="315"/>
      <c r="DC372" s="315"/>
      <c r="DD372" s="315"/>
      <c r="DE372" s="315"/>
      <c r="DF372" s="315"/>
      <c r="DG372" s="315"/>
      <c r="DH372" s="315">
        <v>-0.05</v>
      </c>
      <c r="DI372" s="315"/>
      <c r="DJ372" s="315"/>
      <c r="DK372" s="315"/>
      <c r="DL372" s="315"/>
      <c r="DM372" s="315"/>
      <c r="DN372" s="315"/>
      <c r="DO372" s="315"/>
      <c r="DP372" s="315">
        <v>0.09</v>
      </c>
      <c r="DQ372" s="315"/>
      <c r="DR372" s="315"/>
      <c r="DS372" s="315"/>
      <c r="DT372" s="315"/>
      <c r="DU372" s="315"/>
      <c r="DV372" s="315"/>
      <c r="DW372" s="315"/>
      <c r="DX372" s="315"/>
      <c r="DY372" s="315"/>
      <c r="DZ372" s="315"/>
      <c r="EA372" s="315"/>
      <c r="EB372" s="315"/>
      <c r="EC372" s="315"/>
      <c r="ED372" s="315"/>
      <c r="EE372" s="315"/>
      <c r="EF372" s="315"/>
      <c r="EG372" s="315"/>
      <c r="EH372" s="315"/>
      <c r="EI372" s="315">
        <v>1</v>
      </c>
      <c r="EJ372" s="315"/>
      <c r="EK372" s="315"/>
      <c r="EL372" s="315"/>
      <c r="EM372" s="315">
        <v>-1.22</v>
      </c>
      <c r="EN372" s="315"/>
      <c r="EO372" s="315"/>
      <c r="EP372" s="315"/>
      <c r="EQ372" s="315"/>
      <c r="ER372" s="315"/>
      <c r="ES372" s="315"/>
      <c r="ET372" s="315"/>
      <c r="EU372" s="315"/>
      <c r="EV372" s="315"/>
      <c r="EW372" s="315"/>
      <c r="EX372" s="315"/>
      <c r="EY372" s="315"/>
      <c r="EZ372" s="315"/>
      <c r="FA372" s="315"/>
      <c r="FB372" s="315"/>
      <c r="FC372" s="315"/>
      <c r="FD372" s="315"/>
      <c r="FE372" s="315"/>
      <c r="FF372" s="315"/>
      <c r="FG372" s="315"/>
      <c r="FH372" s="315"/>
      <c r="FI372" s="315"/>
      <c r="FJ372" s="315"/>
      <c r="FK372" s="315"/>
      <c r="FL372" s="315"/>
      <c r="FM372" s="315"/>
      <c r="FN372" s="315"/>
      <c r="FO372" s="315"/>
      <c r="FP372" s="315"/>
      <c r="FQ372" s="315"/>
      <c r="FR372" s="315"/>
      <c r="FS372" s="315"/>
      <c r="FT372" s="315"/>
      <c r="FU372" s="315"/>
      <c r="FV372" s="315"/>
      <c r="FW372" s="315"/>
      <c r="FX372" s="315"/>
      <c r="FY372" s="315"/>
      <c r="FZ372" s="315"/>
      <c r="GA372" s="315"/>
      <c r="GB372" s="322"/>
      <c r="GC372" s="316">
        <f t="shared" si="70"/>
        <v>-7.3999999999999996E-2</v>
      </c>
      <c r="GD372" s="316">
        <f t="shared" si="71"/>
        <v>6.0000000000000001E-3</v>
      </c>
      <c r="GE372" s="316">
        <f t="shared" si="72"/>
        <v>0</v>
      </c>
      <c r="GF372" s="316">
        <f t="shared" si="73"/>
        <v>0</v>
      </c>
      <c r="GG372" s="316">
        <f t="shared" si="69"/>
        <v>0</v>
      </c>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row>
    <row r="373" spans="1:342" x14ac:dyDescent="0.35">
      <c r="A373" s="6" t="s">
        <v>1560</v>
      </c>
      <c r="B373" s="6" t="str">
        <f>IF(Technologies!B373&lt;&gt;0,Technologies!B373,"")</f>
        <v>Industrie</v>
      </c>
      <c r="C373" s="6" t="str">
        <f>VLOOKUP($A373,Technologies!$A$7:$H$576,3,FALSE)</f>
        <v>Conversion</v>
      </c>
      <c r="D373" s="6" t="str">
        <f>VLOOKUP($A373,Technologies!$A$7:$H$576,4,FALSE)</f>
        <v>Final Gas</v>
      </c>
      <c r="E373" s="6" t="str">
        <f>VLOOKUP($A373,Technologies!$A$7:$H$576,6,FALSE)</f>
        <v>Natural Gas HD</v>
      </c>
      <c r="F373" s="48" t="str">
        <f>VLOOKUP($A373,Technologies!$A$7:$H$576,7,FALSE)</f>
        <v>Gas Extraction - Final Gas</v>
      </c>
      <c r="G373" s="22"/>
      <c r="H373" s="22"/>
      <c r="I373" s="103" cm="1">
        <f t="array" ref="I373">-SUMPRODUCT((Feedstocks!$C$4:$C$141=A373)*Feedstocks!$E$4:$E$141,Feedstocks!$F$4:$F$141,Feedstocks!$H$4:$H$141,Feedstocks!$I$4:$I$141)</f>
        <v>0</v>
      </c>
      <c r="J373" s="103" cm="1">
        <f t="array" ref="J373">-SUMPRODUCT((Feedstocks!$C$4:$C$141=A373)*Feedstocks!$E$4:$E$141,Feedstocks!$H$4:$H$141,Feedstocks!$I$4:$I$141)</f>
        <v>0</v>
      </c>
      <c r="K373" s="103"/>
      <c r="L373" s="103"/>
      <c r="M373" s="22">
        <v>1</v>
      </c>
      <c r="N373" s="22" t="str">
        <f>VLOOKUP(E373,Activities!$A$9:$M$227,13,FALSE)</f>
        <v>NL</v>
      </c>
      <c r="O373" s="22"/>
      <c r="P373" s="80" t="s">
        <v>415</v>
      </c>
      <c r="Q373" s="36"/>
      <c r="R373" s="36"/>
      <c r="S373" s="36"/>
      <c r="T373" s="36"/>
      <c r="U373" s="36"/>
      <c r="V373" s="36"/>
      <c r="W373" s="36"/>
      <c r="X373" s="36"/>
      <c r="Y373" s="36"/>
      <c r="Z373" s="36"/>
      <c r="AA373" s="36"/>
      <c r="AB373" s="36"/>
      <c r="AC373" s="36"/>
      <c r="AD373" s="36"/>
      <c r="AE373" s="36"/>
      <c r="AF373" s="35"/>
      <c r="AG373" s="35"/>
      <c r="AH373" s="35"/>
      <c r="AI373" s="35"/>
      <c r="AJ373" s="35"/>
      <c r="AK373" s="35"/>
      <c r="AL373" s="35"/>
      <c r="AM373" s="35"/>
      <c r="AN373" s="35"/>
      <c r="AO373" s="35"/>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6"/>
      <c r="BV373" s="36"/>
      <c r="BW373" s="36"/>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v>-3.65848150434351E-3</v>
      </c>
      <c r="DI373" s="36"/>
      <c r="DJ373" s="36"/>
      <c r="DK373" s="36"/>
      <c r="DL373" s="36"/>
      <c r="DM373" s="36"/>
      <c r="DN373" s="36"/>
      <c r="DO373" s="36"/>
      <c r="DP373" s="36"/>
      <c r="DQ373" s="36"/>
      <c r="DR373" s="36"/>
      <c r="DS373" s="36">
        <v>6.5189999999999996E-3</v>
      </c>
      <c r="DT373" s="36"/>
      <c r="DU373" s="36"/>
      <c r="DV373" s="36"/>
      <c r="DW373" s="36"/>
      <c r="DX373" s="36"/>
      <c r="DY373" s="36"/>
      <c r="DZ373" s="36"/>
      <c r="EA373" s="36"/>
      <c r="EB373" s="36"/>
      <c r="EC373" s="36"/>
      <c r="ED373" s="36"/>
      <c r="EE373" s="36"/>
      <c r="EF373" s="36"/>
      <c r="EG373" s="36"/>
      <c r="EH373" s="36"/>
      <c r="EI373" s="36"/>
      <c r="EJ373" s="36">
        <v>1</v>
      </c>
      <c r="EK373" s="36"/>
      <c r="EL373" s="36"/>
      <c r="EM373" s="36"/>
      <c r="EN373" s="36"/>
      <c r="EO373" s="36"/>
      <c r="EP373" s="36"/>
      <c r="EQ373" s="36"/>
      <c r="ER373" s="36"/>
      <c r="ES373" s="36"/>
      <c r="ET373" s="36"/>
      <c r="EU373" s="36">
        <v>-1.0167900000000001</v>
      </c>
      <c r="EV373" s="36"/>
      <c r="EW373" s="36"/>
      <c r="EX373" s="36"/>
      <c r="EY373" s="36"/>
      <c r="EZ373" s="36"/>
      <c r="FA373" s="36"/>
      <c r="FB373" s="36"/>
      <c r="FC373" s="36"/>
      <c r="FD373" s="36"/>
      <c r="FE373" s="36"/>
      <c r="FF373" s="36"/>
      <c r="FG373" s="36"/>
      <c r="FH373" s="36"/>
      <c r="FI373" s="36"/>
      <c r="FJ373" s="36"/>
      <c r="FK373" s="36"/>
      <c r="FL373" s="36"/>
      <c r="FM373" s="36"/>
      <c r="FN373" s="36"/>
      <c r="FO373" s="36"/>
      <c r="FP373" s="36"/>
      <c r="FQ373" s="36"/>
      <c r="FR373" s="36"/>
      <c r="FS373" s="36"/>
      <c r="FT373" s="36"/>
      <c r="FU373" s="36"/>
      <c r="FV373" s="36"/>
      <c r="FW373" s="36"/>
      <c r="FX373" s="36"/>
      <c r="FY373" s="36"/>
      <c r="FZ373" s="36"/>
      <c r="GA373" s="36"/>
      <c r="GB373" s="319"/>
      <c r="GC373" s="179">
        <f t="shared" si="70"/>
        <v>0</v>
      </c>
      <c r="GD373" s="179">
        <f t="shared" si="71"/>
        <v>5.0000000000000001E-4</v>
      </c>
      <c r="GE373" s="179">
        <f t="shared" si="72"/>
        <v>0</v>
      </c>
      <c r="GF373" s="179">
        <f t="shared" si="73"/>
        <v>0</v>
      </c>
      <c r="GG373" s="179">
        <f t="shared" si="69"/>
        <v>0</v>
      </c>
    </row>
    <row r="374" spans="1:342" x14ac:dyDescent="0.35">
      <c r="A374" s="5" t="s">
        <v>1564</v>
      </c>
      <c r="B374" s="5" t="str">
        <f>IF(Technologies!B374&lt;&gt;0,Technologies!B374,"")</f>
        <v>Industrie</v>
      </c>
      <c r="C374" s="5" t="str">
        <f>VLOOKUP($A374,Technologies!$A$7:$H$576,3,FALSE)</f>
        <v>Conversion</v>
      </c>
      <c r="D374" s="5" t="str">
        <f>VLOOKUP($A374,Technologies!$A$7:$H$576,4,FALSE)</f>
        <v>Final Gas</v>
      </c>
      <c r="E374" s="5" t="str">
        <f>VLOOKUP($A374,Technologies!$A$7:$H$576,6,FALSE)</f>
        <v>Natural Gas HD</v>
      </c>
      <c r="F374" s="5" t="str">
        <f>VLOOKUP($A374,Technologies!$A$7:$H$576,7,FALSE)</f>
        <v>Methane from Hydrogen - Final Gas</v>
      </c>
      <c r="G374" s="23"/>
      <c r="H374" s="126">
        <v>5.6599999999999998E-2</v>
      </c>
      <c r="I374" s="104" cm="1">
        <f t="array" ref="I374">-SUMPRODUCT((Feedstocks!$C$4:$C$141=A374)*Feedstocks!$E$4:$E$141,Feedstocks!$F$4:$F$141,Feedstocks!$H$4:$H$141,Feedstocks!$I$4:$I$141)</f>
        <v>0</v>
      </c>
      <c r="J374" s="104" cm="1">
        <f t="array" ref="J374">-SUMPRODUCT((Feedstocks!$C$4:$C$141=A374)*Feedstocks!$E$4:$E$141,Feedstocks!$H$4:$H$141,Feedstocks!$I$4:$I$141)</f>
        <v>0</v>
      </c>
      <c r="K374" s="104"/>
      <c r="L374" s="104"/>
      <c r="M374" s="23">
        <v>1</v>
      </c>
      <c r="N374" s="23" t="str">
        <f>VLOOKUP(E374,Activities!$A$9:$M$227,13,FALSE)</f>
        <v>NL</v>
      </c>
      <c r="O374" s="23"/>
      <c r="P374" s="79" t="s">
        <v>415</v>
      </c>
      <c r="Q374" s="35"/>
      <c r="R374" s="35"/>
      <c r="S374" s="35"/>
      <c r="T374" s="35"/>
      <c r="U374" s="35"/>
      <c r="V374" s="35"/>
      <c r="W374" s="35"/>
      <c r="X374" s="35"/>
      <c r="Y374" s="35"/>
      <c r="Z374" s="35"/>
      <c r="AA374" s="35"/>
      <c r="AB374" s="35"/>
      <c r="AC374" s="35"/>
      <c r="AD374" s="35"/>
      <c r="AE374" s="35"/>
      <c r="AF374" s="36"/>
      <c r="AG374" s="36"/>
      <c r="AH374" s="36"/>
      <c r="AI374" s="36"/>
      <c r="AJ374" s="36"/>
      <c r="AK374" s="36"/>
      <c r="AL374" s="36"/>
      <c r="AM374" s="36"/>
      <c r="AN374" s="36"/>
      <c r="AO374" s="36"/>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v>-0.1</v>
      </c>
      <c r="DI374" s="35"/>
      <c r="DJ374" s="35"/>
      <c r="DK374" s="35"/>
      <c r="DL374" s="35"/>
      <c r="DM374" s="35"/>
      <c r="DN374" s="35"/>
      <c r="DO374" s="35">
        <v>-0.08</v>
      </c>
      <c r="DP374" s="35"/>
      <c r="DQ374" s="35"/>
      <c r="DR374" s="35"/>
      <c r="DS374" s="35"/>
      <c r="DT374" s="35"/>
      <c r="DU374" s="35"/>
      <c r="DV374" s="35"/>
      <c r="DW374" s="35"/>
      <c r="DX374" s="35"/>
      <c r="DY374" s="35"/>
      <c r="DZ374" s="35"/>
      <c r="EA374" s="35"/>
      <c r="EB374" s="35"/>
      <c r="EC374" s="35"/>
      <c r="ED374" s="35"/>
      <c r="EE374" s="35"/>
      <c r="EF374" s="35"/>
      <c r="EG374" s="35"/>
      <c r="EH374" s="35"/>
      <c r="EI374" s="35"/>
      <c r="EJ374" s="35">
        <v>1</v>
      </c>
      <c r="EK374" s="35"/>
      <c r="EL374" s="35"/>
      <c r="EM374" s="35">
        <v>-1.2</v>
      </c>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18"/>
      <c r="GC374" s="178">
        <f t="shared" si="70"/>
        <v>-5.6599999999999998E-2</v>
      </c>
      <c r="GD374" s="178">
        <f t="shared" si="71"/>
        <v>0</v>
      </c>
      <c r="GE374" s="178">
        <f t="shared" si="72"/>
        <v>0</v>
      </c>
      <c r="GF374" s="178">
        <f t="shared" si="73"/>
        <v>0</v>
      </c>
      <c r="GG374" s="178">
        <f t="shared" si="69"/>
        <v>0</v>
      </c>
    </row>
    <row r="375" spans="1:342" x14ac:dyDescent="0.35">
      <c r="A375" s="6" t="s">
        <v>1566</v>
      </c>
      <c r="B375" s="6" t="str">
        <f>IF(Technologies!B375&lt;&gt;0,Technologies!B375,"")</f>
        <v>Industrie</v>
      </c>
      <c r="C375" s="6" t="str">
        <f>VLOOKUP($A375,Technologies!$A$7:$H$576,3,FALSE)</f>
        <v>Primary</v>
      </c>
      <c r="D375" s="6" t="str">
        <f>VLOOKUP($A375,Technologies!$A$7:$H$576,4,FALSE)</f>
        <v>Fossil</v>
      </c>
      <c r="E375" s="6" t="str">
        <f>VLOOKUP($A375,Technologies!$A$7:$H$576,6,FALSE)</f>
        <v>Natural Gas HD</v>
      </c>
      <c r="F375" s="48" t="str">
        <f>VLOOKUP($A375,Technologies!$A$7:$H$576,7,FALSE)</f>
        <v>Imported Natural Gas - Final Gas</v>
      </c>
      <c r="G375" s="22"/>
      <c r="H375" s="22"/>
      <c r="I375" s="103" cm="1">
        <f t="array" ref="I375">-SUMPRODUCT((Feedstocks!$C$4:$C$141=A375)*Feedstocks!$E$4:$E$141,Feedstocks!$F$4:$F$141,Feedstocks!$H$4:$H$141,Feedstocks!$I$4:$I$141)</f>
        <v>0</v>
      </c>
      <c r="J375" s="103" cm="1">
        <f t="array" ref="J375">-SUMPRODUCT((Feedstocks!$C$4:$C$141=A375)*Feedstocks!$E$4:$E$141,Feedstocks!$H$4:$H$141,Feedstocks!$I$4:$I$141)</f>
        <v>0</v>
      </c>
      <c r="K375" s="103"/>
      <c r="L375" s="103"/>
      <c r="M375" s="22"/>
      <c r="N375" s="22" t="str">
        <f>VLOOKUP(E375,Activities!$A$9:$M$227,13,FALSE)</f>
        <v>NL</v>
      </c>
      <c r="O375" s="22"/>
      <c r="P375" s="80" t="s">
        <v>415</v>
      </c>
      <c r="Q375" s="36"/>
      <c r="R375" s="36"/>
      <c r="S375" s="36"/>
      <c r="T375" s="36"/>
      <c r="U375" s="36"/>
      <c r="V375" s="36"/>
      <c r="W375" s="36"/>
      <c r="X375" s="36"/>
      <c r="Y375" s="36"/>
      <c r="Z375" s="36"/>
      <c r="AA375" s="36"/>
      <c r="AB375" s="36"/>
      <c r="AC375" s="36"/>
      <c r="AD375" s="36"/>
      <c r="AE375" s="36"/>
      <c r="AF375" s="35"/>
      <c r="AG375" s="35"/>
      <c r="AH375" s="35"/>
      <c r="AI375" s="35"/>
      <c r="AJ375" s="35"/>
      <c r="AK375" s="35"/>
      <c r="AL375" s="35"/>
      <c r="AM375" s="35"/>
      <c r="AN375" s="35"/>
      <c r="AO375" s="35"/>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v>1</v>
      </c>
      <c r="EK375" s="36"/>
      <c r="EL375" s="36"/>
      <c r="EM375" s="36"/>
      <c r="EN375" s="36"/>
      <c r="EO375" s="36"/>
      <c r="EP375" s="36"/>
      <c r="EQ375" s="36"/>
      <c r="ER375" s="36"/>
      <c r="ES375" s="36"/>
      <c r="ET375" s="36"/>
      <c r="EU375" s="36"/>
      <c r="EV375" s="36"/>
      <c r="EW375" s="36"/>
      <c r="EX375" s="36"/>
      <c r="EY375" s="36"/>
      <c r="EZ375" s="36"/>
      <c r="FA375" s="36"/>
      <c r="FB375" s="36"/>
      <c r="FC375" s="36"/>
      <c r="FD375" s="36"/>
      <c r="FE375" s="36"/>
      <c r="FF375" s="36"/>
      <c r="FG375" s="36"/>
      <c r="FH375" s="36"/>
      <c r="FI375" s="36"/>
      <c r="FJ375" s="36"/>
      <c r="FK375" s="36"/>
      <c r="FL375" s="36"/>
      <c r="FM375" s="36"/>
      <c r="FN375" s="36"/>
      <c r="FO375" s="36"/>
      <c r="FP375" s="36"/>
      <c r="FQ375" s="36"/>
      <c r="FR375" s="36"/>
      <c r="FS375" s="36"/>
      <c r="FT375" s="36"/>
      <c r="FU375" s="36"/>
      <c r="FV375" s="36"/>
      <c r="FW375" s="36"/>
      <c r="FX375" s="36"/>
      <c r="FY375" s="36"/>
      <c r="FZ375" s="36"/>
      <c r="GA375" s="36"/>
      <c r="GB375" s="319"/>
      <c r="GC375" s="179">
        <f t="shared" si="70"/>
        <v>0</v>
      </c>
      <c r="GD375" s="179">
        <f t="shared" si="71"/>
        <v>0</v>
      </c>
      <c r="GE375" s="179">
        <f t="shared" si="72"/>
        <v>0</v>
      </c>
      <c r="GF375" s="179">
        <f t="shared" si="73"/>
        <v>0</v>
      </c>
      <c r="GG375" s="179">
        <f t="shared" si="69"/>
        <v>0</v>
      </c>
    </row>
    <row r="376" spans="1:342" x14ac:dyDescent="0.35">
      <c r="A376" s="5" t="s">
        <v>1571</v>
      </c>
      <c r="B376" s="5" t="str">
        <f>IF(Technologies!B376&lt;&gt;0,Technologies!B376,"")</f>
        <v>Industrie</v>
      </c>
      <c r="C376" s="5" t="str">
        <f>VLOOKUP($A376,Technologies!$A$7:$H$576,3,FALSE)</f>
        <v>Conversion</v>
      </c>
      <c r="D376" s="5" t="str">
        <f>VLOOKUP($A376,Technologies!$A$7:$H$576,4,FALSE)</f>
        <v>Final Gas</v>
      </c>
      <c r="E376" s="5" t="str">
        <f>VLOOKUP($A376,Technologies!$A$7:$H$576,6,FALSE)</f>
        <v>Natural Gas HD</v>
      </c>
      <c r="F376" s="5" t="str">
        <f>VLOOKUP($A376,Technologies!$A$7:$H$576,7,FALSE)</f>
        <v>LNG decompression station - Final Gas</v>
      </c>
      <c r="G376" s="23"/>
      <c r="H376" s="23"/>
      <c r="I376" s="104" cm="1">
        <f t="array" ref="I376">-SUMPRODUCT((Feedstocks!$C$4:$C$141=A376)*Feedstocks!$E$4:$E$141,Feedstocks!$F$4:$F$141,Feedstocks!$H$4:$H$141,Feedstocks!$I$4:$I$141)</f>
        <v>0</v>
      </c>
      <c r="J376" s="104" cm="1">
        <f t="array" ref="J376">-SUMPRODUCT((Feedstocks!$C$4:$C$141=A376)*Feedstocks!$E$4:$E$141,Feedstocks!$H$4:$H$141,Feedstocks!$I$4:$I$141)</f>
        <v>0</v>
      </c>
      <c r="K376" s="104"/>
      <c r="L376" s="104"/>
      <c r="M376" s="23"/>
      <c r="N376" s="23" t="str">
        <f>VLOOKUP(E376,Activities!$A$9:$M$227,13,FALSE)</f>
        <v>NL</v>
      </c>
      <c r="O376" s="23"/>
      <c r="P376" s="79" t="s">
        <v>415</v>
      </c>
      <c r="Q376" s="35"/>
      <c r="R376" s="35"/>
      <c r="S376" s="35"/>
      <c r="T376" s="35"/>
      <c r="U376" s="35"/>
      <c r="V376" s="35"/>
      <c r="W376" s="35"/>
      <c r="X376" s="35"/>
      <c r="Y376" s="35"/>
      <c r="Z376" s="35"/>
      <c r="AA376" s="35"/>
      <c r="AB376" s="35"/>
      <c r="AC376" s="35"/>
      <c r="AD376" s="35"/>
      <c r="AE376" s="35"/>
      <c r="AF376" s="36"/>
      <c r="AG376" s="36"/>
      <c r="AH376" s="36"/>
      <c r="AI376" s="36"/>
      <c r="AJ376" s="36"/>
      <c r="AK376" s="36"/>
      <c r="AL376" s="36"/>
      <c r="AM376" s="36"/>
      <c r="AN376" s="36"/>
      <c r="AO376" s="36"/>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v>1</v>
      </c>
      <c r="EK376" s="35"/>
      <c r="EL376" s="35">
        <v>-1</v>
      </c>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18"/>
      <c r="GC376" s="178">
        <f t="shared" si="70"/>
        <v>0</v>
      </c>
      <c r="GD376" s="178">
        <f t="shared" si="71"/>
        <v>0</v>
      </c>
      <c r="GE376" s="178">
        <f t="shared" si="72"/>
        <v>0</v>
      </c>
      <c r="GF376" s="178">
        <f t="shared" si="73"/>
        <v>0</v>
      </c>
      <c r="GG376" s="178">
        <f t="shared" si="69"/>
        <v>0</v>
      </c>
    </row>
    <row r="377" spans="1:342" x14ac:dyDescent="0.35">
      <c r="A377" s="6" t="s">
        <v>1573</v>
      </c>
      <c r="B377" s="6" t="str">
        <f>IF(Technologies!B377&lt;&gt;0,Technologies!B377,"")</f>
        <v>Industrie</v>
      </c>
      <c r="C377" s="6" t="str">
        <f>VLOOKUP($A377,Technologies!$A$7:$H$576,3,FALSE)</f>
        <v>Conversion</v>
      </c>
      <c r="D377" s="6" t="str">
        <f>VLOOKUP($A377,Technologies!$A$7:$H$576,4,FALSE)</f>
        <v>Final Gas</v>
      </c>
      <c r="E377" s="6" t="str">
        <f>VLOOKUP($A377,Technologies!$A$7:$H$576,6,FALSE)</f>
        <v>Natural Gas HD</v>
      </c>
      <c r="F377" s="48" t="str">
        <f>VLOOKUP($A377,Technologies!$A$7:$H$576,7,FALSE)</f>
        <v>Small scale storage buffer - Final Gas</v>
      </c>
      <c r="G377" s="22"/>
      <c r="H377" s="22"/>
      <c r="I377" s="103" cm="1">
        <f t="array" ref="I377">-SUMPRODUCT((Feedstocks!$C$4:$C$141=A377)*Feedstocks!$E$4:$E$141,Feedstocks!$F$4:$F$141,Feedstocks!$H$4:$H$141,Feedstocks!$I$4:$I$141)</f>
        <v>0</v>
      </c>
      <c r="J377" s="103" cm="1">
        <f t="array" ref="J377">-SUMPRODUCT((Feedstocks!$C$4:$C$141=A377)*Feedstocks!$E$4:$E$141,Feedstocks!$H$4:$H$141,Feedstocks!$I$4:$I$141)</f>
        <v>0</v>
      </c>
      <c r="K377" s="103"/>
      <c r="L377" s="103"/>
      <c r="M377" s="22">
        <v>1</v>
      </c>
      <c r="N377" s="22" t="str">
        <f>VLOOKUP(E377,Activities!$A$9:$M$227,13,FALSE)</f>
        <v>NL</v>
      </c>
      <c r="O377" s="22"/>
      <c r="P377" s="80" t="s">
        <v>415</v>
      </c>
      <c r="Q377" s="36"/>
      <c r="R377" s="36"/>
      <c r="S377" s="36"/>
      <c r="T377" s="36"/>
      <c r="U377" s="36"/>
      <c r="V377" s="36"/>
      <c r="W377" s="36"/>
      <c r="X377" s="36"/>
      <c r="Y377" s="36"/>
      <c r="Z377" s="36"/>
      <c r="AA377" s="36"/>
      <c r="AB377" s="36"/>
      <c r="AC377" s="36"/>
      <c r="AD377" s="36"/>
      <c r="AE377" s="36"/>
      <c r="AF377" s="35"/>
      <c r="AG377" s="35"/>
      <c r="AH377" s="35"/>
      <c r="AI377" s="35"/>
      <c r="AJ377" s="35"/>
      <c r="AK377" s="35"/>
      <c r="AL377" s="35"/>
      <c r="AM377" s="35"/>
      <c r="AN377" s="35"/>
      <c r="AO377" s="35"/>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v>0</v>
      </c>
      <c r="EK377" s="36"/>
      <c r="EL377" s="36"/>
      <c r="EM377" s="36"/>
      <c r="EN377" s="36"/>
      <c r="EO377" s="36"/>
      <c r="EP377" s="36"/>
      <c r="EQ377" s="36"/>
      <c r="ER377" s="36"/>
      <c r="ES377" s="36"/>
      <c r="ET377" s="36"/>
      <c r="EU377" s="36"/>
      <c r="EV377" s="36"/>
      <c r="EW377" s="36"/>
      <c r="EX377" s="36"/>
      <c r="EY377" s="36"/>
      <c r="EZ377" s="36"/>
      <c r="FA377" s="36"/>
      <c r="FB377" s="36"/>
      <c r="FC377" s="36"/>
      <c r="FD377" s="36"/>
      <c r="FE377" s="36"/>
      <c r="FF377" s="36"/>
      <c r="FG377" s="36"/>
      <c r="FH377" s="36"/>
      <c r="FI377" s="36"/>
      <c r="FJ377" s="36"/>
      <c r="FK377" s="36"/>
      <c r="FL377" s="36"/>
      <c r="FM377" s="36"/>
      <c r="FN377" s="36"/>
      <c r="FO377" s="36"/>
      <c r="FP377" s="36"/>
      <c r="FQ377" s="36"/>
      <c r="FR377" s="36"/>
      <c r="FS377" s="36"/>
      <c r="FT377" s="36"/>
      <c r="FU377" s="36"/>
      <c r="FV377" s="36"/>
      <c r="FW377" s="36"/>
      <c r="FX377" s="36"/>
      <c r="FY377" s="36"/>
      <c r="FZ377" s="36"/>
      <c r="GA377" s="36"/>
      <c r="GB377" s="319"/>
      <c r="GC377" s="179">
        <f t="shared" si="70"/>
        <v>0</v>
      </c>
      <c r="GD377" s="179">
        <f t="shared" si="71"/>
        <v>0</v>
      </c>
      <c r="GE377" s="179">
        <f t="shared" si="72"/>
        <v>0</v>
      </c>
      <c r="GF377" s="179">
        <f t="shared" si="73"/>
        <v>0</v>
      </c>
      <c r="GG377" s="179">
        <f t="shared" si="69"/>
        <v>0</v>
      </c>
    </row>
    <row r="378" spans="1:342" x14ac:dyDescent="0.35">
      <c r="A378" s="5" t="s">
        <v>1576</v>
      </c>
      <c r="B378" s="5" t="str">
        <f>IF(Technologies!B378&lt;&gt;0,Technologies!B378,"")</f>
        <v>Industrie</v>
      </c>
      <c r="C378" s="5" t="str">
        <f>VLOOKUP($A378,Technologies!$A$7:$H$576,3,FALSE)</f>
        <v>Conversion</v>
      </c>
      <c r="D378" s="5" t="str">
        <f>VLOOKUP($A378,Technologies!$A$7:$H$576,4,FALSE)</f>
        <v>Final Gas</v>
      </c>
      <c r="E378" s="5" t="str">
        <f>VLOOKUP($A378,Technologies!$A$7:$H$576,6,FALSE)</f>
        <v>Natural Gas HD</v>
      </c>
      <c r="F378" s="5" t="str">
        <f>VLOOKUP($A378,Technologies!$A$7:$H$576,7,FALSE)</f>
        <v>Large scale storage buffer - Final Gas</v>
      </c>
      <c r="G378" s="23"/>
      <c r="H378" s="23"/>
      <c r="I378" s="104" cm="1">
        <f t="array" ref="I378">-SUMPRODUCT((Feedstocks!$C$4:$C$141=A378)*Feedstocks!$E$4:$E$141,Feedstocks!$F$4:$F$141,Feedstocks!$H$4:$H$141,Feedstocks!$I$4:$I$141)</f>
        <v>0</v>
      </c>
      <c r="J378" s="104" cm="1">
        <f t="array" ref="J378">-SUMPRODUCT((Feedstocks!$C$4:$C$141=A378)*Feedstocks!$E$4:$E$141,Feedstocks!$H$4:$H$141,Feedstocks!$I$4:$I$141)</f>
        <v>0</v>
      </c>
      <c r="K378" s="104"/>
      <c r="L378" s="104"/>
      <c r="M378" s="23">
        <v>1</v>
      </c>
      <c r="N378" s="23" t="str">
        <f>VLOOKUP(E378,Activities!$A$9:$M$227,13,FALSE)</f>
        <v>NL</v>
      </c>
      <c r="O378" s="23"/>
      <c r="P378" s="79" t="s">
        <v>415</v>
      </c>
      <c r="Q378" s="35"/>
      <c r="R378" s="35"/>
      <c r="S378" s="35"/>
      <c r="T378" s="35"/>
      <c r="U378" s="35"/>
      <c r="V378" s="35"/>
      <c r="W378" s="35"/>
      <c r="X378" s="35"/>
      <c r="Y378" s="35"/>
      <c r="Z378" s="35"/>
      <c r="AA378" s="35"/>
      <c r="AB378" s="35"/>
      <c r="AC378" s="35"/>
      <c r="AD378" s="35"/>
      <c r="AE378" s="35"/>
      <c r="AF378" s="36"/>
      <c r="AG378" s="36"/>
      <c r="AH378" s="36"/>
      <c r="AI378" s="36"/>
      <c r="AJ378" s="36"/>
      <c r="AK378" s="36"/>
      <c r="AL378" s="36"/>
      <c r="AM378" s="36"/>
      <c r="AN378" s="36"/>
      <c r="AO378" s="36"/>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v>0</v>
      </c>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18"/>
      <c r="GC378" s="178">
        <f t="shared" si="70"/>
        <v>0</v>
      </c>
      <c r="GD378" s="178">
        <f t="shared" si="71"/>
        <v>0</v>
      </c>
      <c r="GE378" s="178">
        <f t="shared" si="72"/>
        <v>0</v>
      </c>
      <c r="GF378" s="178">
        <f t="shared" si="73"/>
        <v>0</v>
      </c>
      <c r="GG378" s="178">
        <f t="shared" si="69"/>
        <v>0</v>
      </c>
    </row>
    <row r="379" spans="1:342" x14ac:dyDescent="0.35">
      <c r="A379" s="6" t="s">
        <v>1578</v>
      </c>
      <c r="B379" s="6" t="str">
        <f>IF(Technologies!B379&lt;&gt;0,Technologies!B379,"")</f>
        <v>Elektriciteit</v>
      </c>
      <c r="C379" s="6" t="str">
        <f>VLOOKUP($A379,Technologies!$A$7:$H$576,3,FALSE)</f>
        <v>Conversion</v>
      </c>
      <c r="D379" s="6" t="str">
        <f>VLOOKUP($A379,Technologies!$A$7:$H$576,4,FALSE)</f>
        <v>Final Gas</v>
      </c>
      <c r="E379" s="6" t="str">
        <f>VLOOKUP($A379,Technologies!$A$7:$H$576,6,FALSE)</f>
        <v>Natural Gas HD</v>
      </c>
      <c r="F379" s="48" t="str">
        <f>VLOOKUP($A379,Technologies!$A$7:$H$576,7,FALSE)</f>
        <v>LD to HD compressor - Final Gas</v>
      </c>
      <c r="G379" s="22"/>
      <c r="H379" s="22"/>
      <c r="I379" s="103" cm="1">
        <f t="array" ref="I379">-SUMPRODUCT((Feedstocks!$C$4:$C$141=A379)*Feedstocks!$E$4:$E$141,Feedstocks!$F$4:$F$141,Feedstocks!$H$4:$H$141,Feedstocks!$I$4:$I$141)</f>
        <v>0</v>
      </c>
      <c r="J379" s="103" cm="1">
        <f t="array" ref="J379">-SUMPRODUCT((Feedstocks!$C$4:$C$141=A379)*Feedstocks!$E$4:$E$141,Feedstocks!$H$4:$H$141,Feedstocks!$I$4:$I$141)</f>
        <v>0</v>
      </c>
      <c r="K379" s="103"/>
      <c r="L379" s="103"/>
      <c r="M379" s="22"/>
      <c r="N379" s="22" t="str">
        <f>VLOOKUP(E379,Activities!$A$9:$M$227,13,FALSE)</f>
        <v>NL</v>
      </c>
      <c r="O379" s="22"/>
      <c r="P379" s="80" t="s">
        <v>415</v>
      </c>
      <c r="Q379" s="36"/>
      <c r="R379" s="36"/>
      <c r="S379" s="36"/>
      <c r="T379" s="36"/>
      <c r="U379" s="36"/>
      <c r="V379" s="36"/>
      <c r="W379" s="36"/>
      <c r="X379" s="36"/>
      <c r="Y379" s="36"/>
      <c r="Z379" s="36"/>
      <c r="AA379" s="36"/>
      <c r="AB379" s="36"/>
      <c r="AC379" s="36"/>
      <c r="AD379" s="36"/>
      <c r="AE379" s="36"/>
      <c r="AF379" s="35"/>
      <c r="AG379" s="35"/>
      <c r="AH379" s="35"/>
      <c r="AI379" s="35"/>
      <c r="AJ379" s="35"/>
      <c r="AK379" s="35"/>
      <c r="AL379" s="35"/>
      <c r="AM379" s="35"/>
      <c r="AN379" s="35"/>
      <c r="AO379" s="35"/>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6"/>
      <c r="BV379" s="36"/>
      <c r="BW379" s="36"/>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v>1</v>
      </c>
      <c r="EK379" s="36">
        <v>-1</v>
      </c>
      <c r="EL379" s="36"/>
      <c r="EM379" s="36"/>
      <c r="EN379" s="36"/>
      <c r="EO379" s="36"/>
      <c r="EP379" s="36"/>
      <c r="EQ379" s="36"/>
      <c r="ER379" s="36"/>
      <c r="ES379" s="36"/>
      <c r="ET379" s="36"/>
      <c r="EU379" s="36"/>
      <c r="EV379" s="36"/>
      <c r="EW379" s="36"/>
      <c r="EX379" s="36"/>
      <c r="EY379" s="36"/>
      <c r="EZ379" s="36"/>
      <c r="FA379" s="36"/>
      <c r="FB379" s="36"/>
      <c r="FC379" s="36"/>
      <c r="FD379" s="36"/>
      <c r="FE379" s="36"/>
      <c r="FF379" s="36"/>
      <c r="FG379" s="36"/>
      <c r="FH379" s="36"/>
      <c r="FI379" s="36"/>
      <c r="FJ379" s="36"/>
      <c r="FK379" s="36"/>
      <c r="FL379" s="36"/>
      <c r="FM379" s="36"/>
      <c r="FN379" s="36"/>
      <c r="FO379" s="36"/>
      <c r="FP379" s="36"/>
      <c r="FQ379" s="36"/>
      <c r="FR379" s="36"/>
      <c r="FS379" s="36"/>
      <c r="FT379" s="36"/>
      <c r="FU379" s="36"/>
      <c r="FV379" s="36"/>
      <c r="FW379" s="36"/>
      <c r="FX379" s="36"/>
      <c r="FY379" s="36"/>
      <c r="FZ379" s="36"/>
      <c r="GA379" s="36"/>
      <c r="GB379" s="319"/>
      <c r="GC379" s="179">
        <f t="shared" si="70"/>
        <v>0</v>
      </c>
      <c r="GD379" s="179">
        <f t="shared" si="71"/>
        <v>0</v>
      </c>
      <c r="GE379" s="179">
        <f t="shared" si="72"/>
        <v>0</v>
      </c>
      <c r="GF379" s="179">
        <f t="shared" si="73"/>
        <v>0</v>
      </c>
      <c r="GG379" s="179">
        <f t="shared" si="69"/>
        <v>0</v>
      </c>
    </row>
    <row r="380" spans="1:342" x14ac:dyDescent="0.35">
      <c r="A380" s="5" t="s">
        <v>1581</v>
      </c>
      <c r="B380" s="5" t="str">
        <f>IF(Technologies!B380&lt;&gt;0,Technologies!B380,"")</f>
        <v>Industrie</v>
      </c>
      <c r="C380" s="5" t="str">
        <f>VLOOKUP($A380,Technologies!$A$7:$H$576,3,FALSE)</f>
        <v>Conversion</v>
      </c>
      <c r="D380" s="5" t="str">
        <f>VLOOKUP($A380,Technologies!$A$7:$H$576,4,FALSE)</f>
        <v>Final Gas</v>
      </c>
      <c r="E380" s="5" t="str">
        <f>VLOOKUP($A380,Technologies!$A$7:$H$576,6,FALSE)</f>
        <v>Natural Gas LD</v>
      </c>
      <c r="F380" s="5" t="str">
        <f>VLOOKUP($A380,Technologies!$A$7:$H$576,7,FALSE)</f>
        <v>Gas from Manure Digestion - Final Gas</v>
      </c>
      <c r="G380" s="23"/>
      <c r="H380" s="23"/>
      <c r="I380" s="104" cm="1">
        <f t="array" ref="I380">-SUMPRODUCT((Feedstocks!$C$4:$C$141=A380)*Feedstocks!$E$4:$E$141,Feedstocks!$F$4:$F$141,Feedstocks!$H$4:$H$141,Feedstocks!$I$4:$I$141)</f>
        <v>0</v>
      </c>
      <c r="J380" s="104" cm="1">
        <f t="array" ref="J380">-SUMPRODUCT((Feedstocks!$C$4:$C$141=A380)*Feedstocks!$E$4:$E$141,Feedstocks!$H$4:$H$141,Feedstocks!$I$4:$I$141)</f>
        <v>0</v>
      </c>
      <c r="K380" s="104"/>
      <c r="L380" s="104"/>
      <c r="M380" s="23">
        <v>1</v>
      </c>
      <c r="N380" s="23" t="str">
        <f>VLOOKUP(E380,Activities!$A$9:$M$227,13,FALSE)</f>
        <v>NL</v>
      </c>
      <c r="O380" s="23"/>
      <c r="P380" s="79" t="s">
        <v>415</v>
      </c>
      <c r="Q380" s="35"/>
      <c r="R380" s="35"/>
      <c r="S380" s="35"/>
      <c r="T380" s="35"/>
      <c r="U380" s="35"/>
      <c r="V380" s="35"/>
      <c r="W380" s="35"/>
      <c r="X380" s="35"/>
      <c r="Y380" s="35"/>
      <c r="Z380" s="35"/>
      <c r="AA380" s="35"/>
      <c r="AB380" s="35"/>
      <c r="AC380" s="35"/>
      <c r="AD380" s="35"/>
      <c r="AE380" s="35"/>
      <c r="AF380" s="36"/>
      <c r="AG380" s="36"/>
      <c r="AH380" s="36"/>
      <c r="AI380" s="36"/>
      <c r="AJ380" s="36"/>
      <c r="AK380" s="36"/>
      <c r="AL380" s="36"/>
      <c r="AM380" s="36"/>
      <c r="AN380" s="36"/>
      <c r="AO380" s="36"/>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v>-8.4091257863334407E-2</v>
      </c>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v>1</v>
      </c>
      <c r="EL380" s="35"/>
      <c r="EM380" s="35"/>
      <c r="EN380" s="35"/>
      <c r="EO380" s="35"/>
      <c r="EP380" s="35"/>
      <c r="EQ380" s="35"/>
      <c r="ER380" s="35"/>
      <c r="ES380" s="35"/>
      <c r="ET380" s="35"/>
      <c r="EU380" s="35"/>
      <c r="EV380" s="35"/>
      <c r="EW380" s="35"/>
      <c r="EX380" s="35"/>
      <c r="EY380" s="35"/>
      <c r="EZ380" s="35"/>
      <c r="FA380" s="35"/>
      <c r="FB380" s="35"/>
      <c r="FC380" s="35"/>
      <c r="FD380" s="35"/>
      <c r="FE380" s="35">
        <v>-1.3698630136986301</v>
      </c>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18"/>
      <c r="GC380" s="178">
        <f t="shared" si="70"/>
        <v>0</v>
      </c>
      <c r="GD380" s="178">
        <f t="shared" si="71"/>
        <v>-5.6599999999999998E-2</v>
      </c>
      <c r="GE380" s="178">
        <f t="shared" si="72"/>
        <v>0</v>
      </c>
      <c r="GF380" s="178">
        <f t="shared" si="73"/>
        <v>0</v>
      </c>
      <c r="GG380" s="178">
        <f t="shared" si="69"/>
        <v>0</v>
      </c>
    </row>
    <row r="381" spans="1:342" x14ac:dyDescent="0.35">
      <c r="A381" s="6" t="s">
        <v>1583</v>
      </c>
      <c r="B381" s="6" t="str">
        <f>IF(Technologies!B381&lt;&gt;0,Technologies!B381,"")</f>
        <v>Industrie</v>
      </c>
      <c r="C381" s="6" t="str">
        <f>VLOOKUP($A381,Technologies!$A$7:$H$576,3,FALSE)</f>
        <v>Conversion</v>
      </c>
      <c r="D381" s="6" t="str">
        <f>VLOOKUP($A381,Technologies!$A$7:$H$576,4,FALSE)</f>
        <v>Final Gas</v>
      </c>
      <c r="E381" s="6" t="str">
        <f>VLOOKUP($A381,Technologies!$A$7:$H$576,6,FALSE)</f>
        <v>Natural Gas LD</v>
      </c>
      <c r="F381" s="48" t="str">
        <f>VLOOKUP($A381,Technologies!$A$7:$H$576,7,FALSE)</f>
        <v>Gas from Manure-Starch Co-Digestion - Final Gas</v>
      </c>
      <c r="G381" s="22"/>
      <c r="H381" s="22"/>
      <c r="I381" s="103" cm="1">
        <f t="array" ref="I381">-SUMPRODUCT((Feedstocks!$C$4:$C$141=A381)*Feedstocks!$E$4:$E$141,Feedstocks!$F$4:$F$141,Feedstocks!$H$4:$H$141,Feedstocks!$I$4:$I$141)</f>
        <v>0</v>
      </c>
      <c r="J381" s="103" cm="1">
        <f t="array" ref="J381">-SUMPRODUCT((Feedstocks!$C$4:$C$141=A381)*Feedstocks!$E$4:$E$141,Feedstocks!$H$4:$H$141,Feedstocks!$I$4:$I$141)</f>
        <v>0</v>
      </c>
      <c r="K381" s="103"/>
      <c r="L381" s="103"/>
      <c r="M381" s="22">
        <v>1</v>
      </c>
      <c r="N381" s="22" t="str">
        <f>VLOOKUP(E381,Activities!$A$9:$M$227,13,FALSE)</f>
        <v>NL</v>
      </c>
      <c r="O381" s="22"/>
      <c r="P381" s="80" t="s">
        <v>415</v>
      </c>
      <c r="Q381" s="36"/>
      <c r="R381" s="36"/>
      <c r="S381" s="36"/>
      <c r="T381" s="36"/>
      <c r="U381" s="36"/>
      <c r="V381" s="36"/>
      <c r="W381" s="36"/>
      <c r="X381" s="36"/>
      <c r="Y381" s="36"/>
      <c r="Z381" s="36"/>
      <c r="AA381" s="36"/>
      <c r="AB381" s="36"/>
      <c r="AC381" s="36"/>
      <c r="AD381" s="36"/>
      <c r="AE381" s="36"/>
      <c r="AF381" s="35"/>
      <c r="AG381" s="35"/>
      <c r="AH381" s="35"/>
      <c r="AI381" s="35"/>
      <c r="AJ381" s="35"/>
      <c r="AK381" s="35"/>
      <c r="AL381" s="35"/>
      <c r="AM381" s="35"/>
      <c r="AN381" s="35"/>
      <c r="AO381" s="35"/>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c r="BS381" s="36"/>
      <c r="BT381" s="36"/>
      <c r="BU381" s="36"/>
      <c r="BV381" s="36"/>
      <c r="BW381" s="36"/>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36"/>
      <c r="CT381" s="36"/>
      <c r="CU381" s="36"/>
      <c r="CV381" s="36"/>
      <c r="CW381" s="36"/>
      <c r="CX381" s="36"/>
      <c r="CY381" s="36"/>
      <c r="CZ381" s="36"/>
      <c r="DA381" s="36"/>
      <c r="DB381" s="36"/>
      <c r="DC381" s="36"/>
      <c r="DD381" s="36"/>
      <c r="DE381" s="36"/>
      <c r="DF381" s="36"/>
      <c r="DG381" s="36"/>
      <c r="DH381" s="36">
        <v>-8.2664866856129393E-2</v>
      </c>
      <c r="DI381" s="36"/>
      <c r="DJ381" s="36"/>
      <c r="DK381" s="36"/>
      <c r="DL381" s="36"/>
      <c r="DM381" s="36"/>
      <c r="DN381" s="36"/>
      <c r="DO381" s="36"/>
      <c r="DP381" s="36"/>
      <c r="DQ381" s="36"/>
      <c r="DR381" s="36"/>
      <c r="DS381" s="36"/>
      <c r="DT381" s="36"/>
      <c r="DU381" s="36"/>
      <c r="DV381" s="36"/>
      <c r="DW381" s="36"/>
      <c r="DX381" s="36"/>
      <c r="DY381" s="36"/>
      <c r="DZ381" s="36"/>
      <c r="EA381" s="36"/>
      <c r="EB381" s="36"/>
      <c r="EC381" s="36"/>
      <c r="ED381" s="36"/>
      <c r="EE381" s="36"/>
      <c r="EF381" s="36"/>
      <c r="EG381" s="36"/>
      <c r="EH381" s="36"/>
      <c r="EI381" s="36"/>
      <c r="EJ381" s="36"/>
      <c r="EK381" s="36">
        <v>1</v>
      </c>
      <c r="EL381" s="36"/>
      <c r="EM381" s="36"/>
      <c r="EN381" s="36"/>
      <c r="EO381" s="36"/>
      <c r="EP381" s="36"/>
      <c r="EQ381" s="36"/>
      <c r="ER381" s="36"/>
      <c r="ES381" s="36"/>
      <c r="ET381" s="36"/>
      <c r="EU381" s="36"/>
      <c r="EV381" s="36"/>
      <c r="EW381" s="36"/>
      <c r="EX381" s="36"/>
      <c r="EY381" s="36"/>
      <c r="EZ381" s="36"/>
      <c r="FA381" s="36"/>
      <c r="FB381" s="36"/>
      <c r="FC381" s="36"/>
      <c r="FD381" s="36"/>
      <c r="FE381" s="36">
        <v>-0.25</v>
      </c>
      <c r="FF381" s="36"/>
      <c r="FG381" s="36">
        <v>-1</v>
      </c>
      <c r="FH381" s="36"/>
      <c r="FI381" s="36"/>
      <c r="FJ381" s="36"/>
      <c r="FK381" s="36"/>
      <c r="FL381" s="36"/>
      <c r="FM381" s="36"/>
      <c r="FN381" s="36"/>
      <c r="FO381" s="36"/>
      <c r="FP381" s="36"/>
      <c r="FQ381" s="36"/>
      <c r="FR381" s="36"/>
      <c r="FS381" s="36"/>
      <c r="FT381" s="36"/>
      <c r="FU381" s="36"/>
      <c r="FV381" s="36"/>
      <c r="FW381" s="36"/>
      <c r="FX381" s="36"/>
      <c r="FY381" s="36"/>
      <c r="FZ381" s="36"/>
      <c r="GA381" s="36"/>
      <c r="GB381" s="319"/>
      <c r="GC381" s="179">
        <f t="shared" si="70"/>
        <v>0</v>
      </c>
      <c r="GD381" s="179">
        <f t="shared" si="71"/>
        <v>-5.6599999999999998E-2</v>
      </c>
      <c r="GE381" s="179">
        <f t="shared" si="72"/>
        <v>0</v>
      </c>
      <c r="GF381" s="179">
        <f t="shared" si="73"/>
        <v>0</v>
      </c>
      <c r="GG381" s="179">
        <f t="shared" si="69"/>
        <v>0</v>
      </c>
    </row>
    <row r="382" spans="1:342" x14ac:dyDescent="0.35">
      <c r="A382" s="5" t="s">
        <v>1585</v>
      </c>
      <c r="B382" s="5" t="str">
        <f>IF(Technologies!B382&lt;&gt;0,Technologies!B382,"")</f>
        <v>Industrie</v>
      </c>
      <c r="C382" s="5" t="str">
        <f>VLOOKUP($A382,Technologies!$A$7:$H$576,3,FALSE)</f>
        <v>Conversion</v>
      </c>
      <c r="D382" s="5" t="str">
        <f>VLOOKUP($A382,Technologies!$A$7:$H$576,4,FALSE)</f>
        <v>Final Gas</v>
      </c>
      <c r="E382" s="5" t="str">
        <f>VLOOKUP($A382,Technologies!$A$7:$H$576,6,FALSE)</f>
        <v>Natural Gas LD</v>
      </c>
      <c r="F382" s="5" t="str">
        <f>VLOOKUP($A382,Technologies!$A$7:$H$576,7,FALSE)</f>
        <v>Gas from Solid Biomass Gasification - Final Gas</v>
      </c>
      <c r="G382" s="23"/>
      <c r="H382" s="23"/>
      <c r="I382" s="104" cm="1">
        <f t="array" ref="I382">-SUMPRODUCT((Feedstocks!$C$4:$C$141=A382)*Feedstocks!$E$4:$E$141,Feedstocks!$F$4:$F$141,Feedstocks!$H$4:$H$141,Feedstocks!$I$4:$I$141)</f>
        <v>0</v>
      </c>
      <c r="J382" s="104" cm="1">
        <f t="array" ref="J382">-SUMPRODUCT((Feedstocks!$C$4:$C$141=A382)*Feedstocks!$E$4:$E$141,Feedstocks!$H$4:$H$141,Feedstocks!$I$4:$I$141)</f>
        <v>0</v>
      </c>
      <c r="K382" s="104"/>
      <c r="L382" s="104"/>
      <c r="M382" s="23">
        <v>1</v>
      </c>
      <c r="N382" s="23" t="str">
        <f>VLOOKUP(E382,Activities!$A$9:$M$227,13,FALSE)</f>
        <v>NL</v>
      </c>
      <c r="O382" s="23"/>
      <c r="P382" s="79" t="s">
        <v>415</v>
      </c>
      <c r="Q382" s="35"/>
      <c r="R382" s="35"/>
      <c r="S382" s="35"/>
      <c r="T382" s="35"/>
      <c r="U382" s="35"/>
      <c r="V382" s="35"/>
      <c r="W382" s="35"/>
      <c r="X382" s="35"/>
      <c r="Y382" s="35"/>
      <c r="Z382" s="35"/>
      <c r="AA382" s="35"/>
      <c r="AB382" s="35"/>
      <c r="AC382" s="35"/>
      <c r="AD382" s="35"/>
      <c r="AE382" s="35"/>
      <c r="AF382" s="36"/>
      <c r="AG382" s="36"/>
      <c r="AH382" s="36"/>
      <c r="AI382" s="36"/>
      <c r="AJ382" s="36"/>
      <c r="AK382" s="36"/>
      <c r="AL382" s="36"/>
      <c r="AM382" s="36"/>
      <c r="AN382" s="36"/>
      <c r="AO382" s="36"/>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v>-4.07442618497895E-2</v>
      </c>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v>1</v>
      </c>
      <c r="EL382" s="35"/>
      <c r="EM382" s="35"/>
      <c r="EN382" s="35"/>
      <c r="EO382" s="35"/>
      <c r="EP382" s="35"/>
      <c r="EQ382" s="35"/>
      <c r="ER382" s="35">
        <v>-0.43000143000142999</v>
      </c>
      <c r="ES382" s="35"/>
      <c r="ET382" s="35"/>
      <c r="EU382" s="35"/>
      <c r="EV382" s="35"/>
      <c r="EW382" s="35"/>
      <c r="EX382" s="35"/>
      <c r="EY382" s="35"/>
      <c r="EZ382" s="35"/>
      <c r="FA382" s="35">
        <v>-1</v>
      </c>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18"/>
      <c r="GC382" s="178">
        <f t="shared" si="70"/>
        <v>0</v>
      </c>
      <c r="GD382" s="178">
        <f t="shared" si="71"/>
        <v>-5.6599999999999998E-2</v>
      </c>
      <c r="GE382" s="178">
        <f t="shared" si="72"/>
        <v>0</v>
      </c>
      <c r="GF382" s="178">
        <f t="shared" si="73"/>
        <v>0</v>
      </c>
      <c r="GG382" s="178">
        <f t="shared" si="69"/>
        <v>0</v>
      </c>
    </row>
    <row r="383" spans="1:342" x14ac:dyDescent="0.35">
      <c r="A383" s="6" t="s">
        <v>1587</v>
      </c>
      <c r="B383" s="6" t="str">
        <f>IF(Technologies!B383&lt;&gt;0,Technologies!B383,"")</f>
        <v>Industrie</v>
      </c>
      <c r="C383" s="6" t="str">
        <f>VLOOKUP($A383,Technologies!$A$7:$H$576,3,FALSE)</f>
        <v>Conversion</v>
      </c>
      <c r="D383" s="6" t="str">
        <f>VLOOKUP($A383,Technologies!$A$7:$H$576,4,FALSE)</f>
        <v>Final Gas</v>
      </c>
      <c r="E383" s="6" t="str">
        <f>VLOOKUP($A383,Technologies!$A$7:$H$576,6,FALSE)</f>
        <v>Natural Gas LD</v>
      </c>
      <c r="F383" s="48" t="str">
        <f>VLOOKUP($A383,Technologies!$A$7:$H$576,7,FALSE)</f>
        <v>Gas from Solid Biomass Gasification wCCS - Final Gas</v>
      </c>
      <c r="G383" s="22">
        <v>0.8</v>
      </c>
      <c r="H383" s="22"/>
      <c r="I383" s="103" cm="1">
        <f t="array" ref="I383">-SUMPRODUCT((Feedstocks!$C$4:$C$141=A383)*Feedstocks!$E$4:$E$141,Feedstocks!$F$4:$F$141,Feedstocks!$H$4:$H$141,Feedstocks!$I$4:$I$141)</f>
        <v>0</v>
      </c>
      <c r="J383" s="103" cm="1">
        <f t="array" ref="J383">-SUMPRODUCT((Feedstocks!$C$4:$C$141=A383)*Feedstocks!$E$4:$E$141,Feedstocks!$H$4:$H$141,Feedstocks!$I$4:$I$141)</f>
        <v>0</v>
      </c>
      <c r="K383" s="103"/>
      <c r="L383" s="103"/>
      <c r="M383" s="22">
        <v>1</v>
      </c>
      <c r="N383" s="22" t="str">
        <f>VLOOKUP(E383,Activities!$A$9:$M$227,13,FALSE)</f>
        <v>NL</v>
      </c>
      <c r="O383" s="22"/>
      <c r="P383" s="80" t="s">
        <v>415</v>
      </c>
      <c r="Q383" s="36"/>
      <c r="R383" s="36"/>
      <c r="S383" s="36"/>
      <c r="T383" s="36"/>
      <c r="U383" s="36"/>
      <c r="V383" s="36"/>
      <c r="W383" s="36"/>
      <c r="X383" s="36"/>
      <c r="Y383" s="36"/>
      <c r="Z383" s="36"/>
      <c r="AA383" s="36"/>
      <c r="AB383" s="36"/>
      <c r="AC383" s="36"/>
      <c r="AD383" s="36"/>
      <c r="AE383" s="36"/>
      <c r="AF383" s="35"/>
      <c r="AG383" s="35"/>
      <c r="AH383" s="35"/>
      <c r="AI383" s="35"/>
      <c r="AJ383" s="35"/>
      <c r="AK383" s="35"/>
      <c r="AL383" s="35"/>
      <c r="AM383" s="35"/>
      <c r="AN383" s="35"/>
      <c r="AO383" s="35"/>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6"/>
      <c r="BV383" s="36"/>
      <c r="BW383" s="36"/>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36"/>
      <c r="CT383" s="36"/>
      <c r="CU383" s="36"/>
      <c r="CV383" s="36"/>
      <c r="CW383" s="36"/>
      <c r="CX383" s="36"/>
      <c r="CY383" s="36"/>
      <c r="CZ383" s="36"/>
      <c r="DA383" s="36"/>
      <c r="DB383" s="36"/>
      <c r="DC383" s="36"/>
      <c r="DD383" s="36"/>
      <c r="DE383" s="36"/>
      <c r="DF383" s="36"/>
      <c r="DG383" s="36"/>
      <c r="DH383" s="36">
        <v>-4.07442618497895E-2</v>
      </c>
      <c r="DI383" s="36"/>
      <c r="DJ383" s="36"/>
      <c r="DK383" s="36"/>
      <c r="DL383" s="36"/>
      <c r="DM383" s="36"/>
      <c r="DN383" s="36"/>
      <c r="DO383" s="36"/>
      <c r="DP383" s="36"/>
      <c r="DQ383" s="36"/>
      <c r="DR383" s="36"/>
      <c r="DS383" s="36"/>
      <c r="DT383" s="36"/>
      <c r="DU383" s="36"/>
      <c r="DV383" s="36"/>
      <c r="DW383" s="36"/>
      <c r="DX383" s="36"/>
      <c r="DY383" s="36"/>
      <c r="DZ383" s="36"/>
      <c r="EA383" s="36"/>
      <c r="EB383" s="36"/>
      <c r="EC383" s="36"/>
      <c r="ED383" s="36"/>
      <c r="EE383" s="36"/>
      <c r="EF383" s="36"/>
      <c r="EG383" s="36"/>
      <c r="EH383" s="36"/>
      <c r="EI383" s="36"/>
      <c r="EJ383" s="36"/>
      <c r="EK383" s="36">
        <v>1</v>
      </c>
      <c r="EL383" s="36"/>
      <c r="EM383" s="36"/>
      <c r="EN383" s="36"/>
      <c r="EO383" s="36"/>
      <c r="EP383" s="36"/>
      <c r="EQ383" s="36"/>
      <c r="ER383" s="36">
        <v>-0.53750178750178701</v>
      </c>
      <c r="ES383" s="36"/>
      <c r="ET383" s="36"/>
      <c r="EU383" s="36"/>
      <c r="EV383" s="36"/>
      <c r="EW383" s="36"/>
      <c r="EX383" s="36"/>
      <c r="EY383" s="36"/>
      <c r="EZ383" s="36"/>
      <c r="FA383" s="36">
        <v>-1</v>
      </c>
      <c r="FB383" s="36"/>
      <c r="FC383" s="36"/>
      <c r="FD383" s="36"/>
      <c r="FE383" s="36"/>
      <c r="FF383" s="36"/>
      <c r="FG383" s="36"/>
      <c r="FH383" s="36"/>
      <c r="FI383" s="36"/>
      <c r="FJ383" s="36"/>
      <c r="FK383" s="36"/>
      <c r="FL383" s="36"/>
      <c r="FM383" s="36"/>
      <c r="FN383" s="36"/>
      <c r="FO383" s="36"/>
      <c r="FP383" s="36"/>
      <c r="FQ383" s="36"/>
      <c r="FR383" s="36"/>
      <c r="FS383" s="36"/>
      <c r="FT383" s="36"/>
      <c r="FU383" s="36"/>
      <c r="FV383" s="36"/>
      <c r="FW383" s="36"/>
      <c r="FX383" s="36"/>
      <c r="FY383" s="36"/>
      <c r="FZ383" s="36"/>
      <c r="GA383" s="36"/>
      <c r="GB383" s="319">
        <f>GC383</f>
        <v>8.9499999999999996E-2</v>
      </c>
      <c r="GC383" s="179">
        <f t="shared" si="70"/>
        <v>8.9499999999999996E-2</v>
      </c>
      <c r="GD383" s="179">
        <f t="shared" si="71"/>
        <v>-0.14610000000000001</v>
      </c>
      <c r="GE383" s="179">
        <f t="shared" si="72"/>
        <v>0</v>
      </c>
      <c r="GF383" s="179">
        <f t="shared" si="73"/>
        <v>0</v>
      </c>
      <c r="GG383" s="179">
        <f t="shared" si="69"/>
        <v>0</v>
      </c>
    </row>
    <row r="384" spans="1:342" x14ac:dyDescent="0.35">
      <c r="A384" s="6" t="s">
        <v>1589</v>
      </c>
      <c r="B384" s="6" t="str">
        <f>IF(Technologies!B384&lt;&gt;0,Technologies!B384,"")</f>
        <v>Industrie</v>
      </c>
      <c r="C384" s="6" t="str">
        <f>VLOOKUP($A384,Technologies!$A$7:$H$576,3,FALSE)</f>
        <v>Conversion</v>
      </c>
      <c r="D384" s="6" t="str">
        <f>VLOOKUP($A384,Technologies!$A$7:$H$576,4,FALSE)</f>
        <v>Final Gas</v>
      </c>
      <c r="E384" s="6" t="str">
        <f>VLOOKUP($A384,Technologies!$A$7:$H$576,6,FALSE)</f>
        <v>Natural Gas LD</v>
      </c>
      <c r="F384" s="48" t="str">
        <f>VLOOKUP($A384,Technologies!$A$7:$H$576,7,FALSE)</f>
        <v>Gas from imported biomethane</v>
      </c>
      <c r="G384" s="22"/>
      <c r="H384" s="22"/>
      <c r="I384" s="103"/>
      <c r="J384" s="103"/>
      <c r="K384" s="103"/>
      <c r="L384" s="103"/>
      <c r="M384" s="22"/>
      <c r="N384" s="22" t="s">
        <v>320</v>
      </c>
      <c r="O384" s="22"/>
      <c r="P384" s="80"/>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c r="ES384" s="36"/>
      <c r="ET384" s="36"/>
      <c r="EU384" s="36"/>
      <c r="EV384" s="36"/>
      <c r="EW384" s="36"/>
      <c r="EX384" s="36"/>
      <c r="EY384" s="36"/>
      <c r="EZ384" s="36"/>
      <c r="FA384" s="36"/>
      <c r="FB384" s="36"/>
      <c r="FC384" s="36"/>
      <c r="FD384" s="36"/>
      <c r="FE384" s="36"/>
      <c r="FF384" s="36"/>
      <c r="FG384" s="36"/>
      <c r="FH384" s="36"/>
      <c r="FI384" s="36">
        <v>-1</v>
      </c>
      <c r="FJ384" s="36"/>
      <c r="FK384" s="36"/>
      <c r="FL384" s="36"/>
      <c r="FM384" s="36"/>
      <c r="FN384" s="36"/>
      <c r="FO384" s="36"/>
      <c r="FP384" s="36"/>
      <c r="FQ384" s="36"/>
      <c r="FR384" s="36"/>
      <c r="FS384" s="36"/>
      <c r="FT384" s="36"/>
      <c r="FU384" s="36"/>
      <c r="FV384" s="36"/>
      <c r="FW384" s="36"/>
      <c r="FX384" s="36"/>
      <c r="FY384" s="36"/>
      <c r="FZ384" s="36"/>
      <c r="GA384" s="36"/>
      <c r="GB384" s="319"/>
      <c r="GC384" s="179">
        <f t="shared" si="70"/>
        <v>0</v>
      </c>
      <c r="GD384" s="179">
        <f t="shared" si="71"/>
        <v>0</v>
      </c>
      <c r="GE384" s="179">
        <f t="shared" si="72"/>
        <v>-5.6599999999999998E-2</v>
      </c>
      <c r="GF384" s="179">
        <f t="shared" si="73"/>
        <v>0</v>
      </c>
      <c r="GG384" s="179">
        <f t="shared" si="69"/>
        <v>0</v>
      </c>
    </row>
    <row r="385" spans="1:189" x14ac:dyDescent="0.35">
      <c r="A385" s="5" t="s">
        <v>1591</v>
      </c>
      <c r="B385" s="5" t="str">
        <f>IF(Technologies!B385&lt;&gt;0,Technologies!B385,"")</f>
        <v>Elektriciteit</v>
      </c>
      <c r="C385" s="5" t="str">
        <f>VLOOKUP($A385,Technologies!$A$7:$H$576,3,FALSE)</f>
        <v>Conversion</v>
      </c>
      <c r="D385" s="5" t="str">
        <f>VLOOKUP($A385,Technologies!$A$7:$H$576,4,FALSE)</f>
        <v>Final Gas</v>
      </c>
      <c r="E385" s="5" t="str">
        <f>VLOOKUP($A385,Technologies!$A$7:$H$576,6,FALSE)</f>
        <v>Natural Gas LD</v>
      </c>
      <c r="F385" s="5" t="str">
        <f>VLOOKUP($A385,Technologies!$A$7:$H$576,7,FALSE)</f>
        <v>HD to LD compressor - Final Gas</v>
      </c>
      <c r="G385" s="23"/>
      <c r="H385" s="23"/>
      <c r="I385" s="104" cm="1">
        <f t="array" ref="I385">-SUMPRODUCT((Feedstocks!$C$4:$C$141=A385)*Feedstocks!$E$4:$E$141,Feedstocks!$F$4:$F$141,Feedstocks!$H$4:$H$141,Feedstocks!$I$4:$I$141)</f>
        <v>0</v>
      </c>
      <c r="J385" s="104" cm="1">
        <f t="array" ref="J385">-SUMPRODUCT((Feedstocks!$C$4:$C$141=A385)*Feedstocks!$E$4:$E$141,Feedstocks!$H$4:$H$141,Feedstocks!$I$4:$I$141)</f>
        <v>0</v>
      </c>
      <c r="K385" s="104"/>
      <c r="L385" s="104"/>
      <c r="M385" s="23"/>
      <c r="N385" s="23" t="str">
        <f>VLOOKUP(E385,Activities!$A$9:$M$227,13,FALSE)</f>
        <v>NL</v>
      </c>
      <c r="O385" s="23"/>
      <c r="P385" s="79" t="s">
        <v>415</v>
      </c>
      <c r="Q385" s="35"/>
      <c r="R385" s="35"/>
      <c r="S385" s="35"/>
      <c r="T385" s="35"/>
      <c r="U385" s="35"/>
      <c r="V385" s="35"/>
      <c r="W385" s="35"/>
      <c r="X385" s="35"/>
      <c r="Y385" s="35"/>
      <c r="Z385" s="35"/>
      <c r="AA385" s="35"/>
      <c r="AB385" s="35"/>
      <c r="AC385" s="35"/>
      <c r="AD385" s="35"/>
      <c r="AE385" s="35"/>
      <c r="AF385" s="36"/>
      <c r="AG385" s="36"/>
      <c r="AH385" s="36"/>
      <c r="AI385" s="36"/>
      <c r="AJ385" s="36"/>
      <c r="AK385" s="36"/>
      <c r="AL385" s="36"/>
      <c r="AM385" s="36"/>
      <c r="AN385" s="36"/>
      <c r="AO385" s="36"/>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v>-1</v>
      </c>
      <c r="EK385" s="35">
        <v>1</v>
      </c>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18"/>
      <c r="GC385" s="178">
        <f t="shared" si="70"/>
        <v>0</v>
      </c>
      <c r="GD385" s="178">
        <f t="shared" si="71"/>
        <v>0</v>
      </c>
      <c r="GE385" s="178">
        <f t="shared" si="72"/>
        <v>0</v>
      </c>
      <c r="GF385" s="178">
        <f t="shared" si="73"/>
        <v>0</v>
      </c>
      <c r="GG385" s="178">
        <f t="shared" si="69"/>
        <v>0</v>
      </c>
    </row>
    <row r="386" spans="1:189" x14ac:dyDescent="0.35">
      <c r="A386" s="6" t="s">
        <v>1593</v>
      </c>
      <c r="B386" s="6" t="str">
        <f>IF(Technologies!B386&lt;&gt;0,Technologies!B386,"")</f>
        <v>Industrie</v>
      </c>
      <c r="C386" s="6" t="str">
        <f>VLOOKUP($A386,Technologies!$A$7:$H$576,3,FALSE)</f>
        <v>Primary</v>
      </c>
      <c r="D386" s="6" t="str">
        <f>VLOOKUP($A386,Technologies!$A$7:$H$576,4,FALSE)</f>
        <v>Fossil</v>
      </c>
      <c r="E386" s="6" t="str">
        <f>VLOOKUP($A386,Technologies!$A$7:$H$576,6,FALSE)</f>
        <v>Natural Gas LNG</v>
      </c>
      <c r="F386" s="48" t="str">
        <f>VLOOKUP($A386,Technologies!$A$7:$H$576,7,FALSE)</f>
        <v>Imported LNG - Final Gas</v>
      </c>
      <c r="G386" s="22"/>
      <c r="H386" s="22"/>
      <c r="I386" s="103" cm="1">
        <f t="array" ref="I386">-SUMPRODUCT((Feedstocks!$C$4:$C$141=A386)*Feedstocks!$E$4:$E$141,Feedstocks!$F$4:$F$141,Feedstocks!$H$4:$H$141,Feedstocks!$I$4:$I$141)</f>
        <v>0</v>
      </c>
      <c r="J386" s="103" cm="1">
        <f t="array" ref="J386">-SUMPRODUCT((Feedstocks!$C$4:$C$141=A386)*Feedstocks!$E$4:$E$141,Feedstocks!$H$4:$H$141,Feedstocks!$I$4:$I$141)</f>
        <v>0</v>
      </c>
      <c r="K386" s="103"/>
      <c r="L386" s="103"/>
      <c r="M386" s="22"/>
      <c r="N386" s="22" t="str">
        <f>VLOOKUP(E386,Activities!$A$9:$M$227,13,FALSE)</f>
        <v>NL</v>
      </c>
      <c r="O386" s="22"/>
      <c r="P386" s="80" t="s">
        <v>415</v>
      </c>
      <c r="Q386" s="36"/>
      <c r="R386" s="36"/>
      <c r="S386" s="36"/>
      <c r="T386" s="36"/>
      <c r="U386" s="36"/>
      <c r="V386" s="36"/>
      <c r="W386" s="36"/>
      <c r="X386" s="36"/>
      <c r="Y386" s="36"/>
      <c r="Z386" s="36"/>
      <c r="AA386" s="36"/>
      <c r="AB386" s="36"/>
      <c r="AC386" s="36"/>
      <c r="AD386" s="36"/>
      <c r="AE386" s="36"/>
      <c r="AF386" s="35"/>
      <c r="AG386" s="35"/>
      <c r="AH386" s="35"/>
      <c r="AI386" s="35"/>
      <c r="AJ386" s="35"/>
      <c r="AK386" s="35"/>
      <c r="AL386" s="35"/>
      <c r="AM386" s="35"/>
      <c r="AN386" s="35"/>
      <c r="AO386" s="35"/>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6"/>
      <c r="BV386" s="36"/>
      <c r="BW386" s="36"/>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c r="CW386" s="36"/>
      <c r="CX386" s="36"/>
      <c r="CY386" s="36"/>
      <c r="CZ386" s="36"/>
      <c r="DA386" s="36"/>
      <c r="DB386" s="36"/>
      <c r="DC386" s="36"/>
      <c r="DD386" s="36"/>
      <c r="DE386" s="36"/>
      <c r="DF386" s="36"/>
      <c r="DG386" s="36"/>
      <c r="DH386" s="36"/>
      <c r="DI386" s="36"/>
      <c r="DJ386" s="36"/>
      <c r="DK386" s="36"/>
      <c r="DL386" s="36"/>
      <c r="DM386" s="36"/>
      <c r="DN386" s="36"/>
      <c r="DO386" s="36"/>
      <c r="DP386" s="36"/>
      <c r="DQ386" s="36"/>
      <c r="DR386" s="36"/>
      <c r="DS386" s="36"/>
      <c r="DT386" s="36"/>
      <c r="DU386" s="36"/>
      <c r="DV386" s="36"/>
      <c r="DW386" s="36"/>
      <c r="DX386" s="36"/>
      <c r="DY386" s="36"/>
      <c r="DZ386" s="36"/>
      <c r="EA386" s="36"/>
      <c r="EB386" s="36"/>
      <c r="EC386" s="36"/>
      <c r="ED386" s="36"/>
      <c r="EE386" s="36"/>
      <c r="EF386" s="36"/>
      <c r="EG386" s="36"/>
      <c r="EH386" s="36"/>
      <c r="EI386" s="36"/>
      <c r="EJ386" s="36"/>
      <c r="EK386" s="36"/>
      <c r="EL386" s="36">
        <v>1</v>
      </c>
      <c r="EM386" s="36"/>
      <c r="EN386" s="36"/>
      <c r="EO386" s="36"/>
      <c r="EP386" s="36"/>
      <c r="EQ386" s="36"/>
      <c r="ER386" s="36"/>
      <c r="ES386" s="36"/>
      <c r="ET386" s="36"/>
      <c r="EU386" s="36"/>
      <c r="EV386" s="36"/>
      <c r="EW386" s="36"/>
      <c r="EX386" s="36"/>
      <c r="EY386" s="36"/>
      <c r="EZ386" s="36"/>
      <c r="FA386" s="36"/>
      <c r="FB386" s="36"/>
      <c r="FC386" s="36"/>
      <c r="FD386" s="36"/>
      <c r="FE386" s="36"/>
      <c r="FF386" s="36"/>
      <c r="FG386" s="36"/>
      <c r="FH386" s="36"/>
      <c r="FI386" s="36"/>
      <c r="FJ386" s="36"/>
      <c r="FK386" s="36"/>
      <c r="FL386" s="36"/>
      <c r="FM386" s="36"/>
      <c r="FN386" s="36"/>
      <c r="FO386" s="36"/>
      <c r="FP386" s="36"/>
      <c r="FQ386" s="36"/>
      <c r="FR386" s="36"/>
      <c r="FS386" s="36"/>
      <c r="FT386" s="36"/>
      <c r="FU386" s="36"/>
      <c r="FV386" s="36"/>
      <c r="FW386" s="36"/>
      <c r="FX386" s="36"/>
      <c r="FY386" s="36"/>
      <c r="FZ386" s="36"/>
      <c r="GA386" s="36"/>
      <c r="GB386" s="319"/>
      <c r="GC386" s="179">
        <f t="shared" si="70"/>
        <v>0</v>
      </c>
      <c r="GD386" s="179">
        <f t="shared" si="71"/>
        <v>0</v>
      </c>
      <c r="GE386" s="179">
        <f t="shared" si="72"/>
        <v>0</v>
      </c>
      <c r="GF386" s="179">
        <f t="shared" si="73"/>
        <v>0</v>
      </c>
      <c r="GG386" s="179">
        <f t="shared" si="69"/>
        <v>0</v>
      </c>
    </row>
    <row r="387" spans="1:189" x14ac:dyDescent="0.35">
      <c r="A387" s="5" t="s">
        <v>1595</v>
      </c>
      <c r="B387" s="5" t="str">
        <f>IF(Technologies!B387&lt;&gt;0,Technologies!B387,"")</f>
        <v>Industrie</v>
      </c>
      <c r="C387" s="5" t="str">
        <f>VLOOKUP($A387,Technologies!$A$7:$H$576,3,FALSE)</f>
        <v>Conversion</v>
      </c>
      <c r="D387" s="5" t="str">
        <f>VLOOKUP($A387,Technologies!$A$7:$H$576,4,FALSE)</f>
        <v>Hydrogen</v>
      </c>
      <c r="E387" s="5" t="str">
        <f>VLOOKUP($A387,Technologies!$A$7:$H$576,6,FALSE)</f>
        <v>Hydrogen HD</v>
      </c>
      <c r="F387" s="5" t="str">
        <f>VLOOKUP($A387,Technologies!$A$7:$H$576,7,FALSE)</f>
        <v>Gas Reforming - Hydrogen Production</v>
      </c>
      <c r="G387" s="23"/>
      <c r="H387" s="23"/>
      <c r="I387" s="104" cm="1">
        <f t="array" ref="I387">-SUMPRODUCT((Feedstocks!$C$4:$C$141=A387)*Feedstocks!$E$4:$E$141,Feedstocks!$F$4:$F$141,Feedstocks!$H$4:$H$141,Feedstocks!$I$4:$I$141)</f>
        <v>0</v>
      </c>
      <c r="J387" s="104" cm="1">
        <f t="array" ref="J387">-SUMPRODUCT((Feedstocks!$C$4:$C$141=A387)*Feedstocks!$E$4:$E$141,Feedstocks!$H$4:$H$141,Feedstocks!$I$4:$I$141)</f>
        <v>0</v>
      </c>
      <c r="K387" s="104"/>
      <c r="L387" s="104"/>
      <c r="M387" s="23">
        <v>1</v>
      </c>
      <c r="N387" s="23" t="str">
        <f>VLOOKUP(E387,Activities!$A$9:$M$227,13,FALSE)</f>
        <v>NL</v>
      </c>
      <c r="O387" s="23"/>
      <c r="P387" s="79" t="s">
        <v>415</v>
      </c>
      <c r="Q387" s="35"/>
      <c r="R387" s="35"/>
      <c r="S387" s="35"/>
      <c r="T387" s="35"/>
      <c r="U387" s="35"/>
      <c r="V387" s="35"/>
      <c r="W387" s="35"/>
      <c r="X387" s="35"/>
      <c r="Y387" s="35"/>
      <c r="Z387" s="35"/>
      <c r="AA387" s="35"/>
      <c r="AB387" s="35"/>
      <c r="AC387" s="35"/>
      <c r="AD387" s="35"/>
      <c r="AE387" s="35"/>
      <c r="AF387" s="36"/>
      <c r="AG387" s="36"/>
      <c r="AH387" s="36"/>
      <c r="AI387" s="36"/>
      <c r="AJ387" s="36"/>
      <c r="AK387" s="36"/>
      <c r="AL387" s="36"/>
      <c r="AM387" s="36"/>
      <c r="AN387" s="36"/>
      <c r="AO387" s="36"/>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v>-1.35</v>
      </c>
      <c r="EK387" s="35"/>
      <c r="EL387" s="35"/>
      <c r="EM387" s="35">
        <v>1</v>
      </c>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18"/>
      <c r="GC387" s="178">
        <f t="shared" si="70"/>
        <v>0</v>
      </c>
      <c r="GD387" s="178">
        <f t="shared" si="71"/>
        <v>7.6399999999999996E-2</v>
      </c>
      <c r="GE387" s="178">
        <f t="shared" si="72"/>
        <v>0</v>
      </c>
      <c r="GF387" s="178">
        <f t="shared" si="73"/>
        <v>0</v>
      </c>
      <c r="GG387" s="178">
        <f t="shared" si="69"/>
        <v>0</v>
      </c>
    </row>
    <row r="388" spans="1:189" x14ac:dyDescent="0.35">
      <c r="A388" s="6" t="s">
        <v>1598</v>
      </c>
      <c r="B388" s="6" t="str">
        <f>IF(Technologies!B388&lt;&gt;0,Technologies!B388,"")</f>
        <v>Industrie</v>
      </c>
      <c r="C388" s="6" t="str">
        <f>VLOOKUP($A388,Technologies!$A$7:$H$576,3,FALSE)</f>
        <v>Conversion</v>
      </c>
      <c r="D388" s="6" t="str">
        <f>VLOOKUP($A388,Technologies!$A$7:$H$576,4,FALSE)</f>
        <v>Hydrogen</v>
      </c>
      <c r="E388" s="6" t="str">
        <f>VLOOKUP($A388,Technologies!$A$7:$H$576,6,FALSE)</f>
        <v>Hydrogen HD</v>
      </c>
      <c r="F388" s="48" t="str">
        <f>VLOOKUP($A388,Technologies!$A$7:$H$576,7,FALSE)</f>
        <v>Gas Reforming wCCS - Hydrogen Production</v>
      </c>
      <c r="G388" s="22">
        <v>0.6</v>
      </c>
      <c r="H388" s="22"/>
      <c r="I388" s="103" cm="1">
        <f t="array" ref="I388">-SUMPRODUCT((Feedstocks!$C$4:$C$141=A388)*Feedstocks!$E$4:$E$141,Feedstocks!$F$4:$F$141,Feedstocks!$H$4:$H$141,Feedstocks!$I$4:$I$141)</f>
        <v>0</v>
      </c>
      <c r="J388" s="103" cm="1">
        <f t="array" ref="J388">-SUMPRODUCT((Feedstocks!$C$4:$C$141=A388)*Feedstocks!$E$4:$E$141,Feedstocks!$H$4:$H$141,Feedstocks!$I$4:$I$141)</f>
        <v>0</v>
      </c>
      <c r="K388" s="103"/>
      <c r="L388" s="103"/>
      <c r="M388" s="22">
        <v>1</v>
      </c>
      <c r="N388" s="22" t="str">
        <f>VLOOKUP(E388,Activities!$A$9:$M$227,13,FALSE)</f>
        <v>NL</v>
      </c>
      <c r="O388" s="22"/>
      <c r="P388" s="80" t="s">
        <v>415</v>
      </c>
      <c r="Q388" s="36"/>
      <c r="R388" s="36"/>
      <c r="S388" s="36"/>
      <c r="T388" s="36"/>
      <c r="U388" s="36"/>
      <c r="V388" s="36"/>
      <c r="W388" s="36"/>
      <c r="X388" s="36"/>
      <c r="Y388" s="36"/>
      <c r="Z388" s="36"/>
      <c r="AA388" s="36"/>
      <c r="AB388" s="36"/>
      <c r="AC388" s="36"/>
      <c r="AD388" s="36"/>
      <c r="AE388" s="36"/>
      <c r="AF388" s="35"/>
      <c r="AG388" s="35"/>
      <c r="AH388" s="35"/>
      <c r="AI388" s="35"/>
      <c r="AJ388" s="35"/>
      <c r="AK388" s="35"/>
      <c r="AL388" s="35"/>
      <c r="AM388" s="35"/>
      <c r="AN388" s="35"/>
      <c r="AO388" s="35"/>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36"/>
      <c r="BV388" s="36"/>
      <c r="BW388" s="36"/>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c r="CW388" s="36"/>
      <c r="CX388" s="36"/>
      <c r="CY388" s="36"/>
      <c r="CZ388" s="36"/>
      <c r="DA388" s="36"/>
      <c r="DB388" s="36"/>
      <c r="DC388" s="36"/>
      <c r="DD388" s="36"/>
      <c r="DE388" s="36"/>
      <c r="DF388" s="36"/>
      <c r="DG388" s="36"/>
      <c r="DH388" s="36"/>
      <c r="DI388" s="36"/>
      <c r="DJ388" s="36"/>
      <c r="DK388" s="36"/>
      <c r="DL388" s="36"/>
      <c r="DM388" s="36"/>
      <c r="DN388" s="36"/>
      <c r="DO388" s="36"/>
      <c r="DP388" s="36"/>
      <c r="DQ388" s="36"/>
      <c r="DR388" s="36"/>
      <c r="DS388" s="36"/>
      <c r="DT388" s="36"/>
      <c r="DU388" s="36"/>
      <c r="DV388" s="36"/>
      <c r="DW388" s="36"/>
      <c r="DX388" s="36"/>
      <c r="DY388" s="36"/>
      <c r="DZ388" s="36"/>
      <c r="EA388" s="36"/>
      <c r="EB388" s="36"/>
      <c r="EC388" s="36"/>
      <c r="ED388" s="36"/>
      <c r="EE388" s="36"/>
      <c r="EF388" s="36"/>
      <c r="EG388" s="36"/>
      <c r="EH388" s="36"/>
      <c r="EI388" s="36"/>
      <c r="EJ388" s="36">
        <v>-2.2290000000000001</v>
      </c>
      <c r="EK388" s="36"/>
      <c r="EL388" s="36"/>
      <c r="EM388" s="36">
        <v>1</v>
      </c>
      <c r="EN388" s="36"/>
      <c r="EO388" s="36"/>
      <c r="EP388" s="36"/>
      <c r="EQ388" s="36"/>
      <c r="ER388" s="36"/>
      <c r="ES388" s="36"/>
      <c r="ET388" s="36"/>
      <c r="EU388" s="36"/>
      <c r="EV388" s="36"/>
      <c r="EW388" s="36"/>
      <c r="EX388" s="36"/>
      <c r="EY388" s="36"/>
      <c r="EZ388" s="36"/>
      <c r="FA388" s="36"/>
      <c r="FB388" s="36"/>
      <c r="FC388" s="36"/>
      <c r="FD388" s="36"/>
      <c r="FE388" s="36"/>
      <c r="FF388" s="36"/>
      <c r="FG388" s="36"/>
      <c r="FH388" s="36"/>
      <c r="FI388" s="36"/>
      <c r="FJ388" s="36"/>
      <c r="FK388" s="36"/>
      <c r="FL388" s="36"/>
      <c r="FM388" s="36"/>
      <c r="FN388" s="36"/>
      <c r="FO388" s="36"/>
      <c r="FP388" s="36"/>
      <c r="FQ388" s="36"/>
      <c r="FR388" s="36"/>
      <c r="FS388" s="36"/>
      <c r="FT388" s="36"/>
      <c r="FU388" s="36"/>
      <c r="FV388" s="36"/>
      <c r="FW388" s="36"/>
      <c r="FX388" s="36"/>
      <c r="FY388" s="36"/>
      <c r="FZ388" s="36"/>
      <c r="GA388" s="36"/>
      <c r="GB388" s="319"/>
      <c r="GC388" s="179">
        <f t="shared" si="70"/>
        <v>7.5700000000000003E-2</v>
      </c>
      <c r="GD388" s="179">
        <f t="shared" si="71"/>
        <v>5.0500000000000003E-2</v>
      </c>
      <c r="GE388" s="179">
        <f t="shared" si="72"/>
        <v>0</v>
      </c>
      <c r="GF388" s="179">
        <f t="shared" si="73"/>
        <v>0</v>
      </c>
      <c r="GG388" s="179">
        <f t="shared" si="69"/>
        <v>0</v>
      </c>
    </row>
    <row r="389" spans="1:189" x14ac:dyDescent="0.35">
      <c r="A389" s="5" t="s">
        <v>1600</v>
      </c>
      <c r="B389" s="5" t="str">
        <f>IF(Technologies!B389&lt;&gt;0,Technologies!B389,"")</f>
        <v>Industrie</v>
      </c>
      <c r="C389" s="5" t="str">
        <f>VLOOKUP($A389,Technologies!$A$7:$H$576,3,FALSE)</f>
        <v>Conversion</v>
      </c>
      <c r="D389" s="5" t="str">
        <f>VLOOKUP($A389,Technologies!$A$7:$H$576,4,FALSE)</f>
        <v>Hydrogen</v>
      </c>
      <c r="E389" s="5" t="str">
        <f>VLOOKUP($A389,Technologies!$A$7:$H$576,6,FALSE)</f>
        <v>Hydrogen HD</v>
      </c>
      <c r="F389" s="5" t="str">
        <f>VLOOKUP($A389,Technologies!$A$7:$H$576,7,FALSE)</f>
        <v>Nuclear Gen IV - Hydrogen Production</v>
      </c>
      <c r="G389" s="23"/>
      <c r="H389" s="23"/>
      <c r="I389" s="104" cm="1">
        <f t="array" ref="I389">-SUMPRODUCT((Feedstocks!$C$4:$C$141=A389)*Feedstocks!$E$4:$E$141,Feedstocks!$F$4:$F$141,Feedstocks!$H$4:$H$141,Feedstocks!$I$4:$I$141)</f>
        <v>0</v>
      </c>
      <c r="J389" s="104" cm="1">
        <f t="array" ref="J389">-SUMPRODUCT((Feedstocks!$C$4:$C$141=A389)*Feedstocks!$E$4:$E$141,Feedstocks!$H$4:$H$141,Feedstocks!$I$4:$I$141)</f>
        <v>0</v>
      </c>
      <c r="K389" s="104"/>
      <c r="L389" s="104"/>
      <c r="M389" s="23">
        <v>1</v>
      </c>
      <c r="N389" s="23" t="str">
        <f>VLOOKUP(E389,Activities!$A$9:$M$227,13,FALSE)</f>
        <v>NL</v>
      </c>
      <c r="O389" s="23"/>
      <c r="P389" s="79" t="s">
        <v>1603</v>
      </c>
      <c r="Q389" s="35"/>
      <c r="R389" s="35"/>
      <c r="S389" s="35"/>
      <c r="T389" s="35"/>
      <c r="U389" s="35"/>
      <c r="V389" s="35"/>
      <c r="W389" s="35"/>
      <c r="X389" s="35"/>
      <c r="Y389" s="35"/>
      <c r="Z389" s="35"/>
      <c r="AA389" s="35"/>
      <c r="AB389" s="35"/>
      <c r="AC389" s="35"/>
      <c r="AD389" s="35"/>
      <c r="AE389" s="35"/>
      <c r="AF389" s="36"/>
      <c r="AG389" s="36"/>
      <c r="AH389" s="36"/>
      <c r="AI389" s="36"/>
      <c r="AJ389" s="36"/>
      <c r="AK389" s="36"/>
      <c r="AL389" s="36"/>
      <c r="AM389" s="36"/>
      <c r="AN389" s="36"/>
      <c r="AO389" s="36"/>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v>1</v>
      </c>
      <c r="EN389" s="35"/>
      <c r="EO389" s="35"/>
      <c r="EP389" s="35"/>
      <c r="EQ389" s="35"/>
      <c r="ER389" s="35"/>
      <c r="ES389" s="35"/>
      <c r="ET389" s="35"/>
      <c r="EU389" s="35"/>
      <c r="EV389" s="35">
        <v>-2</v>
      </c>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18"/>
      <c r="GC389" s="178">
        <f t="shared" si="70"/>
        <v>0</v>
      </c>
      <c r="GD389" s="178">
        <f t="shared" si="71"/>
        <v>0</v>
      </c>
      <c r="GE389" s="178">
        <f t="shared" si="72"/>
        <v>0</v>
      </c>
      <c r="GF389" s="178">
        <f t="shared" si="73"/>
        <v>0</v>
      </c>
      <c r="GG389" s="178">
        <f t="shared" si="69"/>
        <v>0</v>
      </c>
    </row>
    <row r="390" spans="1:189" x14ac:dyDescent="0.35">
      <c r="A390" s="6" t="s">
        <v>1604</v>
      </c>
      <c r="B390" s="6" t="str">
        <f>IF(Technologies!B390&lt;&gt;0,Technologies!B390,"")</f>
        <v>Industrie</v>
      </c>
      <c r="C390" s="6" t="str">
        <f>VLOOKUP($A390,Technologies!$A$7:$H$576,3,FALSE)</f>
        <v>Conversion</v>
      </c>
      <c r="D390" s="6" t="str">
        <f>VLOOKUP($A390,Technologies!$A$7:$H$576,4,FALSE)</f>
        <v>Hydrogen</v>
      </c>
      <c r="E390" s="6" t="str">
        <f>VLOOKUP($A390,Technologies!$A$7:$H$576,6,FALSE)</f>
        <v>Hydrogen HD</v>
      </c>
      <c r="F390" s="48" t="str">
        <f>VLOOKUP($A390,Technologies!$A$7:$H$576,7,FALSE)</f>
        <v>Alkaline Electrolyzer - Hydrogen Production</v>
      </c>
      <c r="G390" s="22"/>
      <c r="H390" s="22"/>
      <c r="I390" s="103" cm="1">
        <f t="array" ref="I390">-SUMPRODUCT((Feedstocks!$C$4:$C$141=A390)*Feedstocks!$E$4:$E$141,Feedstocks!$F$4:$F$141,Feedstocks!$H$4:$H$141,Feedstocks!$I$4:$I$141)</f>
        <v>0</v>
      </c>
      <c r="J390" s="103" cm="1">
        <f t="array" ref="J390">-SUMPRODUCT((Feedstocks!$C$4:$C$141=A390)*Feedstocks!$E$4:$E$141,Feedstocks!$H$4:$H$141,Feedstocks!$I$4:$I$141)</f>
        <v>0</v>
      </c>
      <c r="K390" s="103"/>
      <c r="L390" s="103"/>
      <c r="M390" s="22">
        <v>1</v>
      </c>
      <c r="N390" s="22" t="str">
        <f>VLOOKUP(E390,Activities!$A$9:$M$227,13,FALSE)</f>
        <v>NL</v>
      </c>
      <c r="O390" s="22"/>
      <c r="P390" s="80" t="s">
        <v>1830</v>
      </c>
      <c r="Q390" s="36"/>
      <c r="R390" s="36"/>
      <c r="S390" s="36"/>
      <c r="T390" s="36"/>
      <c r="U390" s="36"/>
      <c r="V390" s="36"/>
      <c r="W390" s="36"/>
      <c r="X390" s="36"/>
      <c r="Y390" s="36"/>
      <c r="Z390" s="36"/>
      <c r="AA390" s="36"/>
      <c r="AB390" s="36"/>
      <c r="AC390" s="36"/>
      <c r="AD390" s="36"/>
      <c r="AE390" s="36"/>
      <c r="AF390" s="35"/>
      <c r="AG390" s="35"/>
      <c r="AH390" s="35"/>
      <c r="AI390" s="35"/>
      <c r="AJ390" s="35"/>
      <c r="AK390" s="35"/>
      <c r="AL390" s="35"/>
      <c r="AM390" s="35"/>
      <c r="AN390" s="35"/>
      <c r="AO390" s="35"/>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6"/>
      <c r="BV390" s="36"/>
      <c r="BW390" s="36"/>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c r="CW390" s="36"/>
      <c r="CX390" s="36"/>
      <c r="CY390" s="36"/>
      <c r="CZ390" s="36"/>
      <c r="DA390" s="36"/>
      <c r="DB390" s="36"/>
      <c r="DC390" s="36"/>
      <c r="DD390" s="36"/>
      <c r="DE390" s="36"/>
      <c r="DF390" s="36"/>
      <c r="DG390" s="36"/>
      <c r="DH390" s="203">
        <f>-1/(19.1*120/3600)</f>
        <v>-1.5706806282722512</v>
      </c>
      <c r="DI390" s="36"/>
      <c r="DJ390" s="36"/>
      <c r="DK390" s="36"/>
      <c r="DL390" s="36"/>
      <c r="DM390" s="36"/>
      <c r="DN390" s="36"/>
      <c r="DO390" s="36"/>
      <c r="DP390" s="36"/>
      <c r="DQ390" s="36"/>
      <c r="DR390" s="36"/>
      <c r="DS390" s="36"/>
      <c r="DT390" s="36"/>
      <c r="DU390" s="36"/>
      <c r="DV390" s="36"/>
      <c r="DW390" s="36"/>
      <c r="DX390" s="36"/>
      <c r="DY390" s="36"/>
      <c r="DZ390" s="36"/>
      <c r="EA390" s="36"/>
      <c r="EB390" s="36"/>
      <c r="EC390" s="36"/>
      <c r="ED390" s="36"/>
      <c r="EE390" s="36"/>
      <c r="EF390" s="36"/>
      <c r="EG390" s="36"/>
      <c r="EH390" s="36"/>
      <c r="EI390" s="36"/>
      <c r="EJ390" s="36"/>
      <c r="EK390" s="36"/>
      <c r="EL390" s="36"/>
      <c r="EM390" s="36">
        <v>1</v>
      </c>
      <c r="EN390" s="36"/>
      <c r="EO390" s="36">
        <v>1</v>
      </c>
      <c r="EP390" s="36"/>
      <c r="EQ390" s="36"/>
      <c r="ER390" s="36"/>
      <c r="ES390" s="36"/>
      <c r="ET390" s="36"/>
      <c r="EU390" s="36"/>
      <c r="EV390" s="36"/>
      <c r="EW390" s="36"/>
      <c r="EX390" s="36"/>
      <c r="EY390" s="36"/>
      <c r="EZ390" s="36"/>
      <c r="FA390" s="36"/>
      <c r="FB390" s="36"/>
      <c r="FC390" s="36"/>
      <c r="FD390" s="36"/>
      <c r="FE390" s="36"/>
      <c r="FF390" s="36"/>
      <c r="FG390" s="36"/>
      <c r="FH390" s="36"/>
      <c r="FI390" s="36"/>
      <c r="FJ390" s="36"/>
      <c r="FK390" s="36"/>
      <c r="FL390" s="36"/>
      <c r="FM390" s="36"/>
      <c r="FN390" s="36"/>
      <c r="FO390" s="36"/>
      <c r="FP390" s="36"/>
      <c r="FQ390" s="36"/>
      <c r="FR390" s="36"/>
      <c r="FS390" s="36"/>
      <c r="FT390" s="36"/>
      <c r="FU390" s="36"/>
      <c r="FV390" s="36"/>
      <c r="FW390" s="36"/>
      <c r="FX390" s="36"/>
      <c r="FY390" s="36"/>
      <c r="FZ390" s="36"/>
      <c r="GA390" s="36"/>
      <c r="GB390" s="319"/>
      <c r="GC390" s="179">
        <f t="shared" si="70"/>
        <v>0</v>
      </c>
      <c r="GD390" s="179">
        <f t="shared" si="71"/>
        <v>0</v>
      </c>
      <c r="GE390" s="179">
        <f t="shared" si="72"/>
        <v>0</v>
      </c>
      <c r="GF390" s="179">
        <f t="shared" si="73"/>
        <v>0</v>
      </c>
      <c r="GG390" s="179">
        <f t="shared" si="69"/>
        <v>0</v>
      </c>
    </row>
    <row r="391" spans="1:189" x14ac:dyDescent="0.35">
      <c r="A391" s="5" t="s">
        <v>1608</v>
      </c>
      <c r="B391" s="5" t="str">
        <f>IF(Technologies!B391&lt;&gt;0,Technologies!B391,"")</f>
        <v>Industrie</v>
      </c>
      <c r="C391" s="5" t="str">
        <f>VLOOKUP($A391,Technologies!$A$7:$H$576,3,FALSE)</f>
        <v>Conversion</v>
      </c>
      <c r="D391" s="5" t="str">
        <f>VLOOKUP($A391,Technologies!$A$7:$H$576,4,FALSE)</f>
        <v>Hydrogen</v>
      </c>
      <c r="E391" s="5" t="str">
        <f>VLOOKUP($A391,Technologies!$A$7:$H$576,6,FALSE)</f>
        <v>Hydrogen HD</v>
      </c>
      <c r="F391" s="5" t="str">
        <f>VLOOKUP($A391,Technologies!$A$7:$H$576,7,FALSE)</f>
        <v>PEM Electrolyzer - Hydrogen Production</v>
      </c>
      <c r="G391" s="23"/>
      <c r="H391" s="23"/>
      <c r="I391" s="104" cm="1">
        <f t="array" ref="I391">-SUMPRODUCT((Feedstocks!$C$4:$C$141=A391)*Feedstocks!$E$4:$E$141,Feedstocks!$F$4:$F$141,Feedstocks!$H$4:$H$141,Feedstocks!$I$4:$I$141)</f>
        <v>0</v>
      </c>
      <c r="J391" s="104" cm="1">
        <f t="array" ref="J391">-SUMPRODUCT((Feedstocks!$C$4:$C$141=A391)*Feedstocks!$E$4:$E$141,Feedstocks!$H$4:$H$141,Feedstocks!$I$4:$I$141)</f>
        <v>0</v>
      </c>
      <c r="K391" s="104"/>
      <c r="L391" s="104"/>
      <c r="M391" s="23">
        <v>1</v>
      </c>
      <c r="N391" s="23" t="str">
        <f>VLOOKUP(E391,Activities!$A$9:$M$227,13,FALSE)</f>
        <v>NL</v>
      </c>
      <c r="O391" s="23"/>
      <c r="P391" s="79" t="s">
        <v>1610</v>
      </c>
      <c r="Q391" s="35"/>
      <c r="R391" s="35"/>
      <c r="S391" s="35"/>
      <c r="T391" s="35"/>
      <c r="U391" s="35"/>
      <c r="V391" s="35"/>
      <c r="W391" s="35"/>
      <c r="X391" s="35"/>
      <c r="Y391" s="35"/>
      <c r="Z391" s="35"/>
      <c r="AA391" s="35"/>
      <c r="AB391" s="35"/>
      <c r="AC391" s="35"/>
      <c r="AD391" s="35"/>
      <c r="AE391" s="35"/>
      <c r="AF391" s="36"/>
      <c r="AG391" s="36"/>
      <c r="AH391" s="36"/>
      <c r="AI391" s="36"/>
      <c r="AJ391" s="36"/>
      <c r="AK391" s="36"/>
      <c r="AL391" s="36"/>
      <c r="AM391" s="36"/>
      <c r="AN391" s="36"/>
      <c r="AO391" s="36"/>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203">
        <f>-1/(17.8*120/3600)</f>
        <v>-1.6853932584269662</v>
      </c>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v>1</v>
      </c>
      <c r="EN391" s="35"/>
      <c r="EO391" s="35">
        <v>1</v>
      </c>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18"/>
      <c r="GC391" s="178">
        <f t="shared" si="70"/>
        <v>0</v>
      </c>
      <c r="GD391" s="178">
        <f t="shared" si="71"/>
        <v>0</v>
      </c>
      <c r="GE391" s="178">
        <f t="shared" si="72"/>
        <v>0</v>
      </c>
      <c r="GF391" s="178">
        <f t="shared" si="73"/>
        <v>0</v>
      </c>
      <c r="GG391" s="178">
        <f t="shared" si="69"/>
        <v>0</v>
      </c>
    </row>
    <row r="392" spans="1:189" x14ac:dyDescent="0.35">
      <c r="A392" s="6" t="s">
        <v>1611</v>
      </c>
      <c r="B392" s="6" t="str">
        <f>IF(Technologies!B392&lt;&gt;0,Technologies!B392,"")</f>
        <v>Industrie</v>
      </c>
      <c r="C392" s="6" t="str">
        <f>VLOOKUP($A392,Technologies!$A$7:$H$576,3,FALSE)</f>
        <v>Conversion</v>
      </c>
      <c r="D392" s="6" t="str">
        <f>VLOOKUP($A392,Technologies!$A$7:$H$576,4,FALSE)</f>
        <v>Hydrogen</v>
      </c>
      <c r="E392" s="6" t="str">
        <f>VLOOKUP($A392,Technologies!$A$7:$H$576,6,FALSE)</f>
        <v>Hydrogen HD</v>
      </c>
      <c r="F392" s="48" t="str">
        <f>VLOOKUP($A392,Technologies!$A$7:$H$576,7,FALSE)</f>
        <v>Solid Oxide Electrolyzer - Hydrogen Production</v>
      </c>
      <c r="G392" s="22"/>
      <c r="H392" s="22"/>
      <c r="I392" s="103" cm="1">
        <f t="array" ref="I392">-SUMPRODUCT((Feedstocks!$C$4:$C$141=A392)*Feedstocks!$E$4:$E$141,Feedstocks!$F$4:$F$141,Feedstocks!$H$4:$H$141,Feedstocks!$I$4:$I$141)</f>
        <v>0</v>
      </c>
      <c r="J392" s="103" cm="1">
        <f t="array" ref="J392">-SUMPRODUCT((Feedstocks!$C$4:$C$141=A392)*Feedstocks!$E$4:$E$141,Feedstocks!$H$4:$H$141,Feedstocks!$I$4:$I$141)</f>
        <v>0</v>
      </c>
      <c r="K392" s="103"/>
      <c r="L392" s="103"/>
      <c r="M392" s="22">
        <v>1</v>
      </c>
      <c r="N392" s="22" t="str">
        <f>VLOOKUP(E392,Activities!$A$9:$M$227,13,FALSE)</f>
        <v>NL</v>
      </c>
      <c r="O392" s="22"/>
      <c r="P392" s="80" t="s">
        <v>1613</v>
      </c>
      <c r="Q392" s="36"/>
      <c r="R392" s="36"/>
      <c r="S392" s="36"/>
      <c r="T392" s="36"/>
      <c r="U392" s="36"/>
      <c r="V392" s="36"/>
      <c r="W392" s="36"/>
      <c r="X392" s="36"/>
      <c r="Y392" s="36"/>
      <c r="Z392" s="36"/>
      <c r="AA392" s="36"/>
      <c r="AB392" s="36"/>
      <c r="AC392" s="36"/>
      <c r="AD392" s="36"/>
      <c r="AE392" s="36"/>
      <c r="AF392" s="35"/>
      <c r="AG392" s="35"/>
      <c r="AH392" s="35"/>
      <c r="AI392" s="35"/>
      <c r="AJ392" s="35"/>
      <c r="AK392" s="35"/>
      <c r="AL392" s="35"/>
      <c r="AM392" s="35"/>
      <c r="AN392" s="35"/>
      <c r="AO392" s="35"/>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6"/>
      <c r="BV392" s="36"/>
      <c r="BW392" s="36"/>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c r="CW392" s="36"/>
      <c r="CX392" s="36"/>
      <c r="CY392" s="36"/>
      <c r="CZ392" s="36"/>
      <c r="DA392" s="36"/>
      <c r="DB392" s="36"/>
      <c r="DC392" s="36"/>
      <c r="DD392" s="36"/>
      <c r="DE392" s="36"/>
      <c r="DF392" s="36"/>
      <c r="DG392" s="36"/>
      <c r="DH392" s="203">
        <f>-1/0.823*0.795</f>
        <v>-0.965978128797084</v>
      </c>
      <c r="DI392" s="36"/>
      <c r="DJ392" s="36"/>
      <c r="DK392" s="36"/>
      <c r="DL392" s="36"/>
      <c r="DM392" s="36"/>
      <c r="DN392" s="36"/>
      <c r="DO392" s="203">
        <f>-1/0.823*0.205</f>
        <v>-0.24908869987849333</v>
      </c>
      <c r="DP392" s="36"/>
      <c r="DQ392" s="36"/>
      <c r="DR392" s="36"/>
      <c r="DS392" s="36"/>
      <c r="DT392" s="36"/>
      <c r="DU392" s="36"/>
      <c r="DV392" s="36"/>
      <c r="DW392" s="36"/>
      <c r="DX392" s="36"/>
      <c r="DY392" s="36"/>
      <c r="DZ392" s="36"/>
      <c r="EA392" s="36"/>
      <c r="EB392" s="36"/>
      <c r="EC392" s="36"/>
      <c r="ED392" s="36"/>
      <c r="EE392" s="36"/>
      <c r="EF392" s="36"/>
      <c r="EG392" s="36"/>
      <c r="EH392" s="36"/>
      <c r="EI392" s="36"/>
      <c r="EJ392" s="36"/>
      <c r="EK392" s="36"/>
      <c r="EL392" s="36"/>
      <c r="EM392" s="36">
        <v>1</v>
      </c>
      <c r="EN392" s="36"/>
      <c r="EO392" s="36">
        <v>1</v>
      </c>
      <c r="EP392" s="36"/>
      <c r="EQ392" s="36"/>
      <c r="ER392" s="36"/>
      <c r="ES392" s="36"/>
      <c r="ET392" s="36"/>
      <c r="EU392" s="36"/>
      <c r="EV392" s="36"/>
      <c r="EW392" s="36"/>
      <c r="EX392" s="36"/>
      <c r="EY392" s="36"/>
      <c r="EZ392" s="36"/>
      <c r="FA392" s="36"/>
      <c r="FB392" s="36"/>
      <c r="FC392" s="36"/>
      <c r="FD392" s="36"/>
      <c r="FE392" s="36"/>
      <c r="FF392" s="36"/>
      <c r="FG392" s="36"/>
      <c r="FH392" s="36"/>
      <c r="FI392" s="36"/>
      <c r="FJ392" s="36"/>
      <c r="FK392" s="36"/>
      <c r="FL392" s="36"/>
      <c r="FM392" s="36"/>
      <c r="FN392" s="36"/>
      <c r="FO392" s="36"/>
      <c r="FP392" s="36"/>
      <c r="FQ392" s="36"/>
      <c r="FR392" s="36"/>
      <c r="FS392" s="36"/>
      <c r="FT392" s="36"/>
      <c r="FU392" s="36"/>
      <c r="FV392" s="36"/>
      <c r="FW392" s="36"/>
      <c r="FX392" s="36"/>
      <c r="FY392" s="36"/>
      <c r="FZ392" s="36"/>
      <c r="GA392" s="36"/>
      <c r="GB392" s="319"/>
      <c r="GC392" s="179">
        <f t="shared" si="70"/>
        <v>0</v>
      </c>
      <c r="GD392" s="179">
        <f t="shared" si="71"/>
        <v>0</v>
      </c>
      <c r="GE392" s="179">
        <f t="shared" si="72"/>
        <v>0</v>
      </c>
      <c r="GF392" s="179">
        <f t="shared" si="73"/>
        <v>0</v>
      </c>
      <c r="GG392" s="179">
        <f t="shared" si="69"/>
        <v>0</v>
      </c>
    </row>
    <row r="393" spans="1:189" x14ac:dyDescent="0.35">
      <c r="A393" s="6" t="s">
        <v>1614</v>
      </c>
      <c r="B393" s="6" t="str">
        <f>IF(Technologies!B393&lt;&gt;0,Technologies!B393,"")</f>
        <v>Industrie</v>
      </c>
      <c r="C393" s="6" t="str">
        <f>VLOOKUP($A393,Technologies!$A$7:$H$576,3,FALSE)</f>
        <v>Conversion</v>
      </c>
      <c r="D393" s="6" t="str">
        <f>VLOOKUP($A393,Technologies!$A$7:$H$576,4,FALSE)</f>
        <v>Hydrogen</v>
      </c>
      <c r="E393" s="6" t="str">
        <f>VLOOKUP($A393,Technologies!$A$7:$H$576,6,FALSE)</f>
        <v>Hydrogen HD</v>
      </c>
      <c r="F393" s="48" t="str">
        <f>VLOOKUP($A393,Technologies!$A$7:$H$576,7,FALSE)</f>
        <v>eSMR with CC - Hydrogen Production</v>
      </c>
      <c r="G393" s="22">
        <f>(0.060230133/SUM(0.000898957,0.060230133))</f>
        <v>0.98529412101505198</v>
      </c>
      <c r="H393" s="22"/>
      <c r="I393" s="103"/>
      <c r="J393" s="103"/>
      <c r="K393" s="103"/>
      <c r="L393" s="103"/>
      <c r="M393" s="22">
        <v>1</v>
      </c>
      <c r="N393" s="22" t="s">
        <v>320</v>
      </c>
      <c r="O393" s="22"/>
      <c r="P393" s="79" t="s">
        <v>792</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-0.293</f>
        <v>-0.29299999999999998</v>
      </c>
      <c r="DI393" s="36"/>
      <c r="DJ393" s="36"/>
      <c r="DK393" s="36"/>
      <c r="DL393" s="36"/>
      <c r="DM393" s="36"/>
      <c r="DN393" s="36"/>
      <c r="DO393" s="203"/>
      <c r="DP393" s="36"/>
      <c r="DQ393" s="36"/>
      <c r="DR393" s="36"/>
      <c r="DS393" s="36"/>
      <c r="DT393" s="36"/>
      <c r="DU393" s="36"/>
      <c r="DV393" s="36"/>
      <c r="DW393" s="36"/>
      <c r="DX393" s="36"/>
      <c r="DY393" s="36"/>
      <c r="DZ393" s="36"/>
      <c r="EA393" s="36"/>
      <c r="EB393" s="36"/>
      <c r="EC393" s="36"/>
      <c r="ED393" s="36"/>
      <c r="EE393" s="36"/>
      <c r="EF393" s="36"/>
      <c r="EG393" s="36"/>
      <c r="EH393" s="36"/>
      <c r="EI393" s="36"/>
      <c r="EJ393" s="36">
        <f>-1.0788</f>
        <v>-1.0788</v>
      </c>
      <c r="EK393" s="36"/>
      <c r="EL393" s="36"/>
      <c r="EM393" s="36">
        <v>1</v>
      </c>
      <c r="EN393" s="36"/>
      <c r="EO393" s="36"/>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6.0199999999999997E-2</v>
      </c>
      <c r="GD393" s="179">
        <f t="shared" si="71"/>
        <v>8.9999999999999998E-4</v>
      </c>
      <c r="GE393" s="179">
        <f t="shared" si="72"/>
        <v>0</v>
      </c>
      <c r="GF393" s="179">
        <f t="shared" si="73"/>
        <v>0</v>
      </c>
      <c r="GG393" s="179">
        <f t="shared" si="69"/>
        <v>0</v>
      </c>
    </row>
    <row r="394" spans="1:189" x14ac:dyDescent="0.35">
      <c r="A394" s="5" t="s">
        <v>1616</v>
      </c>
      <c r="B394" s="5" t="str">
        <f>IF(Technologies!B394&lt;&gt;0,Technologies!B394,"")</f>
        <v>Industrie</v>
      </c>
      <c r="C394" s="5" t="str">
        <f>VLOOKUP($A394,Technologies!$A$7:$H$576,3,FALSE)</f>
        <v>Conversion</v>
      </c>
      <c r="D394" s="5" t="str">
        <f>VLOOKUP($A394,Technologies!$A$7:$H$576,4,FALSE)</f>
        <v>Hydrogen</v>
      </c>
      <c r="E394" s="5" t="str">
        <f>VLOOKUP($A394,Technologies!$A$7:$H$576,6,FALSE)</f>
        <v>Hydrogen HD</v>
      </c>
      <c r="F394" s="5" t="str">
        <f>VLOOKUP($A394,Technologies!$A$7:$H$576,7,FALSE)</f>
        <v>Small scale storage buffer - Hydrogen Production</v>
      </c>
      <c r="G394" s="23"/>
      <c r="H394" s="23"/>
      <c r="I394" s="104" cm="1">
        <f t="array" ref="I394">-SUMPRODUCT((Feedstocks!$C$4:$C$141=A394)*Feedstocks!$E$4:$E$141,Feedstocks!$F$4:$F$141,Feedstocks!$H$4:$H$141,Feedstocks!$I$4:$I$141)</f>
        <v>0</v>
      </c>
      <c r="J394" s="104" cm="1">
        <f t="array" ref="J394">-SUMPRODUCT((Feedstocks!$C$4:$C$141=A394)*Feedstocks!$E$4:$E$141,Feedstocks!$H$4:$H$141,Feedstocks!$I$4:$I$141)</f>
        <v>0</v>
      </c>
      <c r="K394" s="104"/>
      <c r="L394" s="104"/>
      <c r="M394" s="23">
        <v>1</v>
      </c>
      <c r="N394" s="23" t="str">
        <f>VLOOKUP(E394,Activities!$A$9:$M$227,13,FALSE)</f>
        <v>NL</v>
      </c>
      <c r="O394" s="23"/>
      <c r="P394" s="79" t="s">
        <v>415</v>
      </c>
      <c r="Q394" s="35"/>
      <c r="R394" s="35"/>
      <c r="S394" s="35"/>
      <c r="T394" s="35"/>
      <c r="U394" s="35"/>
      <c r="V394" s="35"/>
      <c r="W394" s="35"/>
      <c r="X394" s="35"/>
      <c r="Y394" s="35"/>
      <c r="Z394" s="35"/>
      <c r="AA394" s="35"/>
      <c r="AB394" s="35"/>
      <c r="AC394" s="35"/>
      <c r="AD394" s="35"/>
      <c r="AE394" s="35"/>
      <c r="AF394" s="36"/>
      <c r="AG394" s="36"/>
      <c r="AH394" s="36"/>
      <c r="AI394" s="36"/>
      <c r="AJ394" s="36"/>
      <c r="AK394" s="36"/>
      <c r="AL394" s="36"/>
      <c r="AM394" s="36"/>
      <c r="AN394" s="36"/>
      <c r="AO394" s="36"/>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v>0</v>
      </c>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18"/>
      <c r="GC394" s="178">
        <f t="shared" si="70"/>
        <v>0</v>
      </c>
      <c r="GD394" s="178">
        <f t="shared" si="71"/>
        <v>0</v>
      </c>
      <c r="GE394" s="178">
        <f t="shared" si="72"/>
        <v>0</v>
      </c>
      <c r="GF394" s="178">
        <f t="shared" si="73"/>
        <v>0</v>
      </c>
      <c r="GG394" s="178">
        <f t="shared" si="69"/>
        <v>0</v>
      </c>
    </row>
    <row r="395" spans="1:189" x14ac:dyDescent="0.35">
      <c r="A395" s="6" t="s">
        <v>1618</v>
      </c>
      <c r="B395" s="6" t="str">
        <f>IF(Technologies!B395&lt;&gt;0,Technologies!B395,"")</f>
        <v>Industrie</v>
      </c>
      <c r="C395" s="6" t="str">
        <f>VLOOKUP($A395,Technologies!$A$7:$H$576,3,FALSE)</f>
        <v>Conversion</v>
      </c>
      <c r="D395" s="6" t="str">
        <f>VLOOKUP($A395,Technologies!$A$7:$H$576,4,FALSE)</f>
        <v>Hydrogen</v>
      </c>
      <c r="E395" s="6" t="str">
        <f>VLOOKUP($A395,Technologies!$A$7:$H$576,6,FALSE)</f>
        <v>Hydrogen HD</v>
      </c>
      <c r="F395" s="48" t="str">
        <f>VLOOKUP($A395,Technologies!$A$7:$H$576,7,FALSE)</f>
        <v>Large scale storage buffer - Hydrogen Production</v>
      </c>
      <c r="G395" s="22"/>
      <c r="H395" s="22"/>
      <c r="I395" s="103" cm="1">
        <f t="array" ref="I395">-SUMPRODUCT((Feedstocks!$C$4:$C$141=A395)*Feedstocks!$E$4:$E$141,Feedstocks!$F$4:$F$141,Feedstocks!$H$4:$H$141,Feedstocks!$I$4:$I$141)</f>
        <v>0</v>
      </c>
      <c r="J395" s="103" cm="1">
        <f t="array" ref="J395">-SUMPRODUCT((Feedstocks!$C$4:$C$141=A395)*Feedstocks!$E$4:$E$141,Feedstocks!$H$4:$H$141,Feedstocks!$I$4:$I$141)</f>
        <v>0</v>
      </c>
      <c r="K395" s="103"/>
      <c r="L395" s="103"/>
      <c r="M395" s="22">
        <v>1</v>
      </c>
      <c r="N395" s="22" t="str">
        <f>VLOOKUP(E395,Activities!$A$9:$M$227,13,FALSE)</f>
        <v>NL</v>
      </c>
      <c r="O395" s="22"/>
      <c r="P395" s="80" t="s">
        <v>415</v>
      </c>
      <c r="Q395" s="36"/>
      <c r="R395" s="36"/>
      <c r="S395" s="36"/>
      <c r="T395" s="36"/>
      <c r="U395" s="36"/>
      <c r="V395" s="36"/>
      <c r="W395" s="36"/>
      <c r="X395" s="36"/>
      <c r="Y395" s="36"/>
      <c r="Z395" s="36"/>
      <c r="AA395" s="36"/>
      <c r="AB395" s="36"/>
      <c r="AC395" s="36"/>
      <c r="AD395" s="36"/>
      <c r="AE395" s="36"/>
      <c r="AF395" s="35"/>
      <c r="AG395" s="35"/>
      <c r="AH395" s="35"/>
      <c r="AI395" s="35"/>
      <c r="AJ395" s="35"/>
      <c r="AK395" s="35"/>
      <c r="AL395" s="35"/>
      <c r="AM395" s="35"/>
      <c r="AN395" s="35"/>
      <c r="AO395" s="35"/>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c r="CW395" s="36"/>
      <c r="CX395" s="36"/>
      <c r="CY395" s="36"/>
      <c r="CZ395" s="36"/>
      <c r="DA395" s="36"/>
      <c r="DB395" s="36"/>
      <c r="DC395" s="36"/>
      <c r="DD395" s="36"/>
      <c r="DE395" s="36"/>
      <c r="DF395" s="36"/>
      <c r="DG395" s="36"/>
      <c r="DH395" s="36"/>
      <c r="DI395" s="36"/>
      <c r="DJ395" s="36"/>
      <c r="DK395" s="36"/>
      <c r="DL395" s="36"/>
      <c r="DM395" s="36"/>
      <c r="DN395" s="36"/>
      <c r="DO395" s="36"/>
      <c r="DP395" s="36"/>
      <c r="DQ395" s="36"/>
      <c r="DR395" s="36"/>
      <c r="DS395" s="36"/>
      <c r="DT395" s="36"/>
      <c r="DU395" s="36"/>
      <c r="DV395" s="36"/>
      <c r="DW395" s="36"/>
      <c r="DX395" s="36"/>
      <c r="DY395" s="36"/>
      <c r="DZ395" s="36"/>
      <c r="EA395" s="36"/>
      <c r="EB395" s="36"/>
      <c r="EC395" s="36"/>
      <c r="ED395" s="36"/>
      <c r="EE395" s="36"/>
      <c r="EF395" s="36"/>
      <c r="EG395" s="36"/>
      <c r="EH395" s="36"/>
      <c r="EI395" s="36"/>
      <c r="EJ395" s="36"/>
      <c r="EK395" s="36"/>
      <c r="EL395" s="36"/>
      <c r="EM395" s="36">
        <v>0</v>
      </c>
      <c r="EN395" s="36"/>
      <c r="EO395" s="36"/>
      <c r="EP395" s="36"/>
      <c r="EQ395" s="36"/>
      <c r="ER395" s="36"/>
      <c r="ES395" s="36"/>
      <c r="ET395" s="36"/>
      <c r="EU395" s="36"/>
      <c r="EV395" s="36"/>
      <c r="EW395" s="36"/>
      <c r="EX395" s="36"/>
      <c r="EY395" s="36"/>
      <c r="EZ395" s="36"/>
      <c r="FA395" s="36"/>
      <c r="FB395" s="36"/>
      <c r="FC395" s="36"/>
      <c r="FD395" s="36"/>
      <c r="FE395" s="36"/>
      <c r="FF395" s="36"/>
      <c r="FG395" s="36"/>
      <c r="FH395" s="36"/>
      <c r="FI395" s="36"/>
      <c r="FJ395" s="36"/>
      <c r="FK395" s="36"/>
      <c r="FL395" s="36"/>
      <c r="FM395" s="36"/>
      <c r="FN395" s="36"/>
      <c r="FO395" s="36"/>
      <c r="FP395" s="36"/>
      <c r="FQ395" s="36"/>
      <c r="FR395" s="36"/>
      <c r="FS395" s="36"/>
      <c r="FT395" s="36"/>
      <c r="FU395" s="36"/>
      <c r="FV395" s="36"/>
      <c r="FW395" s="36"/>
      <c r="FX395" s="36"/>
      <c r="FY395" s="36"/>
      <c r="FZ395" s="36"/>
      <c r="GA395" s="36"/>
      <c r="GB395" s="319"/>
      <c r="GC395" s="179">
        <f t="shared" si="70"/>
        <v>0</v>
      </c>
      <c r="GD395" s="179">
        <f t="shared" si="71"/>
        <v>0</v>
      </c>
      <c r="GE395" s="179">
        <f t="shared" si="72"/>
        <v>0</v>
      </c>
      <c r="GF395" s="179">
        <f t="shared" si="73"/>
        <v>0</v>
      </c>
      <c r="GG395" s="179">
        <f t="shared" si="69"/>
        <v>0</v>
      </c>
    </row>
    <row r="396" spans="1:189" x14ac:dyDescent="0.35">
      <c r="A396" s="5" t="s">
        <v>1620</v>
      </c>
      <c r="B396" s="5" t="str">
        <f>IF(Technologies!B396&lt;&gt;0,Technologies!B396,"")</f>
        <v>Industrie</v>
      </c>
      <c r="C396" s="5" t="str">
        <f>VLOOKUP($A396,Technologies!$A$7:$H$576,3,FALSE)</f>
        <v>Primary</v>
      </c>
      <c r="D396" s="5" t="str">
        <f>VLOOKUP($A396,Technologies!$A$7:$H$576,4,FALSE)</f>
        <v>Hydrogen</v>
      </c>
      <c r="E396" s="5" t="str">
        <f>VLOOKUP($A396,Technologies!$A$7:$H$576,6,FALSE)</f>
        <v>Hydrogen HD</v>
      </c>
      <c r="F396" s="5" t="str">
        <f>VLOOKUP($A396,Technologies!$A$7:$H$576,7,FALSE)</f>
        <v>Imported Hydrogen (liquid) - Hydrogen Production</v>
      </c>
      <c r="G396" s="23"/>
      <c r="H396" s="23"/>
      <c r="I396" s="104" cm="1">
        <f t="array" ref="I396">-SUMPRODUCT((Feedstocks!$C$4:$C$141=A396)*Feedstocks!$E$4:$E$141,Feedstocks!$F$4:$F$141,Feedstocks!$H$4:$H$141,Feedstocks!$I$4:$I$141)</f>
        <v>0</v>
      </c>
      <c r="J396" s="104" cm="1">
        <f t="array" ref="J396">-SUMPRODUCT((Feedstocks!$C$4:$C$141=A396)*Feedstocks!$E$4:$E$141,Feedstocks!$H$4:$H$141,Feedstocks!$I$4:$I$141)</f>
        <v>0</v>
      </c>
      <c r="K396" s="104"/>
      <c r="L396" s="104"/>
      <c r="M396" s="23">
        <v>1</v>
      </c>
      <c r="N396" s="23" t="str">
        <f>VLOOKUP(E396,Activities!$A$9:$M$227,13,FALSE)</f>
        <v>NL</v>
      </c>
      <c r="O396" s="23"/>
      <c r="P396" s="79"/>
      <c r="Q396" s="35"/>
      <c r="R396" s="35"/>
      <c r="S396" s="35"/>
      <c r="T396" s="35"/>
      <c r="U396" s="35"/>
      <c r="V396" s="35"/>
      <c r="W396" s="35"/>
      <c r="X396" s="35"/>
      <c r="Y396" s="35"/>
      <c r="Z396" s="35"/>
      <c r="AA396" s="35"/>
      <c r="AB396" s="35"/>
      <c r="AC396" s="35"/>
      <c r="AD396" s="35"/>
      <c r="AE396" s="35"/>
      <c r="AF396" s="36"/>
      <c r="AG396" s="36"/>
      <c r="AH396" s="36"/>
      <c r="AI396" s="36"/>
      <c r="AJ396" s="36"/>
      <c r="AK396" s="36"/>
      <c r="AL396" s="36"/>
      <c r="AM396" s="36"/>
      <c r="AN396" s="36"/>
      <c r="AO396" s="36"/>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v>1</v>
      </c>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18"/>
      <c r="GC396" s="178">
        <f t="shared" si="70"/>
        <v>0</v>
      </c>
      <c r="GD396" s="178">
        <f t="shared" si="71"/>
        <v>0</v>
      </c>
      <c r="GE396" s="178">
        <f t="shared" si="72"/>
        <v>0</v>
      </c>
      <c r="GF396" s="178">
        <f t="shared" si="73"/>
        <v>0</v>
      </c>
      <c r="GG396" s="178">
        <f t="shared" si="69"/>
        <v>0</v>
      </c>
    </row>
    <row r="397" spans="1:189" x14ac:dyDescent="0.35">
      <c r="A397" s="6" t="s">
        <v>1623</v>
      </c>
      <c r="B397" s="6" t="str">
        <f>IF(Technologies!B397&lt;&gt;0,Technologies!B397,"")</f>
        <v>Industrie</v>
      </c>
      <c r="C397" s="6" t="str">
        <f>VLOOKUP($A397,Technologies!$A$7:$H$576,3,FALSE)</f>
        <v>Primary</v>
      </c>
      <c r="D397" s="6" t="str">
        <f>VLOOKUP($A397,Technologies!$A$7:$H$576,4,FALSE)</f>
        <v>Hydrogen</v>
      </c>
      <c r="E397" s="6" t="str">
        <f>VLOOKUP($A397,Technologies!$A$7:$H$576,6,FALSE)</f>
        <v>Hydrogen HD</v>
      </c>
      <c r="F397" s="48" t="str">
        <f>VLOOKUP($A397,Technologies!$A$7:$H$576,7,FALSE)</f>
        <v>Exported Hydrogen - Hydrogen Production</v>
      </c>
      <c r="G397" s="22"/>
      <c r="H397" s="22"/>
      <c r="I397" s="103" cm="1">
        <f t="array" ref="I397">-SUMPRODUCT((Feedstocks!$C$4:$C$141=A397)*Feedstocks!$E$4:$E$141,Feedstocks!$F$4:$F$141,Feedstocks!$H$4:$H$141,Feedstocks!$I$4:$I$141)</f>
        <v>0</v>
      </c>
      <c r="J397" s="103" cm="1">
        <f t="array" ref="J397">-SUMPRODUCT((Feedstocks!$C$4:$C$141=A397)*Feedstocks!$E$4:$E$141,Feedstocks!$H$4:$H$141,Feedstocks!$I$4:$I$141)</f>
        <v>0</v>
      </c>
      <c r="K397" s="103"/>
      <c r="L397" s="103"/>
      <c r="M397" s="22">
        <v>1</v>
      </c>
      <c r="N397" s="22" t="str">
        <f>VLOOKUP(E397,Activities!$A$9:$M$227,13,FALSE)</f>
        <v>NL</v>
      </c>
      <c r="O397" s="22"/>
      <c r="P397" s="80"/>
      <c r="Q397" s="36"/>
      <c r="R397" s="36"/>
      <c r="S397" s="36"/>
      <c r="T397" s="36"/>
      <c r="U397" s="36"/>
      <c r="V397" s="36"/>
      <c r="W397" s="36"/>
      <c r="X397" s="36"/>
      <c r="Y397" s="36"/>
      <c r="Z397" s="36"/>
      <c r="AA397" s="36"/>
      <c r="AB397" s="36"/>
      <c r="AC397" s="36"/>
      <c r="AD397" s="36"/>
      <c r="AE397" s="36"/>
      <c r="AF397" s="35"/>
      <c r="AG397" s="35"/>
      <c r="AH397" s="35"/>
      <c r="AI397" s="35"/>
      <c r="AJ397" s="35"/>
      <c r="AK397" s="35"/>
      <c r="AL397" s="35"/>
      <c r="AM397" s="35"/>
      <c r="AN397" s="35"/>
      <c r="AO397" s="35"/>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6"/>
      <c r="BV397" s="36"/>
      <c r="BW397" s="36"/>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36"/>
      <c r="CT397" s="36"/>
      <c r="CU397" s="36"/>
      <c r="CV397" s="36"/>
      <c r="CW397" s="36"/>
      <c r="CX397" s="36"/>
      <c r="CY397" s="36"/>
      <c r="CZ397" s="36"/>
      <c r="DA397" s="36"/>
      <c r="DB397" s="36"/>
      <c r="DC397" s="36"/>
      <c r="DD397" s="36"/>
      <c r="DE397" s="36"/>
      <c r="DF397" s="36"/>
      <c r="DG397" s="36"/>
      <c r="DH397" s="36"/>
      <c r="DI397" s="36"/>
      <c r="DJ397" s="36"/>
      <c r="DK397" s="36"/>
      <c r="DL397" s="36"/>
      <c r="DM397" s="36"/>
      <c r="DN397" s="36"/>
      <c r="DO397" s="36"/>
      <c r="DP397" s="36"/>
      <c r="DQ397" s="36"/>
      <c r="DR397" s="36"/>
      <c r="DS397" s="36"/>
      <c r="DT397" s="36"/>
      <c r="DU397" s="36"/>
      <c r="DV397" s="36"/>
      <c r="DW397" s="36"/>
      <c r="DX397" s="36"/>
      <c r="DY397" s="36"/>
      <c r="DZ397" s="36"/>
      <c r="EA397" s="36"/>
      <c r="EB397" s="36"/>
      <c r="EC397" s="36"/>
      <c r="ED397" s="36"/>
      <c r="EE397" s="36"/>
      <c r="EF397" s="36"/>
      <c r="EG397" s="36"/>
      <c r="EH397" s="36"/>
      <c r="EI397" s="36"/>
      <c r="EJ397" s="36"/>
      <c r="EK397" s="36"/>
      <c r="EL397" s="36"/>
      <c r="EM397" s="36">
        <v>-1</v>
      </c>
      <c r="EN397" s="36"/>
      <c r="EO397" s="36"/>
      <c r="EP397" s="36"/>
      <c r="EQ397" s="36"/>
      <c r="ER397" s="36"/>
      <c r="ES397" s="36"/>
      <c r="ET397" s="36"/>
      <c r="EU397" s="36"/>
      <c r="EV397" s="36"/>
      <c r="EW397" s="36"/>
      <c r="EX397" s="36"/>
      <c r="EY397" s="36"/>
      <c r="EZ397" s="36"/>
      <c r="FA397" s="36"/>
      <c r="FB397" s="36"/>
      <c r="FC397" s="36"/>
      <c r="FD397" s="36"/>
      <c r="FE397" s="36"/>
      <c r="FF397" s="36"/>
      <c r="FG397" s="36"/>
      <c r="FH397" s="36"/>
      <c r="FI397" s="36"/>
      <c r="FJ397" s="36"/>
      <c r="FK397" s="36"/>
      <c r="FL397" s="36"/>
      <c r="FM397" s="36"/>
      <c r="FN397" s="36"/>
      <c r="FO397" s="36"/>
      <c r="FP397" s="36"/>
      <c r="FQ397" s="36"/>
      <c r="FR397" s="36"/>
      <c r="FS397" s="36"/>
      <c r="FT397" s="36"/>
      <c r="FU397" s="36"/>
      <c r="FV397" s="36"/>
      <c r="FW397" s="36"/>
      <c r="FX397" s="36"/>
      <c r="FY397" s="36"/>
      <c r="FZ397" s="36"/>
      <c r="GA397" s="36"/>
      <c r="GB397" s="319"/>
      <c r="GC397" s="179">
        <f t="shared" si="70"/>
        <v>0</v>
      </c>
      <c r="GD397" s="179">
        <f t="shared" si="71"/>
        <v>0</v>
      </c>
      <c r="GE397" s="179">
        <f t="shared" si="72"/>
        <v>0</v>
      </c>
      <c r="GF397" s="179">
        <f t="shared" si="73"/>
        <v>0</v>
      </c>
      <c r="GG397" s="179">
        <f t="shared" si="69"/>
        <v>0</v>
      </c>
    </row>
    <row r="398" spans="1:189" x14ac:dyDescent="0.35">
      <c r="A398" s="6" t="s">
        <v>1626</v>
      </c>
      <c r="B398" s="6" t="str">
        <f>IF(Technologies!B398&lt;&gt;0,Technologies!B398,"")</f>
        <v>Industrie</v>
      </c>
      <c r="C398" s="6" t="str">
        <f>VLOOKUP($A398,Technologies!$A$7:$H$576,3,FALSE)</f>
        <v>Primary</v>
      </c>
      <c r="D398" s="6" t="str">
        <f>VLOOKUP($A398,Technologies!$A$7:$H$576,4,FALSE)</f>
        <v>Hydrogen</v>
      </c>
      <c r="E398" s="6" t="str">
        <f>VLOOKUP($A398,Technologies!$A$7:$H$576,6,FALSE)</f>
        <v>Hydrogen HD</v>
      </c>
      <c r="F398" s="48" t="str">
        <f>VLOOKUP($A398,Technologies!$A$7:$H$576,7,FALSE)</f>
        <v>Imported Hydrogen  (pipeline) - Hydrogen Production</v>
      </c>
      <c r="G398" s="22"/>
      <c r="H398" s="22"/>
      <c r="I398" s="103"/>
      <c r="J398" s="103"/>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5">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5" t="s">
        <v>1628</v>
      </c>
      <c r="B399" s="6" t="str">
        <f>IF(Technologies!B399&lt;&gt;0,Technologies!B399,"")</f>
        <v>Elektriciteit</v>
      </c>
      <c r="C399" s="5" t="str">
        <f>VLOOKUP($A399,Technologies!$A$7:$H$576,3,FALSE)</f>
        <v>Conversion</v>
      </c>
      <c r="D399" s="5" t="str">
        <f>VLOOKUP($A399,Technologies!$A$7:$H$576,4,FALSE)</f>
        <v>Hydrogen</v>
      </c>
      <c r="E399" s="5" t="str">
        <f>VLOOKUP($A399,Technologies!$A$7:$H$576,6,FALSE)</f>
        <v>Hydrogen HD</v>
      </c>
      <c r="F399" s="5" t="str">
        <f>VLOOKUP($A399,Technologies!$A$7:$H$576,7,FALSE)</f>
        <v>LD to HD compressor - Hydrogen Production</v>
      </c>
      <c r="G399" s="23"/>
      <c r="H399" s="23"/>
      <c r="I399" s="104" cm="1">
        <f t="array" ref="I399">-SUMPRODUCT((Feedstocks!$C$4:$C$141=A399)*Feedstocks!$E$4:$E$141,Feedstocks!$F$4:$F$141,Feedstocks!$H$4:$H$141,Feedstocks!$I$4:$I$141)</f>
        <v>0</v>
      </c>
      <c r="J399" s="104" cm="1">
        <f t="array" ref="J399">-SUMPRODUCT((Feedstocks!$C$4:$C$141=A399)*Feedstocks!$E$4:$E$141,Feedstocks!$H$4:$H$141,Feedstocks!$I$4:$I$141)</f>
        <v>0</v>
      </c>
      <c r="K399" s="104"/>
      <c r="L399" s="104"/>
      <c r="M399" s="23"/>
      <c r="N399" s="23" t="str">
        <f>VLOOKUP(E399,Activities!$A$9:$M$227,13,FALSE)</f>
        <v>NL</v>
      </c>
      <c r="O399" s="23"/>
      <c r="P399" s="79" t="s">
        <v>415</v>
      </c>
      <c r="Q399" s="35"/>
      <c r="R399" s="35"/>
      <c r="S399" s="35"/>
      <c r="T399" s="35"/>
      <c r="U399" s="35"/>
      <c r="V399" s="35"/>
      <c r="W399" s="35"/>
      <c r="X399" s="35"/>
      <c r="Y399" s="35"/>
      <c r="Z399" s="35"/>
      <c r="AA399" s="35"/>
      <c r="AB399" s="35"/>
      <c r="AC399" s="35"/>
      <c r="AD399" s="35"/>
      <c r="AE399" s="35"/>
      <c r="AF399" s="36"/>
      <c r="AG399" s="36"/>
      <c r="AH399" s="36"/>
      <c r="AI399" s="36"/>
      <c r="AJ399" s="36"/>
      <c r="AK399" s="36"/>
      <c r="AL399" s="36"/>
      <c r="AM399" s="36"/>
      <c r="AN399" s="36"/>
      <c r="AO399" s="36"/>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v>1</v>
      </c>
      <c r="EN399" s="35">
        <v>-1</v>
      </c>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18"/>
      <c r="GC399" s="178">
        <f t="shared" si="70"/>
        <v>0</v>
      </c>
      <c r="GD399" s="178">
        <f t="shared" si="71"/>
        <v>0</v>
      </c>
      <c r="GE399" s="178">
        <f t="shared" si="72"/>
        <v>0</v>
      </c>
      <c r="GF399" s="178">
        <f t="shared" si="73"/>
        <v>0</v>
      </c>
      <c r="GG399" s="178">
        <f t="shared" si="69"/>
        <v>0</v>
      </c>
    </row>
    <row r="400" spans="1:189" x14ac:dyDescent="0.35">
      <c r="A400" s="6" t="s">
        <v>1631</v>
      </c>
      <c r="B400" s="6" t="str">
        <f>IF(Technologies!B400&lt;&gt;0,Technologies!B400,"")</f>
        <v>Elektriciteit</v>
      </c>
      <c r="C400" s="6" t="str">
        <f>VLOOKUP($A400,Technologies!$A$7:$H$576,3,FALSE)</f>
        <v>Conversion</v>
      </c>
      <c r="D400" s="6" t="str">
        <f>VLOOKUP($A400,Technologies!$A$7:$H$576,4,FALSE)</f>
        <v>Hydrogen</v>
      </c>
      <c r="E400" s="6" t="str">
        <f>VLOOKUP($A400,Technologies!$A$7:$H$576,6,FALSE)</f>
        <v>Hydrogen LD</v>
      </c>
      <c r="F400" s="48" t="str">
        <f>VLOOKUP($A400,Technologies!$A$7:$H$576,7,FALSE)</f>
        <v>HD to LD compressor - Hydrogen Production</v>
      </c>
      <c r="G400" s="22"/>
      <c r="H400" s="22"/>
      <c r="I400" s="103" cm="1">
        <f t="array" ref="I400">-SUMPRODUCT((Feedstocks!$C$4:$C$141=A400)*Feedstocks!$E$4:$E$141,Feedstocks!$F$4:$F$141,Feedstocks!$H$4:$H$141,Feedstocks!$I$4:$I$141)</f>
        <v>0</v>
      </c>
      <c r="J400" s="103" cm="1">
        <f t="array" ref="J400">-SUMPRODUCT((Feedstocks!$C$4:$C$141=A400)*Feedstocks!$E$4:$E$141,Feedstocks!$H$4:$H$141,Feedstocks!$I$4:$I$141)</f>
        <v>0</v>
      </c>
      <c r="K400" s="103"/>
      <c r="L400" s="103"/>
      <c r="M400" s="22"/>
      <c r="N400" s="22" t="str">
        <f>VLOOKUP(E400,Activities!$A$9:$M$227,13,FALSE)</f>
        <v>NL</v>
      </c>
      <c r="O400" s="22"/>
      <c r="P400" s="80" t="s">
        <v>415</v>
      </c>
      <c r="Q400" s="36"/>
      <c r="R400" s="36"/>
      <c r="S400" s="36"/>
      <c r="T400" s="36"/>
      <c r="U400" s="36"/>
      <c r="V400" s="36"/>
      <c r="W400" s="36"/>
      <c r="X400" s="36"/>
      <c r="Y400" s="36"/>
      <c r="Z400" s="36"/>
      <c r="AA400" s="36"/>
      <c r="AB400" s="36"/>
      <c r="AC400" s="36"/>
      <c r="AD400" s="36"/>
      <c r="AE400" s="36"/>
      <c r="AF400" s="35"/>
      <c r="AG400" s="35"/>
      <c r="AH400" s="35"/>
      <c r="AI400" s="35"/>
      <c r="AJ400" s="35"/>
      <c r="AK400" s="35"/>
      <c r="AL400" s="35"/>
      <c r="AM400" s="35"/>
      <c r="AN400" s="35"/>
      <c r="AO400" s="35"/>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6"/>
      <c r="BV400" s="36"/>
      <c r="BW400" s="36"/>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c r="DC400" s="36"/>
      <c r="DD400" s="36"/>
      <c r="DE400" s="36"/>
      <c r="DF400" s="36"/>
      <c r="DG400" s="36"/>
      <c r="DH400" s="36"/>
      <c r="DI400" s="36"/>
      <c r="DJ400" s="36"/>
      <c r="DK400" s="36"/>
      <c r="DL400" s="36"/>
      <c r="DM400" s="36"/>
      <c r="DN400" s="36"/>
      <c r="DO400" s="36"/>
      <c r="DP400" s="36"/>
      <c r="DQ400" s="36"/>
      <c r="DR400" s="36"/>
      <c r="DS400" s="36"/>
      <c r="DT400" s="36"/>
      <c r="DU400" s="36"/>
      <c r="DV400" s="36"/>
      <c r="DW400" s="36"/>
      <c r="DX400" s="36"/>
      <c r="DY400" s="36"/>
      <c r="DZ400" s="36"/>
      <c r="EA400" s="36"/>
      <c r="EB400" s="36"/>
      <c r="EC400" s="36"/>
      <c r="ED400" s="36"/>
      <c r="EE400" s="36"/>
      <c r="EF400" s="36"/>
      <c r="EG400" s="36"/>
      <c r="EH400" s="36"/>
      <c r="EI400" s="36"/>
      <c r="EJ400" s="36"/>
      <c r="EK400" s="36"/>
      <c r="EL400" s="36"/>
      <c r="EM400" s="36">
        <v>-1</v>
      </c>
      <c r="EN400" s="36">
        <v>1</v>
      </c>
      <c r="EO400" s="36"/>
      <c r="EP400" s="36"/>
      <c r="EQ400" s="36"/>
      <c r="ER400" s="36"/>
      <c r="ES400" s="36"/>
      <c r="ET400" s="36"/>
      <c r="EU400" s="36"/>
      <c r="EV400" s="36"/>
      <c r="EW400" s="36"/>
      <c r="EX400" s="36"/>
      <c r="EY400" s="36"/>
      <c r="EZ400" s="36"/>
      <c r="FA400" s="36"/>
      <c r="FB400" s="36"/>
      <c r="FC400" s="36"/>
      <c r="FD400" s="36"/>
      <c r="FE400" s="36"/>
      <c r="FF400" s="36"/>
      <c r="FG400" s="36"/>
      <c r="FH400" s="36"/>
      <c r="FI400" s="36"/>
      <c r="FJ400" s="36"/>
      <c r="FK400" s="36"/>
      <c r="FL400" s="36"/>
      <c r="FM400" s="36"/>
      <c r="FN400" s="36"/>
      <c r="FO400" s="36"/>
      <c r="FP400" s="36"/>
      <c r="FQ400" s="36"/>
      <c r="FR400" s="36"/>
      <c r="FS400" s="36"/>
      <c r="FT400" s="36"/>
      <c r="FU400" s="36"/>
      <c r="FV400" s="36"/>
      <c r="FW400" s="36"/>
      <c r="FX400" s="36"/>
      <c r="FY400" s="36"/>
      <c r="FZ400" s="36"/>
      <c r="GA400" s="36"/>
      <c r="GB400" s="319"/>
      <c r="GC400" s="179">
        <f t="shared" si="70"/>
        <v>0</v>
      </c>
      <c r="GD400" s="179">
        <f t="shared" si="71"/>
        <v>0</v>
      </c>
      <c r="GE400" s="179">
        <f t="shared" si="72"/>
        <v>0</v>
      </c>
      <c r="GF400" s="179">
        <f t="shared" si="73"/>
        <v>0</v>
      </c>
      <c r="GG400" s="179">
        <f t="shared" si="69"/>
        <v>0</v>
      </c>
    </row>
    <row r="401" spans="1:342" x14ac:dyDescent="0.35">
      <c r="A401" s="5" t="s">
        <v>1633</v>
      </c>
      <c r="B401" s="6" t="str">
        <f>IF(Technologies!B401&lt;&gt;0,Technologies!B401,"")</f>
        <v>Industrie</v>
      </c>
      <c r="C401" s="5" t="str">
        <f>VLOOKUP($A401,Technologies!$A$7:$H$576,3,FALSE)</f>
        <v>Conversion</v>
      </c>
      <c r="D401" s="5" t="str">
        <f>VLOOKUP($A401,Technologies!$A$7:$H$576,4,FALSE)</f>
        <v>Ammonia</v>
      </c>
      <c r="E401" s="5" t="str">
        <f>VLOOKUP($A401,Technologies!$A$7:$H$576,6,FALSE)</f>
        <v>Ammonia</v>
      </c>
      <c r="F401" s="5" t="str">
        <f>VLOOKUP($A401,Technologies!$A$7:$H$576,7,FALSE)</f>
        <v>Haber Bosch with H2 from SMR - Ammonia Production</v>
      </c>
      <c r="G401" s="23">
        <v>0.5</v>
      </c>
      <c r="H401" s="23"/>
      <c r="I401" s="104" cm="1">
        <f t="array" ref="I401">-SUMPRODUCT((Feedstocks!$C$4:$C$141=A401)*Feedstocks!$E$4:$E$141,Feedstocks!$F$4:$F$141,Feedstocks!$H$4:$H$141,Feedstocks!$I$4:$I$141)</f>
        <v>0</v>
      </c>
      <c r="J401" s="104" cm="1">
        <f t="array" ref="J401">-SUMPRODUCT((Feedstocks!$C$4:$C$141=A401)*Feedstocks!$E$4:$E$141,Feedstocks!$H$4:$H$141,Feedstocks!$I$4:$I$141)</f>
        <v>0</v>
      </c>
      <c r="K401" s="104"/>
      <c r="L401" s="104"/>
      <c r="M401" s="23">
        <v>1</v>
      </c>
      <c r="N401" s="23" t="str">
        <f>VLOOKUP(E401,Activities!$A$9:$M$227,13,FALSE)</f>
        <v>NL</v>
      </c>
      <c r="O401" s="23"/>
      <c r="P401" s="79" t="s">
        <v>792</v>
      </c>
      <c r="Q401" s="35"/>
      <c r="R401" s="35"/>
      <c r="S401" s="35"/>
      <c r="T401" s="35"/>
      <c r="U401" s="35"/>
      <c r="V401" s="35"/>
      <c r="W401" s="35"/>
      <c r="X401" s="35"/>
      <c r="Y401" s="35"/>
      <c r="Z401" s="35"/>
      <c r="AA401" s="35"/>
      <c r="AB401" s="35"/>
      <c r="AC401" s="35"/>
      <c r="AD401" s="35"/>
      <c r="AE401" s="35"/>
      <c r="AF401" s="36"/>
      <c r="AG401" s="36"/>
      <c r="AH401" s="36"/>
      <c r="AI401" s="36"/>
      <c r="AJ401" s="36"/>
      <c r="AK401" s="36"/>
      <c r="AL401" s="36"/>
      <c r="AM401" s="36"/>
      <c r="AN401" s="36"/>
      <c r="AO401" s="36"/>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v>-6.4102564102564097E-2</v>
      </c>
      <c r="DI401" s="35"/>
      <c r="DJ401" s="35"/>
      <c r="DK401" s="35"/>
      <c r="DL401" s="35"/>
      <c r="DM401" s="35"/>
      <c r="DN401" s="35"/>
      <c r="DO401" s="35">
        <v>0</v>
      </c>
      <c r="DP401" s="35"/>
      <c r="DQ401" s="35"/>
      <c r="DR401" s="35"/>
      <c r="DS401" s="35"/>
      <c r="DT401" s="35"/>
      <c r="DU401" s="35"/>
      <c r="DV401" s="35"/>
      <c r="DW401" s="35"/>
      <c r="DX401" s="35"/>
      <c r="DY401" s="35"/>
      <c r="DZ401" s="35"/>
      <c r="EA401" s="35"/>
      <c r="EB401" s="35"/>
      <c r="EC401" s="35"/>
      <c r="ED401" s="35"/>
      <c r="EE401" s="35"/>
      <c r="EF401" s="35"/>
      <c r="EG401" s="35"/>
      <c r="EH401" s="35"/>
      <c r="EI401" s="35"/>
      <c r="EJ401" s="35">
        <v>-1.5138945239407278</v>
      </c>
      <c r="EK401" s="35"/>
      <c r="EL401" s="35"/>
      <c r="EM401" s="35"/>
      <c r="EN401" s="35"/>
      <c r="EO401" s="35"/>
      <c r="EP401" s="35"/>
      <c r="EQ401" s="35">
        <v>1</v>
      </c>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18"/>
      <c r="GC401" s="178">
        <f t="shared" ref="GC401:GC435" si="74">ROUND(IF($C401="Primary",0,-$G401*(SUMPRODUCT($Q$4:$GA$4,$Q401:$GA401)+$J401)-$H401)*IF($N401=GC$4,1,0),4)</f>
        <v>4.2799999999999998E-2</v>
      </c>
      <c r="GD401" s="178">
        <f t="shared" ref="GD401:GD435" si="75">ROUND(IF($C401="Primary",0,$M401*(1-$O401)*($G401*(SUMPRODUCT($Q$4:$GA$4,$Q401:$GA401)+$J401)+$H401-SUMPRODUCT($Q$5:$GA$5,$Q401:$GA401)-$I401+$K401))*IF($N401=GD$4,1,0),4)</f>
        <v>4.2799999999999998E-2</v>
      </c>
      <c r="GE401" s="178">
        <f t="shared" ref="GE401:GE432" si="76">ROUND(IF($C401="Primary",0,(1-$M401)*(1-$O401)*($G401*(SUMPRODUCT($Q$4:$GA$4,$Q401:$GA401)+$J401)+$H401-SUMPRODUCT($Q$5:$GA$5,$Q401:$GA401)-$I401+$L401))*IF($N401=GD$4,1,0),4)</f>
        <v>0</v>
      </c>
      <c r="GF401" s="178">
        <f t="shared" si="73"/>
        <v>0</v>
      </c>
      <c r="GG401" s="178">
        <f t="shared" si="69"/>
        <v>0</v>
      </c>
    </row>
    <row r="402" spans="1:342" x14ac:dyDescent="0.35">
      <c r="A402" s="6" t="s">
        <v>1636</v>
      </c>
      <c r="B402" s="6" t="str">
        <f>IF(Technologies!B402&lt;&gt;0,Technologies!B402,"")</f>
        <v>Industrie</v>
      </c>
      <c r="C402" s="6" t="str">
        <f>VLOOKUP($A402,Technologies!$A$7:$H$576,3,FALSE)</f>
        <v>Conversion</v>
      </c>
      <c r="D402" s="6" t="str">
        <f>VLOOKUP($A402,Technologies!$A$7:$H$576,4,FALSE)</f>
        <v>Ammonia</v>
      </c>
      <c r="E402" s="6" t="str">
        <f>VLOOKUP($A402,Technologies!$A$7:$H$576,6,FALSE)</f>
        <v>Ammonia</v>
      </c>
      <c r="F402" s="5" t="str">
        <f>VLOOKUP($A402,Technologies!$A$7:$H$576,7,FALSE)</f>
        <v>Haber Bosch with H2 from SMR wCCUS - Ammonia Production</v>
      </c>
      <c r="G402" s="22">
        <v>0.96846846846846846</v>
      </c>
      <c r="H402" s="22"/>
      <c r="I402" s="103" cm="1">
        <f t="array" ref="I402">-SUMPRODUCT((Feedstocks!$C$4:$C$141=A402)*Feedstocks!$E$4:$E$141,Feedstocks!$F$4:$F$141,Feedstocks!$H$4:$H$141,Feedstocks!$I$4:$I$141)</f>
        <v>0</v>
      </c>
      <c r="J402" s="103" cm="1">
        <f t="array" ref="J402">-SUMPRODUCT((Feedstocks!$C$4:$C$141=A402)*Feedstocks!$E$4:$E$141,Feedstocks!$H$4:$H$141,Feedstocks!$I$4:$I$141)</f>
        <v>0</v>
      </c>
      <c r="K402" s="103"/>
      <c r="L402" s="103"/>
      <c r="M402" s="22">
        <v>1</v>
      </c>
      <c r="N402" s="22" t="str">
        <f>VLOOKUP(E402,Activities!$A$9:$M$227,13,FALSE)</f>
        <v>NL</v>
      </c>
      <c r="O402" s="22"/>
      <c r="P402" s="79" t="s">
        <v>792</v>
      </c>
      <c r="Q402" s="36"/>
      <c r="R402" s="36"/>
      <c r="S402" s="36"/>
      <c r="T402" s="36"/>
      <c r="U402" s="36"/>
      <c r="V402" s="36"/>
      <c r="W402" s="36"/>
      <c r="X402" s="36"/>
      <c r="Y402" s="36"/>
      <c r="Z402" s="36"/>
      <c r="AA402" s="36"/>
      <c r="AB402" s="36"/>
      <c r="AC402" s="36"/>
      <c r="AD402" s="36"/>
      <c r="AE402" s="36"/>
      <c r="AF402" s="35"/>
      <c r="AG402" s="35"/>
      <c r="AH402" s="35"/>
      <c r="AI402" s="35"/>
      <c r="AJ402" s="35"/>
      <c r="AK402" s="35"/>
      <c r="AL402" s="35"/>
      <c r="AM402" s="35"/>
      <c r="AN402" s="35"/>
      <c r="AO402" s="35"/>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6"/>
      <c r="BV402" s="36"/>
      <c r="BW402" s="36"/>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c r="DC402" s="36"/>
      <c r="DD402" s="36"/>
      <c r="DE402" s="36"/>
      <c r="DF402" s="36"/>
      <c r="DG402" s="36"/>
      <c r="DH402" s="35">
        <v>-6.4102564102564097E-2</v>
      </c>
      <c r="DI402" s="36"/>
      <c r="DJ402" s="36"/>
      <c r="DK402" s="36"/>
      <c r="DL402" s="36"/>
      <c r="DM402" s="36"/>
      <c r="DN402" s="36"/>
      <c r="DO402" s="35">
        <v>0</v>
      </c>
      <c r="DP402" s="36"/>
      <c r="DQ402" s="36"/>
      <c r="DR402" s="36"/>
      <c r="DS402" s="36"/>
      <c r="DT402" s="36"/>
      <c r="DU402" s="36"/>
      <c r="DV402" s="36"/>
      <c r="DW402" s="36"/>
      <c r="DX402" s="36"/>
      <c r="DY402" s="36"/>
      <c r="DZ402" s="36"/>
      <c r="EA402" s="36"/>
      <c r="EB402" s="36"/>
      <c r="EC402" s="36"/>
      <c r="ED402" s="36"/>
      <c r="EE402" s="36"/>
      <c r="EF402" s="36"/>
      <c r="EG402" s="36"/>
      <c r="EH402" s="36"/>
      <c r="EI402" s="36"/>
      <c r="EJ402" s="35">
        <v>-1.5138945239407278</v>
      </c>
      <c r="EK402" s="36"/>
      <c r="EL402" s="36"/>
      <c r="EM402" s="36"/>
      <c r="EN402" s="36"/>
      <c r="EO402" s="36"/>
      <c r="EP402" s="36"/>
      <c r="EQ402" s="36">
        <v>1</v>
      </c>
      <c r="ER402" s="36"/>
      <c r="ES402" s="36"/>
      <c r="ET402" s="36"/>
      <c r="EU402" s="36"/>
      <c r="EV402" s="36"/>
      <c r="EW402" s="36"/>
      <c r="EX402" s="36"/>
      <c r="EY402" s="36"/>
      <c r="EZ402" s="36"/>
      <c r="FA402" s="36"/>
      <c r="FB402" s="36"/>
      <c r="FC402" s="36"/>
      <c r="FD402" s="36"/>
      <c r="FE402" s="36"/>
      <c r="FF402" s="36"/>
      <c r="FG402" s="36"/>
      <c r="FH402" s="36"/>
      <c r="FI402" s="36"/>
      <c r="FJ402" s="36"/>
      <c r="FK402" s="36"/>
      <c r="FL402" s="36"/>
      <c r="FM402" s="36"/>
      <c r="FN402" s="36"/>
      <c r="FO402" s="36"/>
      <c r="FP402" s="36"/>
      <c r="FQ402" s="36"/>
      <c r="FR402" s="36"/>
      <c r="FS402" s="36"/>
      <c r="FT402" s="36"/>
      <c r="FU402" s="36"/>
      <c r="FV402" s="36"/>
      <c r="FW402" s="36"/>
      <c r="FX402" s="36"/>
      <c r="FY402" s="36"/>
      <c r="FZ402" s="36"/>
      <c r="GA402" s="36"/>
      <c r="GB402" s="319"/>
      <c r="GC402" s="179">
        <f t="shared" si="74"/>
        <v>8.3000000000000004E-2</v>
      </c>
      <c r="GD402" s="179">
        <f t="shared" si="75"/>
        <v>2.7000000000000001E-3</v>
      </c>
      <c r="GE402" s="179">
        <f t="shared" si="76"/>
        <v>0</v>
      </c>
      <c r="GF402" s="179">
        <f t="shared" ref="GF402:GF435" si="77">ROUND(IF($C402="Primary",0,$O402*($G402*(SUMPRODUCT($Q$4:$GA$4,$Q402:$GA402)+$J402)-SUMPRODUCT($Q$5:$GA$5,$Q402:$GA402)-$I402))*IF($N402=GD$4,1,0),4)</f>
        <v>0</v>
      </c>
      <c r="GG402" s="179">
        <f t="shared" si="69"/>
        <v>0</v>
      </c>
    </row>
    <row r="403" spans="1:342" x14ac:dyDescent="0.35">
      <c r="A403" s="5" t="s">
        <v>1638</v>
      </c>
      <c r="B403" s="6" t="str">
        <f>IF(Technologies!B403&lt;&gt;0,Technologies!B403,"")</f>
        <v>Industrie</v>
      </c>
      <c r="C403" s="5" t="str">
        <f>VLOOKUP($A403,Technologies!$A$7:$H$576,3,FALSE)</f>
        <v>Conversion</v>
      </c>
      <c r="D403" s="5" t="str">
        <f>VLOOKUP($A403,Technologies!$A$7:$H$576,4,FALSE)</f>
        <v>Ammonia</v>
      </c>
      <c r="E403" s="5" t="str">
        <f>VLOOKUP($A403,Technologies!$A$7:$H$576,6,FALSE)</f>
        <v>Ammonia</v>
      </c>
      <c r="F403" s="5" t="str">
        <f>VLOOKUP($A403,Technologies!$A$7:$H$576,7,FALSE)</f>
        <v>Haber Bosch with external H2 - Ammonia Production</v>
      </c>
      <c r="G403" s="23"/>
      <c r="H403" s="23"/>
      <c r="I403" s="104" cm="1">
        <f t="array" ref="I403">-SUMPRODUCT((Feedstocks!$C$4:$C$141=A403)*Feedstocks!$E$4:$E$141,Feedstocks!$F$4:$F$141,Feedstocks!$H$4:$H$141,Feedstocks!$I$4:$I$141)</f>
        <v>0</v>
      </c>
      <c r="J403" s="104" cm="1">
        <f t="array" ref="J403">-SUMPRODUCT((Feedstocks!$C$4:$C$141=A403)*Feedstocks!$E$4:$E$141,Feedstocks!$H$4:$H$141,Feedstocks!$I$4:$I$141)</f>
        <v>0</v>
      </c>
      <c r="K403" s="104"/>
      <c r="L403" s="104"/>
      <c r="M403" s="23">
        <v>1</v>
      </c>
      <c r="N403" s="23" t="str">
        <f>VLOOKUP(E403,Activities!$A$9:$M$227,13,FALSE)</f>
        <v>NL</v>
      </c>
      <c r="O403" s="23"/>
      <c r="P403" s="79" t="s">
        <v>792</v>
      </c>
      <c r="Q403" s="35"/>
      <c r="R403" s="35"/>
      <c r="S403" s="35"/>
      <c r="T403" s="35"/>
      <c r="U403" s="35"/>
      <c r="V403" s="35"/>
      <c r="W403" s="35"/>
      <c r="X403" s="35"/>
      <c r="Y403" s="35"/>
      <c r="Z403" s="35"/>
      <c r="AA403" s="35"/>
      <c r="AB403" s="35"/>
      <c r="AC403" s="35"/>
      <c r="AD403" s="35"/>
      <c r="AE403" s="35"/>
      <c r="AF403" s="36"/>
      <c r="AG403" s="36"/>
      <c r="AH403" s="36"/>
      <c r="AI403" s="36"/>
      <c r="AJ403" s="36"/>
      <c r="AK403" s="36"/>
      <c r="AL403" s="36"/>
      <c r="AM403" s="36"/>
      <c r="AN403" s="36"/>
      <c r="AO403" s="36"/>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f>-0.1</f>
        <v>-0.1</v>
      </c>
      <c r="DI403" s="35"/>
      <c r="DJ403" s="35"/>
      <c r="DK403" s="35"/>
      <c r="DL403" s="35"/>
      <c r="DM403" s="35"/>
      <c r="DN403" s="35"/>
      <c r="DO403" s="35">
        <f>0.13</f>
        <v>0.13</v>
      </c>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f>-1.145</f>
        <v>-1.145</v>
      </c>
      <c r="EN403" s="35"/>
      <c r="EO403" s="35"/>
      <c r="EP403" s="35"/>
      <c r="EQ403" s="35">
        <v>1</v>
      </c>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18"/>
      <c r="GC403" s="178">
        <f t="shared" si="74"/>
        <v>0</v>
      </c>
      <c r="GD403" s="178">
        <f t="shared" si="75"/>
        <v>0</v>
      </c>
      <c r="GE403" s="178">
        <f t="shared" si="76"/>
        <v>0</v>
      </c>
      <c r="GF403" s="178">
        <f t="shared" si="77"/>
        <v>0</v>
      </c>
      <c r="GG403" s="178">
        <f t="shared" si="69"/>
        <v>0</v>
      </c>
    </row>
    <row r="404" spans="1:342" s="261" customFormat="1" x14ac:dyDescent="0.35">
      <c r="A404" s="256" t="s">
        <v>1640</v>
      </c>
      <c r="B404" s="6" t="str">
        <f>IF(Technologies!B404&lt;&gt;0,Technologies!B404,"")</f>
        <v>Industrie</v>
      </c>
      <c r="C404" s="256" t="str">
        <f>VLOOKUP($A404,Technologies!$A$7:$H$576,3,FALSE)</f>
        <v>Conversion</v>
      </c>
      <c r="D404" s="256" t="str">
        <f>VLOOKUP($A404,Technologies!$A$7:$H$576,4,FALSE)</f>
        <v>Ammonia</v>
      </c>
      <c r="E404" s="256" t="str">
        <f>VLOOKUP($A404,Technologies!$A$7:$H$576,6,FALSE)</f>
        <v>Ammonia</v>
      </c>
      <c r="F404" s="256" t="str">
        <f>VLOOKUP($A404,Technologies!$A$7:$H$576,7,FALSE)</f>
        <v>Haber Bosch with renewable external H2 - Ammonia Production</v>
      </c>
      <c r="G404" s="262"/>
      <c r="H404" s="262"/>
      <c r="I404" s="264" cm="1">
        <f t="array" ref="I404">-SUMPRODUCT((Feedstocks!$C$4:$C$141=A404)*Feedstocks!$E$4:$E$141,Feedstocks!$F$4:$F$141,Feedstocks!$H$4:$H$141,Feedstocks!$I$4:$I$141)</f>
        <v>0</v>
      </c>
      <c r="J404" s="264" cm="1">
        <f t="array" ref="J404">-SUMPRODUCT((Feedstocks!$C$4:$C$141=A404)*Feedstocks!$E$4:$E$141,Feedstocks!$H$4:$H$141,Feedstocks!$I$4:$I$141)</f>
        <v>0</v>
      </c>
      <c r="K404" s="264"/>
      <c r="L404" s="264"/>
      <c r="M404" s="262">
        <v>1</v>
      </c>
      <c r="N404" s="262" t="str">
        <f>VLOOKUP(E404,Activities!$A$9:$M$227,13,FALSE)</f>
        <v>NL</v>
      </c>
      <c r="O404" s="262"/>
      <c r="P404" s="79" t="s">
        <v>792</v>
      </c>
      <c r="Q404" s="266"/>
      <c r="R404" s="266"/>
      <c r="S404" s="266"/>
      <c r="T404" s="266"/>
      <c r="U404" s="266"/>
      <c r="V404" s="266"/>
      <c r="W404" s="266"/>
      <c r="X404" s="266"/>
      <c r="Y404" s="266"/>
      <c r="Z404" s="266"/>
      <c r="AA404" s="266"/>
      <c r="AB404" s="266"/>
      <c r="AC404" s="266"/>
      <c r="AD404" s="266"/>
      <c r="AE404" s="266"/>
      <c r="AF404" s="266"/>
      <c r="AG404" s="266"/>
      <c r="AH404" s="266"/>
      <c r="AI404" s="266"/>
      <c r="AJ404" s="266"/>
      <c r="AK404" s="266"/>
      <c r="AL404" s="266"/>
      <c r="AM404" s="266"/>
      <c r="AN404" s="266"/>
      <c r="AO404" s="266"/>
      <c r="AP404" s="266"/>
      <c r="AQ404" s="266"/>
      <c r="AR404" s="266"/>
      <c r="AS404" s="266"/>
      <c r="AT404" s="266"/>
      <c r="AU404" s="266"/>
      <c r="AV404" s="266"/>
      <c r="AW404" s="266"/>
      <c r="AX404" s="266"/>
      <c r="AY404" s="266"/>
      <c r="AZ404" s="266"/>
      <c r="BA404" s="266"/>
      <c r="BB404" s="266"/>
      <c r="BC404" s="266"/>
      <c r="BD404" s="266"/>
      <c r="BE404" s="266"/>
      <c r="BF404" s="266"/>
      <c r="BG404" s="266"/>
      <c r="BH404" s="266"/>
      <c r="BI404" s="266"/>
      <c r="BJ404" s="266"/>
      <c r="BK404" s="266"/>
      <c r="BL404" s="266"/>
      <c r="BM404" s="266"/>
      <c r="BN404" s="266"/>
      <c r="BO404" s="266"/>
      <c r="BP404" s="266"/>
      <c r="BQ404" s="266"/>
      <c r="BR404" s="266"/>
      <c r="BS404" s="266"/>
      <c r="BT404" s="266"/>
      <c r="BU404" s="266"/>
      <c r="BV404" s="266"/>
      <c r="BW404" s="266"/>
      <c r="BX404" s="266"/>
      <c r="BY404" s="266"/>
      <c r="BZ404" s="266"/>
      <c r="CA404" s="266"/>
      <c r="CB404" s="266"/>
      <c r="CC404" s="266"/>
      <c r="CD404" s="266"/>
      <c r="CE404" s="266"/>
      <c r="CF404" s="266"/>
      <c r="CG404" s="266"/>
      <c r="CH404" s="266"/>
      <c r="CI404" s="266"/>
      <c r="CJ404" s="266"/>
      <c r="CK404" s="266"/>
      <c r="CL404" s="266"/>
      <c r="CM404" s="266"/>
      <c r="CN404" s="266"/>
      <c r="CO404" s="266"/>
      <c r="CP404" s="266"/>
      <c r="CQ404" s="266"/>
      <c r="CR404" s="266"/>
      <c r="CS404" s="266"/>
      <c r="CT404" s="266"/>
      <c r="CU404" s="266"/>
      <c r="CV404" s="266"/>
      <c r="CW404" s="266"/>
      <c r="CX404" s="266"/>
      <c r="CY404" s="266"/>
      <c r="CZ404" s="266"/>
      <c r="DA404" s="266"/>
      <c r="DB404" s="266"/>
      <c r="DC404" s="266"/>
      <c r="DD404" s="266"/>
      <c r="DE404" s="266"/>
      <c r="DF404" s="266"/>
      <c r="DG404" s="266"/>
      <c r="DH404" s="266">
        <f>-0.1</f>
        <v>-0.1</v>
      </c>
      <c r="DI404" s="266"/>
      <c r="DJ404" s="266"/>
      <c r="DK404" s="266"/>
      <c r="DL404" s="266"/>
      <c r="DM404" s="266"/>
      <c r="DN404" s="266"/>
      <c r="DO404" s="266">
        <f>0.13</f>
        <v>0.13</v>
      </c>
      <c r="DP404" s="266"/>
      <c r="DQ404" s="266"/>
      <c r="DR404" s="266"/>
      <c r="DS404" s="266"/>
      <c r="DT404" s="266"/>
      <c r="DU404" s="266"/>
      <c r="DV404" s="266"/>
      <c r="DW404" s="266"/>
      <c r="DX404" s="266"/>
      <c r="DY404" s="266"/>
      <c r="DZ404" s="266"/>
      <c r="EA404" s="266"/>
      <c r="EB404" s="266"/>
      <c r="EC404" s="266"/>
      <c r="ED404" s="266"/>
      <c r="EE404" s="266"/>
      <c r="EF404" s="266"/>
      <c r="EG404" s="266"/>
      <c r="EH404" s="266"/>
      <c r="EI404" s="266"/>
      <c r="EJ404" s="266"/>
      <c r="EK404" s="266"/>
      <c r="EL404" s="266"/>
      <c r="EM404" s="266">
        <f>-1.145</f>
        <v>-1.145</v>
      </c>
      <c r="EN404" s="266"/>
      <c r="EO404" s="266"/>
      <c r="EP404" s="266"/>
      <c r="EQ404" s="266">
        <v>1</v>
      </c>
      <c r="ER404" s="266"/>
      <c r="ES404" s="266"/>
      <c r="ET404" s="266"/>
      <c r="EU404" s="266"/>
      <c r="EV404" s="266"/>
      <c r="EW404" s="266"/>
      <c r="EX404" s="266"/>
      <c r="EY404" s="266"/>
      <c r="EZ404" s="266"/>
      <c r="FA404" s="266"/>
      <c r="FB404" s="266"/>
      <c r="FC404" s="266"/>
      <c r="FD404" s="266"/>
      <c r="FE404" s="266"/>
      <c r="FF404" s="266"/>
      <c r="FG404" s="266"/>
      <c r="FH404" s="266"/>
      <c r="FI404" s="266"/>
      <c r="FJ404" s="266"/>
      <c r="FK404" s="266"/>
      <c r="FL404" s="266"/>
      <c r="FM404" s="266"/>
      <c r="FN404" s="266"/>
      <c r="FO404" s="266"/>
      <c r="FP404" s="266"/>
      <c r="FQ404" s="266"/>
      <c r="FR404" s="266"/>
      <c r="FS404" s="266"/>
      <c r="FT404" s="266"/>
      <c r="FU404" s="266"/>
      <c r="FV404" s="266"/>
      <c r="FW404" s="266"/>
      <c r="FX404" s="266"/>
      <c r="FY404" s="266"/>
      <c r="FZ404" s="266"/>
      <c r="GA404" s="266"/>
      <c r="GB404" s="321"/>
      <c r="GC404" s="267">
        <f t="shared" si="74"/>
        <v>0</v>
      </c>
      <c r="GD404" s="267">
        <f t="shared" si="75"/>
        <v>0</v>
      </c>
      <c r="GE404" s="267">
        <f t="shared" si="76"/>
        <v>0</v>
      </c>
      <c r="GF404" s="267">
        <f t="shared" si="77"/>
        <v>0</v>
      </c>
      <c r="GG404" s="267">
        <f t="shared" si="69"/>
        <v>0</v>
      </c>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row>
    <row r="405" spans="1:342" x14ac:dyDescent="0.35">
      <c r="A405" s="6" t="s">
        <v>1642</v>
      </c>
      <c r="B405" s="6" t="str">
        <f>IF(Technologies!B405&lt;&gt;0,Technologies!B405,"")</f>
        <v>Industrie</v>
      </c>
      <c r="C405" s="6" t="str">
        <f>VLOOKUP($A405,Technologies!$A$7:$H$576,3,FALSE)</f>
        <v>Conversion</v>
      </c>
      <c r="D405" s="6" t="str">
        <f>VLOOKUP($A405,Technologies!$A$7:$H$576,4,FALSE)</f>
        <v>Ammonia</v>
      </c>
      <c r="E405" s="6" t="str">
        <f>VLOOKUP($A405,Technologies!$A$7:$H$576,6,FALSE)</f>
        <v>Ammonia</v>
      </c>
      <c r="F405" s="5" t="str">
        <f>VLOOKUP($A405,Technologies!$A$7:$H$576,7,FALSE)</f>
        <v>Haber Bosch with electrolyzer - Ammonia Production</v>
      </c>
      <c r="G405" s="22"/>
      <c r="H405" s="22"/>
      <c r="I405" s="103" cm="1">
        <f t="array" ref="I405">-SUMPRODUCT((Feedstocks!$C$4:$C$141=A405)*Feedstocks!$E$4:$E$141,Feedstocks!$F$4:$F$141,Feedstocks!$H$4:$H$141,Feedstocks!$I$4:$I$141)</f>
        <v>0</v>
      </c>
      <c r="J405" s="103" cm="1">
        <f t="array" ref="J405">-SUMPRODUCT((Feedstocks!$C$4:$C$141=A405)*Feedstocks!$E$4:$E$141,Feedstocks!$H$4:$H$141,Feedstocks!$I$4:$I$141)</f>
        <v>0</v>
      </c>
      <c r="K405" s="103"/>
      <c r="L405" s="103"/>
      <c r="M405" s="22">
        <v>1</v>
      </c>
      <c r="N405" s="22" t="str">
        <f>VLOOKUP(E405,Activities!$A$9:$M$227,13,FALSE)</f>
        <v>NL</v>
      </c>
      <c r="O405" s="22"/>
      <c r="P405" s="79" t="s">
        <v>792</v>
      </c>
      <c r="Q405" s="36"/>
      <c r="R405" s="36"/>
      <c r="S405" s="36"/>
      <c r="T405" s="36"/>
      <c r="U405" s="36"/>
      <c r="V405" s="36"/>
      <c r="W405" s="36"/>
      <c r="X405" s="36"/>
      <c r="Y405" s="36"/>
      <c r="Z405" s="36"/>
      <c r="AA405" s="36"/>
      <c r="AB405" s="36"/>
      <c r="AC405" s="36"/>
      <c r="AD405" s="36"/>
      <c r="AE405" s="36"/>
      <c r="AF405" s="35"/>
      <c r="AG405" s="35"/>
      <c r="AH405" s="35"/>
      <c r="AI405" s="35"/>
      <c r="AJ405" s="35"/>
      <c r="AK405" s="35"/>
      <c r="AL405" s="35"/>
      <c r="AM405" s="35"/>
      <c r="AN405" s="35"/>
      <c r="AO405" s="35"/>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6"/>
      <c r="BV405" s="36"/>
      <c r="BW405" s="36"/>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c r="DC405" s="36"/>
      <c r="DD405" s="36"/>
      <c r="DE405" s="36"/>
      <c r="DF405" s="36"/>
      <c r="DG405" s="36"/>
      <c r="DH405" s="36">
        <v>-1.9237352555367262</v>
      </c>
      <c r="DI405" s="36"/>
      <c r="DJ405" s="36"/>
      <c r="DK405" s="36"/>
      <c r="DL405" s="36"/>
      <c r="DM405" s="36"/>
      <c r="DN405" s="36"/>
      <c r="DO405" s="36">
        <v>0.1304945054945055</v>
      </c>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c r="EL405" s="36"/>
      <c r="EM405" s="36"/>
      <c r="EN405" s="36"/>
      <c r="EO405" s="36"/>
      <c r="EP405" s="36"/>
      <c r="EQ405" s="36">
        <v>1</v>
      </c>
      <c r="ER405" s="36"/>
      <c r="ES405" s="36"/>
      <c r="ET405" s="36"/>
      <c r="EU405" s="36"/>
      <c r="EV405" s="36"/>
      <c r="EW405" s="36"/>
      <c r="EX405" s="36"/>
      <c r="EY405" s="36"/>
      <c r="EZ405" s="36"/>
      <c r="FA405" s="36"/>
      <c r="FB405" s="36"/>
      <c r="FC405" s="36"/>
      <c r="FD405" s="36"/>
      <c r="FE405" s="36"/>
      <c r="FF405" s="36"/>
      <c r="FG405" s="36"/>
      <c r="FH405" s="36"/>
      <c r="FI405" s="36"/>
      <c r="FJ405" s="36"/>
      <c r="FK405" s="36"/>
      <c r="FL405" s="36"/>
      <c r="FM405" s="36"/>
      <c r="FN405" s="36"/>
      <c r="FO405" s="36"/>
      <c r="FP405" s="36"/>
      <c r="FQ405" s="36"/>
      <c r="FR405" s="36"/>
      <c r="FS405" s="36"/>
      <c r="FT405" s="36"/>
      <c r="FU405" s="36"/>
      <c r="FV405" s="36"/>
      <c r="FW405" s="36"/>
      <c r="FX405" s="36"/>
      <c r="FY405" s="36"/>
      <c r="FZ405" s="36"/>
      <c r="GA405" s="36"/>
      <c r="GB405" s="319"/>
      <c r="GC405" s="179">
        <f t="shared" si="74"/>
        <v>0</v>
      </c>
      <c r="GD405" s="179">
        <f t="shared" si="75"/>
        <v>0</v>
      </c>
      <c r="GE405" s="179">
        <f t="shared" si="76"/>
        <v>0</v>
      </c>
      <c r="GF405" s="179">
        <f t="shared" si="77"/>
        <v>0</v>
      </c>
      <c r="GG405" s="179">
        <f t="shared" si="69"/>
        <v>0</v>
      </c>
    </row>
    <row r="406" spans="1:342" x14ac:dyDescent="0.35">
      <c r="A406" s="5" t="s">
        <v>1644</v>
      </c>
      <c r="B406" s="6" t="str">
        <f>IF(Technologies!B406&lt;&gt;0,Technologies!B406,"")</f>
        <v>Industrie</v>
      </c>
      <c r="C406" s="5" t="str">
        <f>VLOOKUP($A406,Technologies!$A$7:$H$576,3,FALSE)</f>
        <v>Conversion</v>
      </c>
      <c r="D406" s="5" t="str">
        <f>VLOOKUP($A406,Technologies!$A$7:$H$576,4,FALSE)</f>
        <v>Ammonia</v>
      </c>
      <c r="E406" s="5" t="str">
        <f>VLOOKUP($A406,Technologies!$A$7:$H$576,6,FALSE)</f>
        <v>Ammonia</v>
      </c>
      <c r="F406" s="5" t="str">
        <f>VLOOKUP($A406,Technologies!$A$7:$H$576,7,FALSE)</f>
        <v>Solid State Ammonia Synthesis - Ammonia Production</v>
      </c>
      <c r="G406" s="23"/>
      <c r="H406" s="23"/>
      <c r="I406" s="104" cm="1">
        <f t="array" ref="I406">-SUMPRODUCT((Feedstocks!$C$4:$C$141=A406)*Feedstocks!$E$4:$E$141,Feedstocks!$F$4:$F$141,Feedstocks!$H$4:$H$141,Feedstocks!$I$4:$I$141)</f>
        <v>0</v>
      </c>
      <c r="J406" s="104" cm="1">
        <f t="array" ref="J406">-SUMPRODUCT((Feedstocks!$C$4:$C$141=A406)*Feedstocks!$E$4:$E$141,Feedstocks!$H$4:$H$141,Feedstocks!$I$4:$I$141)</f>
        <v>0</v>
      </c>
      <c r="K406" s="104"/>
      <c r="L406" s="104"/>
      <c r="M406" s="23">
        <v>1</v>
      </c>
      <c r="N406" s="23" t="str">
        <f>VLOOKUP(E406,Activities!$A$9:$M$227,13,FALSE)</f>
        <v>NL</v>
      </c>
      <c r="O406" s="23"/>
      <c r="P406" s="79"/>
      <c r="Q406" s="35"/>
      <c r="R406" s="35"/>
      <c r="S406" s="35"/>
      <c r="T406" s="35"/>
      <c r="U406" s="35"/>
      <c r="V406" s="35"/>
      <c r="W406" s="35"/>
      <c r="X406" s="35"/>
      <c r="Y406" s="35"/>
      <c r="Z406" s="35"/>
      <c r="AA406" s="35"/>
      <c r="AB406" s="35"/>
      <c r="AC406" s="35"/>
      <c r="AD406" s="35"/>
      <c r="AE406" s="35"/>
      <c r="AF406" s="36"/>
      <c r="AG406" s="36"/>
      <c r="AH406" s="36"/>
      <c r="AI406" s="36"/>
      <c r="AJ406" s="36"/>
      <c r="AK406" s="36"/>
      <c r="AL406" s="36"/>
      <c r="AM406" s="36"/>
      <c r="AN406" s="36"/>
      <c r="AO406" s="36"/>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v>-1.75</v>
      </c>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v>1</v>
      </c>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18"/>
      <c r="GC406" s="178">
        <f t="shared" si="74"/>
        <v>0</v>
      </c>
      <c r="GD406" s="178">
        <f t="shared" si="75"/>
        <v>0</v>
      </c>
      <c r="GE406" s="178">
        <f t="shared" si="76"/>
        <v>0</v>
      </c>
      <c r="GF406" s="178">
        <f t="shared" si="77"/>
        <v>0</v>
      </c>
      <c r="GG406" s="178">
        <f t="shared" si="69"/>
        <v>0</v>
      </c>
    </row>
    <row r="407" spans="1:342" x14ac:dyDescent="0.35">
      <c r="A407" s="6" t="s">
        <v>1646</v>
      </c>
      <c r="B407" s="6" t="str">
        <f>IF(Technologies!B407&lt;&gt;0,Technologies!B407,"")</f>
        <v>Industrie</v>
      </c>
      <c r="C407" s="6" t="str">
        <f>VLOOKUP($A407,Technologies!$A$7:$H$576,3,FALSE)</f>
        <v>Primary</v>
      </c>
      <c r="D407" s="6" t="str">
        <f>VLOOKUP($A407,Technologies!$A$7:$H$576,4,FALSE)</f>
        <v>Ammonia</v>
      </c>
      <c r="E407" s="6" t="str">
        <f>VLOOKUP($A407,Technologies!$A$7:$H$576,6,FALSE)</f>
        <v>Ammonia</v>
      </c>
      <c r="F407" s="5" t="str">
        <f>VLOOKUP($A407,Technologies!$A$7:$H$576,7,FALSE)</f>
        <v>Imported Ammonia - Ammonia Production</v>
      </c>
      <c r="G407" s="22"/>
      <c r="H407" s="22"/>
      <c r="I407" s="103" cm="1">
        <f t="array" ref="I407">-SUMPRODUCT((Feedstocks!$C$4:$C$141=A407)*Feedstocks!$E$4:$E$141,Feedstocks!$F$4:$F$141,Feedstocks!$H$4:$H$141,Feedstocks!$I$4:$I$141)</f>
        <v>0</v>
      </c>
      <c r="J407" s="103" cm="1">
        <f t="array" ref="J407">-SUMPRODUCT((Feedstocks!$C$4:$C$141=A407)*Feedstocks!$E$4:$E$141,Feedstocks!$H$4:$H$141,Feedstocks!$I$4:$I$141)</f>
        <v>0</v>
      </c>
      <c r="K407" s="103"/>
      <c r="L407" s="103"/>
      <c r="M407" s="22">
        <v>1</v>
      </c>
      <c r="N407" s="22" t="str">
        <f>VLOOKUP(E407,Activities!$A$9:$M$227,13,FALSE)</f>
        <v>NL</v>
      </c>
      <c r="O407" s="22"/>
      <c r="P407" s="80"/>
      <c r="Q407" s="36"/>
      <c r="R407" s="36"/>
      <c r="S407" s="36"/>
      <c r="T407" s="36"/>
      <c r="U407" s="36"/>
      <c r="V407" s="36"/>
      <c r="W407" s="36"/>
      <c r="X407" s="36"/>
      <c r="Y407" s="36"/>
      <c r="Z407" s="36"/>
      <c r="AA407" s="36"/>
      <c r="AB407" s="36"/>
      <c r="AC407" s="36"/>
      <c r="AD407" s="36"/>
      <c r="AE407" s="36"/>
      <c r="AF407" s="35"/>
      <c r="AG407" s="35"/>
      <c r="AH407" s="35"/>
      <c r="AI407" s="35"/>
      <c r="AJ407" s="35"/>
      <c r="AK407" s="35"/>
      <c r="AL407" s="35"/>
      <c r="AM407" s="35"/>
      <c r="AN407" s="35"/>
      <c r="AO407" s="35"/>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6"/>
      <c r="BV407" s="36"/>
      <c r="BW407" s="36"/>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36"/>
      <c r="CT407" s="36"/>
      <c r="CU407" s="36"/>
      <c r="CV407" s="36"/>
      <c r="CW407" s="36"/>
      <c r="CX407" s="36"/>
      <c r="CY407" s="36"/>
      <c r="CZ407" s="36"/>
      <c r="DA407" s="36"/>
      <c r="DB407" s="36"/>
      <c r="DC407" s="36"/>
      <c r="DD407" s="36"/>
      <c r="DE407" s="36"/>
      <c r="DF407" s="36"/>
      <c r="DG407" s="36"/>
      <c r="DH407" s="36"/>
      <c r="DI407" s="36"/>
      <c r="DJ407" s="36"/>
      <c r="DK407" s="36"/>
      <c r="DL407" s="36"/>
      <c r="DM407" s="36"/>
      <c r="DN407" s="36"/>
      <c r="DO407" s="36"/>
      <c r="DP407" s="36"/>
      <c r="DQ407" s="36"/>
      <c r="DR407" s="36"/>
      <c r="DS407" s="36"/>
      <c r="DT407" s="36"/>
      <c r="DU407" s="36"/>
      <c r="DV407" s="36"/>
      <c r="DW407" s="36"/>
      <c r="DX407" s="36"/>
      <c r="DY407" s="36"/>
      <c r="DZ407" s="36"/>
      <c r="EA407" s="36"/>
      <c r="EB407" s="36"/>
      <c r="EC407" s="36"/>
      <c r="ED407" s="36"/>
      <c r="EE407" s="36"/>
      <c r="EF407" s="36"/>
      <c r="EG407" s="36"/>
      <c r="EH407" s="36"/>
      <c r="EI407" s="36"/>
      <c r="EJ407" s="36"/>
      <c r="EK407" s="36"/>
      <c r="EL407" s="36"/>
      <c r="EM407" s="36"/>
      <c r="EN407" s="36"/>
      <c r="EO407" s="36"/>
      <c r="EP407" s="36"/>
      <c r="EQ407" s="36">
        <v>1</v>
      </c>
      <c r="ER407" s="36"/>
      <c r="ES407" s="36"/>
      <c r="ET407" s="36"/>
      <c r="EU407" s="36"/>
      <c r="EV407" s="36"/>
      <c r="EW407" s="36"/>
      <c r="EX407" s="36"/>
      <c r="EY407" s="36"/>
      <c r="EZ407" s="36"/>
      <c r="FA407" s="36"/>
      <c r="FB407" s="36"/>
      <c r="FC407" s="36"/>
      <c r="FD407" s="36"/>
      <c r="FE407" s="36"/>
      <c r="FF407" s="36"/>
      <c r="FG407" s="36"/>
      <c r="FH407" s="36"/>
      <c r="FI407" s="36"/>
      <c r="FJ407" s="36"/>
      <c r="FK407" s="36"/>
      <c r="FL407" s="36"/>
      <c r="FM407" s="36"/>
      <c r="FN407" s="36"/>
      <c r="FO407" s="36"/>
      <c r="FP407" s="36"/>
      <c r="FQ407" s="36"/>
      <c r="FR407" s="36"/>
      <c r="FS407" s="36"/>
      <c r="FT407" s="36"/>
      <c r="FU407" s="36"/>
      <c r="FV407" s="36"/>
      <c r="FW407" s="36"/>
      <c r="FX407" s="36"/>
      <c r="FY407" s="36"/>
      <c r="FZ407" s="36"/>
      <c r="GA407" s="36"/>
      <c r="GB407" s="319"/>
      <c r="GC407" s="178">
        <f t="shared" si="74"/>
        <v>0</v>
      </c>
      <c r="GD407" s="178">
        <f t="shared" si="75"/>
        <v>0</v>
      </c>
      <c r="GE407" s="178">
        <f t="shared" si="76"/>
        <v>0</v>
      </c>
      <c r="GF407" s="178">
        <f t="shared" si="77"/>
        <v>0</v>
      </c>
      <c r="GG407" s="178">
        <f t="shared" si="69"/>
        <v>0</v>
      </c>
    </row>
    <row r="408" spans="1:342" x14ac:dyDescent="0.35">
      <c r="A408" s="6" t="s">
        <v>1649</v>
      </c>
      <c r="B408" s="6" t="str">
        <f>IF(Technologies!B408&lt;&gt;0,Technologies!B408,"")</f>
        <v>Industrie</v>
      </c>
      <c r="C408" s="6" t="str">
        <f>VLOOKUP($A408,Technologies!$A$7:$H$576,3,FALSE)</f>
        <v>Conversion</v>
      </c>
      <c r="D408" s="6" t="str">
        <f>VLOOKUP($A408,Technologies!$A$7:$H$576,4,FALSE)</f>
        <v>Ammonia</v>
      </c>
      <c r="E408" s="6" t="str">
        <f>VLOOKUP($A408,Technologies!$A$7:$H$576,6,FALSE)</f>
        <v>Ammonia</v>
      </c>
      <c r="F408" s="5" t="str">
        <f>VLOOKUP($A408,Technologies!$A$7:$H$576,7,FALSE)</f>
        <v>Haber Bosch with eSMR and CC - Ammonia Production</v>
      </c>
      <c r="G408" s="22">
        <v>0.98529411764705888</v>
      </c>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
        <v>320</v>
      </c>
      <c r="O408" s="22"/>
      <c r="P408" s="79" t="s">
        <v>792</v>
      </c>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v>-0.44014423076923087</v>
      </c>
      <c r="DI408" s="36"/>
      <c r="DJ408" s="36"/>
      <c r="DK408" s="36"/>
      <c r="DL408" s="36"/>
      <c r="DM408" s="36"/>
      <c r="DN408" s="36"/>
      <c r="DO408" s="36">
        <v>0.1304945054945055</v>
      </c>
      <c r="DP408" s="36"/>
      <c r="DQ408" s="36"/>
      <c r="DR408" s="36"/>
      <c r="DS408" s="36"/>
      <c r="DT408" s="36"/>
      <c r="DU408" s="36"/>
      <c r="DV408" s="36"/>
      <c r="DW408" s="36"/>
      <c r="DX408" s="36"/>
      <c r="DY408" s="36"/>
      <c r="DZ408" s="36"/>
      <c r="EA408" s="36"/>
      <c r="EB408" s="36"/>
      <c r="EC408" s="36"/>
      <c r="ED408" s="36"/>
      <c r="EE408" s="36"/>
      <c r="EF408" s="36"/>
      <c r="EG408" s="36"/>
      <c r="EH408" s="36"/>
      <c r="EI408" s="36"/>
      <c r="EJ408" s="36">
        <v>-1.2362637362637363</v>
      </c>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6.8900000000000003E-2</v>
      </c>
      <c r="GD408" s="178">
        <f t="shared" si="75"/>
        <v>1E-3</v>
      </c>
      <c r="GE408" s="178">
        <f t="shared" si="76"/>
        <v>0</v>
      </c>
      <c r="GF408" s="178">
        <f t="shared" si="77"/>
        <v>0</v>
      </c>
      <c r="GG408" s="178">
        <f t="shared" si="69"/>
        <v>0</v>
      </c>
    </row>
    <row r="409" spans="1:342" x14ac:dyDescent="0.35">
      <c r="A409" s="5" t="s">
        <v>1651</v>
      </c>
      <c r="B409" s="6" t="str">
        <f>IF(Technologies!B409&lt;&gt;0,Technologies!B409,"")</f>
        <v>Industrie</v>
      </c>
      <c r="C409" s="5" t="str">
        <f>VLOOKUP($A409,Technologies!$A$7:$H$576,3,FALSE)</f>
        <v>Conversion</v>
      </c>
      <c r="D409" s="5" t="str">
        <f>VLOOKUP($A409,Technologies!$A$7:$H$576,4,FALSE)</f>
        <v>Final Biomass</v>
      </c>
      <c r="E409" s="5" t="str">
        <f>VLOOKUP($A409,Technologies!$A$7:$H$576,6,FALSE)</f>
        <v>Biomass</v>
      </c>
      <c r="F409" s="5" t="str">
        <f>VLOOKUP($A409,Technologies!$A$7:$H$576,7,FALSE)</f>
        <v>Biomass from wood - Final Biomass</v>
      </c>
      <c r="G409" s="23"/>
      <c r="H409" s="23"/>
      <c r="I409" s="104" cm="1">
        <f t="array" ref="I409">-SUMPRODUCT((Feedstocks!$C$4:$C$141=A409)*Feedstocks!$E$4:$E$141,Feedstocks!$F$4:$F$141,Feedstocks!$H$4:$H$141,Feedstocks!$I$4:$I$141)</f>
        <v>0</v>
      </c>
      <c r="J409" s="104" cm="1">
        <f t="array" ref="J409">-SUMPRODUCT((Feedstocks!$C$4:$C$141=A409)*Feedstocks!$E$4:$E$141,Feedstocks!$H$4:$H$141,Feedstocks!$I$4:$I$141)</f>
        <v>0</v>
      </c>
      <c r="K409" s="104"/>
      <c r="L409" s="104"/>
      <c r="M409" s="23"/>
      <c r="N409" s="23" t="str">
        <f>VLOOKUP(E409,Activities!$A$9:$M$227,13,FALSE)</f>
        <v>NL</v>
      </c>
      <c r="O409" s="23"/>
      <c r="P409" s="79" t="s">
        <v>415</v>
      </c>
      <c r="Q409" s="35"/>
      <c r="R409" s="35"/>
      <c r="S409" s="35"/>
      <c r="T409" s="35"/>
      <c r="U409" s="35"/>
      <c r="V409" s="35"/>
      <c r="W409" s="35"/>
      <c r="X409" s="35"/>
      <c r="Y409" s="35"/>
      <c r="Z409" s="35"/>
      <c r="AA409" s="35"/>
      <c r="AB409" s="35"/>
      <c r="AC409" s="35"/>
      <c r="AD409" s="35"/>
      <c r="AE409" s="35"/>
      <c r="AF409" s="36"/>
      <c r="AG409" s="36"/>
      <c r="AH409" s="36"/>
      <c r="AI409" s="36"/>
      <c r="AJ409" s="36"/>
      <c r="AK409" s="36"/>
      <c r="AL409" s="36"/>
      <c r="AM409" s="36"/>
      <c r="AN409" s="36"/>
      <c r="AO409" s="36"/>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v>1</v>
      </c>
      <c r="ES409" s="35"/>
      <c r="ET409" s="35"/>
      <c r="EU409" s="35"/>
      <c r="EV409" s="35"/>
      <c r="EW409" s="35"/>
      <c r="EX409" s="35"/>
      <c r="EY409" s="35"/>
      <c r="EZ409" s="35"/>
      <c r="FA409" s="35">
        <v>-1</v>
      </c>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18"/>
      <c r="GC409" s="178">
        <f t="shared" si="74"/>
        <v>0</v>
      </c>
      <c r="GD409" s="178">
        <f t="shared" si="75"/>
        <v>0</v>
      </c>
      <c r="GE409" s="178">
        <f t="shared" si="76"/>
        <v>0</v>
      </c>
      <c r="GF409" s="178">
        <f t="shared" si="77"/>
        <v>0</v>
      </c>
      <c r="GG409" s="178">
        <f t="shared" si="69"/>
        <v>0</v>
      </c>
    </row>
    <row r="410" spans="1:342" x14ac:dyDescent="0.35">
      <c r="A410" s="6" t="s">
        <v>1654</v>
      </c>
      <c r="B410" s="6" t="str">
        <f>IF(Technologies!B410&lt;&gt;0,Technologies!B410,"")</f>
        <v>Industrie</v>
      </c>
      <c r="C410" s="6" t="str">
        <f>VLOOKUP($A410,Technologies!$A$7:$H$576,3,FALSE)</f>
        <v>Conversion</v>
      </c>
      <c r="D410" s="6" t="str">
        <f>VLOOKUP($A410,Technologies!$A$7:$H$576,4,FALSE)</f>
        <v>Final Biomass</v>
      </c>
      <c r="E410" s="6" t="str">
        <f>VLOOKUP($A410,Technologies!$A$7:$H$576,6,FALSE)</f>
        <v>Biomass</v>
      </c>
      <c r="F410" s="48" t="str">
        <f>VLOOKUP($A410,Technologies!$A$7:$H$576,7,FALSE)</f>
        <v>Biomass from grasscrops - Final Biomass</v>
      </c>
      <c r="G410" s="22"/>
      <c r="H410" s="22"/>
      <c r="I410" s="103" cm="1">
        <f t="array" ref="I410">-SUMPRODUCT((Feedstocks!$C$4:$C$141=A410)*Feedstocks!$E$4:$E$141,Feedstocks!$F$4:$F$141,Feedstocks!$H$4:$H$141,Feedstocks!$I$4:$I$141)</f>
        <v>0</v>
      </c>
      <c r="J410" s="103" cm="1">
        <f t="array" ref="J410">-SUMPRODUCT((Feedstocks!$C$4:$C$141=A410)*Feedstocks!$E$4:$E$141,Feedstocks!$H$4:$H$141,Feedstocks!$I$4:$I$141)</f>
        <v>0</v>
      </c>
      <c r="K410" s="103"/>
      <c r="L410" s="103"/>
      <c r="M410" s="22"/>
      <c r="N410" s="22" t="str">
        <f>VLOOKUP(E410,Activities!$A$9:$M$227,13,FALSE)</f>
        <v>NL</v>
      </c>
      <c r="O410" s="22"/>
      <c r="P410" s="80" t="s">
        <v>415</v>
      </c>
      <c r="Q410" s="36"/>
      <c r="R410" s="36"/>
      <c r="S410" s="36"/>
      <c r="T410" s="36"/>
      <c r="U410" s="36"/>
      <c r="V410" s="36"/>
      <c r="W410" s="36"/>
      <c r="X410" s="36"/>
      <c r="Y410" s="36"/>
      <c r="Z410" s="36"/>
      <c r="AA410" s="36"/>
      <c r="AB410" s="36"/>
      <c r="AC410" s="36"/>
      <c r="AD410" s="36"/>
      <c r="AE410" s="36"/>
      <c r="AF410" s="35"/>
      <c r="AG410" s="35"/>
      <c r="AH410" s="35"/>
      <c r="AI410" s="35"/>
      <c r="AJ410" s="35"/>
      <c r="AK410" s="35"/>
      <c r="AL410" s="35"/>
      <c r="AM410" s="35"/>
      <c r="AN410" s="35"/>
      <c r="AO410" s="35"/>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6"/>
      <c r="BV410" s="36"/>
      <c r="BW410" s="36"/>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c r="CW410" s="36"/>
      <c r="CX410" s="36"/>
      <c r="CY410" s="36"/>
      <c r="CZ410" s="36"/>
      <c r="DA410" s="36"/>
      <c r="DB410" s="36"/>
      <c r="DC410" s="36"/>
      <c r="DD410" s="36"/>
      <c r="DE410" s="36"/>
      <c r="DF410" s="36"/>
      <c r="DG410" s="36"/>
      <c r="DH410" s="36"/>
      <c r="DI410" s="36"/>
      <c r="DJ410" s="36"/>
      <c r="DK410" s="36"/>
      <c r="DL410" s="36"/>
      <c r="DM410" s="36"/>
      <c r="DN410" s="36"/>
      <c r="DO410" s="36"/>
      <c r="DP410" s="36"/>
      <c r="DQ410" s="36"/>
      <c r="DR410" s="36"/>
      <c r="DS410" s="36"/>
      <c r="DT410" s="36"/>
      <c r="DU410" s="36"/>
      <c r="DV410" s="36"/>
      <c r="DW410" s="36"/>
      <c r="DX410" s="36"/>
      <c r="DY410" s="36"/>
      <c r="DZ410" s="36"/>
      <c r="EA410" s="36"/>
      <c r="EB410" s="36"/>
      <c r="EC410" s="36"/>
      <c r="ED410" s="36"/>
      <c r="EE410" s="36"/>
      <c r="EF410" s="36"/>
      <c r="EG410" s="36"/>
      <c r="EH410" s="36"/>
      <c r="EI410" s="36"/>
      <c r="EJ410" s="36"/>
      <c r="EK410" s="36"/>
      <c r="EL410" s="36"/>
      <c r="EM410" s="36"/>
      <c r="EN410" s="36"/>
      <c r="EO410" s="36"/>
      <c r="EP410" s="36"/>
      <c r="EQ410" s="36"/>
      <c r="ER410" s="36">
        <v>1</v>
      </c>
      <c r="ES410" s="36"/>
      <c r="ET410" s="36"/>
      <c r="EU410" s="36"/>
      <c r="EV410" s="36"/>
      <c r="EW410" s="36"/>
      <c r="EX410" s="36"/>
      <c r="EY410" s="36"/>
      <c r="EZ410" s="36"/>
      <c r="FA410" s="36"/>
      <c r="FB410" s="36">
        <v>-1</v>
      </c>
      <c r="FC410" s="36"/>
      <c r="FD410" s="36"/>
      <c r="FE410" s="36"/>
      <c r="FF410" s="36"/>
      <c r="FG410" s="36"/>
      <c r="FH410" s="36"/>
      <c r="FI410" s="36"/>
      <c r="FJ410" s="36"/>
      <c r="FK410" s="36"/>
      <c r="FL410" s="36"/>
      <c r="FM410" s="36"/>
      <c r="FN410" s="36"/>
      <c r="FO410" s="36"/>
      <c r="FP410" s="36"/>
      <c r="FQ410" s="36"/>
      <c r="FR410" s="36"/>
      <c r="FS410" s="36"/>
      <c r="FT410" s="36"/>
      <c r="FU410" s="36"/>
      <c r="FV410" s="36"/>
      <c r="FW410" s="36"/>
      <c r="FX410" s="36"/>
      <c r="FY410" s="36"/>
      <c r="FZ410" s="36"/>
      <c r="GA410" s="36"/>
      <c r="GB410" s="319"/>
      <c r="GC410" s="179">
        <f t="shared" si="74"/>
        <v>0</v>
      </c>
      <c r="GD410" s="179">
        <f t="shared" si="75"/>
        <v>0</v>
      </c>
      <c r="GE410" s="179">
        <f t="shared" si="76"/>
        <v>0</v>
      </c>
      <c r="GF410" s="179">
        <f t="shared" si="77"/>
        <v>0</v>
      </c>
      <c r="GG410" s="179">
        <f t="shared" si="69"/>
        <v>0</v>
      </c>
    </row>
    <row r="411" spans="1:342" x14ac:dyDescent="0.35">
      <c r="A411" s="5" t="s">
        <v>1656</v>
      </c>
      <c r="B411" s="6" t="str">
        <f>IF(Technologies!B411&lt;&gt;0,Technologies!B411,"")</f>
        <v>Industrie</v>
      </c>
      <c r="C411" s="5" t="str">
        <f>VLOOKUP($A411,Technologies!$A$7:$H$576,3,FALSE)</f>
        <v>Conversion</v>
      </c>
      <c r="D411" s="5" t="str">
        <f>VLOOKUP($A411,Technologies!$A$7:$H$576,4,FALSE)</f>
        <v>Final Biomass</v>
      </c>
      <c r="E411" s="5" t="str">
        <f>VLOOKUP($A411,Technologies!$A$7:$H$576,6,FALSE)</f>
        <v>Biomass</v>
      </c>
      <c r="F411" s="5" t="str">
        <f>VLOOKUP($A411,Technologies!$A$7:$H$576,7,FALSE)</f>
        <v>Biomass from agriculture residues - Final Biomass</v>
      </c>
      <c r="G411" s="23"/>
      <c r="H411" s="23"/>
      <c r="I411" s="104" cm="1">
        <f t="array" ref="I411">-SUMPRODUCT((Feedstocks!$C$4:$C$141=A411)*Feedstocks!$E$4:$E$141,Feedstocks!$F$4:$F$141,Feedstocks!$H$4:$H$141,Feedstocks!$I$4:$I$141)</f>
        <v>0</v>
      </c>
      <c r="J411" s="104" cm="1">
        <f t="array" ref="J411">-SUMPRODUCT((Feedstocks!$C$4:$C$141=A411)*Feedstocks!$E$4:$E$141,Feedstocks!$H$4:$H$141,Feedstocks!$I$4:$I$141)</f>
        <v>0</v>
      </c>
      <c r="K411" s="104"/>
      <c r="L411" s="104"/>
      <c r="M411" s="23"/>
      <c r="N411" s="23" t="str">
        <f>VLOOKUP(E411,Activities!$A$9:$M$227,13,FALSE)</f>
        <v>NL</v>
      </c>
      <c r="O411" s="23"/>
      <c r="P411" s="79" t="s">
        <v>415</v>
      </c>
      <c r="Q411" s="35"/>
      <c r="R411" s="35"/>
      <c r="S411" s="35"/>
      <c r="T411" s="35"/>
      <c r="U411" s="35"/>
      <c r="V411" s="35"/>
      <c r="W411" s="35"/>
      <c r="X411" s="35"/>
      <c r="Y411" s="35"/>
      <c r="Z411" s="35"/>
      <c r="AA411" s="35"/>
      <c r="AB411" s="35"/>
      <c r="AC411" s="35"/>
      <c r="AD411" s="35"/>
      <c r="AE411" s="35"/>
      <c r="AF411" s="36"/>
      <c r="AG411" s="36"/>
      <c r="AH411" s="36"/>
      <c r="AI411" s="36"/>
      <c r="AJ411" s="36"/>
      <c r="AK411" s="36"/>
      <c r="AL411" s="36"/>
      <c r="AM411" s="36"/>
      <c r="AN411" s="36"/>
      <c r="AO411" s="36"/>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v>1</v>
      </c>
      <c r="ES411" s="35"/>
      <c r="ET411" s="35"/>
      <c r="EU411" s="35"/>
      <c r="EV411" s="35"/>
      <c r="EW411" s="35"/>
      <c r="EX411" s="35"/>
      <c r="EY411" s="35"/>
      <c r="EZ411" s="35"/>
      <c r="FA411" s="35"/>
      <c r="FB411" s="35"/>
      <c r="FC411" s="35">
        <v>-1</v>
      </c>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18"/>
      <c r="GC411" s="178">
        <f t="shared" si="74"/>
        <v>0</v>
      </c>
      <c r="GD411" s="178">
        <f t="shared" si="75"/>
        <v>0</v>
      </c>
      <c r="GE411" s="178">
        <f t="shared" si="76"/>
        <v>0</v>
      </c>
      <c r="GF411" s="178">
        <f t="shared" si="77"/>
        <v>0</v>
      </c>
      <c r="GG411" s="178">
        <f t="shared" si="69"/>
        <v>0</v>
      </c>
    </row>
    <row r="412" spans="1:342" x14ac:dyDescent="0.35">
      <c r="A412" s="6" t="s">
        <v>1658</v>
      </c>
      <c r="B412" s="6" t="str">
        <f>IF(Technologies!B412&lt;&gt;0,Technologies!B412,"")</f>
        <v>Industrie</v>
      </c>
      <c r="C412" s="6" t="str">
        <f>VLOOKUP($A412,Technologies!$A$7:$H$576,3,FALSE)</f>
        <v>Primary</v>
      </c>
      <c r="D412" s="6" t="str">
        <f>VLOOKUP($A412,Technologies!$A$7:$H$576,4,FALSE)</f>
        <v>Fossil</v>
      </c>
      <c r="E412" s="6" t="str">
        <f>VLOOKUP($A412,Technologies!$A$7:$H$576,6,FALSE)</f>
        <v>Coal</v>
      </c>
      <c r="F412" s="48" t="str">
        <f>VLOOKUP($A412,Technologies!$A$7:$H$576,7,FALSE)</f>
        <v>Imported Coal</v>
      </c>
      <c r="G412" s="22"/>
      <c r="H412" s="22"/>
      <c r="I412" s="103" cm="1">
        <f t="array" ref="I412">-SUMPRODUCT((Feedstocks!$C$4:$C$141=A412)*Feedstocks!$E$4:$E$141,Feedstocks!$F$4:$F$141,Feedstocks!$H$4:$H$141,Feedstocks!$I$4:$I$141)</f>
        <v>0</v>
      </c>
      <c r="J412" s="103" cm="1">
        <f t="array" ref="J412">-SUMPRODUCT((Feedstocks!$C$4:$C$141=A412)*Feedstocks!$E$4:$E$141,Feedstocks!$H$4:$H$141,Feedstocks!$I$4:$I$141)</f>
        <v>0</v>
      </c>
      <c r="K412" s="103"/>
      <c r="L412" s="103"/>
      <c r="M412" s="22"/>
      <c r="N412" s="22" t="str">
        <f>VLOOKUP(E412,Activities!$A$9:$M$227,13,FALSE)</f>
        <v>NL</v>
      </c>
      <c r="O412" s="22"/>
      <c r="P412" s="80" t="s">
        <v>415</v>
      </c>
      <c r="Q412" s="36"/>
      <c r="R412" s="36"/>
      <c r="S412" s="36"/>
      <c r="T412" s="36"/>
      <c r="U412" s="36"/>
      <c r="V412" s="36"/>
      <c r="W412" s="36"/>
      <c r="X412" s="36"/>
      <c r="Y412" s="36"/>
      <c r="Z412" s="36"/>
      <c r="AA412" s="36"/>
      <c r="AB412" s="36"/>
      <c r="AC412" s="36"/>
      <c r="AD412" s="36"/>
      <c r="AE412" s="36"/>
      <c r="AF412" s="35"/>
      <c r="AG412" s="35"/>
      <c r="AH412" s="35"/>
      <c r="AI412" s="35"/>
      <c r="AJ412" s="35"/>
      <c r="AK412" s="35"/>
      <c r="AL412" s="35"/>
      <c r="AM412" s="35"/>
      <c r="AN412" s="35"/>
      <c r="AO412" s="35"/>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c r="BS412" s="36"/>
      <c r="BT412" s="36"/>
      <c r="BU412" s="36"/>
      <c r="BV412" s="36"/>
      <c r="BW412" s="36"/>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c r="CW412" s="36"/>
      <c r="CX412" s="36"/>
      <c r="CY412" s="36"/>
      <c r="CZ412" s="36"/>
      <c r="DA412" s="36"/>
      <c r="DB412" s="36"/>
      <c r="DC412" s="36"/>
      <c r="DD412" s="36"/>
      <c r="DE412" s="36"/>
      <c r="DF412" s="36"/>
      <c r="DG412" s="36"/>
      <c r="DH412" s="36"/>
      <c r="DI412" s="36"/>
      <c r="DJ412" s="36"/>
      <c r="DK412" s="36"/>
      <c r="DL412" s="36"/>
      <c r="DM412" s="36"/>
      <c r="DN412" s="36"/>
      <c r="DO412" s="36"/>
      <c r="DP412" s="36"/>
      <c r="DQ412" s="36"/>
      <c r="DR412" s="36"/>
      <c r="DS412" s="36"/>
      <c r="DT412" s="36"/>
      <c r="DU412" s="36"/>
      <c r="DV412" s="36"/>
      <c r="DW412" s="36"/>
      <c r="DX412" s="36"/>
      <c r="DY412" s="36"/>
      <c r="DZ412" s="36"/>
      <c r="EA412" s="36"/>
      <c r="EB412" s="36"/>
      <c r="EC412" s="36"/>
      <c r="ED412" s="36"/>
      <c r="EE412" s="36"/>
      <c r="EF412" s="36"/>
      <c r="EG412" s="36"/>
      <c r="EH412" s="36"/>
      <c r="EI412" s="36"/>
      <c r="EJ412" s="36"/>
      <c r="EK412" s="36"/>
      <c r="EL412" s="36"/>
      <c r="EM412" s="36"/>
      <c r="EN412" s="36"/>
      <c r="EO412" s="36"/>
      <c r="EP412" s="36"/>
      <c r="EQ412" s="36"/>
      <c r="ER412" s="36"/>
      <c r="ES412" s="36">
        <v>1</v>
      </c>
      <c r="ET412" s="36"/>
      <c r="EU412" s="36"/>
      <c r="EV412" s="36"/>
      <c r="EW412" s="36"/>
      <c r="EX412" s="36"/>
      <c r="EY412" s="36"/>
      <c r="EZ412" s="36"/>
      <c r="FA412" s="36"/>
      <c r="FB412" s="36"/>
      <c r="FC412" s="36"/>
      <c r="FD412" s="36"/>
      <c r="FE412" s="36"/>
      <c r="FF412" s="36"/>
      <c r="FG412" s="36"/>
      <c r="FH412" s="36"/>
      <c r="FI412" s="36"/>
      <c r="FJ412" s="36"/>
      <c r="FK412" s="36"/>
      <c r="FL412" s="36"/>
      <c r="FM412" s="36"/>
      <c r="FN412" s="36"/>
      <c r="FO412" s="36"/>
      <c r="FP412" s="36"/>
      <c r="FQ412" s="36"/>
      <c r="FR412" s="36"/>
      <c r="FS412" s="36"/>
      <c r="FT412" s="36"/>
      <c r="FU412" s="36"/>
      <c r="FV412" s="36"/>
      <c r="FW412" s="36"/>
      <c r="FX412" s="36"/>
      <c r="FY412" s="36"/>
      <c r="FZ412" s="36"/>
      <c r="GA412" s="36"/>
      <c r="GB412" s="319"/>
      <c r="GC412" s="179">
        <f t="shared" si="74"/>
        <v>0</v>
      </c>
      <c r="GD412" s="179">
        <f t="shared" si="75"/>
        <v>0</v>
      </c>
      <c r="GE412" s="179">
        <f t="shared" si="76"/>
        <v>0</v>
      </c>
      <c r="GF412" s="179">
        <f t="shared" si="77"/>
        <v>0</v>
      </c>
      <c r="GG412" s="179">
        <f t="shared" si="69"/>
        <v>0</v>
      </c>
    </row>
    <row r="413" spans="1:342" x14ac:dyDescent="0.35">
      <c r="A413" s="5" t="s">
        <v>1660</v>
      </c>
      <c r="B413" s="6" t="str">
        <f>IF(Technologies!B413&lt;&gt;0,Technologies!B413,"")</f>
        <v>Industrie</v>
      </c>
      <c r="C413" s="5" t="str">
        <f>VLOOKUP($A413,Technologies!$A$7:$H$576,3,FALSE)</f>
        <v>Primary</v>
      </c>
      <c r="D413" s="5" t="str">
        <f>VLOOKUP($A413,Technologies!$A$7:$H$576,4,FALSE)</f>
        <v>Fossil</v>
      </c>
      <c r="E413" s="5" t="str">
        <f>VLOOKUP($A413,Technologies!$A$7:$H$576,6,FALSE)</f>
        <v>Crude Oil</v>
      </c>
      <c r="F413" s="5" t="str">
        <f>VLOOKUP($A413,Technologies!$A$7:$H$576,7,FALSE)</f>
        <v>Imported Crude Oil</v>
      </c>
      <c r="G413" s="23"/>
      <c r="H413" s="23"/>
      <c r="I413" s="104" cm="1">
        <f t="array" ref="I413">-SUMPRODUCT((Feedstocks!$C$4:$C$141=A413)*Feedstocks!$E$4:$E$141,Feedstocks!$F$4:$F$141,Feedstocks!$H$4:$H$141,Feedstocks!$I$4:$I$141)</f>
        <v>0</v>
      </c>
      <c r="J413" s="104" cm="1">
        <f t="array" ref="J413">-SUMPRODUCT((Feedstocks!$C$4:$C$141=A413)*Feedstocks!$E$4:$E$141,Feedstocks!$H$4:$H$141,Feedstocks!$I$4:$I$141)</f>
        <v>0</v>
      </c>
      <c r="K413" s="104"/>
      <c r="L413" s="104"/>
      <c r="M413" s="23"/>
      <c r="N413" s="23" t="str">
        <f>VLOOKUP(E413,Activities!$A$9:$M$227,13,FALSE)</f>
        <v>NL</v>
      </c>
      <c r="O413" s="23"/>
      <c r="P413" s="79" t="s">
        <v>415</v>
      </c>
      <c r="Q413" s="35"/>
      <c r="R413" s="35"/>
      <c r="S413" s="35"/>
      <c r="T413" s="35"/>
      <c r="U413" s="35"/>
      <c r="V413" s="35"/>
      <c r="W413" s="35"/>
      <c r="X413" s="35"/>
      <c r="Y413" s="35"/>
      <c r="Z413" s="35"/>
      <c r="AA413" s="35"/>
      <c r="AB413" s="35"/>
      <c r="AC413" s="35"/>
      <c r="AD413" s="35"/>
      <c r="AE413" s="35"/>
      <c r="AF413" s="36"/>
      <c r="AG413" s="36"/>
      <c r="AH413" s="36"/>
      <c r="AI413" s="36"/>
      <c r="AJ413" s="36"/>
      <c r="AK413" s="36"/>
      <c r="AL413" s="36"/>
      <c r="AM413" s="36"/>
      <c r="AN413" s="36"/>
      <c r="AO413" s="36"/>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v>1</v>
      </c>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18"/>
      <c r="GC413" s="178">
        <f t="shared" si="74"/>
        <v>0</v>
      </c>
      <c r="GD413" s="178">
        <f t="shared" si="75"/>
        <v>0</v>
      </c>
      <c r="GE413" s="178">
        <f t="shared" si="76"/>
        <v>0</v>
      </c>
      <c r="GF413" s="178">
        <f t="shared" si="77"/>
        <v>0</v>
      </c>
      <c r="GG413" s="178">
        <f t="shared" si="69"/>
        <v>0</v>
      </c>
    </row>
    <row r="414" spans="1:342" x14ac:dyDescent="0.35">
      <c r="A414" s="6" t="s">
        <v>1662</v>
      </c>
      <c r="B414" s="6" t="str">
        <f>IF(Technologies!B414&lt;&gt;0,Technologies!B414,"")</f>
        <v>Industrie</v>
      </c>
      <c r="C414" s="6" t="str">
        <f>VLOOKUP($A414,Technologies!$A$7:$H$576,3,FALSE)</f>
        <v>Primary</v>
      </c>
      <c r="D414" s="6" t="str">
        <f>VLOOKUP($A414,Technologies!$A$7:$H$576,4,FALSE)</f>
        <v>Fossil</v>
      </c>
      <c r="E414" s="6" t="str">
        <f>VLOOKUP($A414,Technologies!$A$7:$H$576,6,FALSE)</f>
        <v>National Natural Gas</v>
      </c>
      <c r="F414" s="48" t="str">
        <f>VLOOKUP($A414,Technologies!$A$7:$H$576,7,FALSE)</f>
        <v>National Natural Gas</v>
      </c>
      <c r="G414" s="22"/>
      <c r="H414" s="22"/>
      <c r="I414" s="103" cm="1">
        <f t="array" ref="I414">-SUMPRODUCT((Feedstocks!$C$4:$C$141=A414)*Feedstocks!$E$4:$E$141,Feedstocks!$F$4:$F$141,Feedstocks!$H$4:$H$141,Feedstocks!$I$4:$I$141)</f>
        <v>0</v>
      </c>
      <c r="J414" s="103" cm="1">
        <f t="array" ref="J414">-SUMPRODUCT((Feedstocks!$C$4:$C$141=A414)*Feedstocks!$E$4:$E$141,Feedstocks!$H$4:$H$141,Feedstocks!$I$4:$I$141)</f>
        <v>0</v>
      </c>
      <c r="K414" s="103"/>
      <c r="L414" s="103"/>
      <c r="M414" s="22"/>
      <c r="N414" s="22" t="str">
        <f>VLOOKUP(E414,Activities!$A$9:$M$227,13,FALSE)</f>
        <v>NL</v>
      </c>
      <c r="O414" s="22"/>
      <c r="P414" s="80" t="s">
        <v>415</v>
      </c>
      <c r="Q414" s="36"/>
      <c r="R414" s="36"/>
      <c r="S414" s="36"/>
      <c r="T414" s="36"/>
      <c r="U414" s="36"/>
      <c r="V414" s="36"/>
      <c r="W414" s="36"/>
      <c r="X414" s="36"/>
      <c r="Y414" s="36"/>
      <c r="Z414" s="36"/>
      <c r="AA414" s="36"/>
      <c r="AB414" s="36"/>
      <c r="AC414" s="36"/>
      <c r="AD414" s="36"/>
      <c r="AE414" s="36"/>
      <c r="AF414" s="35"/>
      <c r="AG414" s="35"/>
      <c r="AH414" s="35"/>
      <c r="AI414" s="35"/>
      <c r="AJ414" s="35"/>
      <c r="AK414" s="35"/>
      <c r="AL414" s="35"/>
      <c r="AM414" s="35"/>
      <c r="AN414" s="35"/>
      <c r="AO414" s="35"/>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c r="BS414" s="36"/>
      <c r="BT414" s="36"/>
      <c r="BU414" s="36"/>
      <c r="BV414" s="36"/>
      <c r="BW414" s="36"/>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c r="CW414" s="36"/>
      <c r="CX414" s="36"/>
      <c r="CY414" s="36"/>
      <c r="CZ414" s="36"/>
      <c r="DA414" s="36"/>
      <c r="DB414" s="36"/>
      <c r="DC414" s="36"/>
      <c r="DD414" s="36"/>
      <c r="DE414" s="36"/>
      <c r="DF414" s="36"/>
      <c r="DG414" s="36"/>
      <c r="DH414" s="36"/>
      <c r="DI414" s="36"/>
      <c r="DJ414" s="36"/>
      <c r="DK414" s="36"/>
      <c r="DL414" s="36"/>
      <c r="DM414" s="36"/>
      <c r="DN414" s="36"/>
      <c r="DO414" s="36"/>
      <c r="DP414" s="36"/>
      <c r="DQ414" s="36"/>
      <c r="DR414" s="36"/>
      <c r="DS414" s="36"/>
      <c r="DT414" s="36"/>
      <c r="DU414" s="36"/>
      <c r="DV414" s="36"/>
      <c r="DW414" s="36"/>
      <c r="DX414" s="36"/>
      <c r="DY414" s="36"/>
      <c r="DZ414" s="36"/>
      <c r="EA414" s="36"/>
      <c r="EB414" s="36"/>
      <c r="EC414" s="36"/>
      <c r="ED414" s="36"/>
      <c r="EE414" s="36"/>
      <c r="EF414" s="36"/>
      <c r="EG414" s="36"/>
      <c r="EH414" s="36"/>
      <c r="EI414" s="36"/>
      <c r="EJ414" s="36"/>
      <c r="EK414" s="36"/>
      <c r="EL414" s="36"/>
      <c r="EM414" s="36"/>
      <c r="EN414" s="36"/>
      <c r="EO414" s="36"/>
      <c r="EP414" s="36"/>
      <c r="EQ414" s="36"/>
      <c r="ER414" s="36"/>
      <c r="ES414" s="36"/>
      <c r="ET414" s="36"/>
      <c r="EU414" s="36">
        <v>1</v>
      </c>
      <c r="EV414" s="36"/>
      <c r="EW414" s="36"/>
      <c r="EX414" s="36"/>
      <c r="EY414" s="36"/>
      <c r="EZ414" s="36"/>
      <c r="FA414" s="36"/>
      <c r="FB414" s="36"/>
      <c r="FC414" s="36"/>
      <c r="FD414" s="36"/>
      <c r="FE414" s="36"/>
      <c r="FF414" s="36"/>
      <c r="FG414" s="36"/>
      <c r="FH414" s="36"/>
      <c r="FI414" s="36"/>
      <c r="FJ414" s="36"/>
      <c r="FK414" s="36"/>
      <c r="FL414" s="36"/>
      <c r="FM414" s="36"/>
      <c r="FN414" s="36"/>
      <c r="FO414" s="36"/>
      <c r="FP414" s="36"/>
      <c r="FQ414" s="36"/>
      <c r="FR414" s="36"/>
      <c r="FS414" s="36"/>
      <c r="FT414" s="36"/>
      <c r="FU414" s="36"/>
      <c r="FV414" s="36"/>
      <c r="FW414" s="36"/>
      <c r="FX414" s="36"/>
      <c r="FY414" s="36"/>
      <c r="FZ414" s="36"/>
      <c r="GA414" s="36"/>
      <c r="GB414" s="319"/>
      <c r="GC414" s="179">
        <f t="shared" si="74"/>
        <v>0</v>
      </c>
      <c r="GD414" s="179">
        <f t="shared" si="75"/>
        <v>0</v>
      </c>
      <c r="GE414" s="179">
        <f t="shared" si="76"/>
        <v>0</v>
      </c>
      <c r="GF414" s="179">
        <f t="shared" si="77"/>
        <v>0</v>
      </c>
      <c r="GG414" s="179">
        <f t="shared" si="69"/>
        <v>0</v>
      </c>
    </row>
    <row r="415" spans="1:342" x14ac:dyDescent="0.35">
      <c r="A415" s="5" t="s">
        <v>1663</v>
      </c>
      <c r="B415" s="6" t="str">
        <f>IF(Technologies!B415&lt;&gt;0,Technologies!B415,"")</f>
        <v>Industrie</v>
      </c>
      <c r="C415" s="5" t="str">
        <f>VLOOKUP($A415,Technologies!$A$7:$H$576,3,FALSE)</f>
        <v>Primary</v>
      </c>
      <c r="D415" s="5" t="str">
        <f>VLOOKUP($A415,Technologies!$A$7:$H$576,4,FALSE)</f>
        <v>Other</v>
      </c>
      <c r="E415" s="5" t="str">
        <f>VLOOKUP($A415,Technologies!$A$7:$H$576,6,FALSE)</f>
        <v>Uranium</v>
      </c>
      <c r="F415" s="5" t="str">
        <f>VLOOKUP($A415,Technologies!$A$7:$H$576,7,FALSE)</f>
        <v>Imported Uranium NL</v>
      </c>
      <c r="G415" s="23"/>
      <c r="H415" s="23"/>
      <c r="I415" s="104" cm="1">
        <f t="array" ref="I415">-SUMPRODUCT((Feedstocks!$C$4:$C$141=A415)*Feedstocks!$E$4:$E$141,Feedstocks!$F$4:$F$141,Feedstocks!$H$4:$H$141,Feedstocks!$I$4:$I$141)</f>
        <v>0</v>
      </c>
      <c r="J415" s="104" cm="1">
        <f t="array" ref="J415">-SUMPRODUCT((Feedstocks!$C$4:$C$141=A415)*Feedstocks!$E$4:$E$141,Feedstocks!$H$4:$H$141,Feedstocks!$I$4:$I$141)</f>
        <v>0</v>
      </c>
      <c r="K415" s="104"/>
      <c r="L415" s="104"/>
      <c r="M415" s="23"/>
      <c r="N415" s="23" t="str">
        <f>VLOOKUP(E415,Activities!$A$9:$M$227,13,FALSE)</f>
        <v>NL</v>
      </c>
      <c r="O415" s="23"/>
      <c r="P415" s="79" t="s">
        <v>1519</v>
      </c>
      <c r="Q415" s="35"/>
      <c r="R415" s="35"/>
      <c r="S415" s="35"/>
      <c r="T415" s="35"/>
      <c r="U415" s="35"/>
      <c r="V415" s="35"/>
      <c r="W415" s="35"/>
      <c r="X415" s="35"/>
      <c r="Y415" s="35"/>
      <c r="Z415" s="35"/>
      <c r="AA415" s="35"/>
      <c r="AB415" s="35"/>
      <c r="AC415" s="35"/>
      <c r="AD415" s="35"/>
      <c r="AE415" s="35"/>
      <c r="AF415" s="36"/>
      <c r="AG415" s="36"/>
      <c r="AH415" s="36"/>
      <c r="AI415" s="36"/>
      <c r="AJ415" s="36"/>
      <c r="AK415" s="36"/>
      <c r="AL415" s="36"/>
      <c r="AM415" s="36"/>
      <c r="AN415" s="36"/>
      <c r="AO415" s="36"/>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v>1</v>
      </c>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18"/>
      <c r="GC415" s="178">
        <f t="shared" si="74"/>
        <v>0</v>
      </c>
      <c r="GD415" s="178">
        <f t="shared" si="75"/>
        <v>0</v>
      </c>
      <c r="GE415" s="178">
        <f t="shared" si="76"/>
        <v>0</v>
      </c>
      <c r="GF415" s="178">
        <f t="shared" si="77"/>
        <v>0</v>
      </c>
      <c r="GG415" s="178">
        <f t="shared" si="69"/>
        <v>0</v>
      </c>
    </row>
    <row r="416" spans="1:342" x14ac:dyDescent="0.35">
      <c r="A416" s="6" t="s">
        <v>1665</v>
      </c>
      <c r="B416" s="6" t="str">
        <f>IF(Technologies!B416&lt;&gt;0,Technologies!B416,"")</f>
        <v>Industrie</v>
      </c>
      <c r="C416" s="6" t="str">
        <f>VLOOKUP($A416,Technologies!$A$7:$H$576,3,FALSE)</f>
        <v>Primary</v>
      </c>
      <c r="D416" s="6" t="str">
        <f>VLOOKUP($A416,Technologies!$A$7:$H$576,4,FALSE)</f>
        <v>Other</v>
      </c>
      <c r="E416" s="6" t="str">
        <f>VLOOKUP($A416,Technologies!$A$7:$H$576,6,FALSE)</f>
        <v>Municipal Waste</v>
      </c>
      <c r="F416" s="48" t="str">
        <f>VLOOKUP($A416,Technologies!$A$7:$H$576,7,FALSE)</f>
        <v>Municipal Waste NL</v>
      </c>
      <c r="G416" s="22"/>
      <c r="H416" s="22"/>
      <c r="I416" s="103" cm="1">
        <f t="array" ref="I416">-SUMPRODUCT((Feedstocks!$C$4:$C$141=A416)*Feedstocks!$E$4:$E$141,Feedstocks!$F$4:$F$141,Feedstocks!$H$4:$H$141,Feedstocks!$I$4:$I$141)</f>
        <v>0</v>
      </c>
      <c r="J416" s="103" cm="1">
        <f t="array" ref="J416">-SUMPRODUCT((Feedstocks!$C$4:$C$141=A416)*Feedstocks!$E$4:$E$141,Feedstocks!$H$4:$H$141,Feedstocks!$I$4:$I$141)</f>
        <v>0</v>
      </c>
      <c r="K416" s="103"/>
      <c r="L416" s="103"/>
      <c r="M416" s="22"/>
      <c r="N416" s="22" t="str">
        <f>VLOOKUP(E416,Activities!$A$9:$M$227,13,FALSE)</f>
        <v>NL</v>
      </c>
      <c r="O416" s="22"/>
      <c r="P416" s="80" t="s">
        <v>415</v>
      </c>
      <c r="Q416" s="36"/>
      <c r="R416" s="36"/>
      <c r="S416" s="36"/>
      <c r="T416" s="36"/>
      <c r="U416" s="36"/>
      <c r="V416" s="36"/>
      <c r="W416" s="36"/>
      <c r="X416" s="36"/>
      <c r="Y416" s="36"/>
      <c r="Z416" s="36"/>
      <c r="AA416" s="36"/>
      <c r="AB416" s="36"/>
      <c r="AC416" s="36"/>
      <c r="AD416" s="36"/>
      <c r="AE416" s="36"/>
      <c r="AF416" s="35"/>
      <c r="AG416" s="35"/>
      <c r="AH416" s="35"/>
      <c r="AI416" s="35"/>
      <c r="AJ416" s="35"/>
      <c r="AK416" s="35"/>
      <c r="AL416" s="35"/>
      <c r="AM416" s="35"/>
      <c r="AN416" s="35"/>
      <c r="AO416" s="35"/>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6"/>
      <c r="DS416" s="36"/>
      <c r="DT416" s="36"/>
      <c r="DU416" s="36"/>
      <c r="DV416" s="36"/>
      <c r="DW416" s="36"/>
      <c r="DX416" s="36"/>
      <c r="DY416" s="36"/>
      <c r="DZ416" s="36"/>
      <c r="EA416" s="36"/>
      <c r="EB416" s="36"/>
      <c r="EC416" s="36"/>
      <c r="ED416" s="36"/>
      <c r="EE416" s="36"/>
      <c r="EF416" s="36"/>
      <c r="EG416" s="36"/>
      <c r="EH416" s="36"/>
      <c r="EI416" s="36"/>
      <c r="EJ416" s="36"/>
      <c r="EK416" s="36"/>
      <c r="EL416" s="36"/>
      <c r="EM416" s="36"/>
      <c r="EN416" s="36"/>
      <c r="EO416" s="36"/>
      <c r="EP416" s="36"/>
      <c r="EQ416" s="36"/>
      <c r="ER416" s="36"/>
      <c r="ES416" s="36"/>
      <c r="ET416" s="36"/>
      <c r="EU416" s="36"/>
      <c r="EV416" s="36"/>
      <c r="EW416" s="36">
        <v>1</v>
      </c>
      <c r="EX416" s="36"/>
      <c r="EY416" s="36"/>
      <c r="EZ416" s="36"/>
      <c r="FA416" s="36"/>
      <c r="FB416" s="36"/>
      <c r="FC416" s="36"/>
      <c r="FD416" s="36"/>
      <c r="FE416" s="36"/>
      <c r="FF416" s="36"/>
      <c r="FG416" s="36"/>
      <c r="FH416" s="36"/>
      <c r="FI416" s="36"/>
      <c r="FJ416" s="36"/>
      <c r="FK416" s="36"/>
      <c r="FL416" s="36"/>
      <c r="FM416" s="36"/>
      <c r="FN416" s="36"/>
      <c r="FO416" s="36"/>
      <c r="FP416" s="36"/>
      <c r="FQ416" s="36"/>
      <c r="FR416" s="36"/>
      <c r="FS416" s="36"/>
      <c r="FT416" s="36"/>
      <c r="FU416" s="36"/>
      <c r="FV416" s="36"/>
      <c r="FW416" s="36"/>
      <c r="FX416" s="36"/>
      <c r="FY416" s="36"/>
      <c r="FZ416" s="36"/>
      <c r="GA416" s="36"/>
      <c r="GB416" s="319"/>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VLOOKUP($A417,Technologies!$A$7:$H$576,3,FALSE)</f>
        <v>Primary</v>
      </c>
      <c r="D417" s="6" t="str">
        <f>VLOOKUP($A417,Technologies!$A$7:$H$576,4,FALSE)</f>
        <v>Other</v>
      </c>
      <c r="E417" s="6" t="str">
        <f>VLOOKUP($A417,Technologies!$A$7:$H$576,6,FALSE)</f>
        <v>Mixed Plastic Waste</v>
      </c>
      <c r="F417" s="48" t="str">
        <f>VLOOKUP($A417,Technologies!$A$7:$H$576,7,FALSE)</f>
        <v>Plastic Waste NL</v>
      </c>
      <c r="G417" s="22"/>
      <c r="H417" s="22"/>
      <c r="I417" s="103"/>
      <c r="J417" s="103"/>
      <c r="K417" s="103"/>
      <c r="L417" s="103"/>
      <c r="M417" s="22"/>
      <c r="N417" s="22" t="s">
        <v>320</v>
      </c>
      <c r="O417" s="22"/>
      <c r="P417" s="80"/>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c r="EX417" s="36">
        <v>1</v>
      </c>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1670</v>
      </c>
      <c r="B418" s="6" t="str">
        <f>IF(Technologies!B418&lt;&gt;0,Technologies!B418,"")</f>
        <v/>
      </c>
      <c r="C418" s="6" t="str">
        <f>VLOOKUP($A418,Technologies!$A$7:$H$576,3,FALSE)</f>
        <v>Primary</v>
      </c>
      <c r="D418" s="6" t="str">
        <f>VLOOKUP($A418,Technologies!$A$7:$H$576,4,FALSE)</f>
        <v>Renewable</v>
      </c>
      <c r="E418" s="6" t="str">
        <f>VLOOKUP($A418,Technologies!$A$7:$H$576,6,FALSE)</f>
        <v>Wood</v>
      </c>
      <c r="F418" s="48" t="str">
        <f>VLOOKUP($A418,Technologies!$A$7:$H$576,7,FALSE)</f>
        <v>Wood (crops, and others)</v>
      </c>
      <c r="G418" s="22"/>
      <c r="H418" s="22"/>
      <c r="I418" s="103" cm="1">
        <f t="array" ref="I418">-SUMPRODUCT((Feedstocks!$C$4:$C$141=A418)*Feedstocks!$E$4:$E$141,Feedstocks!$F$4:$F$141,Feedstocks!$H$4:$H$141,Feedstocks!$I$4:$I$141)</f>
        <v>0</v>
      </c>
      <c r="J418" s="103" cm="1">
        <f t="array" ref="J418">-SUMPRODUCT((Feedstocks!$C$4:$C$141=A418)*Feedstocks!$E$4:$E$141,Feedstocks!$H$4:$H$141,Feedstocks!$I$4:$I$141)</f>
        <v>0</v>
      </c>
      <c r="K418" s="103"/>
      <c r="L418" s="103"/>
      <c r="M418" s="22"/>
      <c r="N418" s="22" t="str">
        <f>VLOOKUP(E418,Activities!$A$9:$M$227,13,FALSE)</f>
        <v>NL</v>
      </c>
      <c r="O418" s="22"/>
      <c r="P418" s="80" t="s">
        <v>415</v>
      </c>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c r="EY418" s="36"/>
      <c r="EZ418" s="36"/>
      <c r="FA418" s="36">
        <v>1</v>
      </c>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5" t="s">
        <v>1673</v>
      </c>
      <c r="B419" s="6" t="str">
        <f>IF(Technologies!B419&lt;&gt;0,Technologies!B419,"")</f>
        <v/>
      </c>
      <c r="C419" s="5" t="str">
        <f>VLOOKUP($A419,Technologies!$A$7:$H$576,3,FALSE)</f>
        <v>Primary</v>
      </c>
      <c r="D419" s="5" t="str">
        <f>VLOOKUP($A419,Technologies!$A$7:$H$576,4,FALSE)</f>
        <v>Renewable</v>
      </c>
      <c r="E419" s="5" t="str">
        <f>VLOOKUP($A419,Technologies!$A$7:$H$576,6,FALSE)</f>
        <v>Wood</v>
      </c>
      <c r="F419" s="5" t="str">
        <f>VLOOKUP($A419,Technologies!$A$7:$H$576,7,FALSE)</f>
        <v>Imported Wood EU</v>
      </c>
      <c r="G419" s="23"/>
      <c r="H419" s="23"/>
      <c r="I419" s="104" cm="1">
        <f t="array" ref="I419">-SUMPRODUCT((Feedstocks!$C$4:$C$141=A419)*Feedstocks!$E$4:$E$141,Feedstocks!$F$4:$F$141,Feedstocks!$H$4:$H$141,Feedstocks!$I$4:$I$141)</f>
        <v>0</v>
      </c>
      <c r="J419" s="104" cm="1">
        <f t="array" ref="J419">-SUMPRODUCT((Feedstocks!$C$4:$C$141=A419)*Feedstocks!$E$4:$E$141,Feedstocks!$H$4:$H$141,Feedstocks!$I$4:$I$141)</f>
        <v>0</v>
      </c>
      <c r="K419" s="104"/>
      <c r="L419" s="104"/>
      <c r="M419" s="23"/>
      <c r="N419" s="23" t="str">
        <f>VLOOKUP(E419,Activities!$A$9:$M$227,13,FALSE)</f>
        <v>NL</v>
      </c>
      <c r="O419" s="23"/>
      <c r="P419" s="79" t="s">
        <v>415</v>
      </c>
      <c r="Q419" s="35"/>
      <c r="R419" s="35"/>
      <c r="S419" s="35"/>
      <c r="T419" s="35"/>
      <c r="U419" s="35"/>
      <c r="V419" s="35"/>
      <c r="W419" s="35"/>
      <c r="X419" s="35"/>
      <c r="Y419" s="35"/>
      <c r="Z419" s="35"/>
      <c r="AA419" s="35"/>
      <c r="AB419" s="35"/>
      <c r="AC419" s="35"/>
      <c r="AD419" s="35"/>
      <c r="AE419" s="35"/>
      <c r="AF419" s="36"/>
      <c r="AG419" s="36"/>
      <c r="AH419" s="36"/>
      <c r="AI419" s="36"/>
      <c r="AJ419" s="36"/>
      <c r="AK419" s="36"/>
      <c r="AL419" s="36"/>
      <c r="AM419" s="36"/>
      <c r="AN419" s="36"/>
      <c r="AO419" s="36"/>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v>1</v>
      </c>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18"/>
      <c r="GC419" s="178">
        <f t="shared" si="74"/>
        <v>0</v>
      </c>
      <c r="GD419" s="178">
        <f t="shared" si="75"/>
        <v>0</v>
      </c>
      <c r="GE419" s="178">
        <f t="shared" si="76"/>
        <v>0</v>
      </c>
      <c r="GF419" s="178">
        <f t="shared" si="77"/>
        <v>0</v>
      </c>
      <c r="GG419" s="178">
        <f t="shared" si="69"/>
        <v>0</v>
      </c>
    </row>
    <row r="420" spans="1:189" x14ac:dyDescent="0.35">
      <c r="A420" s="6" t="s">
        <v>1676</v>
      </c>
      <c r="B420" s="6" t="str">
        <f>IF(Technologies!B420&lt;&gt;0,Technologies!B420,"")</f>
        <v/>
      </c>
      <c r="C420" s="6" t="str">
        <f>VLOOKUP($A420,Technologies!$A$7:$H$576,3,FALSE)</f>
        <v>Primary</v>
      </c>
      <c r="D420" s="6" t="str">
        <f>VLOOKUP($A420,Technologies!$A$7:$H$576,4,FALSE)</f>
        <v>Renewable</v>
      </c>
      <c r="E420" s="6" t="str">
        <f>VLOOKUP($A420,Technologies!$A$7:$H$576,6,FALSE)</f>
        <v>Wood</v>
      </c>
      <c r="F420" s="48" t="str">
        <f>VLOOKUP($A420,Technologies!$A$7:$H$576,7,FALSE)</f>
        <v>Imported Wood America</v>
      </c>
      <c r="G420" s="22"/>
      <c r="H420" s="22"/>
      <c r="I420" s="103" cm="1">
        <f t="array" ref="I420">-SUMPRODUCT((Feedstocks!$C$4:$C$141=A420)*Feedstocks!$E$4:$E$141,Feedstocks!$F$4:$F$141,Feedstocks!$H$4:$H$141,Feedstocks!$I$4:$I$141)</f>
        <v>0</v>
      </c>
      <c r="J420" s="103" cm="1">
        <f t="array" ref="J420">-SUMPRODUCT((Feedstocks!$C$4:$C$141=A420)*Feedstocks!$E$4:$E$141,Feedstocks!$H$4:$H$141,Feedstocks!$I$4:$I$141)</f>
        <v>0</v>
      </c>
      <c r="K420" s="103"/>
      <c r="L420" s="103"/>
      <c r="M420" s="22"/>
      <c r="N420" s="22" t="str">
        <f>VLOOKUP(E420,Activities!$A$9:$M$227,13,FALSE)</f>
        <v>NL</v>
      </c>
      <c r="O420" s="22"/>
      <c r="P420" s="80" t="s">
        <v>415</v>
      </c>
      <c r="Q420" s="36"/>
      <c r="R420" s="36"/>
      <c r="S420" s="36"/>
      <c r="T420" s="36"/>
      <c r="U420" s="36"/>
      <c r="V420" s="36"/>
      <c r="W420" s="36"/>
      <c r="X420" s="36"/>
      <c r="Y420" s="36"/>
      <c r="Z420" s="36"/>
      <c r="AA420" s="36"/>
      <c r="AB420" s="36"/>
      <c r="AC420" s="36"/>
      <c r="AD420" s="36"/>
      <c r="AE420" s="36"/>
      <c r="AF420" s="35"/>
      <c r="AG420" s="35"/>
      <c r="AH420" s="35"/>
      <c r="AI420" s="35"/>
      <c r="AJ420" s="35"/>
      <c r="AK420" s="35"/>
      <c r="AL420" s="35"/>
      <c r="AM420" s="35"/>
      <c r="AN420" s="35"/>
      <c r="AO420" s="35"/>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6"/>
      <c r="BV420" s="36"/>
      <c r="BW420" s="36"/>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36"/>
      <c r="CT420" s="36"/>
      <c r="CU420" s="36"/>
      <c r="CV420" s="36"/>
      <c r="CW420" s="36"/>
      <c r="CX420" s="36"/>
      <c r="CY420" s="36"/>
      <c r="CZ420" s="36"/>
      <c r="DA420" s="36"/>
      <c r="DB420" s="36"/>
      <c r="DC420" s="36"/>
      <c r="DD420" s="36"/>
      <c r="DE420" s="36"/>
      <c r="DF420" s="36"/>
      <c r="DG420" s="36"/>
      <c r="DH420" s="36"/>
      <c r="DI420" s="36"/>
      <c r="DJ420" s="36"/>
      <c r="DK420" s="36"/>
      <c r="DL420" s="36"/>
      <c r="DM420" s="36"/>
      <c r="DN420" s="36"/>
      <c r="DO420" s="36"/>
      <c r="DP420" s="36"/>
      <c r="DQ420" s="36"/>
      <c r="DR420" s="36"/>
      <c r="DS420" s="36"/>
      <c r="DT420" s="36"/>
      <c r="DU420" s="36"/>
      <c r="DV420" s="36"/>
      <c r="DW420" s="36"/>
      <c r="DX420" s="36"/>
      <c r="DY420" s="36"/>
      <c r="DZ420" s="36"/>
      <c r="EA420" s="36"/>
      <c r="EB420" s="36"/>
      <c r="EC420" s="36"/>
      <c r="ED420" s="36"/>
      <c r="EE420" s="36"/>
      <c r="EF420" s="36"/>
      <c r="EG420" s="36"/>
      <c r="EH420" s="36"/>
      <c r="EI420" s="36"/>
      <c r="EJ420" s="36"/>
      <c r="EK420" s="36"/>
      <c r="EL420" s="36"/>
      <c r="EM420" s="36"/>
      <c r="EN420" s="36"/>
      <c r="EO420" s="36"/>
      <c r="EP420" s="36"/>
      <c r="EQ420" s="36"/>
      <c r="ER420" s="36"/>
      <c r="ES420" s="36"/>
      <c r="ET420" s="36"/>
      <c r="EU420" s="36"/>
      <c r="EV420" s="36"/>
      <c r="EW420" s="36"/>
      <c r="EX420" s="36"/>
      <c r="EY420" s="36"/>
      <c r="EZ420" s="36"/>
      <c r="FA420" s="36">
        <v>1</v>
      </c>
      <c r="FB420" s="36"/>
      <c r="FC420" s="36"/>
      <c r="FD420" s="36"/>
      <c r="FE420" s="36"/>
      <c r="FF420" s="36"/>
      <c r="FG420" s="36"/>
      <c r="FH420" s="36"/>
      <c r="FI420" s="36"/>
      <c r="FJ420" s="36"/>
      <c r="FK420" s="36"/>
      <c r="FL420" s="36"/>
      <c r="FM420" s="36"/>
      <c r="FN420" s="36"/>
      <c r="FO420" s="36"/>
      <c r="FP420" s="36"/>
      <c r="FQ420" s="36"/>
      <c r="FR420" s="36"/>
      <c r="FS420" s="36"/>
      <c r="FT420" s="36"/>
      <c r="FU420" s="36"/>
      <c r="FV420" s="36"/>
      <c r="FW420" s="36"/>
      <c r="FX420" s="36"/>
      <c r="FY420" s="36"/>
      <c r="FZ420" s="36"/>
      <c r="GA420" s="36"/>
      <c r="GB420" s="319"/>
      <c r="GC420" s="178">
        <f t="shared" si="74"/>
        <v>0</v>
      </c>
      <c r="GD420" s="178">
        <f t="shared" si="75"/>
        <v>0</v>
      </c>
      <c r="GE420" s="178">
        <f t="shared" si="76"/>
        <v>0</v>
      </c>
      <c r="GF420" s="178">
        <f t="shared" si="77"/>
        <v>0</v>
      </c>
      <c r="GG420" s="178">
        <f t="shared" si="69"/>
        <v>0</v>
      </c>
    </row>
    <row r="421" spans="1:189" x14ac:dyDescent="0.35">
      <c r="A421" s="5" t="s">
        <v>1678</v>
      </c>
      <c r="B421" s="6" t="str">
        <f>IF(Technologies!B421&lt;&gt;0,Technologies!B421,"")</f>
        <v/>
      </c>
      <c r="C421" s="5" t="str">
        <f>VLOOKUP($A421,Technologies!$A$7:$H$576,3,FALSE)</f>
        <v>Primary</v>
      </c>
      <c r="D421" s="5" t="str">
        <f>VLOOKUP($A421,Technologies!$A$7:$H$576,4,FALSE)</f>
        <v>Renewable</v>
      </c>
      <c r="E421" s="5" t="str">
        <f>VLOOKUP($A421,Technologies!$A$7:$H$576,6,FALSE)</f>
        <v>Grasscrops</v>
      </c>
      <c r="F421" s="5" t="str">
        <f>VLOOKUP($A421,Technologies!$A$7:$H$576,7,FALSE)</f>
        <v>Grasscrops</v>
      </c>
      <c r="G421" s="23"/>
      <c r="H421" s="23"/>
      <c r="I421" s="104" cm="1">
        <f t="array" ref="I421">-SUMPRODUCT((Feedstocks!$C$4:$C$141=A421)*Feedstocks!$E$4:$E$141,Feedstocks!$F$4:$F$141,Feedstocks!$H$4:$H$141,Feedstocks!$I$4:$I$141)</f>
        <v>0</v>
      </c>
      <c r="J421" s="104" cm="1">
        <f t="array" ref="J421">-SUMPRODUCT((Feedstocks!$C$4:$C$141=A421)*Feedstocks!$E$4:$E$141,Feedstocks!$H$4:$H$141,Feedstocks!$I$4:$I$141)</f>
        <v>0</v>
      </c>
      <c r="K421" s="104"/>
      <c r="L421" s="104"/>
      <c r="M421" s="23"/>
      <c r="N421" s="23" t="str">
        <f>VLOOKUP(E421,Activities!$A$9:$M$227,13,FALSE)</f>
        <v>NL</v>
      </c>
      <c r="O421" s="23"/>
      <c r="P421" s="79" t="s">
        <v>415</v>
      </c>
      <c r="Q421" s="35"/>
      <c r="R421" s="35"/>
      <c r="S421" s="35"/>
      <c r="T421" s="35"/>
      <c r="U421" s="35"/>
      <c r="V421" s="35"/>
      <c r="W421" s="35"/>
      <c r="X421" s="35"/>
      <c r="Y421" s="35"/>
      <c r="Z421" s="35"/>
      <c r="AA421" s="35"/>
      <c r="AB421" s="35"/>
      <c r="AC421" s="35"/>
      <c r="AD421" s="35"/>
      <c r="AE421" s="35"/>
      <c r="AF421" s="36"/>
      <c r="AG421" s="36"/>
      <c r="AH421" s="36"/>
      <c r="AI421" s="36"/>
      <c r="AJ421" s="36"/>
      <c r="AK421" s="36"/>
      <c r="AL421" s="36"/>
      <c r="AM421" s="36"/>
      <c r="AN421" s="36"/>
      <c r="AO421" s="36"/>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v>1</v>
      </c>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18"/>
      <c r="GC421" s="178">
        <f t="shared" si="74"/>
        <v>0</v>
      </c>
      <c r="GD421" s="178">
        <f t="shared" si="75"/>
        <v>0</v>
      </c>
      <c r="GE421" s="178">
        <f t="shared" si="76"/>
        <v>0</v>
      </c>
      <c r="GF421" s="178">
        <f t="shared" si="77"/>
        <v>0</v>
      </c>
      <c r="GG421" s="178">
        <f t="shared" si="69"/>
        <v>0</v>
      </c>
    </row>
    <row r="422" spans="1:189" x14ac:dyDescent="0.35">
      <c r="A422" s="6" t="s">
        <v>1679</v>
      </c>
      <c r="B422" s="6" t="str">
        <f>IF(Technologies!B422&lt;&gt;0,Technologies!B422,"")</f>
        <v/>
      </c>
      <c r="C422" s="6" t="str">
        <f>VLOOKUP($A422,Technologies!$A$7:$H$576,3,FALSE)</f>
        <v>Primary</v>
      </c>
      <c r="D422" s="6" t="str">
        <f>VLOOKUP($A422,Technologies!$A$7:$H$576,4,FALSE)</f>
        <v>Renewable</v>
      </c>
      <c r="E422" s="6" t="str">
        <f>VLOOKUP($A422,Technologies!$A$7:$H$576,6,FALSE)</f>
        <v>Dry organic matter</v>
      </c>
      <c r="F422" s="48" t="str">
        <f>VLOOKUP($A422,Technologies!$A$7:$H$576,7,FALSE)</f>
        <v>Dry organic matter</v>
      </c>
      <c r="G422" s="22"/>
      <c r="H422" s="22"/>
      <c r="I422" s="103" cm="1">
        <f t="array" ref="I422">-SUMPRODUCT((Feedstocks!$C$4:$C$141=A422)*Feedstocks!$E$4:$E$141,Feedstocks!$F$4:$F$141,Feedstocks!$H$4:$H$141,Feedstocks!$I$4:$I$141)</f>
        <v>0</v>
      </c>
      <c r="J422" s="103" cm="1">
        <f t="array" ref="J422">-SUMPRODUCT((Feedstocks!$C$4:$C$141=A422)*Feedstocks!$E$4:$E$141,Feedstocks!$H$4:$H$141,Feedstocks!$I$4:$I$141)</f>
        <v>0</v>
      </c>
      <c r="K422" s="103"/>
      <c r="L422" s="103"/>
      <c r="M422" s="22"/>
      <c r="N422" s="22" t="str">
        <f>VLOOKUP(E422,Activities!$A$9:$M$227,13,FALSE)</f>
        <v>NL</v>
      </c>
      <c r="O422" s="22"/>
      <c r="P422" s="80" t="s">
        <v>415</v>
      </c>
      <c r="Q422" s="36"/>
      <c r="R422" s="36"/>
      <c r="S422" s="36"/>
      <c r="T422" s="36"/>
      <c r="U422" s="36"/>
      <c r="V422" s="36"/>
      <c r="W422" s="36"/>
      <c r="X422" s="36"/>
      <c r="Y422" s="36"/>
      <c r="Z422" s="36"/>
      <c r="AA422" s="36"/>
      <c r="AB422" s="36"/>
      <c r="AC422" s="36"/>
      <c r="AD422" s="36"/>
      <c r="AE422" s="36"/>
      <c r="AF422" s="35"/>
      <c r="AG422" s="35"/>
      <c r="AH422" s="35"/>
      <c r="AI422" s="35"/>
      <c r="AJ422" s="35"/>
      <c r="AK422" s="35"/>
      <c r="AL422" s="35"/>
      <c r="AM422" s="35"/>
      <c r="AN422" s="35"/>
      <c r="AO422" s="35"/>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c r="BS422" s="36"/>
      <c r="BT422" s="36"/>
      <c r="BU422" s="36"/>
      <c r="BV422" s="36"/>
      <c r="BW422" s="36"/>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c r="CW422" s="36"/>
      <c r="CX422" s="36"/>
      <c r="CY422" s="36"/>
      <c r="CZ422" s="36"/>
      <c r="DA422" s="36"/>
      <c r="DB422" s="36"/>
      <c r="DC422" s="36"/>
      <c r="DD422" s="36"/>
      <c r="DE422" s="36"/>
      <c r="DF422" s="36"/>
      <c r="DG422" s="36"/>
      <c r="DH422" s="36"/>
      <c r="DI422" s="36"/>
      <c r="DJ422" s="36"/>
      <c r="DK422" s="36"/>
      <c r="DL422" s="36"/>
      <c r="DM422" s="36"/>
      <c r="DN422" s="36"/>
      <c r="DO422" s="36"/>
      <c r="DP422" s="36"/>
      <c r="DQ422" s="36"/>
      <c r="DR422" s="36"/>
      <c r="DS422" s="36"/>
      <c r="DT422" s="36"/>
      <c r="DU422" s="36"/>
      <c r="DV422" s="36"/>
      <c r="DW422" s="36"/>
      <c r="DX422" s="36"/>
      <c r="DY422" s="36"/>
      <c r="DZ422" s="36"/>
      <c r="EA422" s="36"/>
      <c r="EB422" s="36"/>
      <c r="EC422" s="36"/>
      <c r="ED422" s="36"/>
      <c r="EE422" s="36"/>
      <c r="EF422" s="36"/>
      <c r="EG422" s="36"/>
      <c r="EH422" s="36"/>
      <c r="EI422" s="36"/>
      <c r="EJ422" s="36"/>
      <c r="EK422" s="36"/>
      <c r="EL422" s="36"/>
      <c r="EM422" s="36"/>
      <c r="EN422" s="36"/>
      <c r="EO422" s="36"/>
      <c r="EP422" s="36"/>
      <c r="EQ422" s="36"/>
      <c r="ER422" s="36"/>
      <c r="ES422" s="36"/>
      <c r="ET422" s="36"/>
      <c r="EU422" s="36"/>
      <c r="EV422" s="36"/>
      <c r="EW422" s="36"/>
      <c r="EX422" s="36"/>
      <c r="EY422" s="36"/>
      <c r="EZ422" s="36"/>
      <c r="FA422" s="36"/>
      <c r="FB422" s="36"/>
      <c r="FC422" s="36">
        <v>1</v>
      </c>
      <c r="FD422" s="36"/>
      <c r="FE422" s="36"/>
      <c r="FF422" s="36"/>
      <c r="FG422" s="36"/>
      <c r="FH422" s="36"/>
      <c r="FI422" s="36"/>
      <c r="FJ422" s="36"/>
      <c r="FK422" s="36"/>
      <c r="FL422" s="36"/>
      <c r="FM422" s="36"/>
      <c r="FN422" s="36"/>
      <c r="FO422" s="36"/>
      <c r="FP422" s="36"/>
      <c r="FQ422" s="36"/>
      <c r="FR422" s="36"/>
      <c r="FS422" s="36"/>
      <c r="FT422" s="36"/>
      <c r="FU422" s="36"/>
      <c r="FV422" s="36"/>
      <c r="FW422" s="36"/>
      <c r="FX422" s="36"/>
      <c r="FY422" s="36"/>
      <c r="FZ422" s="36"/>
      <c r="GA422" s="36"/>
      <c r="GB422" s="319"/>
      <c r="GC422" s="179">
        <f t="shared" si="74"/>
        <v>0</v>
      </c>
      <c r="GD422" s="179">
        <f t="shared" si="75"/>
        <v>0</v>
      </c>
      <c r="GE422" s="179">
        <f t="shared" si="76"/>
        <v>0</v>
      </c>
      <c r="GF422" s="179">
        <f t="shared" si="77"/>
        <v>0</v>
      </c>
      <c r="GG422" s="179">
        <f t="shared" si="69"/>
        <v>0</v>
      </c>
    </row>
    <row r="423" spans="1:189" x14ac:dyDescent="0.35">
      <c r="A423" s="5" t="s">
        <v>1680</v>
      </c>
      <c r="B423" s="6" t="str">
        <f>IF(Technologies!B423&lt;&gt;0,Technologies!B423,"")</f>
        <v/>
      </c>
      <c r="C423" s="5" t="str">
        <f>VLOOKUP($A423,Technologies!$A$7:$H$576,3,FALSE)</f>
        <v>Primary</v>
      </c>
      <c r="D423" s="5" t="str">
        <f>VLOOKUP($A423,Technologies!$A$7:$H$576,4,FALSE)</f>
        <v>Renewable</v>
      </c>
      <c r="E423" s="5" t="str">
        <f>VLOOKUP($A423,Technologies!$A$7:$H$576,6,FALSE)</f>
        <v>Wet organic matter</v>
      </c>
      <c r="F423" s="5" t="str">
        <f>VLOOKUP($A423,Technologies!$A$7:$H$576,7,FALSE)</f>
        <v>Wet organic matter</v>
      </c>
      <c r="G423" s="23"/>
      <c r="H423" s="23"/>
      <c r="I423" s="104" cm="1">
        <f t="array" ref="I423">-SUMPRODUCT((Feedstocks!$C$4:$C$141=A423)*Feedstocks!$E$4:$E$141,Feedstocks!$F$4:$F$141,Feedstocks!$H$4:$H$141,Feedstocks!$I$4:$I$141)</f>
        <v>0</v>
      </c>
      <c r="J423" s="104" cm="1">
        <f t="array" ref="J423">-SUMPRODUCT((Feedstocks!$C$4:$C$141=A423)*Feedstocks!$E$4:$E$141,Feedstocks!$H$4:$H$141,Feedstocks!$I$4:$I$141)</f>
        <v>0</v>
      </c>
      <c r="K423" s="104"/>
      <c r="L423" s="104"/>
      <c r="M423" s="23"/>
      <c r="N423" s="23" t="str">
        <f>VLOOKUP(E423,Activities!$A$9:$M$227,13,FALSE)</f>
        <v>NL</v>
      </c>
      <c r="O423" s="23"/>
      <c r="P423" s="79" t="s">
        <v>415</v>
      </c>
      <c r="Q423" s="35"/>
      <c r="R423" s="35"/>
      <c r="S423" s="35"/>
      <c r="T423" s="35"/>
      <c r="U423" s="35"/>
      <c r="V423" s="35"/>
      <c r="W423" s="35"/>
      <c r="X423" s="35"/>
      <c r="Y423" s="35"/>
      <c r="Z423" s="35"/>
      <c r="AA423" s="35"/>
      <c r="AB423" s="35"/>
      <c r="AC423" s="35"/>
      <c r="AD423" s="35"/>
      <c r="AE423" s="35"/>
      <c r="AF423" s="36"/>
      <c r="AG423" s="36"/>
      <c r="AH423" s="36"/>
      <c r="AI423" s="36"/>
      <c r="AJ423" s="36"/>
      <c r="AK423" s="36"/>
      <c r="AL423" s="36"/>
      <c r="AM423" s="36"/>
      <c r="AN423" s="36"/>
      <c r="AO423" s="36"/>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v>1</v>
      </c>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18"/>
      <c r="GC423" s="178">
        <f t="shared" si="74"/>
        <v>0</v>
      </c>
      <c r="GD423" s="178">
        <f t="shared" si="75"/>
        <v>0</v>
      </c>
      <c r="GE423" s="178">
        <f t="shared" si="76"/>
        <v>0</v>
      </c>
      <c r="GF423" s="178">
        <f t="shared" si="77"/>
        <v>0</v>
      </c>
      <c r="GG423" s="178">
        <f t="shared" si="69"/>
        <v>0</v>
      </c>
    </row>
    <row r="424" spans="1:189" x14ac:dyDescent="0.35">
      <c r="A424" s="6" t="s">
        <v>1681</v>
      </c>
      <c r="B424" s="6" t="str">
        <f>IF(Technologies!B424&lt;&gt;0,Technologies!B424,"")</f>
        <v/>
      </c>
      <c r="C424" s="6" t="str">
        <f>VLOOKUP($A424,Technologies!$A$7:$H$576,3,FALSE)</f>
        <v>Primary</v>
      </c>
      <c r="D424" s="6" t="str">
        <f>VLOOKUP($A424,Technologies!$A$7:$H$576,4,FALSE)</f>
        <v>Renewable</v>
      </c>
      <c r="E424" s="6" t="str">
        <f>VLOOKUP($A424,Technologies!$A$7:$H$576,6,FALSE)</f>
        <v>Manure</v>
      </c>
      <c r="F424" s="48" t="str">
        <f>VLOOKUP($A424,Technologies!$A$7:$H$576,7,FALSE)</f>
        <v>Manure</v>
      </c>
      <c r="G424" s="22"/>
      <c r="H424" s="22"/>
      <c r="I424" s="103" cm="1">
        <f t="array" ref="I424">-SUMPRODUCT((Feedstocks!$C$4:$C$141=A424)*Feedstocks!$E$4:$E$141,Feedstocks!$F$4:$F$141,Feedstocks!$H$4:$H$141,Feedstocks!$I$4:$I$141)</f>
        <v>0</v>
      </c>
      <c r="J424" s="103" cm="1">
        <f t="array" ref="J424">-SUMPRODUCT((Feedstocks!$C$4:$C$141=A424)*Feedstocks!$E$4:$E$141,Feedstocks!$H$4:$H$141,Feedstocks!$I$4:$I$141)</f>
        <v>0</v>
      </c>
      <c r="K424" s="103"/>
      <c r="L424" s="103"/>
      <c r="M424" s="22"/>
      <c r="N424" s="22" t="str">
        <f>VLOOKUP(E424,Activities!$A$9:$M$227,13,FALSE)</f>
        <v>NL</v>
      </c>
      <c r="O424" s="22"/>
      <c r="P424" s="80" t="s">
        <v>415</v>
      </c>
      <c r="Q424" s="36"/>
      <c r="R424" s="36"/>
      <c r="S424" s="36"/>
      <c r="T424" s="36"/>
      <c r="U424" s="36"/>
      <c r="V424" s="36"/>
      <c r="W424" s="36"/>
      <c r="X424" s="36"/>
      <c r="Y424" s="36"/>
      <c r="Z424" s="36"/>
      <c r="AA424" s="36"/>
      <c r="AB424" s="36"/>
      <c r="AC424" s="36"/>
      <c r="AD424" s="36"/>
      <c r="AE424" s="36"/>
      <c r="AF424" s="35"/>
      <c r="AG424" s="35"/>
      <c r="AH424" s="35"/>
      <c r="AI424" s="35"/>
      <c r="AJ424" s="35"/>
      <c r="AK424" s="35"/>
      <c r="AL424" s="35"/>
      <c r="AM424" s="35"/>
      <c r="AN424" s="35"/>
      <c r="AO424" s="35"/>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c r="BS424" s="36"/>
      <c r="BT424" s="36"/>
      <c r="BU424" s="36"/>
      <c r="BV424" s="36"/>
      <c r="BW424" s="36"/>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c r="CW424" s="36"/>
      <c r="CX424" s="36"/>
      <c r="CY424" s="36"/>
      <c r="CZ424" s="36"/>
      <c r="DA424" s="36"/>
      <c r="DB424" s="36"/>
      <c r="DC424" s="36"/>
      <c r="DD424" s="36"/>
      <c r="DE424" s="36"/>
      <c r="DF424" s="36"/>
      <c r="DG424" s="36"/>
      <c r="DH424" s="36"/>
      <c r="DI424" s="36"/>
      <c r="DJ424" s="36"/>
      <c r="DK424" s="36"/>
      <c r="DL424" s="36"/>
      <c r="DM424" s="36"/>
      <c r="DN424" s="36"/>
      <c r="DO424" s="36"/>
      <c r="DP424" s="36"/>
      <c r="DQ424" s="36"/>
      <c r="DR424" s="36"/>
      <c r="DS424" s="36"/>
      <c r="DT424" s="36"/>
      <c r="DU424" s="36"/>
      <c r="DV424" s="36"/>
      <c r="DW424" s="36"/>
      <c r="DX424" s="36"/>
      <c r="DY424" s="36"/>
      <c r="DZ424" s="36"/>
      <c r="EA424" s="36"/>
      <c r="EB424" s="36"/>
      <c r="EC424" s="36"/>
      <c r="ED424" s="36"/>
      <c r="EE424" s="36"/>
      <c r="EF424" s="36"/>
      <c r="EG424" s="36"/>
      <c r="EH424" s="36"/>
      <c r="EI424" s="36"/>
      <c r="EJ424" s="36"/>
      <c r="EK424" s="36"/>
      <c r="EL424" s="36"/>
      <c r="EM424" s="36"/>
      <c r="EN424" s="36"/>
      <c r="EO424" s="36"/>
      <c r="EP424" s="36"/>
      <c r="EQ424" s="36"/>
      <c r="ER424" s="36"/>
      <c r="ES424" s="36"/>
      <c r="ET424" s="36"/>
      <c r="EU424" s="36"/>
      <c r="EV424" s="36"/>
      <c r="EW424" s="36"/>
      <c r="EX424" s="36"/>
      <c r="EY424" s="36"/>
      <c r="EZ424" s="36"/>
      <c r="FA424" s="36"/>
      <c r="FB424" s="36"/>
      <c r="FC424" s="36"/>
      <c r="FD424" s="36"/>
      <c r="FE424" s="36">
        <v>1</v>
      </c>
      <c r="FF424" s="36"/>
      <c r="FG424" s="36"/>
      <c r="FH424" s="36"/>
      <c r="FI424" s="36"/>
      <c r="FJ424" s="36"/>
      <c r="FK424" s="36"/>
      <c r="FL424" s="36"/>
      <c r="FM424" s="36"/>
      <c r="FN424" s="36"/>
      <c r="FO424" s="36"/>
      <c r="FP424" s="36"/>
      <c r="FQ424" s="36"/>
      <c r="FR424" s="36"/>
      <c r="FS424" s="36"/>
      <c r="FT424" s="36"/>
      <c r="FU424" s="36"/>
      <c r="FV424" s="36"/>
      <c r="FW424" s="36"/>
      <c r="FX424" s="36"/>
      <c r="FY424" s="36"/>
      <c r="FZ424" s="36"/>
      <c r="GA424" s="36"/>
      <c r="GB424" s="319"/>
      <c r="GC424" s="179">
        <f t="shared" si="74"/>
        <v>0</v>
      </c>
      <c r="GD424" s="179">
        <f t="shared" si="75"/>
        <v>0</v>
      </c>
      <c r="GE424" s="179">
        <f t="shared" si="76"/>
        <v>0</v>
      </c>
      <c r="GF424" s="179">
        <f t="shared" si="77"/>
        <v>0</v>
      </c>
      <c r="GG424" s="179">
        <f t="shared" si="69"/>
        <v>0</v>
      </c>
    </row>
    <row r="425" spans="1:189" x14ac:dyDescent="0.35">
      <c r="A425" s="5" t="s">
        <v>1682</v>
      </c>
      <c r="B425" s="6" t="str">
        <f>IF(Technologies!B425&lt;&gt;0,Technologies!B425,"")</f>
        <v/>
      </c>
      <c r="C425" s="5" t="str">
        <f>VLOOKUP($A425,Technologies!$A$7:$H$576,3,FALSE)</f>
        <v>Primary</v>
      </c>
      <c r="D425" s="5" t="str">
        <f>VLOOKUP($A425,Technologies!$A$7:$H$576,4,FALSE)</f>
        <v>Renewable</v>
      </c>
      <c r="E425" s="5" t="str">
        <f>VLOOKUP($A425,Technologies!$A$7:$H$576,6,FALSE)</f>
        <v>Sugars</v>
      </c>
      <c r="F425" s="5" t="str">
        <f>VLOOKUP($A425,Technologies!$A$7:$H$576,7,FALSE)</f>
        <v>Sugars</v>
      </c>
      <c r="G425" s="23"/>
      <c r="H425" s="23"/>
      <c r="I425" s="104" cm="1">
        <f t="array" ref="I425">-SUMPRODUCT((Feedstocks!$C$4:$C$141=A425)*Feedstocks!$E$4:$E$141,Feedstocks!$F$4:$F$141,Feedstocks!$H$4:$H$141,Feedstocks!$I$4:$I$141)</f>
        <v>0</v>
      </c>
      <c r="J425" s="104" cm="1">
        <f t="array" ref="J425">-SUMPRODUCT((Feedstocks!$C$4:$C$141=A425)*Feedstocks!$E$4:$E$141,Feedstocks!$H$4:$H$141,Feedstocks!$I$4:$I$141)</f>
        <v>0</v>
      </c>
      <c r="K425" s="104"/>
      <c r="L425" s="104"/>
      <c r="M425" s="23"/>
      <c r="N425" s="23" t="str">
        <f>VLOOKUP(E425,Activities!$A$9:$M$227,13,FALSE)</f>
        <v>NL</v>
      </c>
      <c r="O425" s="23"/>
      <c r="P425" s="79" t="s">
        <v>415</v>
      </c>
      <c r="Q425" s="35"/>
      <c r="R425" s="35"/>
      <c r="S425" s="35"/>
      <c r="T425" s="35"/>
      <c r="U425" s="35"/>
      <c r="V425" s="35"/>
      <c r="W425" s="35"/>
      <c r="X425" s="35"/>
      <c r="Y425" s="35"/>
      <c r="Z425" s="35"/>
      <c r="AA425" s="35"/>
      <c r="AB425" s="35"/>
      <c r="AC425" s="35"/>
      <c r="AD425" s="35"/>
      <c r="AE425" s="35"/>
      <c r="AF425" s="36"/>
      <c r="AG425" s="36"/>
      <c r="AH425" s="36"/>
      <c r="AI425" s="36"/>
      <c r="AJ425" s="36"/>
      <c r="AK425" s="36"/>
      <c r="AL425" s="36"/>
      <c r="AM425" s="36"/>
      <c r="AN425" s="36"/>
      <c r="AO425" s="36"/>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v>1</v>
      </c>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18"/>
      <c r="GC425" s="178">
        <f t="shared" si="74"/>
        <v>0</v>
      </c>
      <c r="GD425" s="178">
        <f t="shared" si="75"/>
        <v>0</v>
      </c>
      <c r="GE425" s="178">
        <f t="shared" si="76"/>
        <v>0</v>
      </c>
      <c r="GF425" s="178">
        <f t="shared" si="77"/>
        <v>0</v>
      </c>
      <c r="GG425" s="178">
        <f t="shared" si="69"/>
        <v>0</v>
      </c>
    </row>
    <row r="426" spans="1:189" x14ac:dyDescent="0.35">
      <c r="A426" s="6" t="s">
        <v>1683</v>
      </c>
      <c r="B426" s="6" t="str">
        <f>IF(Technologies!B426&lt;&gt;0,Technologies!B426,"")</f>
        <v/>
      </c>
      <c r="C426" s="6" t="str">
        <f>VLOOKUP($A426,Technologies!$A$7:$H$576,3,FALSE)</f>
        <v>Primary</v>
      </c>
      <c r="D426" s="6" t="str">
        <f>VLOOKUP($A426,Technologies!$A$7:$H$576,4,FALSE)</f>
        <v>Renewable</v>
      </c>
      <c r="E426" s="6" t="str">
        <f>VLOOKUP($A426,Technologies!$A$7:$H$576,6,FALSE)</f>
        <v>Starch</v>
      </c>
      <c r="F426" s="48" t="str">
        <f>VLOOKUP($A426,Technologies!$A$7:$H$576,7,FALSE)</f>
        <v>Starch</v>
      </c>
      <c r="G426" s="22"/>
      <c r="H426" s="22"/>
      <c r="I426" s="103" cm="1">
        <f t="array" ref="I426">-SUMPRODUCT((Feedstocks!$C$4:$C$141=A426)*Feedstocks!$E$4:$E$141,Feedstocks!$F$4:$F$141,Feedstocks!$H$4:$H$141,Feedstocks!$I$4:$I$141)</f>
        <v>0</v>
      </c>
      <c r="J426" s="103" cm="1">
        <f t="array" ref="J426">-SUMPRODUCT((Feedstocks!$C$4:$C$141=A426)*Feedstocks!$E$4:$E$141,Feedstocks!$H$4:$H$141,Feedstocks!$I$4:$I$141)</f>
        <v>0</v>
      </c>
      <c r="K426" s="103"/>
      <c r="L426" s="103"/>
      <c r="M426" s="22"/>
      <c r="N426" s="22" t="str">
        <f>VLOOKUP(E426,Activities!$A$9:$M$227,13,FALSE)</f>
        <v>NL</v>
      </c>
      <c r="O426" s="22"/>
      <c r="P426" s="80" t="s">
        <v>415</v>
      </c>
      <c r="Q426" s="36"/>
      <c r="R426" s="36"/>
      <c r="S426" s="36"/>
      <c r="T426" s="36"/>
      <c r="U426" s="36"/>
      <c r="V426" s="36"/>
      <c r="W426" s="36"/>
      <c r="X426" s="36"/>
      <c r="Y426" s="36"/>
      <c r="Z426" s="36"/>
      <c r="AA426" s="36"/>
      <c r="AB426" s="36"/>
      <c r="AC426" s="36"/>
      <c r="AD426" s="36"/>
      <c r="AE426" s="36"/>
      <c r="AF426" s="35"/>
      <c r="AG426" s="35"/>
      <c r="AH426" s="35"/>
      <c r="AI426" s="35"/>
      <c r="AJ426" s="35"/>
      <c r="AK426" s="35"/>
      <c r="AL426" s="35"/>
      <c r="AM426" s="35"/>
      <c r="AN426" s="35"/>
      <c r="AO426" s="35"/>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6"/>
      <c r="BV426" s="36"/>
      <c r="BW426" s="36"/>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36"/>
      <c r="CT426" s="36"/>
      <c r="CU426" s="36"/>
      <c r="CV426" s="36"/>
      <c r="CW426" s="36"/>
      <c r="CX426" s="36"/>
      <c r="CY426" s="36"/>
      <c r="CZ426" s="36"/>
      <c r="DA426" s="36"/>
      <c r="DB426" s="36"/>
      <c r="DC426" s="36"/>
      <c r="DD426" s="36"/>
      <c r="DE426" s="36"/>
      <c r="DF426" s="36"/>
      <c r="DG426" s="36"/>
      <c r="DH426" s="36"/>
      <c r="DI426" s="36"/>
      <c r="DJ426" s="36"/>
      <c r="DK426" s="36"/>
      <c r="DL426" s="36"/>
      <c r="DM426" s="36"/>
      <c r="DN426" s="36"/>
      <c r="DO426" s="36"/>
      <c r="DP426" s="36"/>
      <c r="DQ426" s="36"/>
      <c r="DR426" s="36"/>
      <c r="DS426" s="36"/>
      <c r="DT426" s="36"/>
      <c r="DU426" s="36"/>
      <c r="DV426" s="36"/>
      <c r="DW426" s="36"/>
      <c r="DX426" s="36"/>
      <c r="DY426" s="36"/>
      <c r="DZ426" s="36"/>
      <c r="EA426" s="36"/>
      <c r="EB426" s="36"/>
      <c r="EC426" s="36"/>
      <c r="ED426" s="36"/>
      <c r="EE426" s="36"/>
      <c r="EF426" s="36"/>
      <c r="EG426" s="36"/>
      <c r="EH426" s="36"/>
      <c r="EI426" s="36"/>
      <c r="EJ426" s="36"/>
      <c r="EK426" s="36"/>
      <c r="EL426" s="36"/>
      <c r="EM426" s="36"/>
      <c r="EN426" s="36"/>
      <c r="EO426" s="36"/>
      <c r="EP426" s="36"/>
      <c r="EQ426" s="36"/>
      <c r="ER426" s="36"/>
      <c r="ES426" s="36"/>
      <c r="ET426" s="36"/>
      <c r="EU426" s="36"/>
      <c r="EV426" s="36"/>
      <c r="EW426" s="36"/>
      <c r="EX426" s="36"/>
      <c r="EY426" s="36"/>
      <c r="EZ426" s="36"/>
      <c r="FA426" s="36"/>
      <c r="FB426" s="36"/>
      <c r="FC426" s="36"/>
      <c r="FD426" s="36"/>
      <c r="FE426" s="36"/>
      <c r="FF426" s="36"/>
      <c r="FG426" s="36">
        <v>1</v>
      </c>
      <c r="FH426" s="36"/>
      <c r="FI426" s="36"/>
      <c r="FJ426" s="36"/>
      <c r="FK426" s="36"/>
      <c r="FL426" s="36"/>
      <c r="FM426" s="36"/>
      <c r="FN426" s="36"/>
      <c r="FO426" s="36"/>
      <c r="FP426" s="36"/>
      <c r="FQ426" s="36"/>
      <c r="FR426" s="36"/>
      <c r="FS426" s="36"/>
      <c r="FT426" s="36"/>
      <c r="FU426" s="36"/>
      <c r="FV426" s="36"/>
      <c r="FW426" s="36"/>
      <c r="FX426" s="36"/>
      <c r="FY426" s="36"/>
      <c r="FZ426" s="36"/>
      <c r="GA426" s="36"/>
      <c r="GB426" s="319"/>
      <c r="GC426" s="179">
        <f t="shared" si="74"/>
        <v>0</v>
      </c>
      <c r="GD426" s="179">
        <f t="shared" si="75"/>
        <v>0</v>
      </c>
      <c r="GE426" s="179">
        <f t="shared" si="76"/>
        <v>0</v>
      </c>
      <c r="GF426" s="179">
        <f t="shared" si="77"/>
        <v>0</v>
      </c>
      <c r="GG426" s="179">
        <f t="shared" ref="GG426:GG460" si="78">$I426</f>
        <v>0</v>
      </c>
    </row>
    <row r="427" spans="1:189" x14ac:dyDescent="0.35">
      <c r="A427" s="5" t="s">
        <v>1684</v>
      </c>
      <c r="B427" s="6" t="str">
        <f>IF(Technologies!B427&lt;&gt;0,Technologies!B427,"")</f>
        <v/>
      </c>
      <c r="C427" s="5" t="str">
        <f>VLOOKUP($A427,Technologies!$A$7:$H$576,3,FALSE)</f>
        <v>Primary</v>
      </c>
      <c r="D427" s="5" t="str">
        <f>VLOOKUP($A427,Technologies!$A$7:$H$576,4,FALSE)</f>
        <v>Renewable</v>
      </c>
      <c r="E427" s="5" t="str">
        <f>VLOOKUP($A427,Technologies!$A$7:$H$576,6,FALSE)</f>
        <v>Vegetable Oil</v>
      </c>
      <c r="F427" s="5" t="str">
        <f>VLOOKUP($A427,Technologies!$A$7:$H$576,7,FALSE)</f>
        <v>Vegetable Oil</v>
      </c>
      <c r="G427" s="23"/>
      <c r="H427" s="23"/>
      <c r="I427" s="104" cm="1">
        <f t="array" ref="I427">-SUMPRODUCT((Feedstocks!$C$4:$C$141=A427)*Feedstocks!$E$4:$E$141,Feedstocks!$F$4:$F$141,Feedstocks!$H$4:$H$141,Feedstocks!$I$4:$I$141)</f>
        <v>0</v>
      </c>
      <c r="J427" s="104" cm="1">
        <f t="array" ref="J427">-SUMPRODUCT((Feedstocks!$C$4:$C$141=A427)*Feedstocks!$E$4:$E$141,Feedstocks!$H$4:$H$141,Feedstocks!$I$4:$I$141)</f>
        <v>0</v>
      </c>
      <c r="K427" s="104"/>
      <c r="L427" s="104"/>
      <c r="M427" s="23"/>
      <c r="N427" s="23" t="str">
        <f>VLOOKUP(E427,Activities!$A$9:$M$227,13,FALSE)</f>
        <v>NL</v>
      </c>
      <c r="O427" s="23"/>
      <c r="P427" s="79" t="s">
        <v>415</v>
      </c>
      <c r="Q427" s="35"/>
      <c r="R427" s="35"/>
      <c r="S427" s="35"/>
      <c r="T427" s="35"/>
      <c r="U427" s="35"/>
      <c r="V427" s="35"/>
      <c r="W427" s="35"/>
      <c r="X427" s="35"/>
      <c r="Y427" s="35"/>
      <c r="Z427" s="35"/>
      <c r="AA427" s="35"/>
      <c r="AB427" s="35"/>
      <c r="AC427" s="35"/>
      <c r="AD427" s="35"/>
      <c r="AE427" s="35"/>
      <c r="AF427" s="36"/>
      <c r="AG427" s="36"/>
      <c r="AH427" s="36"/>
      <c r="AI427" s="36"/>
      <c r="AJ427" s="36"/>
      <c r="AK427" s="36"/>
      <c r="AL427" s="36"/>
      <c r="AM427" s="36"/>
      <c r="AN427" s="36"/>
      <c r="AO427" s="36"/>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v>1</v>
      </c>
      <c r="FI427" s="35"/>
      <c r="FJ427" s="35"/>
      <c r="FK427" s="35"/>
      <c r="FL427" s="35"/>
      <c r="FM427" s="35"/>
      <c r="FN427" s="35"/>
      <c r="FO427" s="35"/>
      <c r="FP427" s="35"/>
      <c r="FQ427" s="35"/>
      <c r="FR427" s="35"/>
      <c r="FS427" s="35"/>
      <c r="FT427" s="35"/>
      <c r="FU427" s="35"/>
      <c r="FV427" s="35"/>
      <c r="FW427" s="35"/>
      <c r="FX427" s="35"/>
      <c r="FY427" s="35"/>
      <c r="FZ427" s="35"/>
      <c r="GA427" s="35"/>
      <c r="GB427" s="318"/>
      <c r="GC427" s="178">
        <f t="shared" si="74"/>
        <v>0</v>
      </c>
      <c r="GD427" s="178">
        <f t="shared" si="75"/>
        <v>0</v>
      </c>
      <c r="GE427" s="178">
        <f t="shared" si="76"/>
        <v>0</v>
      </c>
      <c r="GF427" s="178">
        <f t="shared" si="77"/>
        <v>0</v>
      </c>
      <c r="GG427" s="178">
        <f t="shared" si="78"/>
        <v>0</v>
      </c>
    </row>
    <row r="428" spans="1:189" x14ac:dyDescent="0.35">
      <c r="A428" s="6" t="s">
        <v>1685</v>
      </c>
      <c r="B428" s="6" t="str">
        <f>IF(Technologies!B428&lt;&gt;0,Technologies!B428,"")</f>
        <v/>
      </c>
      <c r="C428" s="6" t="str">
        <f>VLOOKUP($A428,Technologies!$A$7:$H$576,3,FALSE)</f>
        <v>Primary</v>
      </c>
      <c r="D428" s="6" t="str">
        <f>VLOOKUP($A428,Technologies!$A$7:$H$576,4,FALSE)</f>
        <v>Renewable</v>
      </c>
      <c r="E428" s="6" t="str">
        <f>VLOOKUP($A428,Technologies!$A$7:$H$576,6,FALSE)</f>
        <v>Vegetable Oil</v>
      </c>
      <c r="F428" s="48" t="str">
        <f>VLOOKUP($A428,Technologies!$A$7:$H$576,7,FALSE)</f>
        <v>Imported Vegetable Oil</v>
      </c>
      <c r="G428" s="22"/>
      <c r="H428" s="22"/>
      <c r="I428" s="103" cm="1">
        <f t="array" ref="I428">-SUMPRODUCT((Feedstocks!$C$4:$C$141=A428)*Feedstocks!$E$4:$E$141,Feedstocks!$F$4:$F$141,Feedstocks!$H$4:$H$141,Feedstocks!$I$4:$I$141)</f>
        <v>0</v>
      </c>
      <c r="J428" s="103" cm="1">
        <f t="array" ref="J428">-SUMPRODUCT((Feedstocks!$C$4:$C$141=A428)*Feedstocks!$E$4:$E$141,Feedstocks!$H$4:$H$141,Feedstocks!$I$4:$I$141)</f>
        <v>0</v>
      </c>
      <c r="K428" s="103"/>
      <c r="L428" s="103"/>
      <c r="M428" s="22"/>
      <c r="N428" s="22" t="str">
        <f>VLOOKUP(E428,Activities!$A$9:$M$227,13,FALSE)</f>
        <v>NL</v>
      </c>
      <c r="O428" s="22"/>
      <c r="P428" s="80" t="s">
        <v>415</v>
      </c>
      <c r="Q428" s="36"/>
      <c r="R428" s="36"/>
      <c r="S428" s="36"/>
      <c r="T428" s="36"/>
      <c r="U428" s="36"/>
      <c r="V428" s="36"/>
      <c r="W428" s="36"/>
      <c r="X428" s="36"/>
      <c r="Y428" s="36"/>
      <c r="Z428" s="36"/>
      <c r="AA428" s="36"/>
      <c r="AB428" s="36"/>
      <c r="AC428" s="36"/>
      <c r="AD428" s="36"/>
      <c r="AE428" s="36"/>
      <c r="AF428" s="35"/>
      <c r="AG428" s="35"/>
      <c r="AH428" s="35"/>
      <c r="AI428" s="35"/>
      <c r="AJ428" s="35"/>
      <c r="AK428" s="35"/>
      <c r="AL428" s="35"/>
      <c r="AM428" s="35"/>
      <c r="AN428" s="35"/>
      <c r="AO428" s="35"/>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6"/>
      <c r="BV428" s="36"/>
      <c r="BW428" s="36"/>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c r="CW428" s="36"/>
      <c r="CX428" s="36"/>
      <c r="CY428" s="36"/>
      <c r="CZ428" s="36"/>
      <c r="DA428" s="36"/>
      <c r="DB428" s="36"/>
      <c r="DC428" s="36"/>
      <c r="DD428" s="36"/>
      <c r="DE428" s="36"/>
      <c r="DF428" s="36"/>
      <c r="DG428" s="36"/>
      <c r="DH428" s="36"/>
      <c r="DI428" s="36"/>
      <c r="DJ428" s="36"/>
      <c r="DK428" s="36"/>
      <c r="DL428" s="36"/>
      <c r="DM428" s="36"/>
      <c r="DN428" s="36"/>
      <c r="DO428" s="36"/>
      <c r="DP428" s="36"/>
      <c r="DQ428" s="36"/>
      <c r="DR428" s="36"/>
      <c r="DS428" s="36"/>
      <c r="DT428" s="36"/>
      <c r="DU428" s="36"/>
      <c r="DV428" s="36"/>
      <c r="DW428" s="36"/>
      <c r="DX428" s="36"/>
      <c r="DY428" s="36"/>
      <c r="DZ428" s="36"/>
      <c r="EA428" s="36"/>
      <c r="EB428" s="36"/>
      <c r="EC428" s="36"/>
      <c r="ED428" s="36"/>
      <c r="EE428" s="36"/>
      <c r="EF428" s="36"/>
      <c r="EG428" s="36"/>
      <c r="EH428" s="36"/>
      <c r="EI428" s="36"/>
      <c r="EJ428" s="36"/>
      <c r="EK428" s="36"/>
      <c r="EL428" s="36"/>
      <c r="EM428" s="36"/>
      <c r="EN428" s="36"/>
      <c r="EO428" s="36"/>
      <c r="EP428" s="36"/>
      <c r="EQ428" s="36"/>
      <c r="ER428" s="36"/>
      <c r="ES428" s="36"/>
      <c r="ET428" s="36"/>
      <c r="EU428" s="36"/>
      <c r="EV428" s="36"/>
      <c r="EW428" s="36"/>
      <c r="EX428" s="36"/>
      <c r="EY428" s="36"/>
      <c r="EZ428" s="36"/>
      <c r="FA428" s="36"/>
      <c r="FB428" s="36"/>
      <c r="FC428" s="36"/>
      <c r="FD428" s="36"/>
      <c r="FE428" s="36"/>
      <c r="FF428" s="36"/>
      <c r="FG428" s="36"/>
      <c r="FH428" s="36">
        <v>1</v>
      </c>
      <c r="FI428" s="36"/>
      <c r="FJ428" s="36"/>
      <c r="FK428" s="36"/>
      <c r="FL428" s="36"/>
      <c r="FM428" s="36"/>
      <c r="FN428" s="36"/>
      <c r="FO428" s="36"/>
      <c r="FP428" s="36"/>
      <c r="FQ428" s="36"/>
      <c r="FR428" s="36"/>
      <c r="FS428" s="36"/>
      <c r="FT428" s="36"/>
      <c r="FU428" s="36"/>
      <c r="FV428" s="36"/>
      <c r="FW428" s="36"/>
      <c r="FX428" s="36"/>
      <c r="FY428" s="36"/>
      <c r="FZ428" s="36"/>
      <c r="GA428" s="36"/>
      <c r="GB428" s="319"/>
      <c r="GC428" s="179">
        <f t="shared" si="74"/>
        <v>0</v>
      </c>
      <c r="GD428" s="179">
        <f t="shared" si="75"/>
        <v>0</v>
      </c>
      <c r="GE428" s="179">
        <f t="shared" si="76"/>
        <v>0</v>
      </c>
      <c r="GF428" s="179">
        <f t="shared" si="77"/>
        <v>0</v>
      </c>
      <c r="GG428" s="179">
        <f t="shared" si="78"/>
        <v>0</v>
      </c>
    </row>
    <row r="429" spans="1:189" x14ac:dyDescent="0.35">
      <c r="A429" s="6" t="s">
        <v>1687</v>
      </c>
      <c r="B429" s="6" t="str">
        <f>IF(Technologies!B429&lt;&gt;0,Technologies!B429,"")</f>
        <v/>
      </c>
      <c r="C429" s="6" t="str">
        <f>VLOOKUP($A429,Technologies!$A$7:$H$576,3,FALSE)</f>
        <v>Primary</v>
      </c>
      <c r="D429" s="6" t="str">
        <f>VLOOKUP($A429,Technologies!$A$7:$H$576,4,FALSE)</f>
        <v>Renewable</v>
      </c>
      <c r="E429" s="6" t="str">
        <f>VLOOKUP($A429,Technologies!$A$7:$H$576,6,FALSE)</f>
        <v>Biomethane</v>
      </c>
      <c r="F429" s="48" t="str">
        <f>VLOOKUP($A429,Technologies!$A$7:$H$576,7,FALSE)</f>
        <v>Imported biomethane</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
        <v>320</v>
      </c>
      <c r="O429" s="22"/>
      <c r="P429" s="80"/>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c r="FI429" s="36">
        <v>1</v>
      </c>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5" t="s">
        <v>1689</v>
      </c>
      <c r="B430" s="6" t="str">
        <f>IF(Technologies!B430&lt;&gt;0,Technologies!B430,"")</f>
        <v/>
      </c>
      <c r="C430" s="5" t="str">
        <f>VLOOKUP($A430,Technologies!$A$7:$H$576,3,FALSE)</f>
        <v>Primary</v>
      </c>
      <c r="D430" s="5" t="str">
        <f>VLOOKUP($A430,Technologies!$A$7:$H$576,4,FALSE)</f>
        <v>Renewable</v>
      </c>
      <c r="E430" s="5" t="str">
        <f>VLOOKUP($A430,Technologies!$A$7:$H$576,6,FALSE)</f>
        <v>Wind Energy</v>
      </c>
      <c r="F430" s="5" t="str">
        <f>VLOOKUP($A430,Technologies!$A$7:$H$576,7,FALSE)</f>
        <v>Wind Energy</v>
      </c>
      <c r="G430" s="23"/>
      <c r="H430" s="23"/>
      <c r="I430" s="104" cm="1">
        <f t="array" ref="I430">-SUMPRODUCT((Feedstocks!$C$4:$C$141=A430)*Feedstocks!$E$4:$E$141,Feedstocks!$F$4:$F$141,Feedstocks!$H$4:$H$141,Feedstocks!$I$4:$I$141)</f>
        <v>0</v>
      </c>
      <c r="J430" s="104" cm="1">
        <f t="array" ref="J430">-SUMPRODUCT((Feedstocks!$C$4:$C$141=A430)*Feedstocks!$E$4:$E$141,Feedstocks!$H$4:$H$141,Feedstocks!$I$4:$I$141)</f>
        <v>0</v>
      </c>
      <c r="K430" s="104"/>
      <c r="L430" s="104"/>
      <c r="M430" s="23"/>
      <c r="N430" s="23" t="str">
        <f>VLOOKUP(E430,Activities!$A$9:$M$227,13,FALSE)</f>
        <v>NL</v>
      </c>
      <c r="O430" s="23"/>
      <c r="P430" s="79" t="s">
        <v>415</v>
      </c>
      <c r="Q430" s="35"/>
      <c r="R430" s="35"/>
      <c r="S430" s="35"/>
      <c r="T430" s="35"/>
      <c r="U430" s="35"/>
      <c r="V430" s="35"/>
      <c r="W430" s="35"/>
      <c r="X430" s="35"/>
      <c r="Y430" s="35"/>
      <c r="Z430" s="35"/>
      <c r="AA430" s="35"/>
      <c r="AB430" s="35"/>
      <c r="AC430" s="35"/>
      <c r="AD430" s="35"/>
      <c r="AE430" s="35"/>
      <c r="AF430" s="36"/>
      <c r="AG430" s="36"/>
      <c r="AH430" s="36"/>
      <c r="AI430" s="36"/>
      <c r="AJ430" s="36"/>
      <c r="AK430" s="36"/>
      <c r="AL430" s="36"/>
      <c r="AM430" s="36"/>
      <c r="AN430" s="36"/>
      <c r="AO430" s="36"/>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v>1</v>
      </c>
      <c r="FK430" s="35"/>
      <c r="FL430" s="35"/>
      <c r="FM430" s="35"/>
      <c r="FN430" s="35"/>
      <c r="FO430" s="35"/>
      <c r="FP430" s="35"/>
      <c r="FQ430" s="35"/>
      <c r="FR430" s="35"/>
      <c r="FS430" s="35"/>
      <c r="FT430" s="35"/>
      <c r="FU430" s="35"/>
      <c r="FV430" s="35"/>
      <c r="FW430" s="35"/>
      <c r="FX430" s="35"/>
      <c r="FY430" s="35"/>
      <c r="FZ430" s="35"/>
      <c r="GA430" s="35"/>
      <c r="GB430" s="318"/>
      <c r="GC430" s="178">
        <f t="shared" si="74"/>
        <v>0</v>
      </c>
      <c r="GD430" s="178">
        <f t="shared" si="75"/>
        <v>0</v>
      </c>
      <c r="GE430" s="178">
        <f t="shared" si="76"/>
        <v>0</v>
      </c>
      <c r="GF430" s="178">
        <f t="shared" si="77"/>
        <v>0</v>
      </c>
      <c r="GG430" s="178">
        <f t="shared" si="78"/>
        <v>0</v>
      </c>
    </row>
    <row r="431" spans="1:189" x14ac:dyDescent="0.35">
      <c r="A431" s="6" t="s">
        <v>1690</v>
      </c>
      <c r="B431" s="6" t="str">
        <f>IF(Technologies!B431&lt;&gt;0,Technologies!B431,"")</f>
        <v/>
      </c>
      <c r="C431" s="6" t="str">
        <f>VLOOKUP($A431,Technologies!$A$7:$H$576,3,FALSE)</f>
        <v>Primary</v>
      </c>
      <c r="D431" s="6" t="str">
        <f>VLOOKUP($A431,Technologies!$A$7:$H$576,4,FALSE)</f>
        <v>Renewable</v>
      </c>
      <c r="E431" s="6" t="str">
        <f>VLOOKUP($A431,Technologies!$A$7:$H$576,6,FALSE)</f>
        <v>Solar Energy</v>
      </c>
      <c r="F431" s="48" t="str">
        <f>VLOOKUP($A431,Technologies!$A$7:$H$576,7,FALSE)</f>
        <v>Solar Energy</v>
      </c>
      <c r="G431" s="22"/>
      <c r="H431" s="22"/>
      <c r="I431" s="103" cm="1">
        <f t="array" ref="I431">-SUMPRODUCT((Feedstocks!$C$4:$C$141=A431)*Feedstocks!$E$4:$E$141,Feedstocks!$F$4:$F$141,Feedstocks!$H$4:$H$141,Feedstocks!$I$4:$I$141)</f>
        <v>0</v>
      </c>
      <c r="J431" s="103" cm="1">
        <f t="array" ref="J431">-SUMPRODUCT((Feedstocks!$C$4:$C$141=A431)*Feedstocks!$E$4:$E$141,Feedstocks!$H$4:$H$141,Feedstocks!$I$4:$I$141)</f>
        <v>0</v>
      </c>
      <c r="K431" s="103"/>
      <c r="L431" s="103"/>
      <c r="M431" s="22"/>
      <c r="N431" s="22" t="str">
        <f>VLOOKUP(E431,Activities!$A$9:$M$227,13,FALSE)</f>
        <v>NL</v>
      </c>
      <c r="O431" s="22"/>
      <c r="P431" s="80" t="s">
        <v>415</v>
      </c>
      <c r="Q431" s="36"/>
      <c r="R431" s="36"/>
      <c r="S431" s="36"/>
      <c r="T431" s="36"/>
      <c r="U431" s="36"/>
      <c r="V431" s="36"/>
      <c r="W431" s="36"/>
      <c r="X431" s="36"/>
      <c r="Y431" s="36"/>
      <c r="Z431" s="36"/>
      <c r="AA431" s="36"/>
      <c r="AB431" s="36"/>
      <c r="AC431" s="36"/>
      <c r="AD431" s="36"/>
      <c r="AE431" s="36"/>
      <c r="AF431" s="35"/>
      <c r="AG431" s="35"/>
      <c r="AH431" s="35"/>
      <c r="AI431" s="35"/>
      <c r="AJ431" s="35"/>
      <c r="AK431" s="35"/>
      <c r="AL431" s="35"/>
      <c r="AM431" s="35"/>
      <c r="AN431" s="35"/>
      <c r="AO431" s="35"/>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6"/>
      <c r="BV431" s="36"/>
      <c r="BW431" s="36"/>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36"/>
      <c r="CT431" s="36"/>
      <c r="CU431" s="36"/>
      <c r="CV431" s="36"/>
      <c r="CW431" s="36"/>
      <c r="CX431" s="36"/>
      <c r="CY431" s="36"/>
      <c r="CZ431" s="36"/>
      <c r="DA431" s="36"/>
      <c r="DB431" s="36"/>
      <c r="DC431" s="36"/>
      <c r="DD431" s="36"/>
      <c r="DE431" s="36"/>
      <c r="DF431" s="36"/>
      <c r="DG431" s="36"/>
      <c r="DH431" s="36"/>
      <c r="DI431" s="36"/>
      <c r="DJ431" s="36"/>
      <c r="DK431" s="36"/>
      <c r="DL431" s="36"/>
      <c r="DM431" s="36"/>
      <c r="DN431" s="36"/>
      <c r="DO431" s="36"/>
      <c r="DP431" s="36"/>
      <c r="DQ431" s="36"/>
      <c r="DR431" s="36"/>
      <c r="DS431" s="36"/>
      <c r="DT431" s="36"/>
      <c r="DU431" s="36"/>
      <c r="DV431" s="36"/>
      <c r="DW431" s="36"/>
      <c r="DX431" s="36"/>
      <c r="DY431" s="36"/>
      <c r="DZ431" s="36"/>
      <c r="EA431" s="36"/>
      <c r="EB431" s="36"/>
      <c r="EC431" s="36"/>
      <c r="ED431" s="36"/>
      <c r="EE431" s="36"/>
      <c r="EF431" s="36"/>
      <c r="EG431" s="36"/>
      <c r="EH431" s="36"/>
      <c r="EI431" s="36"/>
      <c r="EJ431" s="36"/>
      <c r="EK431" s="36"/>
      <c r="EL431" s="36"/>
      <c r="EM431" s="36"/>
      <c r="EN431" s="36"/>
      <c r="EO431" s="36"/>
      <c r="EP431" s="36"/>
      <c r="EQ431" s="36"/>
      <c r="ER431" s="36"/>
      <c r="ES431" s="36"/>
      <c r="ET431" s="36"/>
      <c r="EU431" s="36"/>
      <c r="EV431" s="36"/>
      <c r="EW431" s="36"/>
      <c r="EX431" s="36"/>
      <c r="EY431" s="36"/>
      <c r="EZ431" s="36"/>
      <c r="FA431" s="36"/>
      <c r="FB431" s="36"/>
      <c r="FC431" s="36"/>
      <c r="FD431" s="36"/>
      <c r="FE431" s="36"/>
      <c r="FF431" s="36"/>
      <c r="FG431" s="36"/>
      <c r="FH431" s="36"/>
      <c r="FI431" s="36"/>
      <c r="FJ431" s="36"/>
      <c r="FK431" s="36">
        <v>1</v>
      </c>
      <c r="FL431" s="36"/>
      <c r="FM431" s="36"/>
      <c r="FN431" s="36"/>
      <c r="FO431" s="36"/>
      <c r="FP431" s="36"/>
      <c r="FQ431" s="36"/>
      <c r="FR431" s="36"/>
      <c r="FS431" s="36"/>
      <c r="FT431" s="36"/>
      <c r="FU431" s="36"/>
      <c r="FV431" s="36"/>
      <c r="FW431" s="36"/>
      <c r="FX431" s="36"/>
      <c r="FY431" s="36"/>
      <c r="FZ431" s="36"/>
      <c r="GA431" s="36"/>
      <c r="GB431" s="319"/>
      <c r="GC431" s="179">
        <f t="shared" si="74"/>
        <v>0</v>
      </c>
      <c r="GD431" s="179">
        <f t="shared" si="75"/>
        <v>0</v>
      </c>
      <c r="GE431" s="179">
        <f t="shared" si="76"/>
        <v>0</v>
      </c>
      <c r="GF431" s="179">
        <f t="shared" si="77"/>
        <v>0</v>
      </c>
      <c r="GG431" s="179">
        <f t="shared" si="78"/>
        <v>0</v>
      </c>
    </row>
    <row r="432" spans="1:189" x14ac:dyDescent="0.35">
      <c r="A432" s="5" t="s">
        <v>1691</v>
      </c>
      <c r="B432" s="6" t="str">
        <f>IF(Technologies!B432&lt;&gt;0,Technologies!B432,"")</f>
        <v/>
      </c>
      <c r="C432" s="5" t="str">
        <f>VLOOKUP($A432,Technologies!$A$7:$H$576,3,FALSE)</f>
        <v>Primary</v>
      </c>
      <c r="D432" s="5" t="str">
        <f>VLOOKUP($A432,Technologies!$A$7:$H$576,4,FALSE)</f>
        <v>Renewable</v>
      </c>
      <c r="E432" s="5" t="str">
        <f>VLOOKUP($A432,Technologies!$A$7:$H$576,6,FALSE)</f>
        <v>Ambient Energy</v>
      </c>
      <c r="F432" s="5" t="str">
        <f>VLOOKUP($A432,Technologies!$A$7:$H$576,7,FALSE)</f>
        <v>Ambient Energy</v>
      </c>
      <c r="G432" s="23"/>
      <c r="H432" s="23"/>
      <c r="I432" s="104" cm="1">
        <f t="array" ref="I432">-SUMPRODUCT((Feedstocks!$C$4:$C$141=A432)*Feedstocks!$E$4:$E$141,Feedstocks!$F$4:$F$141,Feedstocks!$H$4:$H$141,Feedstocks!$I$4:$I$141)</f>
        <v>0</v>
      </c>
      <c r="J432" s="104" cm="1">
        <f t="array" ref="J432">-SUMPRODUCT((Feedstocks!$C$4:$C$141=A432)*Feedstocks!$E$4:$E$141,Feedstocks!$H$4:$H$141,Feedstocks!$I$4:$I$141)</f>
        <v>0</v>
      </c>
      <c r="K432" s="104"/>
      <c r="L432" s="104"/>
      <c r="M432" s="23"/>
      <c r="N432" s="23" t="str">
        <f>VLOOKUP(E432,Activities!$A$9:$M$227,13,FALSE)</f>
        <v>NL</v>
      </c>
      <c r="O432" s="23"/>
      <c r="P432" s="79" t="s">
        <v>415</v>
      </c>
      <c r="Q432" s="35"/>
      <c r="R432" s="35"/>
      <c r="S432" s="35"/>
      <c r="T432" s="35"/>
      <c r="U432" s="35"/>
      <c r="V432" s="35"/>
      <c r="W432" s="35"/>
      <c r="X432" s="35"/>
      <c r="Y432" s="35"/>
      <c r="Z432" s="35"/>
      <c r="AA432" s="35"/>
      <c r="AB432" s="35"/>
      <c r="AC432" s="35"/>
      <c r="AD432" s="35"/>
      <c r="AE432" s="35"/>
      <c r="AF432" s="36"/>
      <c r="AG432" s="36"/>
      <c r="AH432" s="36"/>
      <c r="AI432" s="36"/>
      <c r="AJ432" s="36"/>
      <c r="AK432" s="36"/>
      <c r="AL432" s="36"/>
      <c r="AM432" s="36"/>
      <c r="AN432" s="36"/>
      <c r="AO432" s="36"/>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v>1</v>
      </c>
      <c r="FM432" s="35"/>
      <c r="FN432" s="35"/>
      <c r="FO432" s="35"/>
      <c r="FP432" s="35"/>
      <c r="FQ432" s="35"/>
      <c r="FR432" s="35"/>
      <c r="FS432" s="35"/>
      <c r="FT432" s="35"/>
      <c r="FU432" s="35"/>
      <c r="FV432" s="35"/>
      <c r="FW432" s="35"/>
      <c r="FX432" s="35"/>
      <c r="FY432" s="35"/>
      <c r="FZ432" s="35"/>
      <c r="GA432" s="35"/>
      <c r="GB432" s="318"/>
      <c r="GC432" s="178">
        <f t="shared" si="74"/>
        <v>0</v>
      </c>
      <c r="GD432" s="178">
        <f t="shared" si="75"/>
        <v>0</v>
      </c>
      <c r="GE432" s="178">
        <f t="shared" si="76"/>
        <v>0</v>
      </c>
      <c r="GF432" s="178">
        <f t="shared" si="77"/>
        <v>0</v>
      </c>
      <c r="GG432" s="178">
        <f t="shared" si="78"/>
        <v>0</v>
      </c>
    </row>
    <row r="433" spans="1:189" x14ac:dyDescent="0.35">
      <c r="A433" s="6" t="s">
        <v>1693</v>
      </c>
      <c r="B433" s="6" t="str">
        <f>IF(Technologies!B433&lt;&gt;0,Technologies!B433,"")</f>
        <v/>
      </c>
      <c r="C433" s="6" t="str">
        <f>VLOOKUP($A433,Technologies!$A$7:$H$576,3,FALSE)</f>
        <v>Primary</v>
      </c>
      <c r="D433" s="6" t="str">
        <f>VLOOKUP($A433,Technologies!$A$7:$H$576,4,FALSE)</f>
        <v>Renewable</v>
      </c>
      <c r="E433" s="6" t="str">
        <f>VLOOKUP($A433,Technologies!$A$7:$H$576,6,FALSE)</f>
        <v>Geothermal Energy</v>
      </c>
      <c r="F433" s="48" t="str">
        <f>VLOOKUP($A433,Technologies!$A$7:$H$576,7,FALSE)</f>
        <v>Geothermal Energy</v>
      </c>
      <c r="G433" s="22"/>
      <c r="H433" s="22"/>
      <c r="I433" s="103" cm="1">
        <f t="array" ref="I433">-SUMPRODUCT((Feedstocks!$C$4:$C$141=A433)*Feedstocks!$E$4:$E$141,Feedstocks!$F$4:$F$141,Feedstocks!$H$4:$H$141,Feedstocks!$I$4:$I$141)</f>
        <v>0</v>
      </c>
      <c r="J433" s="103" cm="1">
        <f t="array" ref="J433">-SUMPRODUCT((Feedstocks!$C$4:$C$141=A433)*Feedstocks!$E$4:$E$141,Feedstocks!$H$4:$H$141,Feedstocks!$I$4:$I$141)</f>
        <v>0</v>
      </c>
      <c r="K433" s="103"/>
      <c r="L433" s="103"/>
      <c r="M433" s="22"/>
      <c r="N433" s="22" t="str">
        <f>VLOOKUP(E433,Activities!$A$9:$M$227,13,FALSE)</f>
        <v>NL</v>
      </c>
      <c r="O433" s="22"/>
      <c r="P433" s="80" t="s">
        <v>415</v>
      </c>
      <c r="Q433" s="36"/>
      <c r="R433" s="36"/>
      <c r="S433" s="36"/>
      <c r="T433" s="36"/>
      <c r="U433" s="36"/>
      <c r="V433" s="36"/>
      <c r="W433" s="36"/>
      <c r="X433" s="36"/>
      <c r="Y433" s="36"/>
      <c r="Z433" s="36"/>
      <c r="AA433" s="36"/>
      <c r="AB433" s="36"/>
      <c r="AC433" s="36"/>
      <c r="AD433" s="36"/>
      <c r="AE433" s="36"/>
      <c r="AF433" s="35"/>
      <c r="AG433" s="35"/>
      <c r="AH433" s="35"/>
      <c r="AI433" s="35"/>
      <c r="AJ433" s="35"/>
      <c r="AK433" s="35"/>
      <c r="AL433" s="35"/>
      <c r="AM433" s="35"/>
      <c r="AN433" s="35"/>
      <c r="AO433" s="35"/>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6"/>
      <c r="BV433" s="36"/>
      <c r="BW433" s="36"/>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36"/>
      <c r="CT433" s="36"/>
      <c r="CU433" s="36"/>
      <c r="CV433" s="36"/>
      <c r="CW433" s="36"/>
      <c r="CX433" s="36"/>
      <c r="CY433" s="36"/>
      <c r="CZ433" s="36"/>
      <c r="DA433" s="36"/>
      <c r="DB433" s="36"/>
      <c r="DC433" s="36"/>
      <c r="DD433" s="36"/>
      <c r="DE433" s="36"/>
      <c r="DF433" s="36"/>
      <c r="DG433" s="36"/>
      <c r="DH433" s="36"/>
      <c r="DI433" s="36"/>
      <c r="DJ433" s="36"/>
      <c r="DK433" s="36"/>
      <c r="DL433" s="36"/>
      <c r="DM433" s="36"/>
      <c r="DN433" s="36"/>
      <c r="DO433" s="36"/>
      <c r="DP433" s="36"/>
      <c r="DQ433" s="36"/>
      <c r="DR433" s="36"/>
      <c r="DS433" s="36"/>
      <c r="DT433" s="36"/>
      <c r="DU433" s="36"/>
      <c r="DV433" s="36"/>
      <c r="DW433" s="36"/>
      <c r="DX433" s="36"/>
      <c r="DY433" s="36"/>
      <c r="DZ433" s="36"/>
      <c r="EA433" s="36"/>
      <c r="EB433" s="36"/>
      <c r="EC433" s="36"/>
      <c r="ED433" s="36"/>
      <c r="EE433" s="36"/>
      <c r="EF433" s="36"/>
      <c r="EG433" s="36"/>
      <c r="EH433" s="36"/>
      <c r="EI433" s="36"/>
      <c r="EJ433" s="36"/>
      <c r="EK433" s="36"/>
      <c r="EL433" s="36"/>
      <c r="EM433" s="36"/>
      <c r="EN433" s="36"/>
      <c r="EO433" s="36"/>
      <c r="EP433" s="36"/>
      <c r="EQ433" s="36"/>
      <c r="ER433" s="36"/>
      <c r="ES433" s="36"/>
      <c r="ET433" s="36"/>
      <c r="EU433" s="36"/>
      <c r="EV433" s="36"/>
      <c r="EW433" s="36"/>
      <c r="EX433" s="36"/>
      <c r="EY433" s="36"/>
      <c r="EZ433" s="36"/>
      <c r="FA433" s="36"/>
      <c r="FB433" s="36"/>
      <c r="FC433" s="36"/>
      <c r="FD433" s="36"/>
      <c r="FE433" s="36"/>
      <c r="FF433" s="36"/>
      <c r="FG433" s="36"/>
      <c r="FH433" s="36"/>
      <c r="FI433" s="36"/>
      <c r="FJ433" s="36"/>
      <c r="FK433" s="36"/>
      <c r="FL433" s="36"/>
      <c r="FM433" s="36">
        <v>1</v>
      </c>
      <c r="FN433" s="36"/>
      <c r="FO433" s="36"/>
      <c r="FP433" s="36"/>
      <c r="FQ433" s="36"/>
      <c r="FR433" s="36"/>
      <c r="FS433" s="36"/>
      <c r="FT433" s="36"/>
      <c r="FU433" s="36"/>
      <c r="FV433" s="36"/>
      <c r="FW433" s="36"/>
      <c r="FX433" s="36"/>
      <c r="FY433" s="36"/>
      <c r="FZ433" s="36"/>
      <c r="GA433" s="36"/>
      <c r="GB433" s="319"/>
      <c r="GC433" s="179">
        <f t="shared" si="74"/>
        <v>0</v>
      </c>
      <c r="GD433" s="179">
        <f t="shared" si="75"/>
        <v>0</v>
      </c>
      <c r="GE433" s="179">
        <f t="shared" ref="GE433:GE435" si="79">ROUND(IF($C433="Primary",0,(1-$M433)*(1-$O433)*($G433*(SUMPRODUCT($Q$4:$GA$4,$Q433:$GA433)+$J433)+$H433-SUMPRODUCT($Q$5:$GA$5,$Q433:$GA433)-$I433+$L433))*IF($N433=GD$4,1,0),4)</f>
        <v>0</v>
      </c>
      <c r="GF433" s="179">
        <f t="shared" si="77"/>
        <v>0</v>
      </c>
      <c r="GG433" s="179">
        <f t="shared" si="78"/>
        <v>0</v>
      </c>
    </row>
    <row r="434" spans="1:189" x14ac:dyDescent="0.35">
      <c r="A434" s="5" t="s">
        <v>1695</v>
      </c>
      <c r="B434" s="6" t="str">
        <f>IF(Technologies!B434&lt;&gt;0,Technologies!B434,"")</f>
        <v/>
      </c>
      <c r="C434" s="5" t="str">
        <f>VLOOKUP($A434,Technologies!$A$7:$H$576,3,FALSE)</f>
        <v>Primary</v>
      </c>
      <c r="D434" s="5" t="str">
        <f>VLOOKUP($A434,Technologies!$A$7:$H$576,4,FALSE)</f>
        <v>Renewable</v>
      </c>
      <c r="E434" s="5" t="str">
        <f>VLOOKUP($A434,Technologies!$A$7:$H$576,6,FALSE)</f>
        <v>Solar Heat</v>
      </c>
      <c r="F434" s="5" t="str">
        <f>VLOOKUP($A434,Technologies!$A$7:$H$576,7,FALSE)</f>
        <v>Solar Heat</v>
      </c>
      <c r="G434" s="23"/>
      <c r="H434" s="23"/>
      <c r="I434" s="103" cm="1">
        <f t="array" ref="I434">-SUMPRODUCT((Feedstocks!$C$4:$C$141=A434)*Feedstocks!$E$4:$E$141,Feedstocks!$F$4:$F$141,Feedstocks!$H$4:$H$141,Feedstocks!$I$4:$I$141)</f>
        <v>0</v>
      </c>
      <c r="J434" s="103" cm="1">
        <f t="array" ref="J434">-SUMPRODUCT((Feedstocks!$C$4:$C$141=A434)*Feedstocks!$E$4:$E$141,Feedstocks!$H$4:$H$141,Feedstocks!$I$4:$I$141)</f>
        <v>0</v>
      </c>
      <c r="K434" s="103"/>
      <c r="L434" s="104"/>
      <c r="M434" s="23"/>
      <c r="N434" s="23" t="str">
        <f>VLOOKUP(E434,Activities!$A$9:$M$227,13,FALSE)</f>
        <v>NL</v>
      </c>
      <c r="O434" s="23"/>
      <c r="P434" s="79" t="s">
        <v>415</v>
      </c>
      <c r="Q434" s="35"/>
      <c r="R434" s="35"/>
      <c r="S434" s="35"/>
      <c r="T434" s="35"/>
      <c r="U434" s="35"/>
      <c r="V434" s="35"/>
      <c r="W434" s="35"/>
      <c r="X434" s="35"/>
      <c r="Y434" s="35"/>
      <c r="Z434" s="35"/>
      <c r="AA434" s="35"/>
      <c r="AB434" s="35"/>
      <c r="AC434" s="35"/>
      <c r="AD434" s="35"/>
      <c r="AE434" s="35"/>
      <c r="AF434" s="36"/>
      <c r="AG434" s="36"/>
      <c r="AH434" s="36"/>
      <c r="AI434" s="36"/>
      <c r="AJ434" s="36"/>
      <c r="AK434" s="36"/>
      <c r="AL434" s="36"/>
      <c r="AM434" s="36"/>
      <c r="AN434" s="36"/>
      <c r="AO434" s="36"/>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v>1</v>
      </c>
      <c r="FO434" s="35"/>
      <c r="FP434" s="35"/>
      <c r="FQ434" s="35"/>
      <c r="FR434" s="35"/>
      <c r="FS434" s="35"/>
      <c r="FT434" s="35"/>
      <c r="FU434" s="35"/>
      <c r="FV434" s="35"/>
      <c r="FW434" s="35"/>
      <c r="FX434" s="35"/>
      <c r="FY434" s="35"/>
      <c r="FZ434" s="35"/>
      <c r="GA434" s="35"/>
      <c r="GB434" s="318"/>
      <c r="GC434" s="178">
        <f t="shared" si="74"/>
        <v>0</v>
      </c>
      <c r="GD434" s="178">
        <f t="shared" si="75"/>
        <v>0</v>
      </c>
      <c r="GE434" s="178">
        <f t="shared" si="79"/>
        <v>0</v>
      </c>
      <c r="GF434" s="178">
        <f t="shared" si="77"/>
        <v>0</v>
      </c>
      <c r="GG434" s="178">
        <f t="shared" si="78"/>
        <v>0</v>
      </c>
    </row>
    <row r="435" spans="1:189" x14ac:dyDescent="0.35">
      <c r="A435" s="6" t="s">
        <v>1696</v>
      </c>
      <c r="B435" s="6" t="str">
        <f>IF(Technologies!B435&lt;&gt;0,Technologies!B435,"")</f>
        <v/>
      </c>
      <c r="C435" s="6" t="str">
        <f>VLOOKUP($A435,Technologies!$A$7:$H$576,3,FALSE)</f>
        <v>Primary</v>
      </c>
      <c r="D435" s="6" t="str">
        <f>VLOOKUP($A435,Technologies!$A$7:$H$576,4,FALSE)</f>
        <v>Material</v>
      </c>
      <c r="E435" s="6" t="str">
        <f>VLOOKUP($A435,Technologies!$A$7:$H$576,6,FALSE)</f>
        <v>DRI</v>
      </c>
      <c r="F435" s="48" t="str">
        <f>VLOOKUP($A435,Technologies!$A$7:$H$576,7,FALSE)</f>
        <v>Imported DRI briquettes</v>
      </c>
      <c r="G435" s="22"/>
      <c r="H435" s="22"/>
      <c r="I435" s="103" cm="1">
        <f t="array" ref="I435">-SUMPRODUCT((Feedstocks!$C$4:$C$141=A435)*Feedstocks!$E$4:$E$141,Feedstocks!$F$4:$F$141,Feedstocks!$H$4:$H$141,Feedstocks!$I$4:$I$141)</f>
        <v>0</v>
      </c>
      <c r="J435" s="103" cm="1">
        <f t="array" ref="J435">-SUMPRODUCT((Feedstocks!$C$4:$C$141=A435)*Feedstocks!$E$4:$E$141,Feedstocks!$H$4:$H$141,Feedstocks!$I$4:$I$141)</f>
        <v>0</v>
      </c>
      <c r="K435" s="103"/>
      <c r="L435" s="103"/>
      <c r="M435" s="22"/>
      <c r="N435" s="22" t="str">
        <f>VLOOKUP(E435,Activities!$A$9:$M$227,13,FALSE)</f>
        <v>NL</v>
      </c>
      <c r="O435" s="22"/>
      <c r="P435" s="80" t="s">
        <v>415</v>
      </c>
      <c r="Q435" s="36"/>
      <c r="R435" s="36"/>
      <c r="S435" s="36"/>
      <c r="T435" s="36"/>
      <c r="U435" s="36"/>
      <c r="V435" s="36"/>
      <c r="W435" s="36"/>
      <c r="X435" s="36"/>
      <c r="Y435" s="36"/>
      <c r="Z435" s="36"/>
      <c r="AA435" s="36"/>
      <c r="AB435" s="36"/>
      <c r="AC435" s="36"/>
      <c r="AD435" s="36"/>
      <c r="AE435" s="36"/>
      <c r="AF435" s="35"/>
      <c r="AG435" s="35"/>
      <c r="AH435" s="35"/>
      <c r="AI435" s="35"/>
      <c r="AJ435" s="35"/>
      <c r="AK435" s="35"/>
      <c r="AL435" s="35"/>
      <c r="AM435" s="35"/>
      <c r="AN435" s="35"/>
      <c r="AO435" s="35"/>
      <c r="AP435" s="36"/>
      <c r="AQ435" s="36"/>
      <c r="AR435" s="36"/>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c r="BT435" s="36"/>
      <c r="BU435" s="36"/>
      <c r="BV435" s="36"/>
      <c r="BW435" s="36"/>
      <c r="BX435" s="36"/>
      <c r="BY435" s="36"/>
      <c r="BZ435" s="36"/>
      <c r="CA435" s="36"/>
      <c r="CB435" s="36"/>
      <c r="CC435" s="36"/>
      <c r="CD435" s="36"/>
      <c r="CE435" s="36"/>
      <c r="CF435" s="36"/>
      <c r="CG435" s="36"/>
      <c r="CH435" s="36"/>
      <c r="CI435" s="36"/>
      <c r="CJ435" s="36"/>
      <c r="CK435" s="36"/>
      <c r="CL435" s="36"/>
      <c r="CM435" s="36"/>
      <c r="CN435" s="36"/>
      <c r="CO435" s="36">
        <v>1</v>
      </c>
      <c r="CP435" s="36"/>
      <c r="CQ435" s="36"/>
      <c r="CR435" s="36"/>
      <c r="CS435" s="36"/>
      <c r="CT435" s="36"/>
      <c r="CU435" s="36"/>
      <c r="CV435" s="36"/>
      <c r="CW435" s="36"/>
      <c r="CX435" s="36"/>
      <c r="CY435" s="36"/>
      <c r="CZ435" s="36"/>
      <c r="DA435" s="36"/>
      <c r="DB435" s="36"/>
      <c r="DC435" s="36"/>
      <c r="DD435" s="36"/>
      <c r="DE435" s="36"/>
      <c r="DF435" s="36"/>
      <c r="DG435" s="36"/>
      <c r="DH435" s="36"/>
      <c r="DI435" s="36"/>
      <c r="DJ435" s="36"/>
      <c r="DK435" s="36"/>
      <c r="DL435" s="36"/>
      <c r="DM435" s="36"/>
      <c r="DN435" s="36"/>
      <c r="DO435" s="36"/>
      <c r="DP435" s="36"/>
      <c r="DQ435" s="36"/>
      <c r="DR435" s="36"/>
      <c r="DS435" s="36"/>
      <c r="DT435" s="36"/>
      <c r="DU435" s="36"/>
      <c r="DV435" s="36"/>
      <c r="DW435" s="36"/>
      <c r="DX435" s="36"/>
      <c r="DY435" s="36"/>
      <c r="DZ435" s="36"/>
      <c r="EA435" s="36"/>
      <c r="EB435" s="36"/>
      <c r="EC435" s="36"/>
      <c r="ED435" s="36"/>
      <c r="EE435" s="36"/>
      <c r="EF435" s="36"/>
      <c r="EG435" s="36"/>
      <c r="EH435" s="36"/>
      <c r="EI435" s="36"/>
      <c r="EJ435" s="36"/>
      <c r="EK435" s="36"/>
      <c r="EL435" s="36"/>
      <c r="EM435" s="36"/>
      <c r="EN435" s="36"/>
      <c r="EO435" s="36"/>
      <c r="EP435" s="36"/>
      <c r="EQ435" s="36"/>
      <c r="ER435" s="36"/>
      <c r="ES435" s="36"/>
      <c r="ET435" s="36"/>
      <c r="EU435" s="36"/>
      <c r="EV435" s="36"/>
      <c r="EW435" s="36"/>
      <c r="EX435" s="36"/>
      <c r="EY435" s="36"/>
      <c r="EZ435" s="36"/>
      <c r="FA435" s="36"/>
      <c r="FB435" s="36"/>
      <c r="FC435" s="36"/>
      <c r="FD435" s="36"/>
      <c r="FE435" s="36"/>
      <c r="FF435" s="36"/>
      <c r="FG435" s="36"/>
      <c r="FH435" s="36"/>
      <c r="FI435" s="36"/>
      <c r="FJ435" s="36"/>
      <c r="FK435" s="36"/>
      <c r="FL435" s="36"/>
      <c r="FM435" s="36"/>
      <c r="FN435" s="36"/>
      <c r="FO435" s="36"/>
      <c r="FP435" s="36"/>
      <c r="FQ435" s="36"/>
      <c r="FR435" s="36"/>
      <c r="FS435" s="36"/>
      <c r="FT435" s="36"/>
      <c r="FU435" s="36"/>
      <c r="FV435" s="36"/>
      <c r="FW435" s="36"/>
      <c r="FX435" s="36"/>
      <c r="FY435" s="36"/>
      <c r="FZ435" s="36"/>
      <c r="GA435" s="36"/>
      <c r="GB435" s="319"/>
      <c r="GC435" s="179">
        <f t="shared" si="74"/>
        <v>0</v>
      </c>
      <c r="GD435" s="179">
        <f t="shared" si="75"/>
        <v>0</v>
      </c>
      <c r="GE435" s="179">
        <f t="shared" si="79"/>
        <v>0</v>
      </c>
      <c r="GF435" s="179">
        <f t="shared" si="77"/>
        <v>0</v>
      </c>
      <c r="GG435" s="179">
        <f t="shared" si="78"/>
        <v>0</v>
      </c>
    </row>
    <row r="436" spans="1:189" x14ac:dyDescent="0.35">
      <c r="A436" s="5" t="s">
        <v>1699</v>
      </c>
      <c r="B436" s="6" t="str">
        <f>IF(Technologies!B436&lt;&gt;0,Technologies!B436,"")</f>
        <v/>
      </c>
      <c r="C436" s="5" t="str">
        <f>VLOOKUP($A436,Technologies!$A$7:$H$576,3,FALSE)</f>
        <v>Primary</v>
      </c>
      <c r="D436" s="5" t="str">
        <f>VLOOKUP($A436,Technologies!$A$7:$H$576,4,FALSE)</f>
        <v>Material</v>
      </c>
      <c r="E436" s="5" t="str">
        <f>VLOOKUP($A436,Technologies!$A$7:$H$576,6,FALSE)</f>
        <v>Steel scrap</v>
      </c>
      <c r="F436" s="5" t="str">
        <f>VLOOKUP($A436,Technologies!$A$7:$H$576,7,FALSE)</f>
        <v>Imported or purchased steel scrap</v>
      </c>
      <c r="G436" s="23"/>
      <c r="H436" s="23"/>
      <c r="I436" s="103" cm="1">
        <f t="array" ref="I436">-SUMPRODUCT((Feedstocks!$C$4:$C$141=A436)*Feedstocks!$E$4:$E$141,Feedstocks!$F$4:$F$141,Feedstocks!$H$4:$H$141,Feedstocks!$I$4:$I$141)</f>
        <v>0</v>
      </c>
      <c r="J436" s="103" cm="1">
        <f t="array" ref="J436">-SUMPRODUCT((Feedstocks!$C$4:$C$141=A436)*Feedstocks!$E$4:$E$141,Feedstocks!$H$4:$H$141,Feedstocks!$I$4:$I$141)</f>
        <v>0</v>
      </c>
      <c r="K436" s="103"/>
      <c r="L436" s="104"/>
      <c r="M436" s="23"/>
      <c r="N436" s="23" t="str">
        <f>VLOOKUP(E436,Activities!$A$9:$M$227,13,FALSE)</f>
        <v>NL</v>
      </c>
      <c r="O436" s="23"/>
      <c r="P436" s="79" t="s">
        <v>415</v>
      </c>
      <c r="Q436" s="35"/>
      <c r="R436" s="35"/>
      <c r="S436" s="35"/>
      <c r="T436" s="35"/>
      <c r="U436" s="35"/>
      <c r="V436" s="35"/>
      <c r="W436" s="35"/>
      <c r="X436" s="35"/>
      <c r="Y436" s="35"/>
      <c r="Z436" s="35"/>
      <c r="AA436" s="35"/>
      <c r="AB436" s="35"/>
      <c r="AC436" s="35"/>
      <c r="AD436" s="35"/>
      <c r="AE436" s="35"/>
      <c r="AF436" s="36"/>
      <c r="AG436" s="36"/>
      <c r="AH436" s="36"/>
      <c r="AI436" s="36"/>
      <c r="AJ436" s="36"/>
      <c r="AK436" s="36"/>
      <c r="AL436" s="36"/>
      <c r="AM436" s="36"/>
      <c r="AN436" s="36"/>
      <c r="AO436" s="36"/>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v>1</v>
      </c>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18"/>
      <c r="GC436" s="178">
        <f t="shared" ref="GC436:GC460" si="80">ROUND(IF($C436="Primary",0,-$G436*(SUMPRODUCT($Q$4:$GA$4,$Q436:$GA436)+$J436)-$H436)*IF($N436=GC$4,1,0),4)</f>
        <v>0</v>
      </c>
      <c r="GD436" s="178">
        <f t="shared" ref="GD436:GD460" si="81">ROUND(IF($C436="Primary",0,$M436*(1-$O436)*($G436*(SUMPRODUCT($Q$4:$GA$4,$Q436:$GA436)+$J436)+$H436-SUMPRODUCT($Q$5:$GA$5,$Q436:$GA436)-$I436+$K436))*IF($N436=GD$4,1,0),4)</f>
        <v>0</v>
      </c>
      <c r="GE436" s="178">
        <f t="shared" ref="GE436:GE460" si="82">ROUND(IF($C436="Primary",0,(1-$M436)*(1-$O436)*($G436*(SUMPRODUCT($Q$4:$GA$4,$Q436:$GA436)+$J436)+$H436-SUMPRODUCT($Q$5:$GA$5,$Q436:$GA436)-$I436+$L436))*IF($N436=GD$4,1,0),4)</f>
        <v>0</v>
      </c>
      <c r="GF436" s="178">
        <f t="shared" ref="GF436:GF460" si="83">ROUND(IF($C436="Primary",0,$O436*($G436*(SUMPRODUCT($Q$4:$GA$4,$Q436:$GA436)+$J436)-SUMPRODUCT($Q$5:$GA$5,$Q436:$GA436)-$I436))*IF($N436=GD$4,1,0),4)</f>
        <v>0</v>
      </c>
      <c r="GG436" s="178">
        <f t="shared" si="78"/>
        <v>0</v>
      </c>
    </row>
    <row r="437" spans="1:189" x14ac:dyDescent="0.35">
      <c r="A437" s="357" t="s">
        <v>1702</v>
      </c>
      <c r="B437" s="6" t="str">
        <f>IF(Technologies!B437&lt;&gt;0,Technologies!B437,"")</f>
        <v/>
      </c>
      <c r="C437" s="5" t="str">
        <f>VLOOKUP($A437,Technologies!$A$7:$H$576,3,FALSE)</f>
        <v>Primary</v>
      </c>
      <c r="D437" s="5" t="str">
        <f>VLOOKUP($A437,Technologies!$A$7:$H$576,4,FALSE)</f>
        <v>Material</v>
      </c>
      <c r="E437" s="5" t="str">
        <f>VLOOKUP($A437,Technologies!$A$7:$H$576,6,FALSE)</f>
        <v>Iron ore</v>
      </c>
      <c r="F437" s="5" t="str">
        <f>VLOOKUP($A437,Technologies!$A$7:$H$576,7,FALSE)</f>
        <v>Imported or purchased iron ore</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18">
        <v>1</v>
      </c>
      <c r="CR437" s="318"/>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9">
        <f t="shared" si="80"/>
        <v>0</v>
      </c>
      <c r="GD437" s="179">
        <f t="shared" si="81"/>
        <v>0</v>
      </c>
      <c r="GE437" s="179">
        <f t="shared" si="82"/>
        <v>0</v>
      </c>
      <c r="GF437" s="179">
        <f t="shared" si="83"/>
        <v>0</v>
      </c>
      <c r="GG437" s="179">
        <f t="shared" si="78"/>
        <v>0</v>
      </c>
    </row>
    <row r="438" spans="1:189" x14ac:dyDescent="0.35">
      <c r="A438" s="357" t="s">
        <v>1705</v>
      </c>
      <c r="B438" s="6" t="str">
        <f>IF(Technologies!B438&lt;&gt;0,Technologies!B438,"")</f>
        <v/>
      </c>
      <c r="C438" s="5" t="str">
        <f>VLOOKUP($A438,Technologies!$A$7:$H$576,3,FALSE)</f>
        <v>Primary</v>
      </c>
      <c r="D438" s="5" t="str">
        <f>VLOOKUP($A438,Technologies!$A$7:$H$576,4,FALSE)</f>
        <v>Material</v>
      </c>
      <c r="E438" s="5" t="str">
        <f>VLOOKUP($A438,Technologies!$A$7:$H$576,6,FALSE)</f>
        <v>Limestone</v>
      </c>
      <c r="F438" s="5" t="str">
        <f>VLOOKUP($A438,Technologies!$A$7:$H$576,7,FALSE)</f>
        <v>Imported or purchased limestone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c r="CR438" s="318">
        <v>1</v>
      </c>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8">
        <f t="shared" si="80"/>
        <v>0</v>
      </c>
      <c r="GD438" s="178">
        <f t="shared" si="81"/>
        <v>0</v>
      </c>
      <c r="GE438" s="178">
        <f t="shared" si="82"/>
        <v>0</v>
      </c>
      <c r="GF438" s="178">
        <f t="shared" si="83"/>
        <v>0</v>
      </c>
      <c r="GG438" s="178">
        <f t="shared" si="78"/>
        <v>0</v>
      </c>
    </row>
    <row r="439" spans="1:189" x14ac:dyDescent="0.35">
      <c r="A439" s="357" t="s">
        <v>2038</v>
      </c>
      <c r="B439" s="6" t="str">
        <f>IF(Technologies!B439&lt;&gt;0,Technologies!B439,"")</f>
        <v/>
      </c>
      <c r="C439" s="5" t="str">
        <f>VLOOKUP($A439,Technologies!$A$7:$H$576,3,FALSE)</f>
        <v>Primary</v>
      </c>
      <c r="D439" s="5" t="str">
        <f>VLOOKUP($A439,Technologies!$A$7:$H$576,4,FALSE)</f>
        <v>Material</v>
      </c>
      <c r="E439" s="5" t="str">
        <f>VLOOKUP($A439,Technologies!$A$7:$H$576,6,FALSE)</f>
        <v>Extracted salt</v>
      </c>
      <c r="F439" s="5" t="str">
        <f>VLOOKUP($A439,Technologies!$A$7:$H$576,7,FALSE)</f>
        <v>Extracted salt</v>
      </c>
      <c r="G439" s="23"/>
      <c r="H439" s="23"/>
      <c r="I439" s="103"/>
      <c r="J439" s="103"/>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19"/>
      <c r="CF439" s="319"/>
      <c r="CG439" s="319"/>
      <c r="CH439" s="319"/>
      <c r="CI439" s="319"/>
      <c r="CJ439" s="319"/>
      <c r="CK439" s="319"/>
      <c r="CL439" s="319">
        <v>1</v>
      </c>
      <c r="CM439" s="319"/>
      <c r="CN439" s="319"/>
      <c r="CO439" s="35"/>
      <c r="CP439" s="35"/>
      <c r="CQ439" s="318"/>
      <c r="CR439" s="318"/>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9">
        <f t="shared" si="80"/>
        <v>0</v>
      </c>
      <c r="GD439" s="179">
        <f t="shared" si="81"/>
        <v>0</v>
      </c>
      <c r="GE439" s="179">
        <f t="shared" si="82"/>
        <v>0</v>
      </c>
      <c r="GF439" s="179">
        <f t="shared" si="83"/>
        <v>0</v>
      </c>
      <c r="GG439" s="179">
        <f t="shared" si="78"/>
        <v>0</v>
      </c>
    </row>
    <row r="440" spans="1:189" x14ac:dyDescent="0.35">
      <c r="A440" s="357" t="s">
        <v>2041</v>
      </c>
      <c r="B440" s="6" t="str">
        <f>IF(Technologies!B440&lt;&gt;0,Technologies!B440,"")</f>
        <v/>
      </c>
      <c r="C440" s="5" t="str">
        <f>VLOOKUP($A440,Technologies!$A$7:$H$576,3,FALSE)</f>
        <v>Final</v>
      </c>
      <c r="D440" s="5" t="str">
        <f>VLOOKUP($A440,Technologies!$A$7:$H$576,4,FALSE)</f>
        <v>Material</v>
      </c>
      <c r="E440" s="5" t="str">
        <f>VLOOKUP($A440,Technologies!$A$7:$H$576,6,FALSE)</f>
        <v>Salt production</v>
      </c>
      <c r="F440" s="5" t="str">
        <f>VLOOKUP($A440,Technologies!$A$7:$H$576,7,FALSE)</f>
        <v>Imported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v>1</v>
      </c>
      <c r="CF440" s="319"/>
      <c r="CG440" s="319"/>
      <c r="CH440" s="319"/>
      <c r="CI440" s="319"/>
      <c r="CJ440" s="319"/>
      <c r="CK440" s="319"/>
      <c r="CL440" s="319"/>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8">
        <f t="shared" si="80"/>
        <v>0</v>
      </c>
      <c r="GD440" s="178">
        <f t="shared" si="81"/>
        <v>0</v>
      </c>
      <c r="GE440" s="178">
        <f t="shared" si="82"/>
        <v>0</v>
      </c>
      <c r="GF440" s="178">
        <f t="shared" si="83"/>
        <v>0</v>
      </c>
      <c r="GG440" s="178">
        <f t="shared" si="78"/>
        <v>0</v>
      </c>
    </row>
    <row r="441" spans="1:189" x14ac:dyDescent="0.35">
      <c r="A441" s="357" t="s">
        <v>2043</v>
      </c>
      <c r="B441" s="6" t="str">
        <f>IF(Technologies!B441&lt;&gt;0,Technologies!B441,"")</f>
        <v/>
      </c>
      <c r="C441" s="5" t="str">
        <f>VLOOKUP($A441,Technologies!$A$7:$H$576,3,FALSE)</f>
        <v>Primary</v>
      </c>
      <c r="D441" s="5" t="str">
        <f>VLOOKUP($A441,Technologies!$A$7:$H$576,4,FALSE)</f>
        <v>Material</v>
      </c>
      <c r="E441" s="5" t="str">
        <f>VLOOKUP($A441,Technologies!$A$7:$H$576,6,FALSE)</f>
        <v>Clay</v>
      </c>
      <c r="F441" s="5" t="str">
        <f>VLOOKUP($A441,Technologies!$A$7:$H$576,7,FALSE)</f>
        <v>Extracted clay</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c r="CF441" s="319"/>
      <c r="CG441" s="319"/>
      <c r="CH441" s="319"/>
      <c r="CI441" s="319"/>
      <c r="CJ441" s="319"/>
      <c r="CK441" s="319"/>
      <c r="CL441" s="319"/>
      <c r="CM441" s="319">
        <v>1</v>
      </c>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9">
        <f t="shared" si="80"/>
        <v>0</v>
      </c>
      <c r="GD441" s="179">
        <f t="shared" si="81"/>
        <v>0</v>
      </c>
      <c r="GE441" s="179">
        <f t="shared" si="82"/>
        <v>0</v>
      </c>
      <c r="GF441" s="179">
        <f t="shared" si="83"/>
        <v>0</v>
      </c>
      <c r="GG441" s="179">
        <f t="shared" si="78"/>
        <v>0</v>
      </c>
    </row>
    <row r="442" spans="1:189" x14ac:dyDescent="0.35">
      <c r="A442" s="357" t="s">
        <v>2046</v>
      </c>
      <c r="B442" s="6" t="str">
        <f>IF(Technologies!B442&lt;&gt;0,Technologies!B442,"")</f>
        <v>Industrie</v>
      </c>
      <c r="C442" s="5" t="str">
        <f>VLOOKUP($A442,Technologies!$A$7:$H$576,3,FALSE)</f>
        <v>Final</v>
      </c>
      <c r="D442" s="5" t="str">
        <f>VLOOKUP($A442,Technologies!$A$7:$H$576,4,FALSE)</f>
        <v>Industry</v>
      </c>
      <c r="E442" s="5" t="str">
        <f>VLOOKUP($A442,Technologies!$A$7:$H$576,6,FALSE)</f>
        <v>Salt production</v>
      </c>
      <c r="F442" s="5" t="str">
        <f>VLOOKUP($A442,Technologies!$A$7:$H$576,7,FALSE)</f>
        <v>Salt production (4,5 MEV and MVR)</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v>1</v>
      </c>
      <c r="CF442" s="319"/>
      <c r="CG442" s="319"/>
      <c r="CH442" s="319"/>
      <c r="CI442" s="319"/>
      <c r="CJ442" s="319"/>
      <c r="CK442" s="319"/>
      <c r="CL442" s="319">
        <v>-1</v>
      </c>
      <c r="CM442" s="319"/>
      <c r="CN442" s="319"/>
      <c r="CO442" s="35"/>
      <c r="CP442" s="35"/>
      <c r="CQ442" s="318"/>
      <c r="CR442" s="318"/>
      <c r="CS442" s="35"/>
      <c r="CT442" s="35"/>
      <c r="CU442" s="35"/>
      <c r="CV442" s="35"/>
      <c r="CW442" s="35"/>
      <c r="CX442" s="35"/>
      <c r="CY442" s="35"/>
      <c r="CZ442" s="35"/>
      <c r="DA442" s="35"/>
      <c r="DB442" s="35"/>
      <c r="DC442" s="35"/>
      <c r="DD442" s="35"/>
      <c r="DE442" s="35"/>
      <c r="DF442" s="35"/>
      <c r="DG442" s="35"/>
      <c r="DH442" s="318">
        <v>-0.26</v>
      </c>
      <c r="DI442" s="35"/>
      <c r="DJ442" s="35"/>
      <c r="DK442" s="35"/>
      <c r="DL442" s="35"/>
      <c r="DM442" s="35"/>
      <c r="DN442" s="35"/>
      <c r="DO442" s="318">
        <v>-1.5</v>
      </c>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8">
        <f t="shared" si="80"/>
        <v>0</v>
      </c>
      <c r="GD442" s="178">
        <f t="shared" si="81"/>
        <v>0</v>
      </c>
      <c r="GE442" s="178">
        <f t="shared" si="82"/>
        <v>0</v>
      </c>
      <c r="GF442" s="178">
        <f t="shared" si="83"/>
        <v>0</v>
      </c>
      <c r="GG442" s="178">
        <f t="shared" si="78"/>
        <v>0</v>
      </c>
    </row>
    <row r="443" spans="1:189" x14ac:dyDescent="0.35">
      <c r="A443" s="357" t="s">
        <v>2048</v>
      </c>
      <c r="B443" s="6" t="str">
        <f>IF(Technologies!B443&lt;&gt;0,Technologies!B443,"")</f>
        <v/>
      </c>
      <c r="C443" s="5" t="str">
        <f>VLOOKUP($A443,Technologies!$A$7:$H$576,3,FALSE)</f>
        <v>Primary</v>
      </c>
      <c r="D443" s="5" t="str">
        <f>VLOOKUP($A443,Technologies!$A$7:$H$576,4,FALSE)</f>
        <v>Material</v>
      </c>
      <c r="E443" s="5" t="str">
        <f>VLOOKUP($A443,Technologies!$A$7:$H$576,6,FALSE)</f>
        <v>End-of-life concrete</v>
      </c>
      <c r="F443" s="5" t="str">
        <f>VLOOKUP($A443,Technologies!$A$7:$H$576,7,FALSE)</f>
        <v>Stock of end-of-life concrete</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F443" s="1">
        <v>1</v>
      </c>
      <c r="CO443" s="35"/>
      <c r="CP443" s="35"/>
      <c r="CQ443" s="318"/>
      <c r="CR443" s="318"/>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9">
        <f t="shared" si="80"/>
        <v>0</v>
      </c>
      <c r="GD443" s="179">
        <f t="shared" si="81"/>
        <v>0</v>
      </c>
      <c r="GE443" s="179">
        <f t="shared" si="82"/>
        <v>0</v>
      </c>
      <c r="GF443" s="179">
        <f t="shared" si="83"/>
        <v>0</v>
      </c>
      <c r="GG443" s="179">
        <f t="shared" si="78"/>
        <v>0</v>
      </c>
    </row>
    <row r="444" spans="1:189" x14ac:dyDescent="0.35">
      <c r="A444" s="357" t="s">
        <v>2052</v>
      </c>
      <c r="B444" s="6" t="str">
        <f>IF(Technologies!B444&lt;&gt;0,Technologies!B444,"")</f>
        <v/>
      </c>
      <c r="C444" s="5" t="str">
        <f>VLOOKUP($A444,Technologies!$A$7:$H$576,3,FALSE)</f>
        <v>Primary</v>
      </c>
      <c r="D444" s="5" t="str">
        <f>VLOOKUP($A444,Technologies!$A$7:$H$576,4,FALSE)</f>
        <v>Material</v>
      </c>
      <c r="E444" s="5" t="str">
        <f>VLOOKUP($A444,Technologies!$A$7:$H$576,6,FALSE)</f>
        <v>End-of-life ceramic</v>
      </c>
      <c r="F444" s="5" t="str">
        <f>VLOOKUP($A444,Technologies!$A$7:$H$576,7,FALSE)</f>
        <v>Stock of end-of-life ceramic (CTW)</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J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8">
        <f t="shared" si="80"/>
        <v>0</v>
      </c>
      <c r="GD444" s="178">
        <f t="shared" si="81"/>
        <v>0</v>
      </c>
      <c r="GE444" s="178">
        <f t="shared" si="82"/>
        <v>0</v>
      </c>
      <c r="GF444" s="178">
        <f t="shared" si="83"/>
        <v>0</v>
      </c>
      <c r="GG444" s="178">
        <f t="shared" si="78"/>
        <v>0</v>
      </c>
    </row>
    <row r="445" spans="1:189" x14ac:dyDescent="0.35">
      <c r="A445" s="357" t="s">
        <v>2055</v>
      </c>
      <c r="B445" s="6" t="str">
        <f>IF(Technologies!B445&lt;&gt;0,Technologies!B445,"")</f>
        <v>Industrie</v>
      </c>
      <c r="C445" s="5" t="str">
        <f>VLOOKUP($A445,Technologies!$A$7:$H$576,3,FALSE)</f>
        <v>Final</v>
      </c>
      <c r="D445" s="5" t="str">
        <f>VLOOKUP($A445,Technologies!$A$7:$H$576,4,FALSE)</f>
        <v>Industry</v>
      </c>
      <c r="E445" s="5" t="str">
        <f>VLOOKUP($A445,Technologies!$A$7:$H$576,6,FALSE)</f>
        <v>Concrete demand</v>
      </c>
      <c r="F445" s="5" t="str">
        <f>VLOOKUP($A445,Technologies!$A$7:$H$576,7,FALSE)</f>
        <v>Concrete production</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v>1</v>
      </c>
      <c r="CG445" s="1">
        <f>-0.3125</f>
        <v>-0.3125</v>
      </c>
      <c r="CH445" s="1">
        <f>-0.4792</f>
        <v>-0.47920000000000001</v>
      </c>
      <c r="CI445" s="1">
        <f>-0.1458</f>
        <v>-0.14580000000000001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9">
        <f t="shared" si="80"/>
        <v>0</v>
      </c>
      <c r="GD445" s="179">
        <f t="shared" si="81"/>
        <v>0</v>
      </c>
      <c r="GE445" s="179">
        <f t="shared" si="82"/>
        <v>0</v>
      </c>
      <c r="GF445" s="179">
        <f t="shared" si="83"/>
        <v>0</v>
      </c>
      <c r="GG445" s="179">
        <f t="shared" si="78"/>
        <v>0</v>
      </c>
    </row>
    <row r="446" spans="1:189" x14ac:dyDescent="0.35">
      <c r="A446" s="357" t="s">
        <v>2063</v>
      </c>
      <c r="B446" s="6" t="str">
        <f>IF(Technologies!B446&lt;&gt;0,Technologies!B446,"")</f>
        <v>Industrie</v>
      </c>
      <c r="C446" s="5" t="str">
        <f>VLOOKUP($A446,Technologies!$A$7:$H$576,3,FALSE)</f>
        <v>Primary</v>
      </c>
      <c r="D446" s="5" t="str">
        <f>VLOOKUP($A446,Technologies!$A$7:$H$576,4,FALSE)</f>
        <v>Material</v>
      </c>
      <c r="E446" s="5" t="str">
        <f>VLOOKUP($A446,Technologies!$A$7:$H$576,6,FALSE)</f>
        <v>Sand</v>
      </c>
      <c r="F446" s="5" t="str">
        <f>VLOOKUP($A446,Technologies!$A$7:$H$576,7,FALSE)</f>
        <v>Imported/purchased sand</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G446" s="1">
        <v>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8">
        <f t="shared" si="80"/>
        <v>0</v>
      </c>
      <c r="GD446" s="178">
        <f t="shared" si="81"/>
        <v>0</v>
      </c>
      <c r="GE446" s="178">
        <f t="shared" si="82"/>
        <v>0</v>
      </c>
      <c r="GF446" s="178">
        <f t="shared" si="83"/>
        <v>0</v>
      </c>
      <c r="GG446" s="178">
        <f t="shared" si="78"/>
        <v>0</v>
      </c>
    </row>
    <row r="447" spans="1:189" x14ac:dyDescent="0.35">
      <c r="A447" s="357" t="s">
        <v>2066</v>
      </c>
      <c r="B447" s="6" t="str">
        <f>IF(Technologies!B447&lt;&gt;0,Technologies!B447,"")</f>
        <v>Industrie</v>
      </c>
      <c r="C447" s="5" t="str">
        <f>VLOOKUP($A447,Technologies!$A$7:$H$576,3,FALSE)</f>
        <v>Primary</v>
      </c>
      <c r="D447" s="5" t="str">
        <f>VLOOKUP($A447,Technologies!$A$7:$H$576,4,FALSE)</f>
        <v>Material</v>
      </c>
      <c r="E447" s="5" t="str">
        <f>VLOOKUP($A447,Technologies!$A$7:$H$576,6,FALSE)</f>
        <v>Gravel/aggregate</v>
      </c>
      <c r="F447" s="5" t="str">
        <f>VLOOKUP($A447,Technologies!$A$7:$H$576,7,FALSE)</f>
        <v>Imported/purchased gravel/aggregate</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H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9">
        <f t="shared" si="80"/>
        <v>0</v>
      </c>
      <c r="GD447" s="179">
        <f t="shared" si="81"/>
        <v>0</v>
      </c>
      <c r="GE447" s="179">
        <f t="shared" si="82"/>
        <v>0</v>
      </c>
      <c r="GF447" s="179">
        <f t="shared" si="83"/>
        <v>0</v>
      </c>
      <c r="GG447" s="179">
        <f t="shared" si="78"/>
        <v>0</v>
      </c>
    </row>
    <row r="448" spans="1:189" x14ac:dyDescent="0.35">
      <c r="A448" s="357" t="s">
        <v>2069</v>
      </c>
      <c r="B448" s="6" t="str">
        <f>IF(Technologies!B448&lt;&gt;0,Technologies!B448,"")</f>
        <v/>
      </c>
      <c r="C448" s="5" t="str">
        <f>VLOOKUP($A448,Technologies!$A$7:$H$576,3,FALSE)</f>
        <v>Primary</v>
      </c>
      <c r="D448" s="5" t="str">
        <f>VLOOKUP($A448,Technologies!$A$7:$H$576,4,FALSE)</f>
        <v>Material</v>
      </c>
      <c r="E448" s="5" t="str">
        <f>VLOOKUP($A448,Technologies!$A$7:$H$576,6,FALSE)</f>
        <v>Cement</v>
      </c>
      <c r="F448" s="5" t="str">
        <f>VLOOKUP($A448,Technologies!$A$7:$H$576,7,FALSE)</f>
        <v>Imported/purchased cement</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I448" s="1">
        <v>1</v>
      </c>
      <c r="CO448" s="35"/>
      <c r="CP448" s="35"/>
      <c r="CQ448" s="318"/>
      <c r="CR448" s="318"/>
      <c r="CS448" s="35"/>
      <c r="CT448" s="35"/>
      <c r="CU448" s="35"/>
      <c r="CV448" s="35"/>
      <c r="CW448" s="35"/>
      <c r="CX448" s="35"/>
      <c r="CY448" s="35"/>
      <c r="CZ448" s="35"/>
      <c r="DA448" s="35"/>
      <c r="DB448" s="35"/>
      <c r="DC448" s="35"/>
      <c r="DD448" s="35"/>
      <c r="DE448" s="35"/>
      <c r="DF448" s="35"/>
      <c r="DG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8">
        <f t="shared" si="80"/>
        <v>0</v>
      </c>
      <c r="GD448" s="178">
        <f t="shared" si="81"/>
        <v>0</v>
      </c>
      <c r="GE448" s="178">
        <f t="shared" si="82"/>
        <v>0</v>
      </c>
      <c r="GF448" s="178">
        <f t="shared" si="83"/>
        <v>0</v>
      </c>
      <c r="GG448" s="178">
        <f t="shared" si="78"/>
        <v>0</v>
      </c>
    </row>
    <row r="449" spans="1:189" x14ac:dyDescent="0.35">
      <c r="A449" s="357" t="s">
        <v>2072</v>
      </c>
      <c r="B449" s="6" t="str">
        <f>IF(Technologies!B449&lt;&gt;0,Technologies!B449,"")</f>
        <v/>
      </c>
      <c r="C449" s="5" t="str">
        <f>VLOOKUP($A449,Technologies!$A$7:$H$576,3,FALSE)</f>
        <v>Primary</v>
      </c>
      <c r="D449" s="5" t="str">
        <f>VLOOKUP($A449,Technologies!$A$7:$H$576,4,FALSE)</f>
        <v>Material</v>
      </c>
      <c r="E449" s="5" t="str">
        <f>VLOOKUP($A449,Technologies!$A$7:$H$576,6,FALSE)</f>
        <v>Cement</v>
      </c>
      <c r="F449" s="5" t="str">
        <f>VLOOKUP($A449,Technologies!$A$7:$H$576,7,FALSE)</f>
        <v>Stock of recovered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9">
        <f t="shared" si="80"/>
        <v>0</v>
      </c>
      <c r="GD449" s="179">
        <f t="shared" si="81"/>
        <v>0</v>
      </c>
      <c r="GE449" s="179">
        <f t="shared" si="82"/>
        <v>0</v>
      </c>
      <c r="GF449" s="179">
        <f t="shared" si="83"/>
        <v>0</v>
      </c>
      <c r="GG449" s="179">
        <f t="shared" si="78"/>
        <v>0</v>
      </c>
    </row>
    <row r="450" spans="1:189" x14ac:dyDescent="0.35">
      <c r="A450" s="357" t="s">
        <v>2074</v>
      </c>
      <c r="B450" s="6" t="str">
        <f>IF(Technologies!B450&lt;&gt;0,Technologies!B450,"")</f>
        <v/>
      </c>
      <c r="C450" s="5" t="str">
        <f>VLOOKUP($A450,Technologies!$A$7:$H$576,3,FALSE)</f>
        <v>Material</v>
      </c>
      <c r="D450" s="5" t="str">
        <f>VLOOKUP($A450,Technologies!$A$7:$H$576,4,FALSE)</f>
        <v>Material</v>
      </c>
      <c r="E450" s="5" t="str">
        <f>VLOOKUP($A450,Technologies!$A$7:$H$576,6,FALSE)</f>
        <v>End-of-life concrete</v>
      </c>
      <c r="F450" s="5" t="str">
        <f>VLOOKUP($A450,Technologies!$A$7:$H$576,7,FALSE)</f>
        <v>Crushing, advanced dry recovery and heating air classification system for EOL concrete</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F450" s="1">
        <v>-1</v>
      </c>
      <c r="CG450" s="1">
        <v>0.25600000000000001</v>
      </c>
      <c r="CH450" s="1">
        <v>0.68</v>
      </c>
      <c r="CI450" s="1">
        <v>6.4000000000000001E-2</v>
      </c>
      <c r="CO450" s="35"/>
      <c r="CP450" s="35"/>
      <c r="CQ450" s="318"/>
      <c r="CR450" s="318"/>
      <c r="CS450" s="35"/>
      <c r="CT450" s="35"/>
      <c r="CU450" s="35"/>
      <c r="CV450" s="35"/>
      <c r="CW450" s="35"/>
      <c r="CX450" s="35"/>
      <c r="CY450" s="35"/>
      <c r="CZ450" s="35"/>
      <c r="DA450" s="35"/>
      <c r="DB450" s="35"/>
      <c r="DC450" s="35"/>
      <c r="DD450" s="35"/>
      <c r="DE450" s="35"/>
      <c r="DF450" s="35"/>
      <c r="DG450" s="35"/>
      <c r="DH450" s="404">
        <f>-(36.8+0.32)*0.0036/100</f>
        <v>-1.33632E-3</v>
      </c>
      <c r="DI450" s="35"/>
      <c r="DJ450" s="35"/>
      <c r="DK450" s="35"/>
      <c r="DL450" s="35"/>
      <c r="DM450" s="35"/>
      <c r="DN450" s="35"/>
      <c r="DO450" s="35"/>
      <c r="DP450" s="35"/>
      <c r="DQ450" s="35"/>
      <c r="DR450" s="35"/>
      <c r="DS450" s="35"/>
      <c r="DT450" s="35"/>
      <c r="DU450" s="406">
        <f>-(0.84*1300*43.2)/(100*10^3)</f>
        <v>-0.471744</v>
      </c>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8">
        <f t="shared" si="80"/>
        <v>0</v>
      </c>
      <c r="GD450" s="178">
        <f t="shared" si="81"/>
        <v>0</v>
      </c>
      <c r="GE450" s="178">
        <f t="shared" si="82"/>
        <v>3.44E-2</v>
      </c>
      <c r="GF450" s="178">
        <f t="shared" si="83"/>
        <v>0</v>
      </c>
      <c r="GG450" s="178">
        <f t="shared" si="78"/>
        <v>0</v>
      </c>
    </row>
    <row r="451" spans="1:189" x14ac:dyDescent="0.35">
      <c r="A451" s="357" t="s">
        <v>2077</v>
      </c>
      <c r="B451" s="6" t="str">
        <f>IF(Technologies!B451&lt;&gt;0,Technologies!B451,"")</f>
        <v/>
      </c>
      <c r="C451" s="5" t="str">
        <f>VLOOKUP($A451,Technologies!$A$7:$H$576,3,FALSE)</f>
        <v>Material</v>
      </c>
      <c r="D451" s="5" t="str">
        <f>VLOOKUP($A451,Technologies!$A$7:$H$576,4,FALSE)</f>
        <v>Material</v>
      </c>
      <c r="E451" s="5" t="str">
        <f>VLOOKUP($A451,Technologies!$A$7:$H$576,6,FALSE)</f>
        <v>End-of-life ceramic</v>
      </c>
      <c r="F451" s="5" t="str">
        <f>VLOOKUP($A451,Technologies!$A$7:$H$576,7,FALSE)</f>
        <v>Crushing of ceramic tile waste (CTW) for use as aggregate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H451" s="211">
        <f>CH453</f>
        <v>0.9652173913043478</v>
      </c>
      <c r="CJ451" s="1">
        <v>-1</v>
      </c>
      <c r="CO451" s="35"/>
      <c r="CP451" s="35"/>
      <c r="CQ451" s="318"/>
      <c r="CR451" s="318"/>
      <c r="CS451" s="35"/>
      <c r="CT451" s="35"/>
      <c r="CU451" s="35"/>
      <c r="CV451" s="35"/>
      <c r="CW451" s="35"/>
      <c r="CX451" s="35"/>
      <c r="CY451" s="35"/>
      <c r="CZ451" s="35"/>
      <c r="DA451" s="35"/>
      <c r="DB451" s="35"/>
      <c r="DC451" s="35"/>
      <c r="DD451" s="35"/>
      <c r="DE451" s="35"/>
      <c r="DF451" s="35"/>
      <c r="DG451" s="35"/>
      <c r="DH451" s="405">
        <v>-0.111</v>
      </c>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9">
        <f t="shared" si="80"/>
        <v>0</v>
      </c>
      <c r="GD451" s="179">
        <f t="shared" si="81"/>
        <v>0</v>
      </c>
      <c r="GE451" s="179">
        <f t="shared" si="82"/>
        <v>0</v>
      </c>
      <c r="GF451" s="179">
        <f t="shared" si="83"/>
        <v>0</v>
      </c>
      <c r="GG451" s="179">
        <f t="shared" si="78"/>
        <v>0</v>
      </c>
    </row>
    <row r="452" spans="1:189" x14ac:dyDescent="0.35">
      <c r="A452" s="357" t="s">
        <v>2080</v>
      </c>
      <c r="B452" s="6" t="str">
        <f>IF(Technologies!B452&lt;&gt;0,Technologies!B452,"")</f>
        <v/>
      </c>
      <c r="C452" s="5" t="str">
        <f>VLOOKUP($A452,Technologies!$A$7:$H$576,3,FALSE)</f>
        <v>Material</v>
      </c>
      <c r="D452" s="5" t="str">
        <f>VLOOKUP($A452,Technologies!$A$7:$H$576,4,FALSE)</f>
        <v>Material</v>
      </c>
      <c r="E452" s="5" t="str">
        <f>VLOOKUP($A452,Technologies!$A$7:$H$576,6,FALSE)</f>
        <v>End-of-life ceramic</v>
      </c>
      <c r="F452" s="5" t="str">
        <f>VLOOKUP($A452,Technologies!$A$7:$H$576,7,FALSE)</f>
        <v>Crushing of ceramic tile waste (CTW) for use as supplementary cementitious material (SCM)</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c r="CJ452" s="1">
        <v>-1</v>
      </c>
      <c r="CK452" s="211">
        <v>0.95</v>
      </c>
      <c r="CL452" s="211"/>
      <c r="CM452" s="211"/>
      <c r="CN452" s="211"/>
      <c r="CO452" s="35"/>
      <c r="CP452" s="35"/>
      <c r="CQ452" s="318"/>
      <c r="CR452" s="318"/>
      <c r="CS452" s="35"/>
      <c r="CT452" s="35"/>
      <c r="CU452" s="35"/>
      <c r="CV452" s="35"/>
      <c r="CW452" s="35"/>
      <c r="CX452" s="35"/>
      <c r="CY452" s="35"/>
      <c r="CZ452" s="35"/>
      <c r="DA452" s="35"/>
      <c r="DB452" s="35"/>
      <c r="DC452" s="35"/>
      <c r="DD452" s="35"/>
      <c r="DE452" s="35"/>
      <c r="DF452" s="35"/>
      <c r="DG452" s="35"/>
      <c r="DH452" s="405">
        <v>-1.1200000000000001</v>
      </c>
      <c r="DI452" s="35"/>
      <c r="DJ452" s="35"/>
      <c r="DK452" s="35"/>
      <c r="DL452" s="35"/>
      <c r="DM452" s="35"/>
      <c r="DN452" s="35"/>
      <c r="DO452" s="35"/>
      <c r="DP452" s="35"/>
      <c r="DQ452" s="35"/>
      <c r="DR452" s="35"/>
      <c r="DS452" s="35"/>
      <c r="DT452" s="35"/>
      <c r="DU452" s="406"/>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8">
        <f t="shared" si="80"/>
        <v>0</v>
      </c>
      <c r="GD452" s="178">
        <f t="shared" si="81"/>
        <v>0</v>
      </c>
      <c r="GE452" s="178">
        <f t="shared" si="82"/>
        <v>0</v>
      </c>
      <c r="GF452" s="178">
        <f t="shared" si="83"/>
        <v>0</v>
      </c>
      <c r="GG452" s="178">
        <f t="shared" si="78"/>
        <v>0</v>
      </c>
    </row>
    <row r="453" spans="1:189" x14ac:dyDescent="0.35">
      <c r="A453" s="357" t="s">
        <v>2082</v>
      </c>
      <c r="B453" s="6" t="str">
        <f>IF(Technologies!B453&lt;&gt;0,Technologies!B453,"")</f>
        <v/>
      </c>
      <c r="C453" s="5" t="str">
        <f>VLOOKUP($A453,Technologies!$A$7:$H$576,3,FALSE)</f>
        <v>Material</v>
      </c>
      <c r="D453" s="5" t="str">
        <f>VLOOKUP($A453,Technologies!$A$7:$H$576,4,FALSE)</f>
        <v>Material</v>
      </c>
      <c r="E453" s="5" t="str">
        <f>VLOOKUP($A453,Technologies!$A$7:$H$576,6,FALSE)</f>
        <v>End-of-life concrete</v>
      </c>
      <c r="F453" s="5" t="str">
        <f>VLOOKUP($A453,Technologies!$A$7:$H$576,7,FALSE)</f>
        <v>Coarse recycled concrete aggregate production</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F453" s="1">
        <v>-1</v>
      </c>
      <c r="CH453" s="211">
        <f>(23+40+18+30)/115</f>
        <v>0.9652173913043478</v>
      </c>
      <c r="CO453" s="35"/>
      <c r="CP453" s="35"/>
      <c r="CQ453" s="318"/>
      <c r="CR453" s="318"/>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9">
        <f t="shared" si="80"/>
        <v>0</v>
      </c>
      <c r="GD453" s="179">
        <f t="shared" si="81"/>
        <v>0</v>
      </c>
      <c r="GE453" s="179">
        <f t="shared" si="82"/>
        <v>0</v>
      </c>
      <c r="GF453" s="179">
        <f t="shared" si="83"/>
        <v>0</v>
      </c>
      <c r="GG453" s="179">
        <f t="shared" si="78"/>
        <v>0</v>
      </c>
    </row>
    <row r="454" spans="1:189" x14ac:dyDescent="0.35">
      <c r="A454" s="357" t="s">
        <v>2084</v>
      </c>
      <c r="B454" s="6" t="str">
        <f>IF(Technologies!B454&lt;&gt;0,Technologies!B454,"")</f>
        <v/>
      </c>
      <c r="C454" s="5" t="str">
        <f>VLOOKUP($A454,Technologies!$A$7:$H$576,3,FALSE)</f>
        <v>Material</v>
      </c>
      <c r="D454" s="5" t="str">
        <f>VLOOKUP($A454,Technologies!$A$7:$H$576,4,FALSE)</f>
        <v>Material</v>
      </c>
      <c r="E454" s="5" t="str">
        <f>VLOOKUP($A454,Technologies!$A$7:$H$576,6,FALSE)</f>
        <v>End-of-life ceramic</v>
      </c>
      <c r="F454" s="5" t="str">
        <f>VLOOKUP($A454,Technologies!$A$7:$H$576,7,FALSE)</f>
        <v>Crushing of ceramic tile waste (CTW) for use as clay substitute in ceramic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H454" s="211"/>
      <c r="CJ454" s="1">
        <v>-1</v>
      </c>
      <c r="CM454" s="1">
        <v>1</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8">
        <f t="shared" si="80"/>
        <v>0</v>
      </c>
      <c r="GD454" s="178">
        <f t="shared" si="81"/>
        <v>0</v>
      </c>
      <c r="GE454" s="178">
        <f t="shared" si="82"/>
        <v>0</v>
      </c>
      <c r="GF454" s="178">
        <f t="shared" si="83"/>
        <v>0</v>
      </c>
      <c r="GG454" s="178">
        <f t="shared" si="78"/>
        <v>0</v>
      </c>
    </row>
    <row r="455" spans="1:189" x14ac:dyDescent="0.35">
      <c r="A455" s="357" t="s">
        <v>2059</v>
      </c>
      <c r="B455" s="6" t="str">
        <f>IF(Technologies!B455&lt;&gt;0,Technologies!B455,"")</f>
        <v/>
      </c>
      <c r="C455" s="5" t="str">
        <f>VLOOKUP($A455,Technologies!$A$7:$H$576,3,FALSE)</f>
        <v>Final</v>
      </c>
      <c r="D455" s="5" t="str">
        <f>VLOOKUP($A455,Technologies!$A$7:$H$576,4,FALSE)</f>
        <v>Industry</v>
      </c>
      <c r="E455" s="5" t="str">
        <f>VLOOKUP($A455,Technologies!$A$7:$H$576,6,FALSE)</f>
        <v>Concrete demand</v>
      </c>
      <c r="F455" s="5" t="str">
        <f>VLOOKUP($A455,Technologies!$A$7:$H$576,7,FALSE)</f>
        <v>Renovation of existing structures - demand reduction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9">
        <f t="shared" si="80"/>
        <v>0</v>
      </c>
      <c r="GD455" s="179">
        <f t="shared" si="81"/>
        <v>0</v>
      </c>
      <c r="GE455" s="179">
        <f t="shared" si="82"/>
        <v>0</v>
      </c>
      <c r="GF455" s="179">
        <f t="shared" si="83"/>
        <v>0</v>
      </c>
      <c r="GG455" s="179">
        <f t="shared" si="78"/>
        <v>0</v>
      </c>
    </row>
    <row r="456" spans="1:189" x14ac:dyDescent="0.35">
      <c r="A456" s="357" t="s">
        <v>2061</v>
      </c>
      <c r="B456" s="6" t="str">
        <f>IF(Technologies!B456&lt;&gt;0,Technologies!B456,"")</f>
        <v/>
      </c>
      <c r="C456" s="5" t="str">
        <f>VLOOKUP($A456,Technologies!$A$7:$H$576,3,FALSE)</f>
        <v>Final</v>
      </c>
      <c r="D456" s="5" t="str">
        <f>VLOOKUP($A456,Technologies!$A$7:$H$576,4,FALSE)</f>
        <v>Industry</v>
      </c>
      <c r="E456" s="5" t="str">
        <f>VLOOKUP($A456,Technologies!$A$7:$H$576,6,FALSE)</f>
        <v>Concrete demand</v>
      </c>
      <c r="F456" s="5" t="str">
        <f>VLOOKUP($A456,Technologies!$A$7:$H$576,7,FALSE)</f>
        <v>Reuse of concrete beams and columns as foundation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8">
        <f t="shared" si="80"/>
        <v>0</v>
      </c>
      <c r="GD456" s="178">
        <f t="shared" si="81"/>
        <v>0</v>
      </c>
      <c r="GE456" s="178">
        <f t="shared" si="82"/>
        <v>0</v>
      </c>
      <c r="GF456" s="178">
        <f t="shared" si="83"/>
        <v>0</v>
      </c>
      <c r="GG456" s="178">
        <f t="shared" si="78"/>
        <v>0</v>
      </c>
    </row>
    <row r="457" spans="1:189" x14ac:dyDescent="0.35">
      <c r="A457" s="357" t="s">
        <v>2086</v>
      </c>
      <c r="B457" s="6" t="str">
        <f>IF(Technologies!B457&lt;&gt;0,Technologies!B457,"")</f>
        <v>Industrie</v>
      </c>
      <c r="C457" s="5" t="str">
        <f>VLOOKUP($A457,Technologies!$A$7:$H$576,3,FALSE)</f>
        <v>Final</v>
      </c>
      <c r="D457" s="5" t="str">
        <f>VLOOKUP($A457,Technologies!$A$7:$H$576,4,FALSE)</f>
        <v>Industry</v>
      </c>
      <c r="E457" s="5" t="str">
        <f>VLOOKUP($A457,Technologies!$A$7:$H$576,6,FALSE)</f>
        <v>Concrete demand</v>
      </c>
      <c r="F457" s="5" t="str">
        <f>VLOOKUP($A457,Technologies!$A$7:$H$576,7,FALSE)</f>
        <v>Concrete production with SCM</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1">
        <v>1</v>
      </c>
      <c r="CG457" s="1">
        <f>-0.3125</f>
        <v>-0.3125</v>
      </c>
      <c r="CH457" s="1">
        <f>-0.4792</f>
        <v>-0.47920000000000001</v>
      </c>
      <c r="CI457" s="1">
        <f>CI445-CK457</f>
        <v>-0.11664000000000001</v>
      </c>
      <c r="CK457" s="1">
        <f>CI445*0.2</f>
        <v>-2.9160000000000005E-2</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9">
        <f t="shared" si="80"/>
        <v>0</v>
      </c>
      <c r="GD457" s="179">
        <f t="shared" si="81"/>
        <v>0</v>
      </c>
      <c r="GE457" s="179">
        <f t="shared" si="82"/>
        <v>0</v>
      </c>
      <c r="GF457" s="179">
        <f t="shared" si="83"/>
        <v>0</v>
      </c>
      <c r="GG457" s="179">
        <f t="shared" si="78"/>
        <v>0</v>
      </c>
    </row>
    <row r="458" spans="1:189" x14ac:dyDescent="0.35">
      <c r="A458" s="1" t="s">
        <v>2088</v>
      </c>
      <c r="B458" s="6" t="str">
        <f>IF(Technologies!B458&lt;&gt;0,Technologies!B458,"")</f>
        <v>Industrie</v>
      </c>
      <c r="C458" s="5" t="str">
        <f>VLOOKUP($A458,Technologies!$A$7:$H$576,3,FALSE)</f>
        <v>Final</v>
      </c>
      <c r="D458" s="5" t="str">
        <f>VLOOKUP($A458,Technologies!$A$7:$H$576,4,FALSE)</f>
        <v>Industry</v>
      </c>
      <c r="E458" s="5" t="str">
        <f>VLOOKUP($A458,Technologies!$A$7:$H$576,6,FALSE)</f>
        <v>Steel production - Basic Metals Industry</v>
      </c>
      <c r="F458" s="5" t="str">
        <f>VLOOKUP($A458,Technologies!$A$7:$H$576,7,FALSE)</f>
        <v>Material efficiency in steel production</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v>1</v>
      </c>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8">
        <f t="shared" si="80"/>
        <v>0</v>
      </c>
      <c r="GD458" s="178">
        <f t="shared" si="81"/>
        <v>0</v>
      </c>
      <c r="GE458" s="178">
        <f t="shared" si="82"/>
        <v>0</v>
      </c>
      <c r="GF458" s="178">
        <f t="shared" si="83"/>
        <v>0</v>
      </c>
      <c r="GG458" s="178">
        <f t="shared" si="78"/>
        <v>0</v>
      </c>
    </row>
    <row r="459" spans="1:189" x14ac:dyDescent="0.35">
      <c r="A459" s="1" t="s">
        <v>2090</v>
      </c>
      <c r="B459" s="6" t="str">
        <f>IF(Technologies!B459&lt;&gt;0,Technologies!B459,"")</f>
        <v>Industrie</v>
      </c>
      <c r="C459" s="5" t="str">
        <f>VLOOKUP($A459,Technologies!$A$7:$H$576,3,FALSE)</f>
        <v>Final</v>
      </c>
      <c r="D459" s="5" t="str">
        <f>VLOOKUP($A459,Technologies!$A$7:$H$576,4,FALSE)</f>
        <v>Industry</v>
      </c>
      <c r="E459" s="5" t="str">
        <f>VLOOKUP($A459,Technologies!$A$7:$H$576,6,FALSE)</f>
        <v>Glass production - ETS Industry</v>
      </c>
      <c r="F459" s="5" t="str">
        <f>VLOOKUP($A459,Technologies!$A$7:$H$576,7,FALSE)</f>
        <v>Material efficiency in glass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c r="AA459" s="35"/>
      <c r="AB459" s="35"/>
      <c r="AC459" s="35"/>
      <c r="AD459" s="35"/>
      <c r="AE459" s="35"/>
      <c r="AF459" s="36"/>
      <c r="AG459" s="36"/>
      <c r="AH459" s="36"/>
      <c r="AI459" s="36"/>
      <c r="AJ459" s="36"/>
      <c r="AK459" s="36"/>
      <c r="AL459" s="36"/>
      <c r="AM459" s="36"/>
      <c r="AN459" s="36"/>
      <c r="AO459" s="36"/>
      <c r="AP459" s="35"/>
      <c r="AQ459" s="35"/>
      <c r="AR459" s="35">
        <v>1</v>
      </c>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9">
        <f t="shared" si="80"/>
        <v>0</v>
      </c>
      <c r="GD459" s="179">
        <f t="shared" si="81"/>
        <v>0</v>
      </c>
      <c r="GE459" s="179">
        <f t="shared" si="82"/>
        <v>0</v>
      </c>
      <c r="GF459" s="179">
        <f t="shared" si="83"/>
        <v>0</v>
      </c>
      <c r="GG459" s="179">
        <f t="shared" si="78"/>
        <v>0</v>
      </c>
    </row>
    <row r="460" spans="1:189" x14ac:dyDescent="0.35">
      <c r="A460" s="1" t="s">
        <v>2092</v>
      </c>
      <c r="B460" s="6" t="str">
        <f>IF(Technologies!B460&lt;&gt;0,Technologies!B460,"")</f>
        <v/>
      </c>
      <c r="C460" s="5" t="str">
        <f>VLOOKUP($A460,Technologies!$A$7:$H$576,3,FALSE)</f>
        <v>Primary</v>
      </c>
      <c r="D460" s="5" t="str">
        <f>VLOOKUP($A460,Technologies!$A$7:$H$576,4,FALSE)</f>
        <v>Material</v>
      </c>
      <c r="E460" s="5" t="str">
        <f>VLOOKUP($A460,Technologies!$A$7:$H$576,6,FALSE)</f>
        <v>Recycled glass</v>
      </c>
      <c r="F460" s="5" t="str">
        <f>VLOOKUP($A460,Technologies!$A$7:$H$576,7,FALSE)</f>
        <v>Stock of recycled glass</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N460" s="1">
        <v>1</v>
      </c>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8">
        <f t="shared" si="80"/>
        <v>0</v>
      </c>
      <c r="GD460" s="178">
        <f t="shared" si="81"/>
        <v>0</v>
      </c>
      <c r="GE460" s="178">
        <f t="shared" si="82"/>
        <v>0</v>
      </c>
      <c r="GF460" s="178">
        <f t="shared" si="83"/>
        <v>0</v>
      </c>
      <c r="GG460" s="178">
        <f t="shared" si="78"/>
        <v>0</v>
      </c>
    </row>
    <row r="461" spans="1:189" x14ac:dyDescent="0.35">
      <c r="A461" s="6" t="s">
        <v>1708</v>
      </c>
      <c r="B461" s="6" t="str">
        <f>IF(Technologies!B461&lt;&gt;0,Technologies!B461,"")</f>
        <v>Gebouwde omgeving</v>
      </c>
      <c r="C461" s="6" t="str">
        <f>VLOOKUP($A461,Technologies!$A$7:$H$576,3,FALSE)</f>
        <v>Emission</v>
      </c>
      <c r="D461" s="6" t="str">
        <f>VLOOKUP($A461,Technologies!$A$7:$H$576,4,FALSE)</f>
        <v>Residential</v>
      </c>
      <c r="E461" s="6" t="str">
        <f>VLOOKUP($A461,Technologies!$A$7:$H$576,6,FALSE)</f>
        <v>Emitted neGHG - Residential - CO2</v>
      </c>
      <c r="F461" s="48" t="str">
        <f>VLOOKUP($A461,Technologies!$A$7:$H$576,7,FALSE)</f>
        <v>Emitted neGHG - Residential - CO2</v>
      </c>
      <c r="G461" s="22"/>
      <c r="H461" s="22"/>
      <c r="I461" s="103" cm="1">
        <f t="array" ref="I461">-SUMPRODUCT((Feedstocks!$C$4:$C$141=A461)*Feedstocks!$E$4:$E$141,Feedstocks!$F$4:$F$141,Feedstocks!$H$4:$H$141,Feedstocks!$I$4:$I$141)</f>
        <v>0</v>
      </c>
      <c r="J461" s="103" cm="1">
        <f t="array" ref="J461">-SUMPRODUCT((Feedstocks!$C$4:$C$141=A461)*Feedstocks!$E$4:$E$141,Feedstocks!$H$4:$H$141,Feedstocks!$I$4:$I$141)</f>
        <v>0</v>
      </c>
      <c r="K461" s="103"/>
      <c r="L461" s="103">
        <v>1</v>
      </c>
      <c r="M461" s="22"/>
      <c r="N461" s="22" t="str">
        <f>VLOOKUP(E461,Activities!$A$9:$M$227,13,FALSE)</f>
        <v>NL</v>
      </c>
      <c r="O461" s="22"/>
      <c r="P461" s="80" t="s">
        <v>415</v>
      </c>
      <c r="Q461" s="36"/>
      <c r="R461" s="36"/>
      <c r="S461" s="36"/>
      <c r="T461" s="36"/>
      <c r="U461" s="36"/>
      <c r="V461" s="36"/>
      <c r="W461" s="36"/>
      <c r="X461" s="36"/>
      <c r="Y461" s="36"/>
      <c r="Z461" s="36"/>
      <c r="AA461" s="36"/>
      <c r="AB461" s="36"/>
      <c r="AC461" s="36"/>
      <c r="AD461" s="36"/>
      <c r="AE461" s="36"/>
      <c r="AF461" s="35"/>
      <c r="AG461" s="35"/>
      <c r="AH461" s="35"/>
      <c r="AI461" s="35"/>
      <c r="AJ461" s="35"/>
      <c r="AK461" s="35"/>
      <c r="AL461" s="35"/>
      <c r="AM461" s="35"/>
      <c r="AN461" s="35"/>
      <c r="AO461" s="35"/>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c r="BS461" s="36"/>
      <c r="BT461" s="36"/>
      <c r="BU461" s="36"/>
      <c r="BV461" s="36"/>
      <c r="BW461" s="36"/>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36"/>
      <c r="CT461" s="36"/>
      <c r="CU461" s="36"/>
      <c r="CV461" s="36"/>
      <c r="CW461" s="36"/>
      <c r="CX461" s="36"/>
      <c r="CY461" s="36"/>
      <c r="CZ461" s="36"/>
      <c r="DA461" s="36"/>
      <c r="DB461" s="36"/>
      <c r="DC461" s="36"/>
      <c r="DD461" s="36"/>
      <c r="DE461" s="36"/>
      <c r="DF461" s="36"/>
      <c r="DG461" s="36"/>
      <c r="DH461" s="36"/>
      <c r="DI461" s="36"/>
      <c r="DJ461" s="36"/>
      <c r="DK461" s="36"/>
      <c r="DL461" s="36"/>
      <c r="DM461" s="36"/>
      <c r="DN461" s="36"/>
      <c r="DO461" s="36"/>
      <c r="DP461" s="36"/>
      <c r="DQ461" s="36"/>
      <c r="DR461" s="36"/>
      <c r="DS461" s="36"/>
      <c r="DT461" s="36"/>
      <c r="DU461" s="36"/>
      <c r="DV461" s="36"/>
      <c r="DW461" s="36"/>
      <c r="DX461" s="36"/>
      <c r="DY461" s="36"/>
      <c r="DZ461" s="36"/>
      <c r="EA461" s="36"/>
      <c r="EB461" s="36"/>
      <c r="EC461" s="36"/>
      <c r="ED461" s="36"/>
      <c r="EE461" s="36"/>
      <c r="EF461" s="36"/>
      <c r="EG461" s="36"/>
      <c r="EH461" s="36"/>
      <c r="EI461" s="36"/>
      <c r="EJ461" s="36"/>
      <c r="EK461" s="36"/>
      <c r="EL461" s="36"/>
      <c r="EM461" s="36"/>
      <c r="EN461" s="36"/>
      <c r="EO461" s="36"/>
      <c r="EP461" s="36"/>
      <c r="EQ461" s="36"/>
      <c r="ER461" s="36"/>
      <c r="ES461" s="36"/>
      <c r="ET461" s="36"/>
      <c r="EU461" s="36"/>
      <c r="EV461" s="36"/>
      <c r="EW461" s="36"/>
      <c r="EX461" s="36"/>
      <c r="EY461" s="36"/>
      <c r="EZ461" s="36"/>
      <c r="FA461" s="36"/>
      <c r="FB461" s="36"/>
      <c r="FC461" s="36"/>
      <c r="FD461" s="36"/>
      <c r="FE461" s="36"/>
      <c r="FF461" s="36"/>
      <c r="FG461" s="36"/>
      <c r="FH461" s="36"/>
      <c r="FI461" s="36"/>
      <c r="FJ461" s="36"/>
      <c r="FK461" s="36"/>
      <c r="FL461" s="36"/>
      <c r="FM461" s="36"/>
      <c r="FN461" s="36"/>
      <c r="FO461" s="36">
        <v>-1</v>
      </c>
      <c r="FP461" s="36"/>
      <c r="FQ461" s="36"/>
      <c r="FR461" s="36"/>
      <c r="FS461" s="36"/>
      <c r="FT461" s="36"/>
      <c r="FU461" s="36"/>
      <c r="FV461" s="36"/>
      <c r="FW461" s="36"/>
      <c r="FX461" s="36"/>
      <c r="FY461" s="36"/>
      <c r="FZ461" s="36"/>
      <c r="GA461" s="36"/>
      <c r="GB461" s="319"/>
      <c r="GC461" s="324"/>
      <c r="GD461" s="324"/>
      <c r="GE461" s="324">
        <v>1</v>
      </c>
      <c r="GF461" s="324"/>
      <c r="GG461" s="324"/>
    </row>
    <row r="462" spans="1:189" x14ac:dyDescent="0.35">
      <c r="A462" s="5" t="s">
        <v>1710</v>
      </c>
      <c r="B462" s="6" t="str">
        <f>IF(Technologies!B462&lt;&gt;0,Technologies!B462,"")</f>
        <v>Gebouwde omgeving</v>
      </c>
      <c r="C462" s="5" t="str">
        <f>VLOOKUP($A462,Technologies!$A$7:$H$576,3,FALSE)</f>
        <v>Emission</v>
      </c>
      <c r="D462" s="5" t="str">
        <f>VLOOKUP($A462,Technologies!$A$7:$H$576,4,FALSE)</f>
        <v>Residential</v>
      </c>
      <c r="E462" s="5" t="str">
        <f>VLOOKUP($A462,Technologies!$A$7:$H$576,6,FALSE)</f>
        <v>Emitted neGHG - Residential - CO2</v>
      </c>
      <c r="F462" s="5" t="str">
        <f>VLOOKUP($A462,Technologies!$A$7:$H$576,7,FALSE)</f>
        <v>MACC Component 1 - neGHG CO2 Other</v>
      </c>
      <c r="G462" s="23"/>
      <c r="H462" s="23"/>
      <c r="I462" s="104" cm="1">
        <f t="array" ref="I462">-SUMPRODUCT((Feedstocks!$C$4:$C$141=A462)*Feedstocks!$E$4:$E$141,Feedstocks!$F$4:$F$141,Feedstocks!$H$4:$H$141,Feedstocks!$I$4:$I$141)</f>
        <v>0</v>
      </c>
      <c r="J462" s="104" cm="1">
        <f t="array" ref="J462">-SUMPRODUCT((Feedstocks!$C$4:$C$141=A462)*Feedstocks!$E$4:$E$141,Feedstocks!$H$4:$H$141,Feedstocks!$I$4:$I$141)</f>
        <v>0</v>
      </c>
      <c r="K462" s="104"/>
      <c r="L462" s="104"/>
      <c r="M462" s="23"/>
      <c r="N462" s="23" t="str">
        <f>VLOOKUP(E462,Activities!$A$9:$M$227,13,FALSE)</f>
        <v>NL</v>
      </c>
      <c r="O462" s="23"/>
      <c r="P462" s="79" t="s">
        <v>415</v>
      </c>
      <c r="Q462" s="35"/>
      <c r="R462" s="35"/>
      <c r="S462" s="35"/>
      <c r="T462" s="35"/>
      <c r="U462" s="35"/>
      <c r="V462" s="35"/>
      <c r="W462" s="35"/>
      <c r="X462" s="35"/>
      <c r="Y462" s="35"/>
      <c r="Z462" s="35"/>
      <c r="AA462" s="35"/>
      <c r="AB462" s="35"/>
      <c r="AC462" s="35"/>
      <c r="AD462" s="35"/>
      <c r="AE462" s="35"/>
      <c r="AF462" s="36"/>
      <c r="AG462" s="36"/>
      <c r="AH462" s="36"/>
      <c r="AI462" s="36"/>
      <c r="AJ462" s="36"/>
      <c r="AK462" s="36"/>
      <c r="AL462" s="36"/>
      <c r="AM462" s="36"/>
      <c r="AN462" s="36"/>
      <c r="AO462" s="36"/>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v>-1</v>
      </c>
      <c r="FP462" s="35"/>
      <c r="FQ462" s="35"/>
      <c r="FR462" s="35"/>
      <c r="FS462" s="35"/>
      <c r="FT462" s="35"/>
      <c r="FU462" s="35"/>
      <c r="FV462" s="35"/>
      <c r="FW462" s="35"/>
      <c r="FX462" s="35"/>
      <c r="FY462" s="35"/>
      <c r="FZ462" s="35"/>
      <c r="GA462" s="35"/>
      <c r="GB462" s="318"/>
      <c r="GC462" s="325"/>
      <c r="GD462" s="325"/>
      <c r="GE462" s="325"/>
      <c r="GF462" s="325"/>
      <c r="GG462" s="325"/>
    </row>
    <row r="463" spans="1:189" x14ac:dyDescent="0.35">
      <c r="A463" s="6" t="s">
        <v>1712</v>
      </c>
      <c r="B463" s="6" t="str">
        <f>IF(Technologies!B463&lt;&gt;0,Technologies!B463,"")</f>
        <v>Gebouwde omgeving</v>
      </c>
      <c r="C463" s="6" t="str">
        <f>VLOOKUP($A463,Technologies!$A$7:$H$576,3,FALSE)</f>
        <v>Emission</v>
      </c>
      <c r="D463" s="6" t="str">
        <f>VLOOKUP($A463,Technologies!$A$7:$H$576,4,FALSE)</f>
        <v>Services</v>
      </c>
      <c r="E463" s="6" t="str">
        <f>VLOOKUP($A463,Technologies!$A$7:$H$576,6,FALSE)</f>
        <v>Emitted neGHG - Services - CH4</v>
      </c>
      <c r="F463" s="48" t="str">
        <f>VLOOKUP($A463,Technologies!$A$7:$H$576,7,FALSE)</f>
        <v>Emitted neGHG - Services - CH4</v>
      </c>
      <c r="G463" s="22"/>
      <c r="H463" s="22"/>
      <c r="I463" s="103" cm="1">
        <f t="array" ref="I463">-SUMPRODUCT((Feedstocks!$C$4:$C$141=A463)*Feedstocks!$E$4:$E$141,Feedstocks!$F$4:$F$141,Feedstocks!$H$4:$H$141,Feedstocks!$I$4:$I$141)</f>
        <v>0</v>
      </c>
      <c r="J463" s="103" cm="1">
        <f t="array" ref="J463">-SUMPRODUCT((Feedstocks!$C$4:$C$141=A463)*Feedstocks!$E$4:$E$141,Feedstocks!$H$4:$H$141,Feedstocks!$I$4:$I$141)</f>
        <v>0</v>
      </c>
      <c r="K463" s="103"/>
      <c r="L463" s="103">
        <v>1</v>
      </c>
      <c r="M463" s="22"/>
      <c r="N463" s="22" t="str">
        <f>VLOOKUP(E463,Activities!$A$9:$M$227,13,FALSE)</f>
        <v>NL</v>
      </c>
      <c r="O463" s="22"/>
      <c r="P463" s="80" t="s">
        <v>415</v>
      </c>
      <c r="Q463" s="36"/>
      <c r="R463" s="36"/>
      <c r="S463" s="36"/>
      <c r="T463" s="36"/>
      <c r="U463" s="36"/>
      <c r="V463" s="36"/>
      <c r="W463" s="36"/>
      <c r="X463" s="36"/>
      <c r="Y463" s="36"/>
      <c r="Z463" s="36"/>
      <c r="AA463" s="36"/>
      <c r="AB463" s="36"/>
      <c r="AC463" s="36"/>
      <c r="AD463" s="36"/>
      <c r="AE463" s="36"/>
      <c r="AF463" s="35"/>
      <c r="AG463" s="35"/>
      <c r="AH463" s="35"/>
      <c r="AI463" s="35"/>
      <c r="AJ463" s="35"/>
      <c r="AK463" s="35"/>
      <c r="AL463" s="35"/>
      <c r="AM463" s="35"/>
      <c r="AN463" s="35"/>
      <c r="AO463" s="35"/>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c r="CW463" s="36"/>
      <c r="CX463" s="36"/>
      <c r="CY463" s="36"/>
      <c r="CZ463" s="36"/>
      <c r="DA463" s="36"/>
      <c r="DB463" s="36"/>
      <c r="DC463" s="36"/>
      <c r="DD463" s="36"/>
      <c r="DE463" s="36"/>
      <c r="DF463" s="36"/>
      <c r="DG463" s="36"/>
      <c r="DH463" s="36"/>
      <c r="DI463" s="36"/>
      <c r="DJ463" s="36"/>
      <c r="DK463" s="36"/>
      <c r="DL463" s="36"/>
      <c r="DM463" s="36"/>
      <c r="DN463" s="36"/>
      <c r="DO463" s="36"/>
      <c r="DP463" s="36"/>
      <c r="DQ463" s="36"/>
      <c r="DR463" s="36"/>
      <c r="DS463" s="36"/>
      <c r="DT463" s="36"/>
      <c r="DU463" s="36"/>
      <c r="DV463" s="36"/>
      <c r="DW463" s="36"/>
      <c r="DX463" s="36"/>
      <c r="DY463" s="36"/>
      <c r="DZ463" s="36"/>
      <c r="EA463" s="36"/>
      <c r="EB463" s="36"/>
      <c r="EC463" s="36"/>
      <c r="ED463" s="36"/>
      <c r="EE463" s="36"/>
      <c r="EF463" s="36"/>
      <c r="EG463" s="36"/>
      <c r="EH463" s="36"/>
      <c r="EI463" s="36"/>
      <c r="EJ463" s="36"/>
      <c r="EK463" s="36"/>
      <c r="EL463" s="36"/>
      <c r="EM463" s="36"/>
      <c r="EN463" s="36"/>
      <c r="EO463" s="36"/>
      <c r="EP463" s="36"/>
      <c r="EQ463" s="36"/>
      <c r="ER463" s="36"/>
      <c r="ES463" s="36"/>
      <c r="ET463" s="36"/>
      <c r="EU463" s="36"/>
      <c r="EV463" s="36"/>
      <c r="EW463" s="36"/>
      <c r="EX463" s="36"/>
      <c r="EY463" s="36"/>
      <c r="EZ463" s="36"/>
      <c r="FA463" s="36"/>
      <c r="FB463" s="36"/>
      <c r="FC463" s="36"/>
      <c r="FD463" s="36"/>
      <c r="FE463" s="36"/>
      <c r="FF463" s="36"/>
      <c r="FG463" s="36"/>
      <c r="FH463" s="36"/>
      <c r="FI463" s="36"/>
      <c r="FJ463" s="36"/>
      <c r="FK463" s="36"/>
      <c r="FL463" s="36"/>
      <c r="FM463" s="36"/>
      <c r="FN463" s="36"/>
      <c r="FO463" s="36"/>
      <c r="FP463" s="36">
        <v>-1</v>
      </c>
      <c r="FQ463" s="36"/>
      <c r="FR463" s="36"/>
      <c r="FS463" s="36"/>
      <c r="FT463" s="36"/>
      <c r="FU463" s="36"/>
      <c r="FV463" s="36"/>
      <c r="FW463" s="36"/>
      <c r="FX463" s="36"/>
      <c r="FY463" s="36"/>
      <c r="FZ463" s="36"/>
      <c r="GA463" s="36"/>
      <c r="GB463" s="319"/>
      <c r="GC463" s="324"/>
      <c r="GD463" s="324"/>
      <c r="GE463" s="324">
        <v>1</v>
      </c>
      <c r="GF463" s="324"/>
      <c r="GG463" s="324"/>
    </row>
    <row r="464" spans="1:189" x14ac:dyDescent="0.35">
      <c r="A464" s="5" t="s">
        <v>1714</v>
      </c>
      <c r="B464" s="6" t="str">
        <f>IF(Technologies!B464&lt;&gt;0,Technologies!B464,"")</f>
        <v>Gebouwde omgeving</v>
      </c>
      <c r="C464" s="5" t="str">
        <f>VLOOKUP($A464,Technologies!$A$7:$H$576,3,FALSE)</f>
        <v>Emission</v>
      </c>
      <c r="D464" s="5" t="str">
        <f>VLOOKUP($A464,Technologies!$A$7:$H$576,4,FALSE)</f>
        <v>Services</v>
      </c>
      <c r="E464" s="5" t="str">
        <f>VLOOKUP($A464,Technologies!$A$7:$H$576,6,FALSE)</f>
        <v>Emitted neGHG - Services - CH4</v>
      </c>
      <c r="F464" s="5" t="str">
        <f>VLOOKUP($A464,Technologies!$A$7:$H$576,7,FALSE)</f>
        <v>MACC Component 1 - neGHG CH4 Other</v>
      </c>
      <c r="G464" s="23"/>
      <c r="H464" s="23"/>
      <c r="I464" s="104" cm="1">
        <f t="array" ref="I464">-SUMPRODUCT((Feedstocks!$C$4:$C$141=A464)*Feedstocks!$E$4:$E$141,Feedstocks!$F$4:$F$141,Feedstocks!$H$4:$H$141,Feedstocks!$I$4:$I$141)</f>
        <v>0</v>
      </c>
      <c r="J464" s="104" cm="1">
        <f t="array" ref="J464">-SUMPRODUCT((Feedstocks!$C$4:$C$141=A464)*Feedstocks!$E$4:$E$141,Feedstocks!$H$4:$H$141,Feedstocks!$I$4:$I$141)</f>
        <v>0</v>
      </c>
      <c r="K464" s="104"/>
      <c r="L464" s="104"/>
      <c r="M464" s="23"/>
      <c r="N464" s="23" t="str">
        <f>VLOOKUP(E464,Activities!$A$9:$M$227,13,FALSE)</f>
        <v>NL</v>
      </c>
      <c r="O464" s="23"/>
      <c r="P464" s="79" t="s">
        <v>415</v>
      </c>
      <c r="Q464" s="35"/>
      <c r="R464" s="35"/>
      <c r="S464" s="35"/>
      <c r="T464" s="35"/>
      <c r="U464" s="35"/>
      <c r="V464" s="35"/>
      <c r="W464" s="35"/>
      <c r="X464" s="35"/>
      <c r="Y464" s="35"/>
      <c r="Z464" s="35"/>
      <c r="AA464" s="35"/>
      <c r="AB464" s="35"/>
      <c r="AC464" s="35"/>
      <c r="AD464" s="35"/>
      <c r="AE464" s="35"/>
      <c r="AF464" s="36"/>
      <c r="AG464" s="36"/>
      <c r="AH464" s="36"/>
      <c r="AI464" s="36"/>
      <c r="AJ464" s="36"/>
      <c r="AK464" s="36"/>
      <c r="AL464" s="36"/>
      <c r="AM464" s="36"/>
      <c r="AN464" s="36"/>
      <c r="AO464" s="36"/>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v>-1</v>
      </c>
      <c r="FQ464" s="35"/>
      <c r="FR464" s="35"/>
      <c r="FS464" s="35"/>
      <c r="FT464" s="35"/>
      <c r="FU464" s="35"/>
      <c r="FV464" s="35"/>
      <c r="FW464" s="35"/>
      <c r="FX464" s="35"/>
      <c r="FY464" s="35"/>
      <c r="FZ464" s="35"/>
      <c r="GA464" s="35"/>
      <c r="GB464" s="318"/>
      <c r="GC464" s="325"/>
      <c r="GD464" s="325"/>
      <c r="GE464" s="325"/>
      <c r="GF464" s="325"/>
      <c r="GG464" s="325"/>
    </row>
    <row r="465" spans="1:189" x14ac:dyDescent="0.35">
      <c r="A465" s="6" t="s">
        <v>1716</v>
      </c>
      <c r="B465" s="6" t="str">
        <f>IF(Technologies!B465&lt;&gt;0,Technologies!B465,"")</f>
        <v>Landbouw</v>
      </c>
      <c r="C465" s="6" t="str">
        <f>VLOOKUP($A465,Technologies!$A$7:$H$576,3,FALSE)</f>
        <v>Emission</v>
      </c>
      <c r="D465" s="6" t="str">
        <f>VLOOKUP($A465,Technologies!$A$7:$H$576,4,FALSE)</f>
        <v>Agriculture</v>
      </c>
      <c r="E465" s="6" t="str">
        <f>VLOOKUP($A465,Technologies!$A$7:$H$576,6,FALSE)</f>
        <v>Emitted neGHG - Agriculture - CO2</v>
      </c>
      <c r="F465" s="48" t="str">
        <f>VLOOKUP($A465,Technologies!$A$7:$H$576,7,FALSE)</f>
        <v>Emitted neGHG - Agriculture - CO2</v>
      </c>
      <c r="G465" s="22"/>
      <c r="H465" s="22"/>
      <c r="I465" s="103" cm="1">
        <f t="array" ref="I465">-SUMPRODUCT((Feedstocks!$C$4:$C$141=A465)*Feedstocks!$E$4:$E$141,Feedstocks!$F$4:$F$141,Feedstocks!$H$4:$H$141,Feedstocks!$I$4:$I$141)</f>
        <v>0</v>
      </c>
      <c r="J465" s="103" cm="1">
        <f t="array" ref="J465">-SUMPRODUCT((Feedstocks!$C$4:$C$141=A465)*Feedstocks!$E$4:$E$141,Feedstocks!$H$4:$H$141,Feedstocks!$I$4:$I$141)</f>
        <v>0</v>
      </c>
      <c r="K465" s="103"/>
      <c r="L465" s="103"/>
      <c r="M465" s="22"/>
      <c r="N465" s="22" t="str">
        <f>VLOOKUP(E465,Activities!$A$9:$M$227,13,FALSE)</f>
        <v>NL</v>
      </c>
      <c r="O465" s="22"/>
      <c r="P465" s="80" t="s">
        <v>415</v>
      </c>
      <c r="Q465" s="36"/>
      <c r="R465" s="36"/>
      <c r="S465" s="36"/>
      <c r="T465" s="36"/>
      <c r="U465" s="36"/>
      <c r="V465" s="36"/>
      <c r="W465" s="36"/>
      <c r="X465" s="36"/>
      <c r="Y465" s="36"/>
      <c r="Z465" s="36"/>
      <c r="AA465" s="36"/>
      <c r="AB465" s="36"/>
      <c r="AC465" s="36"/>
      <c r="AD465" s="36"/>
      <c r="AE465" s="36"/>
      <c r="AF465" s="35"/>
      <c r="AG465" s="35"/>
      <c r="AH465" s="35"/>
      <c r="AI465" s="35"/>
      <c r="AJ465" s="35"/>
      <c r="AK465" s="35"/>
      <c r="AL465" s="35"/>
      <c r="AM465" s="35"/>
      <c r="AN465" s="35"/>
      <c r="AO465" s="35"/>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c r="BT465" s="36"/>
      <c r="BU465" s="36"/>
      <c r="BV465" s="36"/>
      <c r="BW465" s="36"/>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36"/>
      <c r="CT465" s="36"/>
      <c r="CU465" s="36"/>
      <c r="CV465" s="36"/>
      <c r="CW465" s="36"/>
      <c r="CX465" s="36"/>
      <c r="CY465" s="36"/>
      <c r="CZ465" s="36"/>
      <c r="DA465" s="36"/>
      <c r="DB465" s="36"/>
      <c r="DC465" s="36"/>
      <c r="DD465" s="36"/>
      <c r="DE465" s="36"/>
      <c r="DF465" s="36"/>
      <c r="DG465" s="36"/>
      <c r="DH465" s="36"/>
      <c r="DI465" s="36"/>
      <c r="DJ465" s="36"/>
      <c r="DK465" s="36"/>
      <c r="DL465" s="36"/>
      <c r="DM465" s="36"/>
      <c r="DN465" s="36"/>
      <c r="DO465" s="36"/>
      <c r="DP465" s="36"/>
      <c r="DQ465" s="36"/>
      <c r="DR465" s="36"/>
      <c r="DS465" s="36"/>
      <c r="DT465" s="36"/>
      <c r="DU465" s="36"/>
      <c r="DV465" s="36"/>
      <c r="DW465" s="36"/>
      <c r="DX465" s="36"/>
      <c r="DY465" s="36"/>
      <c r="DZ465" s="36"/>
      <c r="EA465" s="36"/>
      <c r="EB465" s="36"/>
      <c r="EC465" s="36"/>
      <c r="ED465" s="36"/>
      <c r="EE465" s="36"/>
      <c r="EF465" s="36"/>
      <c r="EG465" s="36"/>
      <c r="EH465" s="36"/>
      <c r="EI465" s="36"/>
      <c r="EJ465" s="36"/>
      <c r="EK465" s="36"/>
      <c r="EL465" s="36"/>
      <c r="EM465" s="36"/>
      <c r="EN465" s="36"/>
      <c r="EO465" s="36"/>
      <c r="EP465" s="36"/>
      <c r="EQ465" s="36"/>
      <c r="ER465" s="36"/>
      <c r="ES465" s="36"/>
      <c r="ET465" s="36"/>
      <c r="EU465" s="36"/>
      <c r="EV465" s="36"/>
      <c r="EW465" s="36"/>
      <c r="EX465" s="36"/>
      <c r="EY465" s="36"/>
      <c r="EZ465" s="36"/>
      <c r="FA465" s="36"/>
      <c r="FB465" s="36"/>
      <c r="FC465" s="36"/>
      <c r="FD465" s="36"/>
      <c r="FE465" s="36"/>
      <c r="FF465" s="36"/>
      <c r="FG465" s="36"/>
      <c r="FH465" s="36"/>
      <c r="FI465" s="36"/>
      <c r="FJ465" s="36"/>
      <c r="FK465" s="36"/>
      <c r="FL465" s="36"/>
      <c r="FM465" s="36"/>
      <c r="FN465" s="36"/>
      <c r="FO465" s="36"/>
      <c r="FP465" s="36"/>
      <c r="FQ465" s="36">
        <v>-1</v>
      </c>
      <c r="FR465" s="36"/>
      <c r="FS465" s="36"/>
      <c r="FT465" s="36"/>
      <c r="FU465" s="36"/>
      <c r="FV465" s="36"/>
      <c r="FW465" s="36"/>
      <c r="FX465" s="36"/>
      <c r="FY465" s="36"/>
      <c r="FZ465" s="36"/>
      <c r="GA465" s="36"/>
      <c r="GB465" s="319"/>
      <c r="GC465" s="324"/>
      <c r="GD465" s="324"/>
      <c r="GE465" s="324">
        <v>1</v>
      </c>
      <c r="GF465" s="324"/>
      <c r="GG465" s="324"/>
    </row>
    <row r="466" spans="1:189" x14ac:dyDescent="0.35">
      <c r="A466" s="5" t="s">
        <v>1717</v>
      </c>
      <c r="B466" s="6" t="str">
        <f>IF(Technologies!B466&lt;&gt;0,Technologies!B466,"")</f>
        <v>Landbouw</v>
      </c>
      <c r="C466" s="5" t="str">
        <f>VLOOKUP($A466,Technologies!$A$7:$H$576,3,FALSE)</f>
        <v>Emission</v>
      </c>
      <c r="D466" s="5" t="str">
        <f>VLOOKUP($A466,Technologies!$A$7:$H$576,4,FALSE)</f>
        <v>Agriculture</v>
      </c>
      <c r="E466" s="5" t="str">
        <f>VLOOKUP($A466,Technologies!$A$7:$H$576,6,FALSE)</f>
        <v>Emitted neGHG - Agriculture - CO2</v>
      </c>
      <c r="F466" s="5" t="str">
        <f>VLOOKUP($A466,Technologies!$A$7:$H$576,7,FALSE)</f>
        <v>MACC Component 1 - neGHG CO2 Other</v>
      </c>
      <c r="G466" s="23"/>
      <c r="H466" s="23"/>
      <c r="I466" s="104" cm="1">
        <f t="array" ref="I466">-SUMPRODUCT((Feedstocks!$C$4:$C$141=A466)*Feedstocks!$E$4:$E$141,Feedstocks!$F$4:$F$141,Feedstocks!$H$4:$H$141,Feedstocks!$I$4:$I$141)</f>
        <v>0</v>
      </c>
      <c r="J466" s="104" cm="1">
        <f t="array" ref="J466">-SUMPRODUCT((Feedstocks!$C$4:$C$141=A466)*Feedstocks!$E$4:$E$141,Feedstocks!$H$4:$H$141,Feedstocks!$I$4:$I$141)</f>
        <v>0</v>
      </c>
      <c r="K466" s="104"/>
      <c r="L466" s="104"/>
      <c r="M466" s="23"/>
      <c r="N466" s="23" t="str">
        <f>VLOOKUP(E466,Activities!$A$9:$M$227,13,FALSE)</f>
        <v>NL</v>
      </c>
      <c r="O466" s="23"/>
      <c r="P466" s="79" t="s">
        <v>415</v>
      </c>
      <c r="Q466" s="35"/>
      <c r="R466" s="35"/>
      <c r="S466" s="35"/>
      <c r="T466" s="35"/>
      <c r="U466" s="35"/>
      <c r="V466" s="35"/>
      <c r="W466" s="35"/>
      <c r="X466" s="35"/>
      <c r="Y466" s="35"/>
      <c r="Z466" s="35"/>
      <c r="AA466" s="35"/>
      <c r="AB466" s="35"/>
      <c r="AC466" s="35"/>
      <c r="AD466" s="35"/>
      <c r="AE466" s="35"/>
      <c r="AF466" s="36"/>
      <c r="AG466" s="36"/>
      <c r="AH466" s="36"/>
      <c r="AI466" s="36"/>
      <c r="AJ466" s="36"/>
      <c r="AK466" s="36"/>
      <c r="AL466" s="36"/>
      <c r="AM466" s="36"/>
      <c r="AN466" s="36"/>
      <c r="AO466" s="36"/>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v>-1</v>
      </c>
      <c r="FR466" s="35"/>
      <c r="FS466" s="35"/>
      <c r="FT466" s="35"/>
      <c r="FU466" s="35"/>
      <c r="FV466" s="35"/>
      <c r="FW466" s="35"/>
      <c r="FX466" s="35"/>
      <c r="FY466" s="35"/>
      <c r="FZ466" s="35"/>
      <c r="GA466" s="35"/>
      <c r="GB466" s="318"/>
      <c r="GC466" s="325"/>
      <c r="GD466" s="325"/>
      <c r="GE466" s="325"/>
      <c r="GF466" s="325"/>
      <c r="GG466" s="325"/>
    </row>
    <row r="467" spans="1:189" x14ac:dyDescent="0.35">
      <c r="A467" s="6" t="s">
        <v>1718</v>
      </c>
      <c r="B467" s="6" t="str">
        <f>IF(Technologies!B467&lt;&gt;0,Technologies!B467,"")</f>
        <v>Landbouw</v>
      </c>
      <c r="C467" s="6" t="str">
        <f>VLOOKUP($A467,Technologies!$A$7:$H$576,3,FALSE)</f>
        <v>Emission</v>
      </c>
      <c r="D467" s="6" t="str">
        <f>VLOOKUP($A467,Technologies!$A$7:$H$576,4,FALSE)</f>
        <v>Agriculture</v>
      </c>
      <c r="E467" s="6" t="str">
        <f>VLOOKUP($A467,Technologies!$A$7:$H$576,6,FALSE)</f>
        <v>Emitted neGHG - Agriculture - CH4</v>
      </c>
      <c r="F467" s="48" t="str">
        <f>VLOOKUP($A467,Technologies!$A$7:$H$576,7,FALSE)</f>
        <v>Emitted neGHG - Agriculture - CH4</v>
      </c>
      <c r="G467" s="22"/>
      <c r="H467" s="22"/>
      <c r="I467" s="103" cm="1">
        <f t="array" ref="I467">-SUMPRODUCT((Feedstocks!$C$4:$C$141=A467)*Feedstocks!$E$4:$E$141,Feedstocks!$F$4:$F$141,Feedstocks!$H$4:$H$141,Feedstocks!$I$4:$I$141)</f>
        <v>0</v>
      </c>
      <c r="J467" s="103" cm="1">
        <f t="array" ref="J467">-SUMPRODUCT((Feedstocks!$C$4:$C$141=A467)*Feedstocks!$E$4:$E$141,Feedstocks!$H$4:$H$141,Feedstocks!$I$4:$I$141)</f>
        <v>0</v>
      </c>
      <c r="K467" s="103"/>
      <c r="L467" s="103"/>
      <c r="M467" s="22"/>
      <c r="N467" s="22" t="str">
        <f>VLOOKUP(E467,Activities!$A$9:$M$227,13,FALSE)</f>
        <v>NL</v>
      </c>
      <c r="O467" s="22"/>
      <c r="P467" s="80" t="s">
        <v>415</v>
      </c>
      <c r="Q467" s="36"/>
      <c r="R467" s="36"/>
      <c r="S467" s="36"/>
      <c r="T467" s="36"/>
      <c r="U467" s="36"/>
      <c r="V467" s="36"/>
      <c r="W467" s="36"/>
      <c r="X467" s="36"/>
      <c r="Y467" s="36"/>
      <c r="Z467" s="36"/>
      <c r="AA467" s="36"/>
      <c r="AB467" s="36"/>
      <c r="AC467" s="36"/>
      <c r="AD467" s="36"/>
      <c r="AE467" s="36"/>
      <c r="AF467" s="35"/>
      <c r="AG467" s="35"/>
      <c r="AH467" s="35"/>
      <c r="AI467" s="35"/>
      <c r="AJ467" s="35"/>
      <c r="AK467" s="35"/>
      <c r="AL467" s="35"/>
      <c r="AM467" s="35"/>
      <c r="AN467" s="35"/>
      <c r="AO467" s="35"/>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c r="BT467" s="36"/>
      <c r="BU467" s="36"/>
      <c r="BV467" s="36"/>
      <c r="BW467" s="36"/>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36"/>
      <c r="CT467" s="36"/>
      <c r="CU467" s="36"/>
      <c r="CV467" s="36"/>
      <c r="CW467" s="36"/>
      <c r="CX467" s="36"/>
      <c r="CY467" s="36"/>
      <c r="CZ467" s="36"/>
      <c r="DA467" s="36"/>
      <c r="DB467" s="36"/>
      <c r="DC467" s="36"/>
      <c r="DD467" s="36"/>
      <c r="DE467" s="36"/>
      <c r="DF467" s="36"/>
      <c r="DG467" s="36"/>
      <c r="DH467" s="36"/>
      <c r="DI467" s="36"/>
      <c r="DJ467" s="36"/>
      <c r="DK467" s="36"/>
      <c r="DL467" s="36"/>
      <c r="DM467" s="36"/>
      <c r="DN467" s="36"/>
      <c r="DO467" s="36"/>
      <c r="DP467" s="36"/>
      <c r="DQ467" s="36"/>
      <c r="DR467" s="36"/>
      <c r="DS467" s="36"/>
      <c r="DT467" s="36"/>
      <c r="DU467" s="36"/>
      <c r="DV467" s="36"/>
      <c r="DW467" s="36"/>
      <c r="DX467" s="36"/>
      <c r="DY467" s="36"/>
      <c r="DZ467" s="36"/>
      <c r="EA467" s="36"/>
      <c r="EB467" s="36"/>
      <c r="EC467" s="36"/>
      <c r="ED467" s="36"/>
      <c r="EE467" s="36"/>
      <c r="EF467" s="36"/>
      <c r="EG467" s="36"/>
      <c r="EH467" s="36"/>
      <c r="EI467" s="36"/>
      <c r="EJ467" s="36"/>
      <c r="EK467" s="36"/>
      <c r="EL467" s="36"/>
      <c r="EM467" s="36"/>
      <c r="EN467" s="36"/>
      <c r="EO467" s="36"/>
      <c r="EP467" s="36"/>
      <c r="EQ467" s="36"/>
      <c r="ER467" s="36"/>
      <c r="ES467" s="36"/>
      <c r="ET467" s="36"/>
      <c r="EU467" s="36"/>
      <c r="EV467" s="36"/>
      <c r="EW467" s="36"/>
      <c r="EX467" s="36"/>
      <c r="EY467" s="36"/>
      <c r="EZ467" s="36"/>
      <c r="FA467" s="36"/>
      <c r="FB467" s="36"/>
      <c r="FC467" s="36"/>
      <c r="FD467" s="36"/>
      <c r="FE467" s="36"/>
      <c r="FF467" s="36"/>
      <c r="FG467" s="36"/>
      <c r="FH467" s="36"/>
      <c r="FI467" s="36"/>
      <c r="FJ467" s="36"/>
      <c r="FK467" s="36"/>
      <c r="FL467" s="36"/>
      <c r="FM467" s="36"/>
      <c r="FN467" s="36"/>
      <c r="FO467" s="36"/>
      <c r="FP467" s="36"/>
      <c r="FQ467" s="36"/>
      <c r="FR467" s="36">
        <v>-1</v>
      </c>
      <c r="FS467" s="36"/>
      <c r="FT467" s="36"/>
      <c r="FU467" s="36"/>
      <c r="FV467" s="36"/>
      <c r="FW467" s="36"/>
      <c r="FX467" s="36"/>
      <c r="FY467" s="36"/>
      <c r="FZ467" s="36"/>
      <c r="GA467" s="36"/>
      <c r="GB467" s="319"/>
      <c r="GC467" s="324"/>
      <c r="GD467" s="324"/>
      <c r="GE467" s="324">
        <v>1</v>
      </c>
      <c r="GF467" s="324"/>
      <c r="GG467" s="324"/>
    </row>
    <row r="468" spans="1:189" x14ac:dyDescent="0.35">
      <c r="A468" s="5" t="s">
        <v>1719</v>
      </c>
      <c r="B468" s="6" t="str">
        <f>IF(Technologies!B468&lt;&gt;0,Technologies!B468,"")</f>
        <v>Landbouw</v>
      </c>
      <c r="C468" s="5" t="str">
        <f>VLOOKUP($A468,Technologies!$A$7:$H$576,3,FALSE)</f>
        <v>Emission</v>
      </c>
      <c r="D468" s="5" t="str">
        <f>VLOOKUP($A468,Technologies!$A$7:$H$576,4,FALSE)</f>
        <v>Agriculture</v>
      </c>
      <c r="E468" s="5" t="str">
        <f>VLOOKUP($A468,Technologies!$A$7:$H$576,6,FALSE)</f>
        <v>Emitted neGHG - Agriculture - CH4</v>
      </c>
      <c r="F468" s="5" t="str">
        <f>VLOOKUP($A468,Technologies!$A$7:$H$576,7,FALSE)</f>
        <v>MACC Component 1 - neGHG CH4 Enteric Fermentation</v>
      </c>
      <c r="G468" s="23"/>
      <c r="H468" s="23"/>
      <c r="I468" s="104" cm="1">
        <f t="array" ref="I468">-SUMPRODUCT((Feedstocks!$C$4:$C$141=A468)*Feedstocks!$E$4:$E$141,Feedstocks!$F$4:$F$141,Feedstocks!$H$4:$H$141,Feedstocks!$I$4:$I$141)</f>
        <v>0</v>
      </c>
      <c r="J468" s="104" cm="1">
        <f t="array" ref="J468">-SUMPRODUCT((Feedstocks!$C$4:$C$141=A468)*Feedstocks!$E$4:$E$141,Feedstocks!$H$4:$H$141,Feedstocks!$I$4:$I$141)</f>
        <v>0</v>
      </c>
      <c r="K468" s="104"/>
      <c r="L468" s="104"/>
      <c r="M468" s="23"/>
      <c r="N468" s="23" t="str">
        <f>VLOOKUP(E468,Activities!$A$9:$M$227,13,FALSE)</f>
        <v>NL</v>
      </c>
      <c r="O468" s="23"/>
      <c r="P468" s="79" t="s">
        <v>415</v>
      </c>
      <c r="Q468" s="35"/>
      <c r="R468" s="35"/>
      <c r="S468" s="35"/>
      <c r="T468" s="35"/>
      <c r="U468" s="35"/>
      <c r="V468" s="35"/>
      <c r="W468" s="35"/>
      <c r="X468" s="35"/>
      <c r="Y468" s="35"/>
      <c r="Z468" s="35"/>
      <c r="AA468" s="35"/>
      <c r="AB468" s="35"/>
      <c r="AC468" s="35"/>
      <c r="AD468" s="35"/>
      <c r="AE468" s="35"/>
      <c r="AF468" s="36"/>
      <c r="AG468" s="36"/>
      <c r="AH468" s="36"/>
      <c r="AI468" s="36"/>
      <c r="AJ468" s="36"/>
      <c r="AK468" s="36"/>
      <c r="AL468" s="36"/>
      <c r="AM468" s="36"/>
      <c r="AN468" s="36"/>
      <c r="AO468" s="36"/>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v>-1</v>
      </c>
      <c r="FS468" s="35"/>
      <c r="FT468" s="35"/>
      <c r="FU468" s="35"/>
      <c r="FV468" s="35"/>
      <c r="FW468" s="35"/>
      <c r="FX468" s="35"/>
      <c r="FY468" s="35"/>
      <c r="FZ468" s="35"/>
      <c r="GA468" s="35"/>
      <c r="GB468" s="318"/>
      <c r="GC468" s="325"/>
      <c r="GD468" s="325"/>
      <c r="GE468" s="325"/>
      <c r="GF468" s="325"/>
      <c r="GG468" s="325"/>
    </row>
    <row r="469" spans="1:189" x14ac:dyDescent="0.35">
      <c r="A469" s="6" t="s">
        <v>1721</v>
      </c>
      <c r="B469" s="6" t="str">
        <f>IF(Technologies!B469&lt;&gt;0,Technologies!B469,"")</f>
        <v>Landbouw</v>
      </c>
      <c r="C469" s="6" t="str">
        <f>VLOOKUP($A469,Technologies!$A$7:$H$576,3,FALSE)</f>
        <v>Emission</v>
      </c>
      <c r="D469" s="6" t="str">
        <f>VLOOKUP($A469,Technologies!$A$7:$H$576,4,FALSE)</f>
        <v>Agriculture</v>
      </c>
      <c r="E469" s="6" t="str">
        <f>VLOOKUP($A469,Technologies!$A$7:$H$576,6,FALSE)</f>
        <v>Emitted neGHG - Agriculture - CH4</v>
      </c>
      <c r="F469" s="48" t="str">
        <f>VLOOKUP($A469,Technologies!$A$7:$H$576,7,FALSE)</f>
        <v>MACC Component 2 - neGHG CH4 Enteric Fermentation</v>
      </c>
      <c r="G469" s="22"/>
      <c r="H469" s="22"/>
      <c r="I469" s="103" cm="1">
        <f t="array" ref="I469">-SUMPRODUCT((Feedstocks!$C$4:$C$141=A469)*Feedstocks!$E$4:$E$141,Feedstocks!$F$4:$F$141,Feedstocks!$H$4:$H$141,Feedstocks!$I$4:$I$141)</f>
        <v>0</v>
      </c>
      <c r="J469" s="103" cm="1">
        <f t="array" ref="J469">-SUMPRODUCT((Feedstocks!$C$4:$C$141=A469)*Feedstocks!$E$4:$E$141,Feedstocks!$H$4:$H$141,Feedstocks!$I$4:$I$141)</f>
        <v>0</v>
      </c>
      <c r="K469" s="103"/>
      <c r="L469" s="103"/>
      <c r="M469" s="22"/>
      <c r="N469" s="22" t="str">
        <f>VLOOKUP(E469,Activities!$A$9:$M$227,13,FALSE)</f>
        <v>NL</v>
      </c>
      <c r="O469" s="22"/>
      <c r="P469" s="80" t="s">
        <v>415</v>
      </c>
      <c r="Q469" s="36"/>
      <c r="R469" s="36"/>
      <c r="S469" s="36"/>
      <c r="T469" s="36"/>
      <c r="U469" s="36"/>
      <c r="V469" s="36"/>
      <c r="W469" s="36"/>
      <c r="X469" s="36"/>
      <c r="Y469" s="36"/>
      <c r="Z469" s="36"/>
      <c r="AA469" s="36"/>
      <c r="AB469" s="36"/>
      <c r="AC469" s="36"/>
      <c r="AD469" s="36"/>
      <c r="AE469" s="36"/>
      <c r="AF469" s="35"/>
      <c r="AG469" s="35"/>
      <c r="AH469" s="35"/>
      <c r="AI469" s="35"/>
      <c r="AJ469" s="35"/>
      <c r="AK469" s="35"/>
      <c r="AL469" s="35"/>
      <c r="AM469" s="35"/>
      <c r="AN469" s="35"/>
      <c r="AO469" s="35"/>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c r="BT469" s="36"/>
      <c r="BU469" s="36"/>
      <c r="BV469" s="36"/>
      <c r="BW469" s="36"/>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36"/>
      <c r="CT469" s="36"/>
      <c r="CU469" s="36"/>
      <c r="CV469" s="36"/>
      <c r="CW469" s="36"/>
      <c r="CX469" s="36"/>
      <c r="CY469" s="36"/>
      <c r="CZ469" s="36"/>
      <c r="DA469" s="36"/>
      <c r="DB469" s="36"/>
      <c r="DC469" s="36"/>
      <c r="DD469" s="36"/>
      <c r="DE469" s="36"/>
      <c r="DF469" s="36"/>
      <c r="DG469" s="36"/>
      <c r="DH469" s="36"/>
      <c r="DI469" s="36"/>
      <c r="DJ469" s="36"/>
      <c r="DK469" s="36"/>
      <c r="DL469" s="36"/>
      <c r="DM469" s="36"/>
      <c r="DN469" s="36"/>
      <c r="DO469" s="36"/>
      <c r="DP469" s="36"/>
      <c r="DQ469" s="36"/>
      <c r="DR469" s="36"/>
      <c r="DS469" s="36"/>
      <c r="DT469" s="36"/>
      <c r="DU469" s="36"/>
      <c r="DV469" s="36"/>
      <c r="DW469" s="36"/>
      <c r="DX469" s="36"/>
      <c r="DY469" s="36"/>
      <c r="DZ469" s="36"/>
      <c r="EA469" s="36"/>
      <c r="EB469" s="36"/>
      <c r="EC469" s="36"/>
      <c r="ED469" s="36"/>
      <c r="EE469" s="36"/>
      <c r="EF469" s="36"/>
      <c r="EG469" s="36"/>
      <c r="EH469" s="36"/>
      <c r="EI469" s="36"/>
      <c r="EJ469" s="36"/>
      <c r="EK469" s="36"/>
      <c r="EL469" s="36"/>
      <c r="EM469" s="36"/>
      <c r="EN469" s="36"/>
      <c r="EO469" s="36"/>
      <c r="EP469" s="36"/>
      <c r="EQ469" s="36"/>
      <c r="ER469" s="36"/>
      <c r="ES469" s="36"/>
      <c r="ET469" s="36"/>
      <c r="EU469" s="36"/>
      <c r="EV469" s="36"/>
      <c r="EW469" s="36"/>
      <c r="EX469" s="36"/>
      <c r="EY469" s="36"/>
      <c r="EZ469" s="36"/>
      <c r="FA469" s="36"/>
      <c r="FB469" s="36"/>
      <c r="FC469" s="36"/>
      <c r="FD469" s="36"/>
      <c r="FE469" s="36"/>
      <c r="FF469" s="36"/>
      <c r="FG469" s="36"/>
      <c r="FH469" s="36"/>
      <c r="FI469" s="36"/>
      <c r="FJ469" s="36"/>
      <c r="FK469" s="36"/>
      <c r="FL469" s="36"/>
      <c r="FM469" s="36"/>
      <c r="FN469" s="36"/>
      <c r="FO469" s="36"/>
      <c r="FP469" s="36"/>
      <c r="FQ469" s="36"/>
      <c r="FR469" s="36">
        <v>-1</v>
      </c>
      <c r="FS469" s="36"/>
      <c r="FT469" s="36"/>
      <c r="FU469" s="36"/>
      <c r="FV469" s="36"/>
      <c r="FW469" s="36"/>
      <c r="FX469" s="36"/>
      <c r="FY469" s="36"/>
      <c r="FZ469" s="36"/>
      <c r="GA469" s="36"/>
      <c r="GB469" s="319"/>
      <c r="GC469" s="324"/>
      <c r="GD469" s="324"/>
      <c r="GE469" s="324"/>
      <c r="GF469" s="324"/>
      <c r="GG469" s="324"/>
    </row>
    <row r="470" spans="1:189" x14ac:dyDescent="0.35">
      <c r="A470" s="5" t="s">
        <v>1723</v>
      </c>
      <c r="B470" s="6" t="str">
        <f>IF(Technologies!B470&lt;&gt;0,Technologies!B470,"")</f>
        <v>Landbouw</v>
      </c>
      <c r="C470" s="5" t="str">
        <f>VLOOKUP($A470,Technologies!$A$7:$H$576,3,FALSE)</f>
        <v>Emission</v>
      </c>
      <c r="D470" s="5" t="str">
        <f>VLOOKUP($A470,Technologies!$A$7:$H$576,4,FALSE)</f>
        <v>Agriculture</v>
      </c>
      <c r="E470" s="5" t="str">
        <f>VLOOKUP($A470,Technologies!$A$7:$H$576,6,FALSE)</f>
        <v>Emitted neGHG - Agriculture - CH4</v>
      </c>
      <c r="F470" s="5" t="str">
        <f>VLOOKUP($A470,Technologies!$A$7:$H$576,7,FALSE)</f>
        <v>MACC Component 3 - neGHG CH4 Enteric Fermentation</v>
      </c>
      <c r="G470" s="23"/>
      <c r="H470" s="23"/>
      <c r="I470" s="104" cm="1">
        <f t="array" ref="I470">-SUMPRODUCT((Feedstocks!$C$4:$C$141=A470)*Feedstocks!$E$4:$E$141,Feedstocks!$F$4:$F$141,Feedstocks!$H$4:$H$141,Feedstocks!$I$4:$I$141)</f>
        <v>0</v>
      </c>
      <c r="J470" s="104" cm="1">
        <f t="array" ref="J470">-SUMPRODUCT((Feedstocks!$C$4:$C$141=A470)*Feedstocks!$E$4:$E$141,Feedstocks!$H$4:$H$141,Feedstocks!$I$4:$I$141)</f>
        <v>0</v>
      </c>
      <c r="K470" s="104"/>
      <c r="L470" s="104">
        <v>1</v>
      </c>
      <c r="M470" s="23"/>
      <c r="N470" s="23" t="str">
        <f>VLOOKUP(E470,Activities!$A$9:$M$227,13,FALSE)</f>
        <v>NL</v>
      </c>
      <c r="O470" s="23"/>
      <c r="P470" s="79" t="s">
        <v>415</v>
      </c>
      <c r="Q470" s="35"/>
      <c r="R470" s="35"/>
      <c r="S470" s="35"/>
      <c r="T470" s="35"/>
      <c r="U470" s="35"/>
      <c r="V470" s="35"/>
      <c r="W470" s="35"/>
      <c r="X470" s="35"/>
      <c r="Y470" s="35"/>
      <c r="Z470" s="35"/>
      <c r="AA470" s="35"/>
      <c r="AB470" s="35"/>
      <c r="AC470" s="35"/>
      <c r="AD470" s="35"/>
      <c r="AE470" s="35"/>
      <c r="AF470" s="36"/>
      <c r="AG470" s="36"/>
      <c r="AH470" s="36"/>
      <c r="AI470" s="36"/>
      <c r="AJ470" s="36"/>
      <c r="AK470" s="36"/>
      <c r="AL470" s="36"/>
      <c r="AM470" s="36"/>
      <c r="AN470" s="36"/>
      <c r="AO470" s="36"/>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v>-1</v>
      </c>
      <c r="FS470" s="35"/>
      <c r="FT470" s="35"/>
      <c r="FU470" s="35"/>
      <c r="FV470" s="35"/>
      <c r="FW470" s="35"/>
      <c r="FX470" s="35"/>
      <c r="FY470" s="35"/>
      <c r="FZ470" s="35"/>
      <c r="GA470" s="35"/>
      <c r="GB470" s="318"/>
      <c r="GC470" s="325"/>
      <c r="GD470" s="325"/>
      <c r="GE470" s="325"/>
      <c r="GF470" s="325"/>
      <c r="GG470" s="325"/>
    </row>
    <row r="471" spans="1:189" x14ac:dyDescent="0.35">
      <c r="A471" s="6" t="s">
        <v>1725</v>
      </c>
      <c r="B471" s="6" t="str">
        <f>IF(Technologies!B471&lt;&gt;0,Technologies!B471,"")</f>
        <v>Landbouw</v>
      </c>
      <c r="C471" s="6" t="str">
        <f>VLOOKUP($A471,Technologies!$A$7:$H$576,3,FALSE)</f>
        <v>Emission</v>
      </c>
      <c r="D471" s="6" t="str">
        <f>VLOOKUP($A471,Technologies!$A$7:$H$576,4,FALSE)</f>
        <v>Agriculture</v>
      </c>
      <c r="E471" s="6" t="str">
        <f>VLOOKUP($A471,Technologies!$A$7:$H$576,6,FALSE)</f>
        <v>Emitted neGHG - Agriculture - CH4</v>
      </c>
      <c r="F471" s="48" t="str">
        <f>VLOOKUP($A471,Technologies!$A$7:$H$576,7,FALSE)</f>
        <v>MACC Component 1 - neGHG CH4 Manure Management</v>
      </c>
      <c r="G471" s="22"/>
      <c r="H471" s="22"/>
      <c r="I471" s="103" cm="1">
        <f t="array" ref="I471">-SUMPRODUCT((Feedstocks!$C$4:$C$141=A471)*Feedstocks!$E$4:$E$141,Feedstocks!$F$4:$F$141,Feedstocks!$H$4:$H$141,Feedstocks!$I$4:$I$141)</f>
        <v>0</v>
      </c>
      <c r="J471" s="103" cm="1">
        <f t="array" ref="J471">-SUMPRODUCT((Feedstocks!$C$4:$C$141=A471)*Feedstocks!$E$4:$E$141,Feedstocks!$H$4:$H$141,Feedstocks!$I$4:$I$141)</f>
        <v>0</v>
      </c>
      <c r="K471" s="103"/>
      <c r="L471" s="103"/>
      <c r="M471" s="22"/>
      <c r="N471" s="22" t="str">
        <f>VLOOKUP(E471,Activities!$A$9:$M$227,13,FALSE)</f>
        <v>NL</v>
      </c>
      <c r="O471" s="22"/>
      <c r="P471" s="80" t="s">
        <v>1519</v>
      </c>
      <c r="Q471" s="36"/>
      <c r="R471" s="36"/>
      <c r="S471" s="36"/>
      <c r="T471" s="36"/>
      <c r="U471" s="36"/>
      <c r="V471" s="36"/>
      <c r="W471" s="36"/>
      <c r="X471" s="36"/>
      <c r="Y471" s="36"/>
      <c r="Z471" s="36"/>
      <c r="AA471" s="36"/>
      <c r="AB471" s="36"/>
      <c r="AC471" s="36"/>
      <c r="AD471" s="36"/>
      <c r="AE471" s="36"/>
      <c r="AF471" s="35"/>
      <c r="AG471" s="35"/>
      <c r="AH471" s="35"/>
      <c r="AI471" s="35"/>
      <c r="AJ471" s="35"/>
      <c r="AK471" s="35"/>
      <c r="AL471" s="35"/>
      <c r="AM471" s="35"/>
      <c r="AN471" s="35"/>
      <c r="AO471" s="35"/>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c r="BT471" s="36"/>
      <c r="BU471" s="36"/>
      <c r="BV471" s="36"/>
      <c r="BW471" s="36"/>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36"/>
      <c r="CT471" s="36"/>
      <c r="CU471" s="36"/>
      <c r="CV471" s="36"/>
      <c r="CW471" s="36"/>
      <c r="CX471" s="36"/>
      <c r="CY471" s="36"/>
      <c r="CZ471" s="36"/>
      <c r="DA471" s="36"/>
      <c r="DB471" s="36"/>
      <c r="DC471" s="36"/>
      <c r="DD471" s="36"/>
      <c r="DE471" s="36"/>
      <c r="DF471" s="36"/>
      <c r="DG471" s="36"/>
      <c r="DH471" s="36"/>
      <c r="DI471" s="36"/>
      <c r="DJ471" s="36"/>
      <c r="DK471" s="36"/>
      <c r="DL471" s="36"/>
      <c r="DM471" s="36"/>
      <c r="DN471" s="36"/>
      <c r="DO471" s="36"/>
      <c r="DP471" s="36"/>
      <c r="DQ471" s="36"/>
      <c r="DR471" s="36"/>
      <c r="DS471" s="36"/>
      <c r="DT471" s="36"/>
      <c r="DU471" s="36"/>
      <c r="DV471" s="36"/>
      <c r="DW471" s="36"/>
      <c r="DX471" s="36"/>
      <c r="DY471" s="36"/>
      <c r="DZ471" s="36"/>
      <c r="EA471" s="36"/>
      <c r="EB471" s="36"/>
      <c r="EC471" s="36"/>
      <c r="ED471" s="36"/>
      <c r="EE471" s="36"/>
      <c r="EF471" s="36"/>
      <c r="EG471" s="36"/>
      <c r="EH471" s="36"/>
      <c r="EI471" s="36"/>
      <c r="EJ471" s="36"/>
      <c r="EK471" s="36"/>
      <c r="EL471" s="36"/>
      <c r="EM471" s="36"/>
      <c r="EN471" s="36"/>
      <c r="EO471" s="36"/>
      <c r="EP471" s="36"/>
      <c r="EQ471" s="36"/>
      <c r="ER471" s="36"/>
      <c r="ES471" s="36"/>
      <c r="ET471" s="36"/>
      <c r="EU471" s="36"/>
      <c r="EV471" s="36"/>
      <c r="EW471" s="36"/>
      <c r="EX471" s="36"/>
      <c r="EY471" s="36"/>
      <c r="EZ471" s="36"/>
      <c r="FA471" s="36"/>
      <c r="FB471" s="36"/>
      <c r="FC471" s="36"/>
      <c r="FD471" s="36"/>
      <c r="FE471" s="36"/>
      <c r="FF471" s="36"/>
      <c r="FG471" s="36"/>
      <c r="FH471" s="36"/>
      <c r="FI471" s="36"/>
      <c r="FJ471" s="36"/>
      <c r="FK471" s="36"/>
      <c r="FL471" s="36"/>
      <c r="FM471" s="36"/>
      <c r="FN471" s="36"/>
      <c r="FO471" s="36"/>
      <c r="FP471" s="36"/>
      <c r="FQ471" s="36"/>
      <c r="FR471" s="36">
        <v>-1</v>
      </c>
      <c r="FS471" s="36"/>
      <c r="FT471" s="36"/>
      <c r="FU471" s="36"/>
      <c r="FV471" s="36"/>
      <c r="FW471" s="36"/>
      <c r="FX471" s="36"/>
      <c r="FY471" s="36"/>
      <c r="FZ471" s="36"/>
      <c r="GA471" s="36"/>
      <c r="GB471" s="319"/>
      <c r="GC471" s="324"/>
      <c r="GD471" s="324"/>
      <c r="GE471" s="324"/>
      <c r="GF471" s="324"/>
      <c r="GG471" s="324"/>
    </row>
    <row r="472" spans="1:189" x14ac:dyDescent="0.35">
      <c r="A472" s="5" t="s">
        <v>1727</v>
      </c>
      <c r="B472" s="6" t="str">
        <f>IF(Technologies!B472&lt;&gt;0,Technologies!B472,"")</f>
        <v>Landbouw</v>
      </c>
      <c r="C472" s="5" t="str">
        <f>VLOOKUP($A472,Technologies!$A$7:$H$576,3,FALSE)</f>
        <v>Emission</v>
      </c>
      <c r="D472" s="5" t="str">
        <f>VLOOKUP($A472,Technologies!$A$7:$H$576,4,FALSE)</f>
        <v>Agriculture</v>
      </c>
      <c r="E472" s="5" t="str">
        <f>VLOOKUP($A472,Technologies!$A$7:$H$576,6,FALSE)</f>
        <v>Emitted neGHG - Agriculture - CH4</v>
      </c>
      <c r="F472" s="5" t="str">
        <f>VLOOKUP($A472,Technologies!$A$7:$H$576,7,FALSE)</f>
        <v>MACC Component 2 - neGHG CH4 Manure Management</v>
      </c>
      <c r="G472" s="23"/>
      <c r="H472" s="23"/>
      <c r="I472" s="104" cm="1">
        <f t="array" ref="I472">-SUMPRODUCT((Feedstocks!$C$4:$C$141=A472)*Feedstocks!$E$4:$E$141,Feedstocks!$F$4:$F$141,Feedstocks!$H$4:$H$141,Feedstocks!$I$4:$I$141)</f>
        <v>0</v>
      </c>
      <c r="J472" s="104" cm="1">
        <f t="array" ref="J472">-SUMPRODUCT((Feedstocks!$C$4:$C$141=A472)*Feedstocks!$E$4:$E$141,Feedstocks!$H$4:$H$141,Feedstocks!$I$4:$I$141)</f>
        <v>0</v>
      </c>
      <c r="K472" s="104"/>
      <c r="L472" s="104"/>
      <c r="M472" s="23"/>
      <c r="N472" s="23" t="str">
        <f>VLOOKUP(E472,Activities!$A$9:$M$227,13,FALSE)</f>
        <v>NL</v>
      </c>
      <c r="O472" s="23"/>
      <c r="P472" s="79" t="s">
        <v>415</v>
      </c>
      <c r="Q472" s="35"/>
      <c r="R472" s="35"/>
      <c r="S472" s="35"/>
      <c r="T472" s="35"/>
      <c r="U472" s="35"/>
      <c r="V472" s="35"/>
      <c r="W472" s="35"/>
      <c r="X472" s="35"/>
      <c r="Y472" s="35"/>
      <c r="Z472" s="35"/>
      <c r="AA472" s="35"/>
      <c r="AB472" s="35"/>
      <c r="AC472" s="35"/>
      <c r="AD472" s="35"/>
      <c r="AE472" s="35"/>
      <c r="AF472" s="36"/>
      <c r="AG472" s="36"/>
      <c r="AH472" s="36"/>
      <c r="AI472" s="36"/>
      <c r="AJ472" s="36"/>
      <c r="AK472" s="36"/>
      <c r="AL472" s="36"/>
      <c r="AM472" s="36"/>
      <c r="AN472" s="36"/>
      <c r="AO472" s="36"/>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v>-1</v>
      </c>
      <c r="FS472" s="35"/>
      <c r="FT472" s="35"/>
      <c r="FU472" s="35"/>
      <c r="FV472" s="35"/>
      <c r="FW472" s="35"/>
      <c r="FX472" s="35"/>
      <c r="FY472" s="35"/>
      <c r="FZ472" s="35"/>
      <c r="GA472" s="35"/>
      <c r="GB472" s="318"/>
      <c r="GC472" s="325"/>
      <c r="GD472" s="325"/>
      <c r="GE472" s="325"/>
      <c r="GF472" s="325"/>
      <c r="GG472" s="325"/>
    </row>
    <row r="473" spans="1:189" x14ac:dyDescent="0.35">
      <c r="A473" s="6" t="s">
        <v>1729</v>
      </c>
      <c r="B473" s="6" t="str">
        <f>IF(Technologies!B473&lt;&gt;0,Technologies!B473,"")</f>
        <v>Landbouw</v>
      </c>
      <c r="C473" s="6" t="str">
        <f>VLOOKUP($A473,Technologies!$A$7:$H$576,3,FALSE)</f>
        <v>Emission</v>
      </c>
      <c r="D473" s="6" t="str">
        <f>VLOOKUP($A473,Technologies!$A$7:$H$576,4,FALSE)</f>
        <v>Agriculture</v>
      </c>
      <c r="E473" s="6" t="str">
        <f>VLOOKUP($A473,Technologies!$A$7:$H$576,6,FALSE)</f>
        <v>Emitted neGHG - Agriculture - CH4</v>
      </c>
      <c r="F473" s="48" t="str">
        <f>VLOOKUP($A473,Technologies!$A$7:$H$576,7,FALSE)</f>
        <v>MACC Component 1 - neGHG CH4 Other</v>
      </c>
      <c r="G473" s="22"/>
      <c r="H473" s="22"/>
      <c r="I473" s="103" cm="1">
        <f t="array" ref="I473">-SUMPRODUCT((Feedstocks!$C$4:$C$141=A473)*Feedstocks!$E$4:$E$141,Feedstocks!$F$4:$F$141,Feedstocks!$H$4:$H$141,Feedstocks!$I$4:$I$141)</f>
        <v>0</v>
      </c>
      <c r="J473" s="103" cm="1">
        <f t="array" ref="J473">-SUMPRODUCT((Feedstocks!$C$4:$C$141=A473)*Feedstocks!$E$4:$E$141,Feedstocks!$H$4:$H$141,Feedstocks!$I$4:$I$141)</f>
        <v>0</v>
      </c>
      <c r="K473" s="103"/>
      <c r="L473" s="103"/>
      <c r="M473" s="22"/>
      <c r="N473" s="22" t="str">
        <f>VLOOKUP(E473,Activities!$A$9:$M$227,13,FALSE)</f>
        <v>NL</v>
      </c>
      <c r="O473" s="22"/>
      <c r="P473" s="80" t="s">
        <v>415</v>
      </c>
      <c r="Q473" s="36"/>
      <c r="R473" s="36"/>
      <c r="S473" s="36"/>
      <c r="T473" s="36"/>
      <c r="U473" s="36"/>
      <c r="V473" s="36"/>
      <c r="W473" s="36"/>
      <c r="X473" s="36"/>
      <c r="Y473" s="36"/>
      <c r="Z473" s="36"/>
      <c r="AA473" s="36"/>
      <c r="AB473" s="36"/>
      <c r="AC473" s="36"/>
      <c r="AD473" s="36"/>
      <c r="AE473" s="36"/>
      <c r="AF473" s="35"/>
      <c r="AG473" s="35"/>
      <c r="AH473" s="35"/>
      <c r="AI473" s="35"/>
      <c r="AJ473" s="35"/>
      <c r="AK473" s="35"/>
      <c r="AL473" s="35"/>
      <c r="AM473" s="35"/>
      <c r="AN473" s="35"/>
      <c r="AO473" s="35"/>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c r="BT473" s="36"/>
      <c r="BU473" s="36"/>
      <c r="BV473" s="36"/>
      <c r="BW473" s="36"/>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c r="CW473" s="36"/>
      <c r="CX473" s="36"/>
      <c r="CY473" s="36"/>
      <c r="CZ473" s="36"/>
      <c r="DA473" s="36"/>
      <c r="DB473" s="36"/>
      <c r="DC473" s="36"/>
      <c r="DD473" s="36"/>
      <c r="DE473" s="36"/>
      <c r="DF473" s="36"/>
      <c r="DG473" s="36"/>
      <c r="DH473" s="36"/>
      <c r="DI473" s="36"/>
      <c r="DJ473" s="36"/>
      <c r="DK473" s="36"/>
      <c r="DL473" s="36"/>
      <c r="DM473" s="36"/>
      <c r="DN473" s="36"/>
      <c r="DO473" s="36"/>
      <c r="DP473" s="36"/>
      <c r="DQ473" s="36"/>
      <c r="DR473" s="36"/>
      <c r="DS473" s="36"/>
      <c r="DT473" s="36"/>
      <c r="DU473" s="36"/>
      <c r="DV473" s="36"/>
      <c r="DW473" s="36"/>
      <c r="DX473" s="36"/>
      <c r="DY473" s="36"/>
      <c r="DZ473" s="36"/>
      <c r="EA473" s="36"/>
      <c r="EB473" s="36"/>
      <c r="EC473" s="36"/>
      <c r="ED473" s="36"/>
      <c r="EE473" s="36"/>
      <c r="EF473" s="36"/>
      <c r="EG473" s="36"/>
      <c r="EH473" s="36"/>
      <c r="EI473" s="36"/>
      <c r="EJ473" s="36"/>
      <c r="EK473" s="36"/>
      <c r="EL473" s="36"/>
      <c r="EM473" s="36"/>
      <c r="EN473" s="36"/>
      <c r="EO473" s="36"/>
      <c r="EP473" s="36"/>
      <c r="EQ473" s="36"/>
      <c r="ER473" s="36"/>
      <c r="ES473" s="36"/>
      <c r="ET473" s="36"/>
      <c r="EU473" s="36"/>
      <c r="EV473" s="36"/>
      <c r="EW473" s="36"/>
      <c r="EX473" s="36"/>
      <c r="EY473" s="36"/>
      <c r="EZ473" s="36"/>
      <c r="FA473" s="36"/>
      <c r="FB473" s="36"/>
      <c r="FC473" s="36"/>
      <c r="FD473" s="36"/>
      <c r="FE473" s="36"/>
      <c r="FF473" s="36"/>
      <c r="FG473" s="36"/>
      <c r="FH473" s="36"/>
      <c r="FI473" s="36"/>
      <c r="FJ473" s="36"/>
      <c r="FK473" s="36"/>
      <c r="FL473" s="36"/>
      <c r="FM473" s="36"/>
      <c r="FN473" s="36"/>
      <c r="FO473" s="36"/>
      <c r="FP473" s="36"/>
      <c r="FQ473" s="36"/>
      <c r="FR473" s="36">
        <v>-1</v>
      </c>
      <c r="FS473" s="36"/>
      <c r="FT473" s="36"/>
      <c r="FU473" s="36"/>
      <c r="FV473" s="36"/>
      <c r="FW473" s="36"/>
      <c r="FX473" s="36"/>
      <c r="FY473" s="36"/>
      <c r="FZ473" s="36"/>
      <c r="GA473" s="36"/>
      <c r="GB473" s="319"/>
      <c r="GC473" s="324"/>
      <c r="GD473" s="324"/>
      <c r="GE473" s="324"/>
      <c r="GF473" s="324"/>
      <c r="GG473" s="324"/>
    </row>
    <row r="474" spans="1:189" x14ac:dyDescent="0.35">
      <c r="A474" s="5" t="s">
        <v>1730</v>
      </c>
      <c r="B474" s="6" t="str">
        <f>IF(Technologies!B474&lt;&gt;0,Technologies!B474,"")</f>
        <v>Landbouw</v>
      </c>
      <c r="C474" s="5" t="str">
        <f>VLOOKUP($A474,Technologies!$A$7:$H$576,3,FALSE)</f>
        <v>Emission</v>
      </c>
      <c r="D474" s="5" t="str">
        <f>VLOOKUP($A474,Technologies!$A$7:$H$576,4,FALSE)</f>
        <v>Agriculture</v>
      </c>
      <c r="E474" s="5" t="str">
        <f>VLOOKUP($A474,Technologies!$A$7:$H$576,6,FALSE)</f>
        <v>Emitted neGHG - Agriculture - N2O</v>
      </c>
      <c r="F474" s="5" t="str">
        <f>VLOOKUP($A474,Technologies!$A$7:$H$576,7,FALSE)</f>
        <v>Emitted neGHG - Agriculture - N2O</v>
      </c>
      <c r="G474" s="23"/>
      <c r="H474" s="23"/>
      <c r="I474" s="104" cm="1">
        <f t="array" ref="I474">-SUMPRODUCT((Feedstocks!$C$4:$C$141=A474)*Feedstocks!$E$4:$E$141,Feedstocks!$F$4:$F$141,Feedstocks!$H$4:$H$141,Feedstocks!$I$4:$I$141)</f>
        <v>0</v>
      </c>
      <c r="J474" s="104" cm="1">
        <f t="array" ref="J474">-SUMPRODUCT((Feedstocks!$C$4:$C$141=A474)*Feedstocks!$E$4:$E$141,Feedstocks!$H$4:$H$141,Feedstocks!$I$4:$I$141)</f>
        <v>0</v>
      </c>
      <c r="K474" s="104"/>
      <c r="L474" s="104"/>
      <c r="M474" s="23"/>
      <c r="N474" s="23" t="str">
        <f>VLOOKUP(E474,Activities!$A$9:$M$227,13,FALSE)</f>
        <v>NL</v>
      </c>
      <c r="O474" s="23"/>
      <c r="P474" s="79" t="s">
        <v>415</v>
      </c>
      <c r="Q474" s="35"/>
      <c r="R474" s="35"/>
      <c r="S474" s="35"/>
      <c r="T474" s="35"/>
      <c r="U474" s="35"/>
      <c r="V474" s="35"/>
      <c r="W474" s="35"/>
      <c r="X474" s="35"/>
      <c r="Y474" s="35"/>
      <c r="Z474" s="35"/>
      <c r="AA474" s="35"/>
      <c r="AB474" s="35"/>
      <c r="AC474" s="35"/>
      <c r="AD474" s="35"/>
      <c r="AE474" s="35"/>
      <c r="AF474" s="36"/>
      <c r="AG474" s="36"/>
      <c r="AH474" s="36"/>
      <c r="AI474" s="36"/>
      <c r="AJ474" s="36"/>
      <c r="AK474" s="36"/>
      <c r="AL474" s="36"/>
      <c r="AM474" s="36"/>
      <c r="AN474" s="36"/>
      <c r="AO474" s="36"/>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v>-1</v>
      </c>
      <c r="FT474" s="35"/>
      <c r="FU474" s="35"/>
      <c r="FV474" s="35"/>
      <c r="FW474" s="35"/>
      <c r="FX474" s="35"/>
      <c r="FY474" s="35"/>
      <c r="FZ474" s="35"/>
      <c r="GA474" s="35"/>
      <c r="GB474" s="318"/>
      <c r="GC474" s="325"/>
      <c r="GD474" s="325"/>
      <c r="GE474" s="325">
        <v>1</v>
      </c>
      <c r="GF474" s="325"/>
      <c r="GG474" s="325"/>
    </row>
    <row r="475" spans="1:189" x14ac:dyDescent="0.35">
      <c r="A475" s="6" t="s">
        <v>1732</v>
      </c>
      <c r="B475" s="6" t="str">
        <f>IF(Technologies!B475&lt;&gt;0,Technologies!B475,"")</f>
        <v>Landbouw</v>
      </c>
      <c r="C475" s="6" t="str">
        <f>VLOOKUP($A475,Technologies!$A$7:$H$576,3,FALSE)</f>
        <v>Emission</v>
      </c>
      <c r="D475" s="6" t="str">
        <f>VLOOKUP($A475,Technologies!$A$7:$H$576,4,FALSE)</f>
        <v>Agriculture</v>
      </c>
      <c r="E475" s="6" t="str">
        <f>VLOOKUP($A475,Technologies!$A$7:$H$576,6,FALSE)</f>
        <v>Emitted neGHG - Agriculture - N2O</v>
      </c>
      <c r="F475" s="48" t="str">
        <f>VLOOKUP($A475,Technologies!$A$7:$H$576,7,FALSE)</f>
        <v>MACC Component 1 - neGHG N2O Fertilizer</v>
      </c>
      <c r="G475" s="22"/>
      <c r="H475" s="22"/>
      <c r="I475" s="103" cm="1">
        <f t="array" ref="I475">-SUMPRODUCT((Feedstocks!$C$4:$C$141=A475)*Feedstocks!$E$4:$E$141,Feedstocks!$F$4:$F$141,Feedstocks!$H$4:$H$141,Feedstocks!$I$4:$I$141)</f>
        <v>0</v>
      </c>
      <c r="J475" s="103" cm="1">
        <f t="array" ref="J475">-SUMPRODUCT((Feedstocks!$C$4:$C$141=A475)*Feedstocks!$E$4:$E$141,Feedstocks!$H$4:$H$141,Feedstocks!$I$4:$I$141)</f>
        <v>0</v>
      </c>
      <c r="K475" s="103"/>
      <c r="L475" s="103"/>
      <c r="M475" s="22"/>
      <c r="N475" s="22" t="str">
        <f>VLOOKUP(E475,Activities!$A$9:$M$227,13,FALSE)</f>
        <v>NL</v>
      </c>
      <c r="O475" s="22"/>
      <c r="P475" s="80" t="s">
        <v>415</v>
      </c>
      <c r="Q475" s="36"/>
      <c r="R475" s="36"/>
      <c r="S475" s="36"/>
      <c r="T475" s="36"/>
      <c r="U475" s="36"/>
      <c r="V475" s="36"/>
      <c r="W475" s="36"/>
      <c r="X475" s="36"/>
      <c r="Y475" s="36"/>
      <c r="Z475" s="36"/>
      <c r="AA475" s="36"/>
      <c r="AB475" s="36"/>
      <c r="AC475" s="36"/>
      <c r="AD475" s="36"/>
      <c r="AE475" s="36"/>
      <c r="AF475" s="35"/>
      <c r="AG475" s="35"/>
      <c r="AH475" s="35"/>
      <c r="AI475" s="35"/>
      <c r="AJ475" s="35"/>
      <c r="AK475" s="35"/>
      <c r="AL475" s="35"/>
      <c r="AM475" s="35"/>
      <c r="AN475" s="35"/>
      <c r="AO475" s="35"/>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c r="BS475" s="36"/>
      <c r="BT475" s="36"/>
      <c r="BU475" s="36"/>
      <c r="BV475" s="36"/>
      <c r="BW475" s="36"/>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36"/>
      <c r="CT475" s="36"/>
      <c r="CU475" s="36"/>
      <c r="CV475" s="36"/>
      <c r="CW475" s="36"/>
      <c r="CX475" s="36"/>
      <c r="CY475" s="36"/>
      <c r="CZ475" s="36"/>
      <c r="DA475" s="36"/>
      <c r="DB475" s="36"/>
      <c r="DC475" s="36"/>
      <c r="DD475" s="36"/>
      <c r="DE475" s="36"/>
      <c r="DF475" s="36"/>
      <c r="DG475" s="36"/>
      <c r="DH475" s="36"/>
      <c r="DI475" s="36"/>
      <c r="DJ475" s="36"/>
      <c r="DK475" s="36"/>
      <c r="DL475" s="36"/>
      <c r="DM475" s="36"/>
      <c r="DN475" s="36"/>
      <c r="DO475" s="36"/>
      <c r="DP475" s="36"/>
      <c r="DQ475" s="36"/>
      <c r="DR475" s="36"/>
      <c r="DS475" s="36"/>
      <c r="DT475" s="36"/>
      <c r="DU475" s="36"/>
      <c r="DV475" s="36"/>
      <c r="DW475" s="36"/>
      <c r="DX475" s="36"/>
      <c r="DY475" s="36"/>
      <c r="DZ475" s="36"/>
      <c r="EA475" s="36"/>
      <c r="EB475" s="36"/>
      <c r="EC475" s="36"/>
      <c r="ED475" s="36"/>
      <c r="EE475" s="36"/>
      <c r="EF475" s="36"/>
      <c r="EG475" s="36"/>
      <c r="EH475" s="36"/>
      <c r="EI475" s="36"/>
      <c r="EJ475" s="36"/>
      <c r="EK475" s="36"/>
      <c r="EL475" s="36"/>
      <c r="EM475" s="36"/>
      <c r="EN475" s="36"/>
      <c r="EO475" s="36"/>
      <c r="EP475" s="36"/>
      <c r="EQ475" s="36"/>
      <c r="ER475" s="36"/>
      <c r="ES475" s="36"/>
      <c r="ET475" s="36"/>
      <c r="EU475" s="36"/>
      <c r="EV475" s="36"/>
      <c r="EW475" s="36"/>
      <c r="EX475" s="36"/>
      <c r="EY475" s="36"/>
      <c r="EZ475" s="36"/>
      <c r="FA475" s="36"/>
      <c r="FB475" s="36"/>
      <c r="FC475" s="36"/>
      <c r="FD475" s="36"/>
      <c r="FE475" s="36"/>
      <c r="FF475" s="36"/>
      <c r="FG475" s="36"/>
      <c r="FH475" s="36"/>
      <c r="FI475" s="36"/>
      <c r="FJ475" s="36"/>
      <c r="FK475" s="36"/>
      <c r="FL475" s="36"/>
      <c r="FM475" s="36"/>
      <c r="FN475" s="36"/>
      <c r="FO475" s="36"/>
      <c r="FP475" s="36"/>
      <c r="FQ475" s="36"/>
      <c r="FR475" s="36"/>
      <c r="FS475" s="36">
        <v>-1</v>
      </c>
      <c r="FT475" s="36"/>
      <c r="FU475" s="36"/>
      <c r="FV475" s="36"/>
      <c r="FW475" s="36"/>
      <c r="FX475" s="36"/>
      <c r="FY475" s="36"/>
      <c r="FZ475" s="36"/>
      <c r="GA475" s="36"/>
      <c r="GB475" s="319"/>
      <c r="GC475" s="324"/>
      <c r="GD475" s="324"/>
      <c r="GE475" s="324"/>
      <c r="GF475" s="324"/>
      <c r="GG475" s="324"/>
    </row>
    <row r="476" spans="1:189" x14ac:dyDescent="0.35">
      <c r="A476" s="5" t="s">
        <v>1734</v>
      </c>
      <c r="B476" s="6" t="str">
        <f>IF(Technologies!B476&lt;&gt;0,Technologies!B476,"")</f>
        <v>Landbouw</v>
      </c>
      <c r="C476" s="5" t="str">
        <f>VLOOKUP($A476,Technologies!$A$7:$H$576,3,FALSE)</f>
        <v>Emission</v>
      </c>
      <c r="D476" s="5" t="str">
        <f>VLOOKUP($A476,Technologies!$A$7:$H$576,4,FALSE)</f>
        <v>Agriculture</v>
      </c>
      <c r="E476" s="5" t="str">
        <f>VLOOKUP($A476,Technologies!$A$7:$H$576,6,FALSE)</f>
        <v>Emitted neGHG - Agriculture - N2O</v>
      </c>
      <c r="F476" s="5" t="str">
        <f>VLOOKUP($A476,Technologies!$A$7:$H$576,7,FALSE)</f>
        <v>MACC Component 2 - neGHG N2O Fertilizer</v>
      </c>
      <c r="G476" s="23"/>
      <c r="H476" s="23"/>
      <c r="I476" s="104" cm="1">
        <f t="array" ref="I476">-SUMPRODUCT((Feedstocks!$C$4:$C$141=A476)*Feedstocks!$E$4:$E$141,Feedstocks!$F$4:$F$141,Feedstocks!$H$4:$H$141,Feedstocks!$I$4:$I$141)</f>
        <v>0</v>
      </c>
      <c r="J476" s="104" cm="1">
        <f t="array" ref="J476">-SUMPRODUCT((Feedstocks!$C$4:$C$141=A476)*Feedstocks!$E$4:$E$141,Feedstocks!$H$4:$H$141,Feedstocks!$I$4:$I$141)</f>
        <v>0</v>
      </c>
      <c r="K476" s="104"/>
      <c r="L476" s="104"/>
      <c r="M476" s="23"/>
      <c r="N476" s="23" t="str">
        <f>VLOOKUP(E476,Activities!$A$9:$M$227,13,FALSE)</f>
        <v>NL</v>
      </c>
      <c r="O476" s="23"/>
      <c r="P476" s="79" t="s">
        <v>415</v>
      </c>
      <c r="Q476" s="35"/>
      <c r="R476" s="35"/>
      <c r="S476" s="35"/>
      <c r="T476" s="35"/>
      <c r="U476" s="35"/>
      <c r="V476" s="35"/>
      <c r="W476" s="35"/>
      <c r="X476" s="35"/>
      <c r="Y476" s="35"/>
      <c r="Z476" s="35"/>
      <c r="AA476" s="35"/>
      <c r="AB476" s="35"/>
      <c r="AC476" s="35"/>
      <c r="AD476" s="35"/>
      <c r="AE476" s="35"/>
      <c r="AF476" s="36"/>
      <c r="AG476" s="36"/>
      <c r="AH476" s="36"/>
      <c r="AI476" s="36"/>
      <c r="AJ476" s="36"/>
      <c r="AK476" s="36"/>
      <c r="AL476" s="36"/>
      <c r="AM476" s="36"/>
      <c r="AN476" s="36"/>
      <c r="AO476" s="36"/>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v>-1</v>
      </c>
      <c r="FT476" s="35"/>
      <c r="FU476" s="35"/>
      <c r="FV476" s="35"/>
      <c r="FW476" s="35"/>
      <c r="FX476" s="35"/>
      <c r="FY476" s="35"/>
      <c r="FZ476" s="35"/>
      <c r="GA476" s="35"/>
      <c r="GB476" s="318"/>
      <c r="GC476" s="325"/>
      <c r="GD476" s="325"/>
      <c r="GE476" s="325"/>
      <c r="GF476" s="325"/>
      <c r="GG476" s="325"/>
    </row>
    <row r="477" spans="1:189" x14ac:dyDescent="0.35">
      <c r="A477" s="6" t="s">
        <v>1736</v>
      </c>
      <c r="B477" s="6" t="str">
        <f>IF(Technologies!B477&lt;&gt;0,Technologies!B477,"")</f>
        <v>Landbouw</v>
      </c>
      <c r="C477" s="6" t="str">
        <f>VLOOKUP($A477,Technologies!$A$7:$H$576,3,FALSE)</f>
        <v>Emission</v>
      </c>
      <c r="D477" s="6" t="str">
        <f>VLOOKUP($A477,Technologies!$A$7:$H$576,4,FALSE)</f>
        <v>Agriculture</v>
      </c>
      <c r="E477" s="6" t="str">
        <f>VLOOKUP($A477,Technologies!$A$7:$H$576,6,FALSE)</f>
        <v>Emitted neGHG - Agriculture - N2O</v>
      </c>
      <c r="F477" s="48" t="str">
        <f>VLOOKUP($A477,Technologies!$A$7:$H$576,7,FALSE)</f>
        <v>MACC Component 3 - neGHG N2O Fertilizer</v>
      </c>
      <c r="G477" s="22"/>
      <c r="H477" s="22"/>
      <c r="I477" s="103" cm="1">
        <f t="array" ref="I477">-SUMPRODUCT((Feedstocks!$C$4:$C$141=A477)*Feedstocks!$E$4:$E$141,Feedstocks!$F$4:$F$141,Feedstocks!$H$4:$H$141,Feedstocks!$I$4:$I$141)</f>
        <v>0</v>
      </c>
      <c r="J477" s="103" cm="1">
        <f t="array" ref="J477">-SUMPRODUCT((Feedstocks!$C$4:$C$141=A477)*Feedstocks!$E$4:$E$141,Feedstocks!$H$4:$H$141,Feedstocks!$I$4:$I$141)</f>
        <v>0</v>
      </c>
      <c r="K477" s="103"/>
      <c r="L477" s="103"/>
      <c r="M477" s="22"/>
      <c r="N477" s="22" t="str">
        <f>VLOOKUP(E477,Activities!$A$9:$M$227,13,FALSE)</f>
        <v>NL</v>
      </c>
      <c r="O477" s="22"/>
      <c r="P477" s="80" t="s">
        <v>415</v>
      </c>
      <c r="Q477" s="36"/>
      <c r="R477" s="36"/>
      <c r="S477" s="36"/>
      <c r="T477" s="36"/>
      <c r="U477" s="36"/>
      <c r="V477" s="36"/>
      <c r="W477" s="36"/>
      <c r="X477" s="36"/>
      <c r="Y477" s="36"/>
      <c r="Z477" s="36"/>
      <c r="AA477" s="36"/>
      <c r="AB477" s="36"/>
      <c r="AC477" s="36"/>
      <c r="AD477" s="36"/>
      <c r="AE477" s="36"/>
      <c r="AF477" s="35"/>
      <c r="AG477" s="35"/>
      <c r="AH477" s="35"/>
      <c r="AI477" s="35"/>
      <c r="AJ477" s="35"/>
      <c r="AK477" s="35"/>
      <c r="AL477" s="35"/>
      <c r="AM477" s="35"/>
      <c r="AN477" s="35"/>
      <c r="AO477" s="35"/>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c r="BS477" s="36"/>
      <c r="BT477" s="36"/>
      <c r="BU477" s="36"/>
      <c r="BV477" s="36"/>
      <c r="BW477" s="36"/>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36"/>
      <c r="CT477" s="36"/>
      <c r="CU477" s="36"/>
      <c r="CV477" s="36"/>
      <c r="CW477" s="36"/>
      <c r="CX477" s="36"/>
      <c r="CY477" s="36"/>
      <c r="CZ477" s="36"/>
      <c r="DA477" s="36"/>
      <c r="DB477" s="36"/>
      <c r="DC477" s="36"/>
      <c r="DD477" s="36"/>
      <c r="DE477" s="36"/>
      <c r="DF477" s="36"/>
      <c r="DG477" s="36"/>
      <c r="DH477" s="36"/>
      <c r="DI477" s="36"/>
      <c r="DJ477" s="36"/>
      <c r="DK477" s="36"/>
      <c r="DL477" s="36"/>
      <c r="DM477" s="36"/>
      <c r="DN477" s="36"/>
      <c r="DO477" s="36"/>
      <c r="DP477" s="36"/>
      <c r="DQ477" s="36"/>
      <c r="DR477" s="36"/>
      <c r="DS477" s="36"/>
      <c r="DT477" s="36"/>
      <c r="DU477" s="36"/>
      <c r="DV477" s="36"/>
      <c r="DW477" s="36"/>
      <c r="DX477" s="36"/>
      <c r="DY477" s="36"/>
      <c r="DZ477" s="36"/>
      <c r="EA477" s="36"/>
      <c r="EB477" s="36"/>
      <c r="EC477" s="36"/>
      <c r="ED477" s="36"/>
      <c r="EE477" s="36"/>
      <c r="EF477" s="36"/>
      <c r="EG477" s="36"/>
      <c r="EH477" s="36"/>
      <c r="EI477" s="36"/>
      <c r="EJ477" s="36"/>
      <c r="EK477" s="36"/>
      <c r="EL477" s="36"/>
      <c r="EM477" s="36"/>
      <c r="EN477" s="36"/>
      <c r="EO477" s="36"/>
      <c r="EP477" s="36"/>
      <c r="EQ477" s="36"/>
      <c r="ER477" s="36"/>
      <c r="ES477" s="36"/>
      <c r="ET477" s="36"/>
      <c r="EU477" s="36"/>
      <c r="EV477" s="36"/>
      <c r="EW477" s="36"/>
      <c r="EX477" s="36"/>
      <c r="EY477" s="36"/>
      <c r="EZ477" s="36"/>
      <c r="FA477" s="36"/>
      <c r="FB477" s="36"/>
      <c r="FC477" s="36"/>
      <c r="FD477" s="36"/>
      <c r="FE477" s="36"/>
      <c r="FF477" s="36"/>
      <c r="FG477" s="36"/>
      <c r="FH477" s="36"/>
      <c r="FI477" s="36"/>
      <c r="FJ477" s="36"/>
      <c r="FK477" s="36"/>
      <c r="FL477" s="36"/>
      <c r="FM477" s="36"/>
      <c r="FN477" s="36"/>
      <c r="FO477" s="36"/>
      <c r="FP477" s="36"/>
      <c r="FQ477" s="36"/>
      <c r="FR477" s="36"/>
      <c r="FS477" s="36">
        <v>-1</v>
      </c>
      <c r="FT477" s="36"/>
      <c r="FU477" s="36"/>
      <c r="FV477" s="36"/>
      <c r="FW477" s="36"/>
      <c r="FX477" s="36"/>
      <c r="FY477" s="36"/>
      <c r="FZ477" s="36"/>
      <c r="GA477" s="36"/>
      <c r="GB477" s="319"/>
      <c r="GC477" s="324"/>
      <c r="GD477" s="324"/>
      <c r="GE477" s="324"/>
      <c r="GF477" s="324"/>
      <c r="GG477" s="324"/>
    </row>
    <row r="478" spans="1:189" x14ac:dyDescent="0.35">
      <c r="A478" s="5" t="s">
        <v>1738</v>
      </c>
      <c r="B478" s="6" t="str">
        <f>IF(Technologies!B478&lt;&gt;0,Technologies!B478,"")</f>
        <v>Landbouw</v>
      </c>
      <c r="C478" s="5" t="str">
        <f>VLOOKUP($A478,Technologies!$A$7:$H$576,3,FALSE)</f>
        <v>Emission</v>
      </c>
      <c r="D478" s="5" t="str">
        <f>VLOOKUP($A478,Technologies!$A$7:$H$576,4,FALSE)</f>
        <v>Agriculture</v>
      </c>
      <c r="E478" s="5" t="str">
        <f>VLOOKUP($A478,Technologies!$A$7:$H$576,6,FALSE)</f>
        <v>Emitted neGHG - Agriculture - N2O</v>
      </c>
      <c r="F478" s="5" t="str">
        <f>VLOOKUP($A478,Technologies!$A$7:$H$576,7,FALSE)</f>
        <v>MACC Component 1 - neGHG N2O Manure Management</v>
      </c>
      <c r="G478" s="23"/>
      <c r="H478" s="23"/>
      <c r="I478" s="104" cm="1">
        <f t="array" ref="I478">-SUMPRODUCT((Feedstocks!$C$4:$C$141=A478)*Feedstocks!$E$4:$E$141,Feedstocks!$F$4:$F$141,Feedstocks!$H$4:$H$141,Feedstocks!$I$4:$I$141)</f>
        <v>0</v>
      </c>
      <c r="J478" s="104" cm="1">
        <f t="array" ref="J478">-SUMPRODUCT((Feedstocks!$C$4:$C$141=A478)*Feedstocks!$E$4:$E$141,Feedstocks!$H$4:$H$141,Feedstocks!$I$4:$I$141)</f>
        <v>0</v>
      </c>
      <c r="K478" s="104"/>
      <c r="L478" s="104">
        <v>1</v>
      </c>
      <c r="M478" s="23"/>
      <c r="N478" s="23" t="str">
        <f>VLOOKUP(E478,Activities!$A$9:$M$227,13,FALSE)</f>
        <v>NL</v>
      </c>
      <c r="O478" s="23"/>
      <c r="P478" s="79" t="s">
        <v>415</v>
      </c>
      <c r="Q478" s="35"/>
      <c r="R478" s="35"/>
      <c r="S478" s="35"/>
      <c r="T478" s="35"/>
      <c r="U478" s="35"/>
      <c r="V478" s="35"/>
      <c r="W478" s="35"/>
      <c r="X478" s="35"/>
      <c r="Y478" s="35"/>
      <c r="Z478" s="35"/>
      <c r="AA478" s="35"/>
      <c r="AB478" s="35"/>
      <c r="AC478" s="35"/>
      <c r="AD478" s="35"/>
      <c r="AE478" s="35"/>
      <c r="AF478" s="36"/>
      <c r="AG478" s="36"/>
      <c r="AH478" s="36"/>
      <c r="AI478" s="36"/>
      <c r="AJ478" s="36"/>
      <c r="AK478" s="36"/>
      <c r="AL478" s="36"/>
      <c r="AM478" s="36"/>
      <c r="AN478" s="36"/>
      <c r="AO478" s="36"/>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v>-1</v>
      </c>
      <c r="FT478" s="35"/>
      <c r="FU478" s="35"/>
      <c r="FV478" s="35"/>
      <c r="FW478" s="35"/>
      <c r="FX478" s="35"/>
      <c r="FY478" s="35"/>
      <c r="FZ478" s="35"/>
      <c r="GA478" s="35"/>
      <c r="GB478" s="318"/>
      <c r="GC478" s="325"/>
      <c r="GD478" s="325"/>
      <c r="GE478" s="325"/>
      <c r="GF478" s="325"/>
      <c r="GG478" s="325"/>
    </row>
    <row r="479" spans="1:189" x14ac:dyDescent="0.35">
      <c r="A479" s="6" t="s">
        <v>1740</v>
      </c>
      <c r="B479" s="6" t="str">
        <f>IF(Technologies!B479&lt;&gt;0,Technologies!B479,"")</f>
        <v>Landbouw</v>
      </c>
      <c r="C479" s="6" t="str">
        <f>VLOOKUP($A479,Technologies!$A$7:$H$576,3,FALSE)</f>
        <v>Emission</v>
      </c>
      <c r="D479" s="6" t="str">
        <f>VLOOKUP($A479,Technologies!$A$7:$H$576,4,FALSE)</f>
        <v>Agriculture</v>
      </c>
      <c r="E479" s="6" t="str">
        <f>VLOOKUP($A479,Technologies!$A$7:$H$576,6,FALSE)</f>
        <v>Emitted neGHG - Agriculture - N2O</v>
      </c>
      <c r="F479" s="48" t="str">
        <f>VLOOKUP($A479,Technologies!$A$7:$H$576,7,FALSE)</f>
        <v>MACC Component 2 - neGHG N2O Manure Management</v>
      </c>
      <c r="G479" s="22"/>
      <c r="H479" s="22"/>
      <c r="I479" s="103" cm="1">
        <f t="array" ref="I479">-SUMPRODUCT((Feedstocks!$C$4:$C$141=A479)*Feedstocks!$E$4:$E$141,Feedstocks!$F$4:$F$141,Feedstocks!$H$4:$H$141,Feedstocks!$I$4:$I$141)</f>
        <v>0</v>
      </c>
      <c r="J479" s="103" cm="1">
        <f t="array" ref="J479">-SUMPRODUCT((Feedstocks!$C$4:$C$141=A479)*Feedstocks!$E$4:$E$141,Feedstocks!$H$4:$H$141,Feedstocks!$I$4:$I$141)</f>
        <v>0</v>
      </c>
      <c r="K479" s="103"/>
      <c r="L479" s="103"/>
      <c r="M479" s="22"/>
      <c r="N479" s="22" t="str">
        <f>VLOOKUP(E479,Activities!$A$9:$M$227,13,FALSE)</f>
        <v>NL</v>
      </c>
      <c r="O479" s="22"/>
      <c r="P479" s="80" t="s">
        <v>415</v>
      </c>
      <c r="Q479" s="36"/>
      <c r="R479" s="36"/>
      <c r="S479" s="36"/>
      <c r="T479" s="36"/>
      <c r="U479" s="36"/>
      <c r="V479" s="36"/>
      <c r="W479" s="36"/>
      <c r="X479" s="36"/>
      <c r="Y479" s="36"/>
      <c r="Z479" s="36"/>
      <c r="AA479" s="36"/>
      <c r="AB479" s="36"/>
      <c r="AC479" s="36"/>
      <c r="AD479" s="36"/>
      <c r="AE479" s="36"/>
      <c r="AF479" s="35"/>
      <c r="AG479" s="35"/>
      <c r="AH479" s="35"/>
      <c r="AI479" s="35"/>
      <c r="AJ479" s="35"/>
      <c r="AK479" s="35"/>
      <c r="AL479" s="35"/>
      <c r="AM479" s="35"/>
      <c r="AN479" s="35"/>
      <c r="AO479" s="35"/>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36"/>
      <c r="BV479" s="36"/>
      <c r="BW479" s="36"/>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36"/>
      <c r="CT479" s="36"/>
      <c r="CU479" s="36"/>
      <c r="CV479" s="36"/>
      <c r="CW479" s="36"/>
      <c r="CX479" s="36"/>
      <c r="CY479" s="36"/>
      <c r="CZ479" s="36"/>
      <c r="DA479" s="36"/>
      <c r="DB479" s="36"/>
      <c r="DC479" s="36"/>
      <c r="DD479" s="36"/>
      <c r="DE479" s="36"/>
      <c r="DF479" s="36"/>
      <c r="DG479" s="36"/>
      <c r="DH479" s="36"/>
      <c r="DI479" s="36"/>
      <c r="DJ479" s="36"/>
      <c r="DK479" s="36"/>
      <c r="DL479" s="36"/>
      <c r="DM479" s="36"/>
      <c r="DN479" s="36"/>
      <c r="DO479" s="36"/>
      <c r="DP479" s="36"/>
      <c r="DQ479" s="36"/>
      <c r="DR479" s="36"/>
      <c r="DS479" s="36"/>
      <c r="DT479" s="36"/>
      <c r="DU479" s="36"/>
      <c r="DV479" s="36"/>
      <c r="DW479" s="36"/>
      <c r="DX479" s="36"/>
      <c r="DY479" s="36"/>
      <c r="DZ479" s="36"/>
      <c r="EA479" s="36"/>
      <c r="EB479" s="36"/>
      <c r="EC479" s="36"/>
      <c r="ED479" s="36"/>
      <c r="EE479" s="36"/>
      <c r="EF479" s="36"/>
      <c r="EG479" s="36"/>
      <c r="EH479" s="36"/>
      <c r="EI479" s="36"/>
      <c r="EJ479" s="36"/>
      <c r="EK479" s="36"/>
      <c r="EL479" s="36"/>
      <c r="EM479" s="36"/>
      <c r="EN479" s="36"/>
      <c r="EO479" s="36"/>
      <c r="EP479" s="36"/>
      <c r="EQ479" s="36"/>
      <c r="ER479" s="36"/>
      <c r="ES479" s="36"/>
      <c r="ET479" s="36"/>
      <c r="EU479" s="36"/>
      <c r="EV479" s="36"/>
      <c r="EW479" s="36"/>
      <c r="EX479" s="36"/>
      <c r="EY479" s="36"/>
      <c r="EZ479" s="36"/>
      <c r="FA479" s="36"/>
      <c r="FB479" s="36"/>
      <c r="FC479" s="36"/>
      <c r="FD479" s="36"/>
      <c r="FE479" s="36"/>
      <c r="FF479" s="36"/>
      <c r="FG479" s="36"/>
      <c r="FH479" s="36"/>
      <c r="FI479" s="36"/>
      <c r="FJ479" s="36"/>
      <c r="FK479" s="36"/>
      <c r="FL479" s="36"/>
      <c r="FM479" s="36"/>
      <c r="FN479" s="36"/>
      <c r="FO479" s="36"/>
      <c r="FP479" s="36"/>
      <c r="FQ479" s="36"/>
      <c r="FR479" s="36"/>
      <c r="FS479" s="36">
        <v>-1</v>
      </c>
      <c r="FT479" s="36"/>
      <c r="FU479" s="36"/>
      <c r="FV479" s="36"/>
      <c r="FW479" s="36"/>
      <c r="FX479" s="36"/>
      <c r="FY479" s="36"/>
      <c r="FZ479" s="36"/>
      <c r="GA479" s="36"/>
      <c r="GB479" s="319"/>
      <c r="GC479" s="324"/>
      <c r="GD479" s="324"/>
      <c r="GE479" s="324"/>
      <c r="GF479" s="324"/>
      <c r="GG479" s="324"/>
    </row>
    <row r="480" spans="1:189" x14ac:dyDescent="0.35">
      <c r="A480" s="5" t="s">
        <v>1742</v>
      </c>
      <c r="B480" s="6" t="str">
        <f>IF(Technologies!B480&lt;&gt;0,Technologies!B480,"")</f>
        <v>Landbouw</v>
      </c>
      <c r="C480" s="5" t="str">
        <f>VLOOKUP($A480,Technologies!$A$7:$H$576,3,FALSE)</f>
        <v>Emission</v>
      </c>
      <c r="D480" s="5" t="str">
        <f>VLOOKUP($A480,Technologies!$A$7:$H$576,4,FALSE)</f>
        <v>Agriculture</v>
      </c>
      <c r="E480" s="5" t="str">
        <f>VLOOKUP($A480,Technologies!$A$7:$H$576,6,FALSE)</f>
        <v>Emitted neGHG - Agriculture - N2O</v>
      </c>
      <c r="F480" s="5" t="str">
        <f>VLOOKUP($A480,Technologies!$A$7:$H$576,7,FALSE)</f>
        <v>MACC Component 3 - neGHG N2O Manure Management</v>
      </c>
      <c r="G480" s="23"/>
      <c r="H480" s="23"/>
      <c r="I480" s="104" cm="1">
        <f t="array" ref="I480">-SUMPRODUCT((Feedstocks!$C$4:$C$141=A480)*Feedstocks!$E$4:$E$141,Feedstocks!$F$4:$F$141,Feedstocks!$H$4:$H$141,Feedstocks!$I$4:$I$141)</f>
        <v>0</v>
      </c>
      <c r="J480" s="104" cm="1">
        <f t="array" ref="J480">-SUMPRODUCT((Feedstocks!$C$4:$C$141=A480)*Feedstocks!$E$4:$E$141,Feedstocks!$H$4:$H$141,Feedstocks!$I$4:$I$141)</f>
        <v>0</v>
      </c>
      <c r="K480" s="104"/>
      <c r="L480" s="104"/>
      <c r="M480" s="23"/>
      <c r="N480" s="23" t="str">
        <f>VLOOKUP(E480,Activities!$A$9:$M$227,13,FALSE)</f>
        <v>NL</v>
      </c>
      <c r="O480" s="23"/>
      <c r="P480" s="79" t="s">
        <v>415</v>
      </c>
      <c r="Q480" s="35"/>
      <c r="R480" s="35"/>
      <c r="S480" s="35"/>
      <c r="T480" s="35"/>
      <c r="U480" s="35"/>
      <c r="V480" s="35"/>
      <c r="W480" s="35"/>
      <c r="X480" s="35"/>
      <c r="Y480" s="35"/>
      <c r="Z480" s="35"/>
      <c r="AA480" s="35"/>
      <c r="AB480" s="35"/>
      <c r="AC480" s="35"/>
      <c r="AD480" s="35"/>
      <c r="AE480" s="35"/>
      <c r="AF480" s="36"/>
      <c r="AG480" s="36"/>
      <c r="AH480" s="36"/>
      <c r="AI480" s="36"/>
      <c r="AJ480" s="36"/>
      <c r="AK480" s="36"/>
      <c r="AL480" s="36"/>
      <c r="AM480" s="36"/>
      <c r="AN480" s="36"/>
      <c r="AO480" s="36"/>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v>-1</v>
      </c>
      <c r="FT480" s="35"/>
      <c r="FU480" s="35"/>
      <c r="FV480" s="35"/>
      <c r="FW480" s="35"/>
      <c r="FX480" s="35"/>
      <c r="FY480" s="35"/>
      <c r="FZ480" s="35"/>
      <c r="GA480" s="35"/>
      <c r="GB480" s="318"/>
      <c r="GC480" s="325"/>
      <c r="GD480" s="325"/>
      <c r="GE480" s="325"/>
      <c r="GF480" s="325"/>
      <c r="GG480" s="325"/>
    </row>
    <row r="481" spans="1:189" x14ac:dyDescent="0.35">
      <c r="A481" s="6" t="s">
        <v>1744</v>
      </c>
      <c r="B481" s="6" t="str">
        <f>IF(Technologies!B481&lt;&gt;0,Technologies!B481,"")</f>
        <v>Landbouw</v>
      </c>
      <c r="C481" s="6" t="str">
        <f>VLOOKUP($A481,Technologies!$A$7:$H$576,3,FALSE)</f>
        <v>Emission</v>
      </c>
      <c r="D481" s="6" t="str">
        <f>VLOOKUP($A481,Technologies!$A$7:$H$576,4,FALSE)</f>
        <v>Agriculture</v>
      </c>
      <c r="E481" s="6" t="str">
        <f>VLOOKUP($A481,Technologies!$A$7:$H$576,6,FALSE)</f>
        <v>Emitted neGHG - Agriculture - N2O</v>
      </c>
      <c r="F481" s="48" t="str">
        <f>VLOOKUP($A481,Technologies!$A$7:$H$576,7,FALSE)</f>
        <v>MACC Component 1 - neGHG N2O Other</v>
      </c>
      <c r="G481" s="22"/>
      <c r="H481" s="22"/>
      <c r="I481" s="103" cm="1">
        <f t="array" ref="I481">-SUMPRODUCT((Feedstocks!$C$4:$C$141=A481)*Feedstocks!$E$4:$E$141,Feedstocks!$F$4:$F$141,Feedstocks!$H$4:$H$141,Feedstocks!$I$4:$I$141)</f>
        <v>0</v>
      </c>
      <c r="J481" s="103" cm="1">
        <f t="array" ref="J481">-SUMPRODUCT((Feedstocks!$C$4:$C$141=A481)*Feedstocks!$E$4:$E$141,Feedstocks!$H$4:$H$141,Feedstocks!$I$4:$I$141)</f>
        <v>0</v>
      </c>
      <c r="K481" s="103"/>
      <c r="L481" s="103"/>
      <c r="M481" s="22"/>
      <c r="N481" s="22" t="str">
        <f>VLOOKUP(E481,Activities!$A$9:$M$227,13,FALSE)</f>
        <v>NL</v>
      </c>
      <c r="O481" s="22"/>
      <c r="P481" s="80" t="s">
        <v>415</v>
      </c>
      <c r="Q481" s="36"/>
      <c r="R481" s="36"/>
      <c r="S481" s="36"/>
      <c r="T481" s="36"/>
      <c r="U481" s="36"/>
      <c r="V481" s="36"/>
      <c r="W481" s="36"/>
      <c r="X481" s="36"/>
      <c r="Y481" s="36"/>
      <c r="Z481" s="36"/>
      <c r="AA481" s="36"/>
      <c r="AB481" s="36"/>
      <c r="AC481" s="36"/>
      <c r="AD481" s="36"/>
      <c r="AE481" s="36"/>
      <c r="AF481" s="35"/>
      <c r="AG481" s="35"/>
      <c r="AH481" s="35"/>
      <c r="AI481" s="35"/>
      <c r="AJ481" s="35"/>
      <c r="AK481" s="35"/>
      <c r="AL481" s="35"/>
      <c r="AM481" s="35"/>
      <c r="AN481" s="35"/>
      <c r="AO481" s="35"/>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c r="BS481" s="36"/>
      <c r="BT481" s="36"/>
      <c r="BU481" s="36"/>
      <c r="BV481" s="36"/>
      <c r="BW481" s="36"/>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36"/>
      <c r="CT481" s="36"/>
      <c r="CU481" s="36"/>
      <c r="CV481" s="36"/>
      <c r="CW481" s="36"/>
      <c r="CX481" s="36"/>
      <c r="CY481" s="36"/>
      <c r="CZ481" s="36"/>
      <c r="DA481" s="36"/>
      <c r="DB481" s="36"/>
      <c r="DC481" s="36"/>
      <c r="DD481" s="36"/>
      <c r="DE481" s="36"/>
      <c r="DF481" s="36"/>
      <c r="DG481" s="36"/>
      <c r="DH481" s="36"/>
      <c r="DI481" s="36"/>
      <c r="DJ481" s="36"/>
      <c r="DK481" s="36"/>
      <c r="DL481" s="36"/>
      <c r="DM481" s="36"/>
      <c r="DN481" s="36"/>
      <c r="DO481" s="36"/>
      <c r="DP481" s="36"/>
      <c r="DQ481" s="36"/>
      <c r="DR481" s="36"/>
      <c r="DS481" s="36"/>
      <c r="DT481" s="36"/>
      <c r="DU481" s="36"/>
      <c r="DV481" s="36"/>
      <c r="DW481" s="36"/>
      <c r="DX481" s="36"/>
      <c r="DY481" s="36"/>
      <c r="DZ481" s="36"/>
      <c r="EA481" s="36"/>
      <c r="EB481" s="36"/>
      <c r="EC481" s="36"/>
      <c r="ED481" s="36"/>
      <c r="EE481" s="36"/>
      <c r="EF481" s="36"/>
      <c r="EG481" s="36"/>
      <c r="EH481" s="36"/>
      <c r="EI481" s="36"/>
      <c r="EJ481" s="36"/>
      <c r="EK481" s="36"/>
      <c r="EL481" s="36"/>
      <c r="EM481" s="36"/>
      <c r="EN481" s="36"/>
      <c r="EO481" s="36"/>
      <c r="EP481" s="36"/>
      <c r="EQ481" s="36"/>
      <c r="ER481" s="36"/>
      <c r="ES481" s="36"/>
      <c r="ET481" s="36"/>
      <c r="EU481" s="36"/>
      <c r="EV481" s="36"/>
      <c r="EW481" s="36"/>
      <c r="EX481" s="36"/>
      <c r="EY481" s="36"/>
      <c r="EZ481" s="36"/>
      <c r="FA481" s="36"/>
      <c r="FB481" s="36"/>
      <c r="FC481" s="36"/>
      <c r="FD481" s="36"/>
      <c r="FE481" s="36"/>
      <c r="FF481" s="36"/>
      <c r="FG481" s="36"/>
      <c r="FH481" s="36"/>
      <c r="FI481" s="36"/>
      <c r="FJ481" s="36"/>
      <c r="FK481" s="36"/>
      <c r="FL481" s="36"/>
      <c r="FM481" s="36"/>
      <c r="FN481" s="36"/>
      <c r="FO481" s="36"/>
      <c r="FP481" s="36"/>
      <c r="FQ481" s="36"/>
      <c r="FR481" s="36"/>
      <c r="FS481" s="36">
        <v>-1</v>
      </c>
      <c r="FT481" s="36"/>
      <c r="FU481" s="36"/>
      <c r="FV481" s="36"/>
      <c r="FW481" s="36"/>
      <c r="FX481" s="36"/>
      <c r="FY481" s="36"/>
      <c r="FZ481" s="36"/>
      <c r="GA481" s="36"/>
      <c r="GB481" s="319"/>
      <c r="GC481" s="324"/>
      <c r="GD481" s="324"/>
      <c r="GE481" s="324"/>
      <c r="GF481" s="324"/>
      <c r="GG481" s="324"/>
    </row>
    <row r="482" spans="1:189" x14ac:dyDescent="0.35">
      <c r="A482" s="5" t="s">
        <v>1746</v>
      </c>
      <c r="B482" s="6" t="str">
        <f>IF(Technologies!B482&lt;&gt;0,Technologies!B482,"")</f>
        <v>Industrie</v>
      </c>
      <c r="C482" s="5" t="str">
        <f>VLOOKUP($A482,Technologies!$A$7:$H$576,3,FALSE)</f>
        <v>Emission</v>
      </c>
      <c r="D482" s="5" t="str">
        <f>VLOOKUP($A482,Technologies!$A$7:$H$576,4,FALSE)</f>
        <v>Industry</v>
      </c>
      <c r="E482" s="5" t="str">
        <f>VLOOKUP($A482,Technologies!$A$7:$H$576,6,FALSE)</f>
        <v>Emitted neGHG - Industry - CO2</v>
      </c>
      <c r="F482" s="5" t="str">
        <f>VLOOKUP($A482,Technologies!$A$7:$H$576,7,FALSE)</f>
        <v>Emitted neGHG - Industry - CO2</v>
      </c>
      <c r="G482" s="23"/>
      <c r="H482" s="23"/>
      <c r="I482" s="104" cm="1">
        <f t="array" ref="I482">-SUMPRODUCT((Feedstocks!$C$4:$C$141=A482)*Feedstocks!$E$4:$E$141,Feedstocks!$F$4:$F$141,Feedstocks!$H$4:$H$141,Feedstocks!$I$4:$I$141)</f>
        <v>0</v>
      </c>
      <c r="J482" s="104" cm="1">
        <f t="array" ref="J482">-SUMPRODUCT((Feedstocks!$C$4:$C$141=A482)*Feedstocks!$E$4:$E$141,Feedstocks!$H$4:$H$141,Feedstocks!$I$4:$I$141)</f>
        <v>0</v>
      </c>
      <c r="K482" s="104"/>
      <c r="L482" s="104">
        <v>1</v>
      </c>
      <c r="M482" s="23"/>
      <c r="N482" s="23" t="str">
        <f>VLOOKUP(E482,Activities!$A$9:$M$227,13,FALSE)</f>
        <v>NL</v>
      </c>
      <c r="O482" s="23"/>
      <c r="P482" s="79" t="s">
        <v>415</v>
      </c>
      <c r="Q482" s="35"/>
      <c r="R482" s="35"/>
      <c r="S482" s="35"/>
      <c r="T482" s="35"/>
      <c r="U482" s="35"/>
      <c r="V482" s="35"/>
      <c r="W482" s="35"/>
      <c r="X482" s="35"/>
      <c r="Y482" s="35"/>
      <c r="Z482" s="35"/>
      <c r="AA482" s="35"/>
      <c r="AB482" s="35"/>
      <c r="AC482" s="35"/>
      <c r="AD482" s="35"/>
      <c r="AE482" s="35"/>
      <c r="AF482" s="36"/>
      <c r="AG482" s="36"/>
      <c r="AH482" s="36"/>
      <c r="AI482" s="36"/>
      <c r="AJ482" s="36"/>
      <c r="AK482" s="36"/>
      <c r="AL482" s="36"/>
      <c r="AM482" s="36"/>
      <c r="AN482" s="36"/>
      <c r="AO482" s="36"/>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v>-1</v>
      </c>
      <c r="FU482" s="35"/>
      <c r="FV482" s="35"/>
      <c r="FW482" s="35"/>
      <c r="FX482" s="35"/>
      <c r="FY482" s="35"/>
      <c r="FZ482" s="35"/>
      <c r="GA482" s="35"/>
      <c r="GB482" s="318"/>
      <c r="GC482" s="325"/>
      <c r="GD482" s="325"/>
      <c r="GE482" s="325">
        <v>1</v>
      </c>
      <c r="GF482" s="325"/>
      <c r="GG482" s="325"/>
    </row>
    <row r="483" spans="1:189" x14ac:dyDescent="0.35">
      <c r="A483" s="6" t="s">
        <v>1747</v>
      </c>
      <c r="B483" s="6" t="str">
        <f>IF(Technologies!B483&lt;&gt;0,Technologies!B483,"")</f>
        <v>Industrie</v>
      </c>
      <c r="C483" s="6" t="str">
        <f>VLOOKUP($A483,Technologies!$A$7:$H$576,3,FALSE)</f>
        <v>Emission</v>
      </c>
      <c r="D483" s="6" t="str">
        <f>VLOOKUP($A483,Technologies!$A$7:$H$576,4,FALSE)</f>
        <v>Industry</v>
      </c>
      <c r="E483" s="6" t="str">
        <f>VLOOKUP($A483,Technologies!$A$7:$H$576,6,FALSE)</f>
        <v>Emitted neGHG - Industry - CO2</v>
      </c>
      <c r="F483" s="48" t="str">
        <f>VLOOKUP($A483,Technologies!$A$7:$H$576,7,FALSE)</f>
        <v>MACC Component 1 - neGHG CO2 Other</v>
      </c>
      <c r="G483" s="22"/>
      <c r="H483" s="22"/>
      <c r="I483" s="103" cm="1">
        <f t="array" ref="I483">-SUMPRODUCT((Feedstocks!$C$4:$C$141=A483)*Feedstocks!$E$4:$E$141,Feedstocks!$F$4:$F$141,Feedstocks!$H$4:$H$141,Feedstocks!$I$4:$I$141)</f>
        <v>0</v>
      </c>
      <c r="J483" s="103" cm="1">
        <f t="array" ref="J483">-SUMPRODUCT((Feedstocks!$C$4:$C$141=A483)*Feedstocks!$E$4:$E$141,Feedstocks!$H$4:$H$141,Feedstocks!$I$4:$I$141)</f>
        <v>0</v>
      </c>
      <c r="K483" s="103"/>
      <c r="L483" s="103"/>
      <c r="M483" s="22"/>
      <c r="N483" s="22" t="str">
        <f>VLOOKUP(E483,Activities!$A$9:$M$227,13,FALSE)</f>
        <v>NL</v>
      </c>
      <c r="O483" s="22"/>
      <c r="P483" s="80" t="s">
        <v>415</v>
      </c>
      <c r="Q483" s="36"/>
      <c r="R483" s="36"/>
      <c r="S483" s="36"/>
      <c r="T483" s="36"/>
      <c r="U483" s="36"/>
      <c r="V483" s="36"/>
      <c r="W483" s="36"/>
      <c r="X483" s="36"/>
      <c r="Y483" s="36"/>
      <c r="Z483" s="36"/>
      <c r="AA483" s="36"/>
      <c r="AB483" s="36"/>
      <c r="AC483" s="36"/>
      <c r="AD483" s="36"/>
      <c r="AE483" s="36"/>
      <c r="AF483" s="35"/>
      <c r="AG483" s="35"/>
      <c r="AH483" s="35"/>
      <c r="AI483" s="35"/>
      <c r="AJ483" s="35"/>
      <c r="AK483" s="35"/>
      <c r="AL483" s="35"/>
      <c r="AM483" s="35"/>
      <c r="AN483" s="35"/>
      <c r="AO483" s="35"/>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36"/>
      <c r="BV483" s="36"/>
      <c r="BW483" s="36"/>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36"/>
      <c r="CT483" s="36"/>
      <c r="CU483" s="36"/>
      <c r="CV483" s="36"/>
      <c r="CW483" s="36"/>
      <c r="CX483" s="36"/>
      <c r="CY483" s="36"/>
      <c r="CZ483" s="36"/>
      <c r="DA483" s="36"/>
      <c r="DB483" s="36"/>
      <c r="DC483" s="36"/>
      <c r="DD483" s="36"/>
      <c r="DE483" s="36"/>
      <c r="DF483" s="36"/>
      <c r="DG483" s="36"/>
      <c r="DH483" s="36"/>
      <c r="DI483" s="36"/>
      <c r="DJ483" s="36"/>
      <c r="DK483" s="36"/>
      <c r="DL483" s="36"/>
      <c r="DM483" s="36"/>
      <c r="DN483" s="36"/>
      <c r="DO483" s="36"/>
      <c r="DP483" s="36"/>
      <c r="DQ483" s="36"/>
      <c r="DR483" s="36"/>
      <c r="DS483" s="36"/>
      <c r="DT483" s="36"/>
      <c r="DU483" s="36"/>
      <c r="DV483" s="36"/>
      <c r="DW483" s="36"/>
      <c r="DX483" s="36"/>
      <c r="DY483" s="36"/>
      <c r="DZ483" s="36"/>
      <c r="EA483" s="36"/>
      <c r="EB483" s="36"/>
      <c r="EC483" s="36"/>
      <c r="ED483" s="36"/>
      <c r="EE483" s="36"/>
      <c r="EF483" s="36"/>
      <c r="EG483" s="36"/>
      <c r="EH483" s="36"/>
      <c r="EI483" s="36"/>
      <c r="EJ483" s="36"/>
      <c r="EK483" s="36"/>
      <c r="EL483" s="36"/>
      <c r="EM483" s="36"/>
      <c r="EN483" s="36"/>
      <c r="EO483" s="36"/>
      <c r="EP483" s="36"/>
      <c r="EQ483" s="36"/>
      <c r="ER483" s="36"/>
      <c r="ES483" s="36"/>
      <c r="ET483" s="36"/>
      <c r="EU483" s="36"/>
      <c r="EV483" s="36"/>
      <c r="EW483" s="36"/>
      <c r="EX483" s="36"/>
      <c r="EY483" s="36"/>
      <c r="EZ483" s="36"/>
      <c r="FA483" s="36"/>
      <c r="FB483" s="36"/>
      <c r="FC483" s="36"/>
      <c r="FD483" s="36"/>
      <c r="FE483" s="36"/>
      <c r="FF483" s="36"/>
      <c r="FG483" s="36"/>
      <c r="FH483" s="36"/>
      <c r="FI483" s="36"/>
      <c r="FJ483" s="36"/>
      <c r="FK483" s="36"/>
      <c r="FL483" s="36"/>
      <c r="FM483" s="36"/>
      <c r="FN483" s="36"/>
      <c r="FO483" s="36"/>
      <c r="FP483" s="36"/>
      <c r="FQ483" s="36"/>
      <c r="FR483" s="36"/>
      <c r="FS483" s="36"/>
      <c r="FT483" s="36">
        <v>-1</v>
      </c>
      <c r="FU483" s="36"/>
      <c r="FV483" s="36"/>
      <c r="FW483" s="36"/>
      <c r="FX483" s="36"/>
      <c r="FY483" s="36"/>
      <c r="FZ483" s="36"/>
      <c r="GA483" s="36"/>
      <c r="GB483" s="319"/>
      <c r="GC483" s="324"/>
      <c r="GD483" s="324"/>
      <c r="GE483" s="324"/>
      <c r="GF483" s="324"/>
      <c r="GG483" s="324"/>
    </row>
    <row r="484" spans="1:189" x14ac:dyDescent="0.35">
      <c r="A484" s="5" t="s">
        <v>1748</v>
      </c>
      <c r="B484" s="6" t="str">
        <f>IF(Technologies!B484&lt;&gt;0,Technologies!B484,"")</f>
        <v>Industrie</v>
      </c>
      <c r="C484" s="5" t="str">
        <f>VLOOKUP($A484,Technologies!$A$7:$H$576,3,FALSE)</f>
        <v>Emission</v>
      </c>
      <c r="D484" s="5" t="str">
        <f>VLOOKUP($A484,Technologies!$A$7:$H$576,4,FALSE)</f>
        <v>Industry</v>
      </c>
      <c r="E484" s="5" t="str">
        <f>VLOOKUP($A484,Technologies!$A$7:$H$576,6,FALSE)</f>
        <v>Emitted neGHG - Industry - CH4</v>
      </c>
      <c r="F484" s="5" t="str">
        <f>VLOOKUP($A484,Technologies!$A$7:$H$576,7,FALSE)</f>
        <v>Emitted neGHG - Industry - CH4</v>
      </c>
      <c r="G484" s="23"/>
      <c r="H484" s="23"/>
      <c r="I484" s="104" cm="1">
        <f t="array" ref="I484">-SUMPRODUCT((Feedstocks!$C$4:$C$141=A484)*Feedstocks!$E$4:$E$141,Feedstocks!$F$4:$F$141,Feedstocks!$H$4:$H$141,Feedstocks!$I$4:$I$141)</f>
        <v>0</v>
      </c>
      <c r="J484" s="104" cm="1">
        <f t="array" ref="J484">-SUMPRODUCT((Feedstocks!$C$4:$C$141=A484)*Feedstocks!$E$4:$E$141,Feedstocks!$H$4:$H$141,Feedstocks!$I$4:$I$141)</f>
        <v>0</v>
      </c>
      <c r="K484" s="104"/>
      <c r="L484" s="104">
        <v>1</v>
      </c>
      <c r="M484" s="23"/>
      <c r="N484" s="23" t="str">
        <f>VLOOKUP(E484,Activities!$A$9:$M$227,13,FALSE)</f>
        <v>NL</v>
      </c>
      <c r="O484" s="23"/>
      <c r="P484" s="79" t="s">
        <v>415</v>
      </c>
      <c r="Q484" s="35"/>
      <c r="R484" s="35"/>
      <c r="S484" s="35"/>
      <c r="T484" s="35"/>
      <c r="U484" s="35"/>
      <c r="V484" s="35"/>
      <c r="W484" s="35"/>
      <c r="X484" s="35"/>
      <c r="Y484" s="35"/>
      <c r="Z484" s="35"/>
      <c r="AA484" s="35"/>
      <c r="AB484" s="35"/>
      <c r="AC484" s="35"/>
      <c r="AD484" s="35"/>
      <c r="AE484" s="35"/>
      <c r="AF484" s="36"/>
      <c r="AG484" s="36"/>
      <c r="AH484" s="36"/>
      <c r="AI484" s="36"/>
      <c r="AJ484" s="36"/>
      <c r="AK484" s="36"/>
      <c r="AL484" s="36"/>
      <c r="AM484" s="36"/>
      <c r="AN484" s="36"/>
      <c r="AO484" s="36"/>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v>-1</v>
      </c>
      <c r="FV484" s="35"/>
      <c r="FW484" s="35"/>
      <c r="FX484" s="35"/>
      <c r="FY484" s="35"/>
      <c r="FZ484" s="35"/>
      <c r="GA484" s="35"/>
      <c r="GB484" s="318"/>
      <c r="GC484" s="325"/>
      <c r="GD484" s="325"/>
      <c r="GE484" s="325">
        <v>1</v>
      </c>
      <c r="GF484" s="325"/>
      <c r="GG484" s="325"/>
    </row>
    <row r="485" spans="1:189" x14ac:dyDescent="0.35">
      <c r="A485" s="6" t="s">
        <v>1749</v>
      </c>
      <c r="B485" s="6" t="str">
        <f>IF(Technologies!B485&lt;&gt;0,Technologies!B485,"")</f>
        <v>Industrie</v>
      </c>
      <c r="C485" s="6" t="str">
        <f>VLOOKUP($A485,Technologies!$A$7:$H$576,3,FALSE)</f>
        <v>Emission</v>
      </c>
      <c r="D485" s="6" t="str">
        <f>VLOOKUP($A485,Technologies!$A$7:$H$576,4,FALSE)</f>
        <v>Industry</v>
      </c>
      <c r="E485" s="6" t="str">
        <f>VLOOKUP($A485,Technologies!$A$7:$H$576,6,FALSE)</f>
        <v>Emitted neGHG - Industry - CH4</v>
      </c>
      <c r="F485" s="48" t="str">
        <f>VLOOKUP($A485,Technologies!$A$7:$H$576,7,FALSE)</f>
        <v>MACC Component 1 - neGHG CH4 Other</v>
      </c>
      <c r="G485" s="22"/>
      <c r="H485" s="22"/>
      <c r="I485" s="103" cm="1">
        <f t="array" ref="I485">-SUMPRODUCT((Feedstocks!$C$4:$C$141=A485)*Feedstocks!$E$4:$E$141,Feedstocks!$F$4:$F$141,Feedstocks!$H$4:$H$141,Feedstocks!$I$4:$I$141)</f>
        <v>0</v>
      </c>
      <c r="J485" s="103" cm="1">
        <f t="array" ref="J485">-SUMPRODUCT((Feedstocks!$C$4:$C$141=A485)*Feedstocks!$E$4:$E$141,Feedstocks!$H$4:$H$141,Feedstocks!$I$4:$I$141)</f>
        <v>0</v>
      </c>
      <c r="K485" s="103"/>
      <c r="L485" s="103"/>
      <c r="M485" s="22"/>
      <c r="N485" s="22" t="str">
        <f>VLOOKUP(E485,Activities!$A$9:$M$227,13,FALSE)</f>
        <v>NL</v>
      </c>
      <c r="O485" s="22"/>
      <c r="P485" s="80" t="s">
        <v>415</v>
      </c>
      <c r="Q485" s="36"/>
      <c r="R485" s="36"/>
      <c r="S485" s="36"/>
      <c r="T485" s="36"/>
      <c r="U485" s="36"/>
      <c r="V485" s="36"/>
      <c r="W485" s="36"/>
      <c r="X485" s="36"/>
      <c r="Y485" s="36"/>
      <c r="Z485" s="36"/>
      <c r="AA485" s="36"/>
      <c r="AB485" s="36"/>
      <c r="AC485" s="36"/>
      <c r="AD485" s="36"/>
      <c r="AE485" s="36"/>
      <c r="AF485" s="35"/>
      <c r="AG485" s="35"/>
      <c r="AH485" s="35"/>
      <c r="AI485" s="35"/>
      <c r="AJ485" s="35"/>
      <c r="AK485" s="35"/>
      <c r="AL485" s="35"/>
      <c r="AM485" s="35"/>
      <c r="AN485" s="35"/>
      <c r="AO485" s="35"/>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c r="BS485" s="36"/>
      <c r="BT485" s="36"/>
      <c r="BU485" s="36"/>
      <c r="BV485" s="36"/>
      <c r="BW485" s="36"/>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c r="CW485" s="36"/>
      <c r="CX485" s="36"/>
      <c r="CY485" s="36"/>
      <c r="CZ485" s="36"/>
      <c r="DA485" s="36"/>
      <c r="DB485" s="36"/>
      <c r="DC485" s="36"/>
      <c r="DD485" s="36"/>
      <c r="DE485" s="36"/>
      <c r="DF485" s="36"/>
      <c r="DG485" s="36"/>
      <c r="DH485" s="36"/>
      <c r="DI485" s="36"/>
      <c r="DJ485" s="36"/>
      <c r="DK485" s="36"/>
      <c r="DL485" s="36"/>
      <c r="DM485" s="36"/>
      <c r="DN485" s="36"/>
      <c r="DO485" s="36"/>
      <c r="DP485" s="36"/>
      <c r="DQ485" s="36"/>
      <c r="DR485" s="36"/>
      <c r="DS485" s="36"/>
      <c r="DT485" s="36"/>
      <c r="DU485" s="36"/>
      <c r="DV485" s="36"/>
      <c r="DW485" s="36"/>
      <c r="DX485" s="36"/>
      <c r="DY485" s="36"/>
      <c r="DZ485" s="36"/>
      <c r="EA485" s="36"/>
      <c r="EB485" s="36"/>
      <c r="EC485" s="36"/>
      <c r="ED485" s="36"/>
      <c r="EE485" s="36"/>
      <c r="EF485" s="36"/>
      <c r="EG485" s="36"/>
      <c r="EH485" s="36"/>
      <c r="EI485" s="36"/>
      <c r="EJ485" s="36"/>
      <c r="EK485" s="36"/>
      <c r="EL485" s="36"/>
      <c r="EM485" s="36"/>
      <c r="EN485" s="36"/>
      <c r="EO485" s="36"/>
      <c r="EP485" s="36"/>
      <c r="EQ485" s="36"/>
      <c r="ER485" s="36"/>
      <c r="ES485" s="36"/>
      <c r="ET485" s="36"/>
      <c r="EU485" s="36"/>
      <c r="EV485" s="36"/>
      <c r="EW485" s="36"/>
      <c r="EX485" s="36"/>
      <c r="EY485" s="36"/>
      <c r="EZ485" s="36"/>
      <c r="FA485" s="36"/>
      <c r="FB485" s="36"/>
      <c r="FC485" s="36"/>
      <c r="FD485" s="36"/>
      <c r="FE485" s="36"/>
      <c r="FF485" s="36"/>
      <c r="FG485" s="36"/>
      <c r="FH485" s="36"/>
      <c r="FI485" s="36"/>
      <c r="FJ485" s="36"/>
      <c r="FK485" s="36"/>
      <c r="FL485" s="36"/>
      <c r="FM485" s="36"/>
      <c r="FN485" s="36"/>
      <c r="FO485" s="36"/>
      <c r="FP485" s="36"/>
      <c r="FQ485" s="36"/>
      <c r="FR485" s="36"/>
      <c r="FS485" s="36"/>
      <c r="FT485" s="36"/>
      <c r="FU485" s="36">
        <v>-1</v>
      </c>
      <c r="FV485" s="36"/>
      <c r="FW485" s="36"/>
      <c r="FX485" s="36"/>
      <c r="FY485" s="36"/>
      <c r="FZ485" s="36"/>
      <c r="GA485" s="36"/>
      <c r="GB485" s="319"/>
      <c r="GC485" s="324"/>
      <c r="GD485" s="324"/>
      <c r="GE485" s="324"/>
      <c r="GF485" s="324"/>
      <c r="GG485" s="324"/>
    </row>
    <row r="486" spans="1:189" x14ac:dyDescent="0.35">
      <c r="A486" s="5" t="s">
        <v>1750</v>
      </c>
      <c r="B486" s="6" t="str">
        <f>IF(Technologies!B486&lt;&gt;0,Technologies!B486,"")</f>
        <v>Industrie</v>
      </c>
      <c r="C486" s="5" t="str">
        <f>VLOOKUP($A486,Technologies!$A$7:$H$576,3,FALSE)</f>
        <v>Emission</v>
      </c>
      <c r="D486" s="5" t="str">
        <f>VLOOKUP($A486,Technologies!$A$7:$H$576,4,FALSE)</f>
        <v>Industry</v>
      </c>
      <c r="E486" s="5" t="str">
        <f>VLOOKUP($A486,Technologies!$A$7:$H$576,6,FALSE)</f>
        <v>Emitted neGHG - Industry - N2O</v>
      </c>
      <c r="F486" s="5" t="str">
        <f>VLOOKUP($A486,Technologies!$A$7:$H$576,7,FALSE)</f>
        <v>Emitted neGHG - Industry - N2O</v>
      </c>
      <c r="G486" s="23"/>
      <c r="H486" s="23"/>
      <c r="I486" s="104" cm="1">
        <f t="array" ref="I486">-SUMPRODUCT((Feedstocks!$C$4:$C$141=A486)*Feedstocks!$E$4:$E$141,Feedstocks!$F$4:$F$141,Feedstocks!$H$4:$H$141,Feedstocks!$I$4:$I$141)</f>
        <v>0</v>
      </c>
      <c r="J486" s="104" cm="1">
        <f t="array" ref="J486">-SUMPRODUCT((Feedstocks!$C$4:$C$141=A486)*Feedstocks!$E$4:$E$141,Feedstocks!$H$4:$H$141,Feedstocks!$I$4:$I$141)</f>
        <v>0</v>
      </c>
      <c r="K486" s="104"/>
      <c r="L486" s="104"/>
      <c r="M486" s="23"/>
      <c r="N486" s="23" t="str">
        <f>VLOOKUP(E486,Activities!$A$9:$M$227,13,FALSE)</f>
        <v>NL</v>
      </c>
      <c r="O486" s="23"/>
      <c r="P486" s="79" t="s">
        <v>415</v>
      </c>
      <c r="Q486" s="35"/>
      <c r="R486" s="35"/>
      <c r="S486" s="35"/>
      <c r="T486" s="35"/>
      <c r="U486" s="35"/>
      <c r="V486" s="35"/>
      <c r="W486" s="35"/>
      <c r="X486" s="35"/>
      <c r="Y486" s="35"/>
      <c r="Z486" s="35"/>
      <c r="AA486" s="35"/>
      <c r="AB486" s="35"/>
      <c r="AC486" s="35"/>
      <c r="AD486" s="35"/>
      <c r="AE486" s="35"/>
      <c r="AF486" s="36"/>
      <c r="AG486" s="36"/>
      <c r="AH486" s="36"/>
      <c r="AI486" s="36"/>
      <c r="AJ486" s="36"/>
      <c r="AK486" s="36"/>
      <c r="AL486" s="36"/>
      <c r="AM486" s="36"/>
      <c r="AN486" s="36"/>
      <c r="AO486" s="36"/>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v>-1</v>
      </c>
      <c r="FW486" s="35"/>
      <c r="FX486" s="35"/>
      <c r="FY486" s="35"/>
      <c r="FZ486" s="35"/>
      <c r="GA486" s="35"/>
      <c r="GB486" s="318"/>
      <c r="GC486" s="325"/>
      <c r="GD486" s="325"/>
      <c r="GE486" s="325">
        <v>1</v>
      </c>
      <c r="GF486" s="325"/>
      <c r="GG486" s="325"/>
    </row>
    <row r="487" spans="1:189" x14ac:dyDescent="0.35">
      <c r="A487" s="6" t="s">
        <v>1751</v>
      </c>
      <c r="B487" s="6" t="str">
        <f>IF(Technologies!B487&lt;&gt;0,Technologies!B487,"")</f>
        <v>Industrie</v>
      </c>
      <c r="C487" s="6" t="str">
        <f>VLOOKUP($A487,Technologies!$A$7:$H$576,3,FALSE)</f>
        <v>Emission</v>
      </c>
      <c r="D487" s="6" t="str">
        <f>VLOOKUP($A487,Technologies!$A$7:$H$576,4,FALSE)</f>
        <v>Industry</v>
      </c>
      <c r="E487" s="6" t="str">
        <f>VLOOKUP($A487,Technologies!$A$7:$H$576,6,FALSE)</f>
        <v>Emitted neGHG - Industry - N2O</v>
      </c>
      <c r="F487" s="48" t="str">
        <f>VLOOKUP($A487,Technologies!$A$7:$H$576,7,FALSE)</f>
        <v>MACC Component 1 - neGHG N2O Other</v>
      </c>
      <c r="G487" s="22"/>
      <c r="H487" s="22"/>
      <c r="I487" s="103" cm="1">
        <f t="array" ref="I487">-SUMPRODUCT((Feedstocks!$C$4:$C$141=A487)*Feedstocks!$E$4:$E$141,Feedstocks!$F$4:$F$141,Feedstocks!$H$4:$H$141,Feedstocks!$I$4:$I$141)</f>
        <v>0</v>
      </c>
      <c r="J487" s="103" cm="1">
        <f t="array" ref="J487">-SUMPRODUCT((Feedstocks!$C$4:$C$141=A487)*Feedstocks!$E$4:$E$141,Feedstocks!$H$4:$H$141,Feedstocks!$I$4:$I$141)</f>
        <v>0</v>
      </c>
      <c r="K487" s="103"/>
      <c r="L487" s="103"/>
      <c r="M487" s="22"/>
      <c r="N487" s="22" t="str">
        <f>VLOOKUP(E487,Activities!$A$9:$M$227,13,FALSE)</f>
        <v>NL</v>
      </c>
      <c r="O487" s="22"/>
      <c r="P487" s="80" t="s">
        <v>415</v>
      </c>
      <c r="Q487" s="36"/>
      <c r="R487" s="36"/>
      <c r="S487" s="36"/>
      <c r="T487" s="36"/>
      <c r="U487" s="36"/>
      <c r="V487" s="36"/>
      <c r="W487" s="36"/>
      <c r="X487" s="36"/>
      <c r="Y487" s="36"/>
      <c r="Z487" s="36"/>
      <c r="AA487" s="36"/>
      <c r="AB487" s="36"/>
      <c r="AC487" s="36"/>
      <c r="AD487" s="36"/>
      <c r="AE487" s="36"/>
      <c r="AF487" s="35"/>
      <c r="AG487" s="35"/>
      <c r="AH487" s="35"/>
      <c r="AI487" s="35"/>
      <c r="AJ487" s="35"/>
      <c r="AK487" s="35"/>
      <c r="AL487" s="35"/>
      <c r="AM487" s="35"/>
      <c r="AN487" s="35"/>
      <c r="AO487" s="35"/>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c r="BS487" s="36"/>
      <c r="BT487" s="36"/>
      <c r="BU487" s="36"/>
      <c r="BV487" s="36"/>
      <c r="BW487" s="36"/>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c r="CW487" s="36"/>
      <c r="CX487" s="36"/>
      <c r="CY487" s="36"/>
      <c r="CZ487" s="36"/>
      <c r="DA487" s="36"/>
      <c r="DB487" s="36"/>
      <c r="DC487" s="36"/>
      <c r="DD487" s="36"/>
      <c r="DE487" s="36"/>
      <c r="DF487" s="36"/>
      <c r="DG487" s="36"/>
      <c r="DH487" s="36"/>
      <c r="DI487" s="36"/>
      <c r="DJ487" s="36"/>
      <c r="DK487" s="36"/>
      <c r="DL487" s="36"/>
      <c r="DM487" s="36"/>
      <c r="DN487" s="36"/>
      <c r="DO487" s="36"/>
      <c r="DP487" s="36"/>
      <c r="DQ487" s="36"/>
      <c r="DR487" s="36"/>
      <c r="DS487" s="36"/>
      <c r="DT487" s="36"/>
      <c r="DU487" s="36"/>
      <c r="DV487" s="36"/>
      <c r="DW487" s="36"/>
      <c r="DX487" s="36"/>
      <c r="DY487" s="36"/>
      <c r="DZ487" s="36"/>
      <c r="EA487" s="36"/>
      <c r="EB487" s="36"/>
      <c r="EC487" s="36"/>
      <c r="ED487" s="36"/>
      <c r="EE487" s="36"/>
      <c r="EF487" s="36"/>
      <c r="EG487" s="36"/>
      <c r="EH487" s="36"/>
      <c r="EI487" s="36"/>
      <c r="EJ487" s="36"/>
      <c r="EK487" s="36"/>
      <c r="EL487" s="36"/>
      <c r="EM487" s="36"/>
      <c r="EN487" s="36"/>
      <c r="EO487" s="36"/>
      <c r="EP487" s="36"/>
      <c r="EQ487" s="36"/>
      <c r="ER487" s="36"/>
      <c r="ES487" s="36"/>
      <c r="ET487" s="36"/>
      <c r="EU487" s="36"/>
      <c r="EV487" s="36"/>
      <c r="EW487" s="36"/>
      <c r="EX487" s="36"/>
      <c r="EY487" s="36"/>
      <c r="EZ487" s="36"/>
      <c r="FA487" s="36"/>
      <c r="FB487" s="36"/>
      <c r="FC487" s="36"/>
      <c r="FD487" s="36"/>
      <c r="FE487" s="36"/>
      <c r="FF487" s="36"/>
      <c r="FG487" s="36"/>
      <c r="FH487" s="36"/>
      <c r="FI487" s="36"/>
      <c r="FJ487" s="36"/>
      <c r="FK487" s="36"/>
      <c r="FL487" s="36"/>
      <c r="FM487" s="36"/>
      <c r="FN487" s="36"/>
      <c r="FO487" s="36"/>
      <c r="FP487" s="36"/>
      <c r="FQ487" s="36"/>
      <c r="FR487" s="36"/>
      <c r="FS487" s="36"/>
      <c r="FT487" s="36"/>
      <c r="FU487" s="36"/>
      <c r="FV487" s="36">
        <v>-1</v>
      </c>
      <c r="FW487" s="36"/>
      <c r="FX487" s="36"/>
      <c r="FY487" s="36"/>
      <c r="FZ487" s="36"/>
      <c r="GA487" s="36"/>
      <c r="GB487" s="319"/>
      <c r="GC487" s="324"/>
      <c r="GD487" s="324"/>
      <c r="GE487" s="324"/>
      <c r="GF487" s="324"/>
      <c r="GG487" s="324"/>
    </row>
    <row r="488" spans="1:189" x14ac:dyDescent="0.35">
      <c r="A488" s="5" t="s">
        <v>1752</v>
      </c>
      <c r="B488" s="6" t="str">
        <f>IF(Technologies!B488&lt;&gt;0,Technologies!B488,"")</f>
        <v>Industrie</v>
      </c>
      <c r="C488" s="5" t="str">
        <f>VLOOKUP($A488,Technologies!$A$7:$H$576,3,FALSE)</f>
        <v>Emission</v>
      </c>
      <c r="D488" s="5" t="str">
        <f>VLOOKUP($A488,Technologies!$A$7:$H$576,4,FALSE)</f>
        <v>Industry</v>
      </c>
      <c r="E488" s="5" t="str">
        <f>VLOOKUP($A488,Technologies!$A$7:$H$576,6,FALSE)</f>
        <v>Emitted neGHG - Industry - F-gas</v>
      </c>
      <c r="F488" s="5" t="str">
        <f>VLOOKUP($A488,Technologies!$A$7:$H$576,7,FALSE)</f>
        <v>Emitted neGHG - Industry - F-gas</v>
      </c>
      <c r="G488" s="23"/>
      <c r="H488" s="23"/>
      <c r="I488" s="104" cm="1">
        <f t="array" ref="I488">-SUMPRODUCT((Feedstocks!$C$4:$C$141=A488)*Feedstocks!$E$4:$E$141,Feedstocks!$F$4:$F$141,Feedstocks!$H$4:$H$141,Feedstocks!$I$4:$I$141)</f>
        <v>0</v>
      </c>
      <c r="J488" s="104" cm="1">
        <f t="array" ref="J488">-SUMPRODUCT((Feedstocks!$C$4:$C$141=A488)*Feedstocks!$E$4:$E$141,Feedstocks!$H$4:$H$141,Feedstocks!$I$4:$I$141)</f>
        <v>0</v>
      </c>
      <c r="K488" s="104"/>
      <c r="L488" s="104"/>
      <c r="M488" s="23"/>
      <c r="N488" s="23" t="str">
        <f>VLOOKUP(E488,Activities!$A$9:$M$227,13,FALSE)</f>
        <v>NL</v>
      </c>
      <c r="O488" s="23"/>
      <c r="P488" s="79" t="s">
        <v>415</v>
      </c>
      <c r="Q488" s="35"/>
      <c r="R488" s="35"/>
      <c r="S488" s="35"/>
      <c r="T488" s="35"/>
      <c r="U488" s="35"/>
      <c r="V488" s="35"/>
      <c r="W488" s="35"/>
      <c r="X488" s="35"/>
      <c r="Y488" s="35"/>
      <c r="Z488" s="35"/>
      <c r="AA488" s="35"/>
      <c r="AB488" s="35"/>
      <c r="AC488" s="35"/>
      <c r="AD488" s="35"/>
      <c r="AE488" s="35"/>
      <c r="AF488" s="36"/>
      <c r="AG488" s="36"/>
      <c r="AH488" s="36"/>
      <c r="AI488" s="36"/>
      <c r="AJ488" s="36"/>
      <c r="AK488" s="36"/>
      <c r="AL488" s="36"/>
      <c r="AM488" s="36"/>
      <c r="AN488" s="36"/>
      <c r="AO488" s="36"/>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v>-1</v>
      </c>
      <c r="FX488" s="35"/>
      <c r="FY488" s="35"/>
      <c r="FZ488" s="35"/>
      <c r="GA488" s="35"/>
      <c r="GB488" s="318"/>
      <c r="GC488" s="325"/>
      <c r="GD488" s="325"/>
      <c r="GE488" s="325">
        <v>1</v>
      </c>
      <c r="GF488" s="325"/>
      <c r="GG488" s="325"/>
    </row>
    <row r="489" spans="1:189" x14ac:dyDescent="0.35">
      <c r="A489" s="6" t="s">
        <v>1754</v>
      </c>
      <c r="B489" s="6" t="str">
        <f>IF(Technologies!B489&lt;&gt;0,Technologies!B489,"")</f>
        <v>Industrie</v>
      </c>
      <c r="C489" s="6" t="str">
        <f>VLOOKUP($A489,Technologies!$A$7:$H$576,3,FALSE)</f>
        <v>Emission</v>
      </c>
      <c r="D489" s="6" t="str">
        <f>VLOOKUP($A489,Technologies!$A$7:$H$576,4,FALSE)</f>
        <v>Industry</v>
      </c>
      <c r="E489" s="6" t="str">
        <f>VLOOKUP($A489,Technologies!$A$7:$H$576,6,FALSE)</f>
        <v>Emitted neGHG - Industry - F-gas</v>
      </c>
      <c r="F489" s="48" t="str">
        <f>VLOOKUP($A489,Technologies!$A$7:$H$576,7,FALSE)</f>
        <v>MACC Component 1 - neGHG F-gas Refrigerator</v>
      </c>
      <c r="G489" s="22"/>
      <c r="H489" s="22"/>
      <c r="I489" s="103" cm="1">
        <f t="array" ref="I489">-SUMPRODUCT((Feedstocks!$C$4:$C$141=A489)*Feedstocks!$E$4:$E$141,Feedstocks!$F$4:$F$141,Feedstocks!$H$4:$H$141,Feedstocks!$I$4:$I$141)</f>
        <v>0</v>
      </c>
      <c r="J489" s="103" cm="1">
        <f t="array" ref="J489">-SUMPRODUCT((Feedstocks!$C$4:$C$141=A489)*Feedstocks!$E$4:$E$141,Feedstocks!$H$4:$H$141,Feedstocks!$I$4:$I$141)</f>
        <v>0</v>
      </c>
      <c r="K489" s="103"/>
      <c r="L489" s="103"/>
      <c r="M489" s="22"/>
      <c r="N489" s="22" t="str">
        <f>VLOOKUP(E489,Activities!$A$9:$M$227,13,FALSE)</f>
        <v>NL</v>
      </c>
      <c r="O489" s="22"/>
      <c r="P489" s="80" t="s">
        <v>415</v>
      </c>
      <c r="Q489" s="36"/>
      <c r="R489" s="36"/>
      <c r="S489" s="36"/>
      <c r="T489" s="36"/>
      <c r="U489" s="36"/>
      <c r="V489" s="36"/>
      <c r="W489" s="36"/>
      <c r="X489" s="36"/>
      <c r="Y489" s="36"/>
      <c r="Z489" s="36"/>
      <c r="AA489" s="36"/>
      <c r="AB489" s="36"/>
      <c r="AC489" s="36"/>
      <c r="AD489" s="36"/>
      <c r="AE489" s="36"/>
      <c r="AF489" s="35"/>
      <c r="AG489" s="35"/>
      <c r="AH489" s="35"/>
      <c r="AI489" s="35"/>
      <c r="AJ489" s="35"/>
      <c r="AK489" s="35"/>
      <c r="AL489" s="35"/>
      <c r="AM489" s="35"/>
      <c r="AN489" s="35"/>
      <c r="AO489" s="35"/>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36"/>
      <c r="BV489" s="36"/>
      <c r="BW489" s="36"/>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36"/>
      <c r="CT489" s="36"/>
      <c r="CU489" s="36"/>
      <c r="CV489" s="36"/>
      <c r="CW489" s="36"/>
      <c r="CX489" s="36"/>
      <c r="CY489" s="36"/>
      <c r="CZ489" s="36"/>
      <c r="DA489" s="36"/>
      <c r="DB489" s="36"/>
      <c r="DC489" s="36"/>
      <c r="DD489" s="36"/>
      <c r="DE489" s="36"/>
      <c r="DF489" s="36"/>
      <c r="DG489" s="36"/>
      <c r="DH489" s="36"/>
      <c r="DI489" s="36"/>
      <c r="DJ489" s="36"/>
      <c r="DK489" s="36"/>
      <c r="DL489" s="36"/>
      <c r="DM489" s="36"/>
      <c r="DN489" s="36"/>
      <c r="DO489" s="36"/>
      <c r="DP489" s="36"/>
      <c r="DQ489" s="36"/>
      <c r="DR489" s="36"/>
      <c r="DS489" s="36"/>
      <c r="DT489" s="36"/>
      <c r="DU489" s="36"/>
      <c r="DV489" s="36"/>
      <c r="DW489" s="36"/>
      <c r="DX489" s="36"/>
      <c r="DY489" s="36"/>
      <c r="DZ489" s="36"/>
      <c r="EA489" s="36"/>
      <c r="EB489" s="36"/>
      <c r="EC489" s="36"/>
      <c r="ED489" s="36"/>
      <c r="EE489" s="36"/>
      <c r="EF489" s="36"/>
      <c r="EG489" s="36"/>
      <c r="EH489" s="36"/>
      <c r="EI489" s="36"/>
      <c r="EJ489" s="36"/>
      <c r="EK489" s="36"/>
      <c r="EL489" s="36"/>
      <c r="EM489" s="36"/>
      <c r="EN489" s="36"/>
      <c r="EO489" s="36"/>
      <c r="EP489" s="36"/>
      <c r="EQ489" s="36"/>
      <c r="ER489" s="36"/>
      <c r="ES489" s="36"/>
      <c r="ET489" s="36"/>
      <c r="EU489" s="36"/>
      <c r="EV489" s="36"/>
      <c r="EW489" s="36"/>
      <c r="EX489" s="36"/>
      <c r="EY489" s="36"/>
      <c r="EZ489" s="36"/>
      <c r="FA489" s="36"/>
      <c r="FB489" s="36"/>
      <c r="FC489" s="36"/>
      <c r="FD489" s="36"/>
      <c r="FE489" s="36"/>
      <c r="FF489" s="36"/>
      <c r="FG489" s="36"/>
      <c r="FH489" s="36"/>
      <c r="FI489" s="36"/>
      <c r="FJ489" s="36"/>
      <c r="FK489" s="36"/>
      <c r="FL489" s="36"/>
      <c r="FM489" s="36"/>
      <c r="FN489" s="36"/>
      <c r="FO489" s="36"/>
      <c r="FP489" s="36"/>
      <c r="FQ489" s="36"/>
      <c r="FR489" s="36"/>
      <c r="FS489" s="36"/>
      <c r="FT489" s="36"/>
      <c r="FU489" s="36"/>
      <c r="FV489" s="36"/>
      <c r="FW489" s="36">
        <v>-1</v>
      </c>
      <c r="FX489" s="36"/>
      <c r="FY489" s="36"/>
      <c r="FZ489" s="36"/>
      <c r="GA489" s="36"/>
      <c r="GB489" s="319"/>
      <c r="GC489" s="324"/>
      <c r="GD489" s="324"/>
      <c r="GE489" s="324"/>
      <c r="GF489" s="324"/>
      <c r="GG489" s="324"/>
    </row>
    <row r="490" spans="1:189" x14ac:dyDescent="0.35">
      <c r="A490" s="5" t="s">
        <v>1756</v>
      </c>
      <c r="B490" s="6" t="str">
        <f>IF(Technologies!B490&lt;&gt;0,Technologies!B490,"")</f>
        <v>Industrie</v>
      </c>
      <c r="C490" s="5" t="str">
        <f>VLOOKUP($A490,Technologies!$A$7:$H$576,3,FALSE)</f>
        <v>Emission</v>
      </c>
      <c r="D490" s="5" t="str">
        <f>VLOOKUP($A490,Technologies!$A$7:$H$576,4,FALSE)</f>
        <v>Industry</v>
      </c>
      <c r="E490" s="5" t="str">
        <f>VLOOKUP($A490,Technologies!$A$7:$H$576,6,FALSE)</f>
        <v>Emitted neGHG - Industry - F-gas</v>
      </c>
      <c r="F490" s="5" t="str">
        <f>VLOOKUP($A490,Technologies!$A$7:$H$576,7,FALSE)</f>
        <v>MACC Component 2 - neGHG F-gas Refrigerator</v>
      </c>
      <c r="G490" s="23"/>
      <c r="H490" s="23"/>
      <c r="I490" s="104" cm="1">
        <f t="array" ref="I490">-SUMPRODUCT((Feedstocks!$C$4:$C$141=A490)*Feedstocks!$E$4:$E$141,Feedstocks!$F$4:$F$141,Feedstocks!$H$4:$H$141,Feedstocks!$I$4:$I$141)</f>
        <v>0</v>
      </c>
      <c r="J490" s="104" cm="1">
        <f t="array" ref="J490">-SUMPRODUCT((Feedstocks!$C$4:$C$141=A490)*Feedstocks!$E$4:$E$141,Feedstocks!$H$4:$H$141,Feedstocks!$I$4:$I$141)</f>
        <v>0</v>
      </c>
      <c r="K490" s="104"/>
      <c r="L490" s="104"/>
      <c r="M490" s="23"/>
      <c r="N490" s="23" t="str">
        <f>VLOOKUP(E490,Activities!$A$9:$M$227,13,FALSE)</f>
        <v>NL</v>
      </c>
      <c r="O490" s="23"/>
      <c r="P490" s="79" t="s">
        <v>415</v>
      </c>
      <c r="Q490" s="35"/>
      <c r="R490" s="35"/>
      <c r="S490" s="35"/>
      <c r="T490" s="35"/>
      <c r="U490" s="35"/>
      <c r="V490" s="35"/>
      <c r="W490" s="35"/>
      <c r="X490" s="35"/>
      <c r="Y490" s="35"/>
      <c r="Z490" s="35"/>
      <c r="AA490" s="35"/>
      <c r="AB490" s="35"/>
      <c r="AC490" s="35"/>
      <c r="AD490" s="35"/>
      <c r="AE490" s="35"/>
      <c r="AF490" s="36"/>
      <c r="AG490" s="36"/>
      <c r="AH490" s="36"/>
      <c r="AI490" s="36"/>
      <c r="AJ490" s="36"/>
      <c r="AK490" s="36"/>
      <c r="AL490" s="36"/>
      <c r="AM490" s="36"/>
      <c r="AN490" s="36"/>
      <c r="AO490" s="36"/>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v>-1</v>
      </c>
      <c r="FX490" s="35"/>
      <c r="FY490" s="35"/>
      <c r="FZ490" s="35"/>
      <c r="GA490" s="35"/>
      <c r="GB490" s="318"/>
      <c r="GC490" s="325"/>
      <c r="GD490" s="325"/>
      <c r="GE490" s="325"/>
      <c r="GF490" s="325"/>
      <c r="GG490" s="325"/>
    </row>
    <row r="491" spans="1:189" x14ac:dyDescent="0.35">
      <c r="A491" s="6" t="s">
        <v>1758</v>
      </c>
      <c r="B491" s="6" t="str">
        <f>IF(Technologies!B491&lt;&gt;0,Technologies!B491,"")</f>
        <v>Industrie</v>
      </c>
      <c r="C491" s="6" t="str">
        <f>VLOOKUP($A491,Technologies!$A$7:$H$576,3,FALSE)</f>
        <v>Emission</v>
      </c>
      <c r="D491" s="6" t="str">
        <f>VLOOKUP($A491,Technologies!$A$7:$H$576,4,FALSE)</f>
        <v>Industry</v>
      </c>
      <c r="E491" s="6" t="str">
        <f>VLOOKUP($A491,Technologies!$A$7:$H$576,6,FALSE)</f>
        <v>Emitted neGHG - Industry - F-gas</v>
      </c>
      <c r="F491" s="48" t="str">
        <f>VLOOKUP($A491,Technologies!$A$7:$H$576,7,FALSE)</f>
        <v>MACC Component 1 - neGHG F-gas Other</v>
      </c>
      <c r="G491" s="22"/>
      <c r="H491" s="22"/>
      <c r="I491" s="103" cm="1">
        <f t="array" ref="I491">-SUMPRODUCT((Feedstocks!$C$4:$C$141=A491)*Feedstocks!$E$4:$E$141,Feedstocks!$F$4:$F$141,Feedstocks!$H$4:$H$141,Feedstocks!$I$4:$I$141)</f>
        <v>0</v>
      </c>
      <c r="J491" s="103" cm="1">
        <f t="array" ref="J491">-SUMPRODUCT((Feedstocks!$C$4:$C$141=A491)*Feedstocks!$E$4:$E$141,Feedstocks!$H$4:$H$141,Feedstocks!$I$4:$I$141)</f>
        <v>0</v>
      </c>
      <c r="K491" s="103"/>
      <c r="L491" s="103">
        <v>1</v>
      </c>
      <c r="M491" s="22"/>
      <c r="N491" s="22" t="str">
        <f>VLOOKUP(E491,Activities!$A$9:$M$227,13,FALSE)</f>
        <v>NL</v>
      </c>
      <c r="O491" s="22"/>
      <c r="P491" s="80" t="s">
        <v>415</v>
      </c>
      <c r="Q491" s="36"/>
      <c r="R491" s="36"/>
      <c r="S491" s="36"/>
      <c r="T491" s="36"/>
      <c r="U491" s="36"/>
      <c r="V491" s="36"/>
      <c r="W491" s="36"/>
      <c r="X491" s="36"/>
      <c r="Y491" s="36"/>
      <c r="Z491" s="36"/>
      <c r="AA491" s="36"/>
      <c r="AB491" s="36"/>
      <c r="AC491" s="36"/>
      <c r="AD491" s="36"/>
      <c r="AE491" s="36"/>
      <c r="AF491" s="35"/>
      <c r="AG491" s="35"/>
      <c r="AH491" s="35"/>
      <c r="AI491" s="35"/>
      <c r="AJ491" s="35"/>
      <c r="AK491" s="35"/>
      <c r="AL491" s="35"/>
      <c r="AM491" s="35"/>
      <c r="AN491" s="35"/>
      <c r="AO491" s="35"/>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36"/>
      <c r="BV491" s="36"/>
      <c r="BW491" s="36"/>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36"/>
      <c r="CT491" s="36"/>
      <c r="CU491" s="36"/>
      <c r="CV491" s="36"/>
      <c r="CW491" s="36"/>
      <c r="CX491" s="36"/>
      <c r="CY491" s="36"/>
      <c r="CZ491" s="36"/>
      <c r="DA491" s="36"/>
      <c r="DB491" s="36"/>
      <c r="DC491" s="36"/>
      <c r="DD491" s="36"/>
      <c r="DE491" s="36"/>
      <c r="DF491" s="36"/>
      <c r="DG491" s="36"/>
      <c r="DH491" s="36"/>
      <c r="DI491" s="36"/>
      <c r="DJ491" s="36"/>
      <c r="DK491" s="36"/>
      <c r="DL491" s="36"/>
      <c r="DM491" s="36"/>
      <c r="DN491" s="36"/>
      <c r="DO491" s="36"/>
      <c r="DP491" s="36"/>
      <c r="DQ491" s="36"/>
      <c r="DR491" s="36"/>
      <c r="DS491" s="36"/>
      <c r="DT491" s="36"/>
      <c r="DU491" s="36"/>
      <c r="DV491" s="36"/>
      <c r="DW491" s="36"/>
      <c r="DX491" s="36"/>
      <c r="DY491" s="36"/>
      <c r="DZ491" s="36"/>
      <c r="EA491" s="36"/>
      <c r="EB491" s="36"/>
      <c r="EC491" s="36"/>
      <c r="ED491" s="36"/>
      <c r="EE491" s="36"/>
      <c r="EF491" s="36"/>
      <c r="EG491" s="36"/>
      <c r="EH491" s="36"/>
      <c r="EI491" s="36"/>
      <c r="EJ491" s="36"/>
      <c r="EK491" s="36"/>
      <c r="EL491" s="36"/>
      <c r="EM491" s="36"/>
      <c r="EN491" s="36"/>
      <c r="EO491" s="36"/>
      <c r="EP491" s="36"/>
      <c r="EQ491" s="36"/>
      <c r="ER491" s="36"/>
      <c r="ES491" s="36"/>
      <c r="ET491" s="36"/>
      <c r="EU491" s="36"/>
      <c r="EV491" s="36"/>
      <c r="EW491" s="36"/>
      <c r="EX491" s="36"/>
      <c r="EY491" s="36"/>
      <c r="EZ491" s="36"/>
      <c r="FA491" s="36"/>
      <c r="FB491" s="36"/>
      <c r="FC491" s="36"/>
      <c r="FD491" s="36"/>
      <c r="FE491" s="36"/>
      <c r="FF491" s="36"/>
      <c r="FG491" s="36"/>
      <c r="FH491" s="36"/>
      <c r="FI491" s="36"/>
      <c r="FJ491" s="36"/>
      <c r="FK491" s="36"/>
      <c r="FL491" s="36"/>
      <c r="FM491" s="36"/>
      <c r="FN491" s="36"/>
      <c r="FO491" s="36"/>
      <c r="FP491" s="36"/>
      <c r="FQ491" s="36"/>
      <c r="FR491" s="36"/>
      <c r="FS491" s="36"/>
      <c r="FT491" s="36"/>
      <c r="FU491" s="36"/>
      <c r="FV491" s="36"/>
      <c r="FW491" s="36">
        <v>-1</v>
      </c>
      <c r="FX491" s="36"/>
      <c r="FY491" s="36"/>
      <c r="FZ491" s="36"/>
      <c r="GA491" s="36"/>
      <c r="GB491" s="319"/>
      <c r="GC491" s="324"/>
      <c r="GD491" s="324"/>
      <c r="GE491" s="324"/>
      <c r="GF491" s="324"/>
      <c r="GG491" s="324"/>
    </row>
    <row r="492" spans="1:189" x14ac:dyDescent="0.35">
      <c r="A492" s="5" t="s">
        <v>1760</v>
      </c>
      <c r="B492" s="6" t="str">
        <f>IF(Technologies!B492&lt;&gt;0,Technologies!B492,"")</f>
        <v>Mobiliteit</v>
      </c>
      <c r="C492" s="5" t="str">
        <f>VLOOKUP($A492,Technologies!$A$7:$H$576,3,FALSE)</f>
        <v>Emission</v>
      </c>
      <c r="D492" s="5" t="str">
        <f>VLOOKUP($A492,Technologies!$A$7:$H$576,4,FALSE)</f>
        <v>Transport</v>
      </c>
      <c r="E492" s="5" t="str">
        <f>VLOOKUP($A492,Technologies!$A$7:$H$576,6,FALSE)</f>
        <v>Emitted neGHG - Transport - CH4</v>
      </c>
      <c r="F492" s="5" t="str">
        <f>VLOOKUP($A492,Technologies!$A$7:$H$576,7,FALSE)</f>
        <v>Emitted neGHG - Transport - CH4</v>
      </c>
      <c r="G492" s="23"/>
      <c r="H492" s="23"/>
      <c r="I492" s="104" cm="1">
        <f t="array" ref="I492">-SUMPRODUCT((Feedstocks!$C$4:$C$141=A492)*Feedstocks!$E$4:$E$141,Feedstocks!$F$4:$F$141,Feedstocks!$H$4:$H$141,Feedstocks!$I$4:$I$141)</f>
        <v>0</v>
      </c>
      <c r="J492" s="104" cm="1">
        <f t="array" ref="J492">-SUMPRODUCT((Feedstocks!$C$4:$C$141=A492)*Feedstocks!$E$4:$E$141,Feedstocks!$H$4:$H$141,Feedstocks!$I$4:$I$141)</f>
        <v>0</v>
      </c>
      <c r="K492" s="104"/>
      <c r="L492" s="104"/>
      <c r="M492" s="23"/>
      <c r="N492" s="23" t="str">
        <f>VLOOKUP(E492,Activities!$A$9:$M$227,13,FALSE)</f>
        <v>NL</v>
      </c>
      <c r="O492" s="23"/>
      <c r="P492" s="79" t="s">
        <v>1519</v>
      </c>
      <c r="Q492" s="35"/>
      <c r="R492" s="35"/>
      <c r="S492" s="35"/>
      <c r="T492" s="35"/>
      <c r="U492" s="35"/>
      <c r="V492" s="35"/>
      <c r="W492" s="35"/>
      <c r="X492" s="35"/>
      <c r="Y492" s="35"/>
      <c r="Z492" s="35"/>
      <c r="AA492" s="35"/>
      <c r="AB492" s="35"/>
      <c r="AC492" s="35"/>
      <c r="AD492" s="35"/>
      <c r="AE492" s="35"/>
      <c r="AF492" s="36"/>
      <c r="AG492" s="36"/>
      <c r="AH492" s="36"/>
      <c r="AI492" s="36"/>
      <c r="AJ492" s="36"/>
      <c r="AK492" s="36"/>
      <c r="AL492" s="36"/>
      <c r="AM492" s="36"/>
      <c r="AN492" s="36"/>
      <c r="AO492" s="36"/>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v>-1</v>
      </c>
      <c r="FY492" s="35"/>
      <c r="FZ492" s="35"/>
      <c r="GA492" s="35"/>
      <c r="GB492" s="318"/>
      <c r="GC492" s="325"/>
      <c r="GD492" s="325"/>
      <c r="GE492" s="325">
        <v>1</v>
      </c>
      <c r="GF492" s="325"/>
      <c r="GG492" s="325"/>
    </row>
    <row r="493" spans="1:189" x14ac:dyDescent="0.35">
      <c r="A493" s="6" t="s">
        <v>1761</v>
      </c>
      <c r="B493" s="6" t="str">
        <f>IF(Technologies!B493&lt;&gt;0,Technologies!B493,"")</f>
        <v>Mobiliteit</v>
      </c>
      <c r="C493" s="6" t="str">
        <f>VLOOKUP($A493,Technologies!$A$7:$H$576,3,FALSE)</f>
        <v>Emission</v>
      </c>
      <c r="D493" s="6" t="str">
        <f>VLOOKUP($A493,Technologies!$A$7:$H$576,4,FALSE)</f>
        <v>Transport</v>
      </c>
      <c r="E493" s="6" t="str">
        <f>VLOOKUP($A493,Technologies!$A$7:$H$576,6,FALSE)</f>
        <v>Emitted neGHG - Transport - CH4</v>
      </c>
      <c r="F493" s="48" t="str">
        <f>VLOOKUP($A493,Technologies!$A$7:$H$576,7,FALSE)</f>
        <v>MACC Component 1 - neGHG CH4 Other</v>
      </c>
      <c r="G493" s="22"/>
      <c r="H493" s="22"/>
      <c r="I493" s="103" cm="1">
        <f t="array" ref="I493">-SUMPRODUCT((Feedstocks!$C$4:$C$141=A493)*Feedstocks!$E$4:$E$141,Feedstocks!$F$4:$F$141,Feedstocks!$H$4:$H$141,Feedstocks!$I$4:$I$141)</f>
        <v>0</v>
      </c>
      <c r="J493" s="103" cm="1">
        <f t="array" ref="J493">-SUMPRODUCT((Feedstocks!$C$4:$C$141=A493)*Feedstocks!$E$4:$E$141,Feedstocks!$H$4:$H$141,Feedstocks!$I$4:$I$141)</f>
        <v>0</v>
      </c>
      <c r="K493" s="103"/>
      <c r="L493" s="103"/>
      <c r="M493" s="22"/>
      <c r="N493" s="22" t="str">
        <f>VLOOKUP(E493,Activities!$A$9:$M$227,13,FALSE)</f>
        <v>NL</v>
      </c>
      <c r="O493" s="22"/>
      <c r="P493" s="80" t="s">
        <v>415</v>
      </c>
      <c r="Q493" s="36"/>
      <c r="R493" s="36"/>
      <c r="S493" s="36"/>
      <c r="T493" s="36"/>
      <c r="U493" s="36"/>
      <c r="V493" s="36"/>
      <c r="W493" s="36"/>
      <c r="X493" s="36"/>
      <c r="Y493" s="36"/>
      <c r="Z493" s="36"/>
      <c r="AA493" s="36"/>
      <c r="AB493" s="36"/>
      <c r="AC493" s="36"/>
      <c r="AD493" s="36"/>
      <c r="AE493" s="36"/>
      <c r="AF493" s="35"/>
      <c r="AG493" s="35"/>
      <c r="AH493" s="35"/>
      <c r="AI493" s="35"/>
      <c r="AJ493" s="35"/>
      <c r="AK493" s="35"/>
      <c r="AL493" s="35"/>
      <c r="AM493" s="35"/>
      <c r="AN493" s="35"/>
      <c r="AO493" s="35"/>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c r="BS493" s="36"/>
      <c r="BT493" s="36"/>
      <c r="BU493" s="36"/>
      <c r="BV493" s="36"/>
      <c r="BW493" s="36"/>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c r="CW493" s="36"/>
      <c r="CX493" s="36"/>
      <c r="CY493" s="36"/>
      <c r="CZ493" s="36"/>
      <c r="DA493" s="36"/>
      <c r="DB493" s="36"/>
      <c r="DC493" s="36"/>
      <c r="DD493" s="36"/>
      <c r="DE493" s="36"/>
      <c r="DF493" s="36"/>
      <c r="DG493" s="36"/>
      <c r="DH493" s="36"/>
      <c r="DI493" s="36"/>
      <c r="DJ493" s="36"/>
      <c r="DK493" s="36"/>
      <c r="DL493" s="36"/>
      <c r="DM493" s="36"/>
      <c r="DN493" s="36"/>
      <c r="DO493" s="36"/>
      <c r="DP493" s="36"/>
      <c r="DQ493" s="36"/>
      <c r="DR493" s="36"/>
      <c r="DS493" s="36"/>
      <c r="DT493" s="36"/>
      <c r="DU493" s="36"/>
      <c r="DV493" s="36"/>
      <c r="DW493" s="36"/>
      <c r="DX493" s="36"/>
      <c r="DY493" s="36"/>
      <c r="DZ493" s="36"/>
      <c r="EA493" s="36"/>
      <c r="EB493" s="36"/>
      <c r="EC493" s="36"/>
      <c r="ED493" s="36"/>
      <c r="EE493" s="36"/>
      <c r="EF493" s="36"/>
      <c r="EG493" s="36"/>
      <c r="EH493" s="36"/>
      <c r="EI493" s="36"/>
      <c r="EJ493" s="36"/>
      <c r="EK493" s="36"/>
      <c r="EL493" s="36"/>
      <c r="EM493" s="36"/>
      <c r="EN493" s="36"/>
      <c r="EO493" s="36"/>
      <c r="EP493" s="36"/>
      <c r="EQ493" s="36"/>
      <c r="ER493" s="36"/>
      <c r="ES493" s="36"/>
      <c r="ET493" s="36"/>
      <c r="EU493" s="36"/>
      <c r="EV493" s="36"/>
      <c r="EW493" s="36"/>
      <c r="EX493" s="36"/>
      <c r="EY493" s="36"/>
      <c r="EZ493" s="36"/>
      <c r="FA493" s="36"/>
      <c r="FB493" s="36"/>
      <c r="FC493" s="36"/>
      <c r="FD493" s="36"/>
      <c r="FE493" s="36"/>
      <c r="FF493" s="36"/>
      <c r="FG493" s="36"/>
      <c r="FH493" s="36"/>
      <c r="FI493" s="36"/>
      <c r="FJ493" s="36"/>
      <c r="FK493" s="36"/>
      <c r="FL493" s="36"/>
      <c r="FM493" s="36"/>
      <c r="FN493" s="36"/>
      <c r="FO493" s="36"/>
      <c r="FP493" s="36"/>
      <c r="FQ493" s="36"/>
      <c r="FR493" s="36"/>
      <c r="FS493" s="36"/>
      <c r="FT493" s="36"/>
      <c r="FU493" s="36"/>
      <c r="FV493" s="36"/>
      <c r="FW493" s="36"/>
      <c r="FX493" s="36">
        <v>-1</v>
      </c>
      <c r="FY493" s="36"/>
      <c r="FZ493" s="36"/>
      <c r="GA493" s="36"/>
      <c r="GB493" s="319"/>
      <c r="GC493" s="324"/>
      <c r="GD493" s="324"/>
      <c r="GE493" s="324"/>
      <c r="GF493" s="324"/>
      <c r="GG493" s="324"/>
    </row>
    <row r="494" spans="1:189" x14ac:dyDescent="0.35">
      <c r="A494" s="5" t="s">
        <v>1762</v>
      </c>
      <c r="B494" s="6" t="str">
        <f>IF(Technologies!B494&lt;&gt;0,Technologies!B494,"")</f>
        <v>Mobiliteit</v>
      </c>
      <c r="C494" s="5" t="str">
        <f>VLOOKUP($A494,Technologies!$A$7:$H$576,3,FALSE)</f>
        <v>Emission</v>
      </c>
      <c r="D494" s="5" t="str">
        <f>VLOOKUP($A494,Technologies!$A$7:$H$576,4,FALSE)</f>
        <v>Transport</v>
      </c>
      <c r="E494" s="5" t="str">
        <f>VLOOKUP($A494,Technologies!$A$7:$H$576,6,FALSE)</f>
        <v>Emitted neGHG - Transport - N2O</v>
      </c>
      <c r="F494" s="5" t="str">
        <f>VLOOKUP($A494,Technologies!$A$7:$H$576,7,FALSE)</f>
        <v>Emitted neGHG - Transport - N2O</v>
      </c>
      <c r="G494" s="23"/>
      <c r="H494" s="23"/>
      <c r="I494" s="104" cm="1">
        <f t="array" ref="I494">-SUMPRODUCT((Feedstocks!$C$4:$C$141=A494)*Feedstocks!$E$4:$E$141,Feedstocks!$F$4:$F$141,Feedstocks!$H$4:$H$141,Feedstocks!$I$4:$I$141)</f>
        <v>0</v>
      </c>
      <c r="J494" s="104" cm="1">
        <f t="array" ref="J494">-SUMPRODUCT((Feedstocks!$C$4:$C$141=A494)*Feedstocks!$E$4:$E$141,Feedstocks!$H$4:$H$141,Feedstocks!$I$4:$I$141)</f>
        <v>0</v>
      </c>
      <c r="K494" s="104"/>
      <c r="L494" s="104"/>
      <c r="M494" s="23"/>
      <c r="N494" s="23" t="str">
        <f>VLOOKUP(E494,Activities!$A$9:$M$227,13,FALSE)</f>
        <v>NL</v>
      </c>
      <c r="O494" s="23"/>
      <c r="P494" s="79" t="s">
        <v>415</v>
      </c>
      <c r="Q494" s="35"/>
      <c r="R494" s="35"/>
      <c r="S494" s="35"/>
      <c r="T494" s="35"/>
      <c r="U494" s="35"/>
      <c r="V494" s="35"/>
      <c r="W494" s="35"/>
      <c r="X494" s="35"/>
      <c r="Y494" s="35"/>
      <c r="Z494" s="35"/>
      <c r="AA494" s="35"/>
      <c r="AB494" s="35"/>
      <c r="AC494" s="35"/>
      <c r="AD494" s="35"/>
      <c r="AE494" s="35"/>
      <c r="AF494" s="36"/>
      <c r="AG494" s="36"/>
      <c r="AH494" s="36"/>
      <c r="AI494" s="36"/>
      <c r="AJ494" s="36"/>
      <c r="AK494" s="36"/>
      <c r="AL494" s="36"/>
      <c r="AM494" s="36"/>
      <c r="AN494" s="36"/>
      <c r="AO494" s="36"/>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v>-1</v>
      </c>
      <c r="FZ494" s="35"/>
      <c r="GA494" s="35"/>
      <c r="GB494" s="318"/>
      <c r="GC494" s="325"/>
      <c r="GD494" s="325"/>
      <c r="GE494" s="325">
        <v>1</v>
      </c>
      <c r="GF494" s="325"/>
      <c r="GG494" s="325"/>
    </row>
    <row r="495" spans="1:189" x14ac:dyDescent="0.35">
      <c r="A495" s="6" t="s">
        <v>1763</v>
      </c>
      <c r="B495" s="6" t="str">
        <f>IF(Technologies!B495&lt;&gt;0,Technologies!B495,"")</f>
        <v>Mobiliteit</v>
      </c>
      <c r="C495" s="6" t="str">
        <f>VLOOKUP($A495,Technologies!$A$7:$H$576,3,FALSE)</f>
        <v>Emission</v>
      </c>
      <c r="D495" s="6" t="str">
        <f>VLOOKUP($A495,Technologies!$A$7:$H$576,4,FALSE)</f>
        <v>Transport</v>
      </c>
      <c r="E495" s="6" t="str">
        <f>VLOOKUP($A495,Technologies!$A$7:$H$576,6,FALSE)</f>
        <v>Emitted neGHG - Transport - N2O</v>
      </c>
      <c r="F495" s="48" t="str">
        <f>VLOOKUP($A495,Technologies!$A$7:$H$576,7,FALSE)</f>
        <v>MACC Component 1 - neGHG N2O Other</v>
      </c>
      <c r="G495" s="22"/>
      <c r="H495" s="22"/>
      <c r="I495" s="103" cm="1">
        <f t="array" ref="I495">-SUMPRODUCT((Feedstocks!$C$4:$C$141=A495)*Feedstocks!$E$4:$E$141,Feedstocks!$F$4:$F$141,Feedstocks!$H$4:$H$141,Feedstocks!$I$4:$I$141)</f>
        <v>0</v>
      </c>
      <c r="J495" s="103" cm="1">
        <f t="array" ref="J495">-SUMPRODUCT((Feedstocks!$C$4:$C$141=A495)*Feedstocks!$E$4:$E$141,Feedstocks!$H$4:$H$141,Feedstocks!$I$4:$I$141)</f>
        <v>0</v>
      </c>
      <c r="K495" s="103"/>
      <c r="L495" s="103"/>
      <c r="M495" s="22"/>
      <c r="N495" s="22" t="str">
        <f>VLOOKUP(E495,Activities!$A$9:$M$227,13,FALSE)</f>
        <v>NL</v>
      </c>
      <c r="O495" s="22"/>
      <c r="P495" s="80" t="s">
        <v>415</v>
      </c>
      <c r="Q495" s="36"/>
      <c r="R495" s="36"/>
      <c r="S495" s="36"/>
      <c r="T495" s="36"/>
      <c r="U495" s="36"/>
      <c r="V495" s="36"/>
      <c r="W495" s="36"/>
      <c r="X495" s="36"/>
      <c r="Y495" s="36"/>
      <c r="Z495" s="36"/>
      <c r="AA495" s="36"/>
      <c r="AB495" s="36"/>
      <c r="AC495" s="36"/>
      <c r="AD495" s="36"/>
      <c r="AE495" s="36"/>
      <c r="AF495" s="35"/>
      <c r="AG495" s="35"/>
      <c r="AH495" s="35"/>
      <c r="AI495" s="35"/>
      <c r="AJ495" s="35"/>
      <c r="AK495" s="35"/>
      <c r="AL495" s="35"/>
      <c r="AM495" s="35"/>
      <c r="AN495" s="35"/>
      <c r="AO495" s="35"/>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c r="BS495" s="36"/>
      <c r="BT495" s="36"/>
      <c r="BU495" s="36"/>
      <c r="BV495" s="36"/>
      <c r="BW495" s="36"/>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c r="CW495" s="36"/>
      <c r="CX495" s="36"/>
      <c r="CY495" s="36"/>
      <c r="CZ495" s="36"/>
      <c r="DA495" s="36"/>
      <c r="DB495" s="36"/>
      <c r="DC495" s="36"/>
      <c r="DD495" s="36"/>
      <c r="DE495" s="36"/>
      <c r="DF495" s="36"/>
      <c r="DG495" s="36"/>
      <c r="DH495" s="36"/>
      <c r="DI495" s="36"/>
      <c r="DJ495" s="36"/>
      <c r="DK495" s="36"/>
      <c r="DL495" s="36"/>
      <c r="DM495" s="36"/>
      <c r="DN495" s="36"/>
      <c r="DO495" s="36"/>
      <c r="DP495" s="36"/>
      <c r="DQ495" s="36"/>
      <c r="DR495" s="36"/>
      <c r="DS495" s="36"/>
      <c r="DT495" s="36"/>
      <c r="DU495" s="36"/>
      <c r="DV495" s="36"/>
      <c r="DW495" s="36"/>
      <c r="DX495" s="36"/>
      <c r="DY495" s="36"/>
      <c r="DZ495" s="36"/>
      <c r="EA495" s="36"/>
      <c r="EB495" s="36"/>
      <c r="EC495" s="36"/>
      <c r="ED495" s="36"/>
      <c r="EE495" s="36"/>
      <c r="EF495" s="36"/>
      <c r="EG495" s="36"/>
      <c r="EH495" s="36"/>
      <c r="EI495" s="36"/>
      <c r="EJ495" s="36"/>
      <c r="EK495" s="36"/>
      <c r="EL495" s="36"/>
      <c r="EM495" s="36"/>
      <c r="EN495" s="36"/>
      <c r="EO495" s="36"/>
      <c r="EP495" s="36"/>
      <c r="EQ495" s="36"/>
      <c r="ER495" s="36"/>
      <c r="ES495" s="36"/>
      <c r="ET495" s="36"/>
      <c r="EU495" s="36"/>
      <c r="EV495" s="36"/>
      <c r="EW495" s="36"/>
      <c r="EX495" s="36"/>
      <c r="EY495" s="36"/>
      <c r="EZ495" s="36"/>
      <c r="FA495" s="36"/>
      <c r="FB495" s="36"/>
      <c r="FC495" s="36"/>
      <c r="FD495" s="36"/>
      <c r="FE495" s="36"/>
      <c r="FF495" s="36"/>
      <c r="FG495" s="36"/>
      <c r="FH495" s="36"/>
      <c r="FI495" s="36"/>
      <c r="FJ495" s="36"/>
      <c r="FK495" s="36"/>
      <c r="FL495" s="36"/>
      <c r="FM495" s="36"/>
      <c r="FN495" s="36"/>
      <c r="FO495" s="36"/>
      <c r="FP495" s="36"/>
      <c r="FQ495" s="36"/>
      <c r="FR495" s="36"/>
      <c r="FS495" s="36"/>
      <c r="FT495" s="36"/>
      <c r="FU495" s="36"/>
      <c r="FV495" s="36"/>
      <c r="FW495" s="36"/>
      <c r="FX495" s="36"/>
      <c r="FY495" s="36">
        <v>-1</v>
      </c>
      <c r="FZ495" s="36"/>
      <c r="GA495" s="36"/>
      <c r="GB495" s="319"/>
      <c r="GC495" s="324"/>
      <c r="GD495" s="324"/>
      <c r="GE495" s="324"/>
      <c r="GF495" s="324"/>
      <c r="GG495" s="324"/>
    </row>
    <row r="496" spans="1:189" x14ac:dyDescent="0.35">
      <c r="A496" s="5" t="s">
        <v>1764</v>
      </c>
      <c r="B496" s="6" t="str">
        <f>IF(Technologies!B496&lt;&gt;0,Technologies!B496,"")</f>
        <v>Mobiliteit</v>
      </c>
      <c r="C496" s="5" t="str">
        <f>VLOOKUP($A496,Technologies!$A$7:$H$576,3,FALSE)</f>
        <v>Emission</v>
      </c>
      <c r="D496" s="5" t="str">
        <f>VLOOKUP($A496,Technologies!$A$7:$H$576,4,FALSE)</f>
        <v>Transport</v>
      </c>
      <c r="E496" s="5" t="str">
        <f>VLOOKUP($A496,Technologies!$A$7:$H$576,6,FALSE)</f>
        <v>Emitted neGHG - Transport - F-gas</v>
      </c>
      <c r="F496" s="5" t="str">
        <f>VLOOKUP($A496,Technologies!$A$7:$H$576,7,FALSE)</f>
        <v>Emitted neGHG - Transport - F-gas</v>
      </c>
      <c r="G496" s="23"/>
      <c r="H496" s="23"/>
      <c r="I496" s="104" cm="1">
        <f t="array" ref="I496">-SUMPRODUCT((Feedstocks!$C$4:$C$141=A496)*Feedstocks!$E$4:$E$141,Feedstocks!$F$4:$F$141,Feedstocks!$H$4:$H$141,Feedstocks!$I$4:$I$141)</f>
        <v>0</v>
      </c>
      <c r="J496" s="104" cm="1">
        <f t="array" ref="J496">-SUMPRODUCT((Feedstocks!$C$4:$C$141=A496)*Feedstocks!$E$4:$E$141,Feedstocks!$H$4:$H$141,Feedstocks!$I$4:$I$141)</f>
        <v>0</v>
      </c>
      <c r="K496" s="104"/>
      <c r="L496" s="104"/>
      <c r="M496" s="23"/>
      <c r="N496" s="23" t="str">
        <f>VLOOKUP(E496,Activities!$A$9:$M$227,13,FALSE)</f>
        <v>NL</v>
      </c>
      <c r="O496" s="23"/>
      <c r="P496" s="79" t="s">
        <v>415</v>
      </c>
      <c r="Q496" s="35"/>
      <c r="R496" s="35"/>
      <c r="S496" s="35"/>
      <c r="T496" s="35"/>
      <c r="U496" s="35"/>
      <c r="V496" s="35"/>
      <c r="W496" s="35"/>
      <c r="X496" s="35"/>
      <c r="Y496" s="35"/>
      <c r="Z496" s="35"/>
      <c r="AA496" s="35"/>
      <c r="AB496" s="35"/>
      <c r="AC496" s="35"/>
      <c r="AD496" s="35"/>
      <c r="AE496" s="35"/>
      <c r="AF496" s="36"/>
      <c r="AG496" s="36"/>
      <c r="AH496" s="36"/>
      <c r="AI496" s="36"/>
      <c r="AJ496" s="36"/>
      <c r="AK496" s="36"/>
      <c r="AL496" s="36"/>
      <c r="AM496" s="36"/>
      <c r="AN496" s="36"/>
      <c r="AO496" s="36"/>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v>-1</v>
      </c>
      <c r="GA496" s="35"/>
      <c r="GB496" s="318"/>
      <c r="GC496" s="325"/>
      <c r="GD496" s="325"/>
      <c r="GE496" s="325">
        <v>1</v>
      </c>
      <c r="GF496" s="325"/>
      <c r="GG496" s="325"/>
    </row>
    <row r="497" spans="1:189" x14ac:dyDescent="0.35">
      <c r="A497" s="6" t="s">
        <v>1765</v>
      </c>
      <c r="B497" s="6" t="str">
        <f>IF(Technologies!B497&lt;&gt;0,Technologies!B497,"")</f>
        <v>Mobiliteit</v>
      </c>
      <c r="C497" s="6" t="str">
        <f>VLOOKUP($A497,Technologies!$A$7:$H$576,3,FALSE)</f>
        <v>Emission</v>
      </c>
      <c r="D497" s="6" t="str">
        <f>VLOOKUP($A497,Technologies!$A$7:$H$576,4,FALSE)</f>
        <v>Transport</v>
      </c>
      <c r="E497" s="6" t="str">
        <f>VLOOKUP($A497,Technologies!$A$7:$H$576,6,FALSE)</f>
        <v>Emitted neGHG - Transport - F-gas</v>
      </c>
      <c r="F497" s="48" t="str">
        <f>VLOOKUP($A497,Technologies!$A$7:$H$576,7,FALSE)</f>
        <v>MACC Component 1 - neGHG F-gas Other</v>
      </c>
      <c r="G497" s="22"/>
      <c r="H497" s="22"/>
      <c r="I497" s="103" cm="1">
        <f t="array" ref="I497">-SUMPRODUCT((Feedstocks!$C$4:$C$141=A497)*Feedstocks!$E$4:$E$141,Feedstocks!$F$4:$F$141,Feedstocks!$H$4:$H$141,Feedstocks!$I$4:$I$141)</f>
        <v>0</v>
      </c>
      <c r="J497" s="103" cm="1">
        <f t="array" ref="J497">-SUMPRODUCT((Feedstocks!$C$4:$C$141=A497)*Feedstocks!$E$4:$E$141,Feedstocks!$H$4:$H$141,Feedstocks!$I$4:$I$141)</f>
        <v>0</v>
      </c>
      <c r="K497" s="103"/>
      <c r="L497" s="103"/>
      <c r="M497" s="22"/>
      <c r="N497" s="22" t="str">
        <f>VLOOKUP(E497,Activities!$A$9:$M$227,13,FALSE)</f>
        <v>NL</v>
      </c>
      <c r="O497" s="22"/>
      <c r="P497" s="80" t="s">
        <v>415</v>
      </c>
      <c r="Q497" s="36"/>
      <c r="R497" s="36"/>
      <c r="S497" s="36"/>
      <c r="T497" s="36"/>
      <c r="U497" s="36"/>
      <c r="V497" s="36"/>
      <c r="W497" s="36"/>
      <c r="X497" s="36"/>
      <c r="Y497" s="36"/>
      <c r="Z497" s="36"/>
      <c r="AA497" s="36"/>
      <c r="AB497" s="36"/>
      <c r="AC497" s="36"/>
      <c r="AD497" s="36"/>
      <c r="AE497" s="36"/>
      <c r="AF497" s="35"/>
      <c r="AG497" s="35"/>
      <c r="AH497" s="35"/>
      <c r="AI497" s="35"/>
      <c r="AJ497" s="35"/>
      <c r="AK497" s="35"/>
      <c r="AL497" s="35"/>
      <c r="AM497" s="35"/>
      <c r="AN497" s="35"/>
      <c r="AO497" s="35"/>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36"/>
      <c r="BV497" s="36"/>
      <c r="BW497" s="36"/>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c r="CW497" s="36"/>
      <c r="CX497" s="36"/>
      <c r="CY497" s="36"/>
      <c r="CZ497" s="36"/>
      <c r="DA497" s="36"/>
      <c r="DB497" s="36"/>
      <c r="DC497" s="36"/>
      <c r="DD497" s="36"/>
      <c r="DE497" s="36"/>
      <c r="DF497" s="36"/>
      <c r="DG497" s="36"/>
      <c r="DH497" s="36"/>
      <c r="DI497" s="36"/>
      <c r="DJ497" s="36"/>
      <c r="DK497" s="36"/>
      <c r="DL497" s="36"/>
      <c r="DM497" s="36"/>
      <c r="DN497" s="36"/>
      <c r="DO497" s="36"/>
      <c r="DP497" s="36"/>
      <c r="DQ497" s="36"/>
      <c r="DR497" s="36"/>
      <c r="DS497" s="36"/>
      <c r="DT497" s="36"/>
      <c r="DU497" s="36"/>
      <c r="DV497" s="36"/>
      <c r="DW497" s="36"/>
      <c r="DX497" s="36"/>
      <c r="DY497" s="36"/>
      <c r="DZ497" s="36"/>
      <c r="EA497" s="36"/>
      <c r="EB497" s="36"/>
      <c r="EC497" s="36"/>
      <c r="ED497" s="36"/>
      <c r="EE497" s="36"/>
      <c r="EF497" s="36"/>
      <c r="EG497" s="36"/>
      <c r="EH497" s="36"/>
      <c r="EI497" s="36"/>
      <c r="EJ497" s="36"/>
      <c r="EK497" s="36"/>
      <c r="EL497" s="36"/>
      <c r="EM497" s="36"/>
      <c r="EN497" s="36"/>
      <c r="EO497" s="36"/>
      <c r="EP497" s="36"/>
      <c r="EQ497" s="36"/>
      <c r="ER497" s="36"/>
      <c r="ES497" s="36"/>
      <c r="ET497" s="36"/>
      <c r="EU497" s="36"/>
      <c r="EV497" s="36"/>
      <c r="EW497" s="36"/>
      <c r="EX497" s="36"/>
      <c r="EY497" s="36"/>
      <c r="EZ497" s="36"/>
      <c r="FA497" s="36"/>
      <c r="FB497" s="36"/>
      <c r="FC497" s="36"/>
      <c r="FD497" s="36"/>
      <c r="FE497" s="36"/>
      <c r="FF497" s="36"/>
      <c r="FG497" s="36"/>
      <c r="FH497" s="36"/>
      <c r="FI497" s="36"/>
      <c r="FJ497" s="36"/>
      <c r="FK497" s="36"/>
      <c r="FL497" s="36"/>
      <c r="FM497" s="36"/>
      <c r="FN497" s="36"/>
      <c r="FO497" s="36"/>
      <c r="FP497" s="36"/>
      <c r="FQ497" s="36"/>
      <c r="FR497" s="36"/>
      <c r="FS497" s="36"/>
      <c r="FT497" s="36"/>
      <c r="FU497" s="36"/>
      <c r="FV497" s="36"/>
      <c r="FW497" s="36"/>
      <c r="FX497" s="36"/>
      <c r="FY497" s="36"/>
      <c r="FZ497" s="36">
        <v>-1</v>
      </c>
      <c r="GA497" s="36"/>
      <c r="GB497" s="319"/>
      <c r="GC497" s="324"/>
      <c r="GD497" s="324"/>
      <c r="GE497" s="324"/>
      <c r="GF497" s="324"/>
      <c r="GG497" s="324"/>
    </row>
    <row r="498" spans="1:189" x14ac:dyDescent="0.35">
      <c r="A498" s="5" t="s">
        <v>1766</v>
      </c>
      <c r="B498" s="6" t="str">
        <f>IF(Technologies!B498&lt;&gt;0,Technologies!B498,"")</f>
        <v>Landgebruik</v>
      </c>
      <c r="C498" s="5" t="str">
        <f>VLOOKUP($A498,Technologies!$A$7:$H$576,3,FALSE)</f>
        <v>Emission</v>
      </c>
      <c r="D498" s="5" t="str">
        <f>VLOOKUP($A498,Technologies!$A$7:$H$576,4,FALSE)</f>
        <v>LULUCF</v>
      </c>
      <c r="E498" s="5" t="str">
        <f>VLOOKUP($A498,Technologies!$A$7:$H$576,6,FALSE)</f>
        <v>Emitted neGHG - LULUCF - CO2</v>
      </c>
      <c r="F498" s="5" t="str">
        <f>VLOOKUP($A498,Technologies!$A$7:$H$576,7,FALSE)</f>
        <v>Emitted neGHG - LULUCF - CO2</v>
      </c>
      <c r="G498" s="23"/>
      <c r="H498" s="23"/>
      <c r="I498" s="104" cm="1">
        <f t="array" ref="I498">-SUMPRODUCT((Feedstocks!$C$4:$C$141=A498)*Feedstocks!$E$4:$E$141,Feedstocks!$F$4:$F$141,Feedstocks!$H$4:$H$141,Feedstocks!$I$4:$I$141)</f>
        <v>0</v>
      </c>
      <c r="J498" s="104" cm="1">
        <f t="array" ref="J498">-SUMPRODUCT((Feedstocks!$C$4:$C$141=A498)*Feedstocks!$E$4:$E$141,Feedstocks!$H$4:$H$141,Feedstocks!$I$4:$I$141)</f>
        <v>0</v>
      </c>
      <c r="K498" s="104"/>
      <c r="L498" s="104"/>
      <c r="M498" s="23"/>
      <c r="N498" s="23" t="str">
        <f>VLOOKUP(E498,Activities!$A$9:$M$227,13,FALSE)</f>
        <v>NL</v>
      </c>
      <c r="O498" s="23"/>
      <c r="P498" s="79" t="s">
        <v>415</v>
      </c>
      <c r="Q498" s="35"/>
      <c r="R498" s="35"/>
      <c r="S498" s="35"/>
      <c r="T498" s="35"/>
      <c r="U498" s="35"/>
      <c r="V498" s="35"/>
      <c r="W498" s="35"/>
      <c r="X498" s="35"/>
      <c r="Y498" s="35"/>
      <c r="Z498" s="35"/>
      <c r="AA498" s="35"/>
      <c r="AB498" s="35"/>
      <c r="AC498" s="35"/>
      <c r="AD498" s="35"/>
      <c r="AE498" s="35"/>
      <c r="AF498" s="36"/>
      <c r="AG498" s="36"/>
      <c r="AH498" s="36"/>
      <c r="AI498" s="36"/>
      <c r="AJ498" s="36"/>
      <c r="AK498" s="36"/>
      <c r="AL498" s="36"/>
      <c r="AM498" s="36"/>
      <c r="AN498" s="36"/>
      <c r="AO498" s="36"/>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v>-1</v>
      </c>
      <c r="GB498" s="318"/>
      <c r="GC498" s="325"/>
      <c r="GD498" s="325"/>
      <c r="GE498" s="325">
        <v>1</v>
      </c>
      <c r="GF498" s="325"/>
      <c r="GG498" s="325"/>
    </row>
    <row r="499" spans="1:189" x14ac:dyDescent="0.35">
      <c r="A499" s="6" t="s">
        <v>1767</v>
      </c>
      <c r="B499" s="6" t="str">
        <f>IF(Technologies!B499&lt;&gt;0,Technologies!B499,"")</f>
        <v>Landgebruik</v>
      </c>
      <c r="C499" s="6" t="str">
        <f>VLOOKUP($A499,Technologies!$A$7:$H$576,3,FALSE)</f>
        <v>Emission</v>
      </c>
      <c r="D499" s="6" t="str">
        <f>VLOOKUP($A499,Technologies!$A$7:$H$576,4,FALSE)</f>
        <v>LULUCF</v>
      </c>
      <c r="E499" s="6" t="str">
        <f>VLOOKUP($A499,Technologies!$A$7:$H$576,6,FALSE)</f>
        <v>Emitted neGHG - LULUCF - CO2</v>
      </c>
      <c r="F499" s="48" t="str">
        <f>VLOOKUP($A499,Technologies!$A$7:$H$576,7,FALSE)</f>
        <v>MACC Component 1 - neGHG CO2 Other</v>
      </c>
      <c r="G499" s="22"/>
      <c r="H499" s="22"/>
      <c r="I499" s="103" cm="1">
        <f t="array" ref="I499">-SUMPRODUCT((Feedstocks!$C$4:$C$141=A499)*Feedstocks!$E$4:$E$141,Feedstocks!$F$4:$F$141,Feedstocks!$H$4:$H$141,Feedstocks!$I$4:$I$141)</f>
        <v>0</v>
      </c>
      <c r="J499" s="103" cm="1">
        <f t="array" ref="J499">-SUMPRODUCT((Feedstocks!$C$4:$C$141=A499)*Feedstocks!$E$4:$E$141,Feedstocks!$H$4:$H$141,Feedstocks!$I$4:$I$141)</f>
        <v>0</v>
      </c>
      <c r="K499" s="103"/>
      <c r="L499" s="103">
        <v>1</v>
      </c>
      <c r="M499" s="22"/>
      <c r="N499" s="22" t="str">
        <f>VLOOKUP(E499,Activities!$A$9:$M$227,13,FALSE)</f>
        <v>NL</v>
      </c>
      <c r="O499" s="22"/>
      <c r="P499" s="80" t="s">
        <v>415</v>
      </c>
      <c r="Q499" s="36"/>
      <c r="R499" s="36"/>
      <c r="S499" s="36"/>
      <c r="T499" s="36"/>
      <c r="U499" s="36"/>
      <c r="V499" s="36"/>
      <c r="W499" s="36"/>
      <c r="X499" s="36"/>
      <c r="Y499" s="36"/>
      <c r="Z499" s="36"/>
      <c r="AA499" s="36"/>
      <c r="AB499" s="36"/>
      <c r="AC499" s="36"/>
      <c r="AD499" s="36"/>
      <c r="AE499" s="36"/>
      <c r="AF499" s="35"/>
      <c r="AG499" s="35"/>
      <c r="AH499" s="35"/>
      <c r="AI499" s="35"/>
      <c r="AJ499" s="35"/>
      <c r="AK499" s="35"/>
      <c r="AL499" s="35"/>
      <c r="AM499" s="35"/>
      <c r="AN499" s="35"/>
      <c r="AO499" s="35"/>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c r="BS499" s="36"/>
      <c r="BT499" s="36"/>
      <c r="BU499" s="36"/>
      <c r="BV499" s="36"/>
      <c r="BW499" s="36"/>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c r="CW499" s="36"/>
      <c r="CX499" s="36"/>
      <c r="CY499" s="36"/>
      <c r="CZ499" s="36"/>
      <c r="DA499" s="36"/>
      <c r="DB499" s="36"/>
      <c r="DC499" s="36"/>
      <c r="DD499" s="36"/>
      <c r="DE499" s="36"/>
      <c r="DF499" s="36"/>
      <c r="DG499" s="36"/>
      <c r="DH499" s="36"/>
      <c r="DI499" s="36"/>
      <c r="DJ499" s="36"/>
      <c r="DK499" s="36"/>
      <c r="DL499" s="36"/>
      <c r="DM499" s="36"/>
      <c r="DN499" s="36"/>
      <c r="DO499" s="36"/>
      <c r="DP499" s="36"/>
      <c r="DQ499" s="36"/>
      <c r="DR499" s="36"/>
      <c r="DS499" s="36"/>
      <c r="DT499" s="36"/>
      <c r="DU499" s="36"/>
      <c r="DV499" s="36"/>
      <c r="DW499" s="36"/>
      <c r="DX499" s="36"/>
      <c r="DY499" s="36"/>
      <c r="DZ499" s="36"/>
      <c r="EA499" s="36"/>
      <c r="EB499" s="36"/>
      <c r="EC499" s="36"/>
      <c r="ED499" s="36"/>
      <c r="EE499" s="36"/>
      <c r="EF499" s="36"/>
      <c r="EG499" s="36"/>
      <c r="EH499" s="36"/>
      <c r="EI499" s="36"/>
      <c r="EJ499" s="36"/>
      <c r="EK499" s="36"/>
      <c r="EL499" s="36"/>
      <c r="EM499" s="36"/>
      <c r="EN499" s="36"/>
      <c r="EO499" s="36"/>
      <c r="EP499" s="36"/>
      <c r="EQ499" s="36"/>
      <c r="ER499" s="36"/>
      <c r="ES499" s="36"/>
      <c r="ET499" s="36"/>
      <c r="EU499" s="36"/>
      <c r="EV499" s="36"/>
      <c r="EW499" s="36"/>
      <c r="EX499" s="36"/>
      <c r="EY499" s="36"/>
      <c r="EZ499" s="36"/>
      <c r="FA499" s="36"/>
      <c r="FB499" s="36"/>
      <c r="FC499" s="36"/>
      <c r="FD499" s="36"/>
      <c r="FE499" s="36"/>
      <c r="FF499" s="36"/>
      <c r="FG499" s="36"/>
      <c r="FH499" s="36"/>
      <c r="FI499" s="36"/>
      <c r="FJ499" s="36"/>
      <c r="FK499" s="36"/>
      <c r="FL499" s="36"/>
      <c r="FM499" s="36"/>
      <c r="FN499" s="36"/>
      <c r="FO499" s="36"/>
      <c r="FP499" s="36"/>
      <c r="FQ499" s="36"/>
      <c r="FR499" s="36"/>
      <c r="FS499" s="36"/>
      <c r="FT499" s="36"/>
      <c r="FU499" s="36"/>
      <c r="FV499" s="36"/>
      <c r="FW499" s="36"/>
      <c r="FX499" s="36"/>
      <c r="FY499" s="36"/>
      <c r="FZ499" s="36"/>
      <c r="GA499" s="36">
        <v>-1</v>
      </c>
      <c r="GB499" s="319"/>
      <c r="GC499" s="324"/>
      <c r="GD499" s="324"/>
      <c r="GE499" s="324"/>
      <c r="GF499" s="324"/>
      <c r="GG499" s="324"/>
    </row>
    <row r="500" spans="1:189" x14ac:dyDescent="0.35">
      <c r="A500" s="5" t="s">
        <v>1768</v>
      </c>
      <c r="B500" s="6" t="str">
        <f>IF(Technologies!B500&lt;&gt;0,Technologies!B500,"")</f>
        <v>Industrie</v>
      </c>
      <c r="C500" s="5" t="str">
        <f>VLOOKUP($A500,Technologies!$A$7:$H$576,3,FALSE)</f>
        <v>Emission</v>
      </c>
      <c r="D500" s="5" t="str">
        <f>VLOOKUP($A500,Technologies!$A$7:$H$576,4,FALSE)</f>
        <v>Industry</v>
      </c>
      <c r="E500" s="5" t="str">
        <f>VLOOKUP($A500,Technologies!$A$7:$H$576,6,FALSE)</f>
        <v>CO2 CCUS Network</v>
      </c>
      <c r="F500" s="5" t="str">
        <f>VLOOKUP($A500,Technologies!$A$7:$H$576,7,FALSE)</f>
        <v>CO2 Storage</v>
      </c>
      <c r="G500" s="23"/>
      <c r="H500" s="23">
        <v>1</v>
      </c>
      <c r="I500" s="104" cm="1">
        <f t="array" ref="I500">-SUMPRODUCT((Feedstocks!$C$4:$C$141=A500)*Feedstocks!$E$4:$E$141,Feedstocks!$F$4:$F$141,Feedstocks!$H$4:$H$141,Feedstocks!$I$4:$I$141)</f>
        <v>0</v>
      </c>
      <c r="J500" s="104" cm="1">
        <f t="array" ref="J500">-SUMPRODUCT((Feedstocks!$C$4:$C$141=A500)*Feedstocks!$E$4:$E$141,Feedstocks!$H$4:$H$141,Feedstocks!$I$4:$I$141)</f>
        <v>0</v>
      </c>
      <c r="K500" s="104"/>
      <c r="L500" s="104"/>
      <c r="M500" s="23"/>
      <c r="N500" s="23" t="str">
        <f>VLOOKUP(E500,Activities!$A$9:$M$227,13,FALSE)</f>
        <v>NL</v>
      </c>
      <c r="O500" s="23"/>
      <c r="P500" s="79" t="s">
        <v>415</v>
      </c>
      <c r="Q500" s="35"/>
      <c r="R500" s="35"/>
      <c r="S500" s="35"/>
      <c r="T500" s="35"/>
      <c r="U500" s="35"/>
      <c r="V500" s="35"/>
      <c r="W500" s="35"/>
      <c r="X500" s="35"/>
      <c r="Y500" s="35"/>
      <c r="Z500" s="35"/>
      <c r="AA500" s="35"/>
      <c r="AB500" s="35"/>
      <c r="AC500" s="35"/>
      <c r="AD500" s="35"/>
      <c r="AE500" s="35"/>
      <c r="AF500" s="36"/>
      <c r="AG500" s="36"/>
      <c r="AH500" s="36"/>
      <c r="AI500" s="36"/>
      <c r="AJ500" s="36"/>
      <c r="AK500" s="36"/>
      <c r="AL500" s="36"/>
      <c r="AM500" s="36"/>
      <c r="AN500" s="36"/>
      <c r="AO500" s="36"/>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18"/>
      <c r="GC500" s="325">
        <v>-1</v>
      </c>
      <c r="GD500" s="325"/>
      <c r="GE500" s="325"/>
      <c r="GF500" s="325"/>
      <c r="GG500" s="325"/>
    </row>
    <row r="501" spans="1:189" x14ac:dyDescent="0.35">
      <c r="A501" s="6" t="s">
        <v>1772</v>
      </c>
      <c r="B501" s="6" t="str">
        <f>IF(Technologies!B501&lt;&gt;0,Technologies!B501,"")</f>
        <v>Industrie</v>
      </c>
      <c r="C501" s="6" t="str">
        <f>VLOOKUP($A501,Technologies!$A$7:$H$576,3,FALSE)</f>
        <v>Emission</v>
      </c>
      <c r="D501" s="6" t="str">
        <f>VLOOKUP($A501,Technologies!$A$7:$H$576,4,FALSE)</f>
        <v>Industry</v>
      </c>
      <c r="E501" s="6" t="str">
        <f>VLOOKUP($A501,Technologies!$A$7:$H$576,6,FALSE)</f>
        <v>CO2 CCUS Network</v>
      </c>
      <c r="F501" s="48" t="str">
        <f>VLOOKUP($A501,Technologies!$A$7:$H$576,7,FALSE)</f>
        <v>CO2 from Direct Air Capture under ETS scheme</v>
      </c>
      <c r="G501" s="22"/>
      <c r="H501" s="22"/>
      <c r="I501" s="103" cm="1">
        <f t="array" ref="I501">-SUMPRODUCT((Feedstocks!$C$4:$C$141=A501)*Feedstocks!$E$4:$E$141,Feedstocks!$F$4:$F$141,Feedstocks!$H$4:$H$141,Feedstocks!$I$4:$I$141)</f>
        <v>0</v>
      </c>
      <c r="J501" s="103" cm="1">
        <f t="array" ref="J501">-SUMPRODUCT((Feedstocks!$C$4:$C$141=A501)*Feedstocks!$E$4:$E$141,Feedstocks!$H$4:$H$141,Feedstocks!$I$4:$I$141)</f>
        <v>0</v>
      </c>
      <c r="K501" s="103"/>
      <c r="L501" s="103"/>
      <c r="M501" s="22">
        <v>1</v>
      </c>
      <c r="N501" s="22" t="str">
        <f>VLOOKUP(E501,Activities!$A$9:$M$227,13,FALSE)</f>
        <v>NL</v>
      </c>
      <c r="O501" s="22"/>
      <c r="P501" s="80" t="s">
        <v>415</v>
      </c>
      <c r="Q501" s="36"/>
      <c r="R501" s="36"/>
      <c r="S501" s="36"/>
      <c r="T501" s="36"/>
      <c r="U501" s="36"/>
      <c r="V501" s="36"/>
      <c r="W501" s="36"/>
      <c r="X501" s="36"/>
      <c r="Y501" s="36"/>
      <c r="Z501" s="36"/>
      <c r="AA501" s="36"/>
      <c r="AB501" s="36"/>
      <c r="AC501" s="36"/>
      <c r="AD501" s="36"/>
      <c r="AE501" s="36"/>
      <c r="AF501" s="35"/>
      <c r="AG501" s="35"/>
      <c r="AH501" s="35"/>
      <c r="AI501" s="35"/>
      <c r="AJ501" s="35"/>
      <c r="AK501" s="35"/>
      <c r="AL501" s="35"/>
      <c r="AM501" s="35"/>
      <c r="AN501" s="35"/>
      <c r="AO501" s="35"/>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v>-0.9</v>
      </c>
      <c r="DI501" s="36"/>
      <c r="DJ501" s="36"/>
      <c r="DK501" s="36"/>
      <c r="DL501" s="36"/>
      <c r="DM501" s="36"/>
      <c r="DN501" s="36"/>
      <c r="DO501" s="36">
        <v>-5</v>
      </c>
      <c r="DP501" s="36"/>
      <c r="DQ501" s="36"/>
      <c r="DR501" s="36"/>
      <c r="DS501" s="36"/>
      <c r="DT501" s="36"/>
      <c r="DU501" s="36"/>
      <c r="DV501" s="36"/>
      <c r="DW501" s="36"/>
      <c r="DX501" s="36"/>
      <c r="DY501" s="36"/>
      <c r="DZ501" s="36"/>
      <c r="EA501" s="36"/>
      <c r="EB501" s="36"/>
      <c r="EC501" s="36"/>
      <c r="ED501" s="36"/>
      <c r="EE501" s="36"/>
      <c r="EF501" s="36"/>
      <c r="EG501" s="36"/>
      <c r="EH501" s="36"/>
      <c r="EI501" s="36"/>
      <c r="EJ501" s="36"/>
      <c r="EK501" s="36"/>
      <c r="EL501" s="36"/>
      <c r="EM501" s="36"/>
      <c r="EN501" s="36"/>
      <c r="EO501" s="36"/>
      <c r="EP501" s="36"/>
      <c r="EQ501" s="36"/>
      <c r="ER501" s="36"/>
      <c r="ES501" s="36"/>
      <c r="ET501" s="36"/>
      <c r="EU501" s="36"/>
      <c r="EV501" s="36"/>
      <c r="EW501" s="36"/>
      <c r="EX501" s="36"/>
      <c r="EY501" s="36"/>
      <c r="EZ501" s="36"/>
      <c r="FA501" s="36"/>
      <c r="FB501" s="36"/>
      <c r="FC501" s="36"/>
      <c r="FD501" s="36"/>
      <c r="FE501" s="36"/>
      <c r="FF501" s="36"/>
      <c r="FG501" s="36"/>
      <c r="FH501" s="36"/>
      <c r="FI501" s="36"/>
      <c r="FJ501" s="36"/>
      <c r="FK501" s="36"/>
      <c r="FL501" s="36"/>
      <c r="FM501" s="36"/>
      <c r="FN501" s="36"/>
      <c r="FO501" s="36"/>
      <c r="FP501" s="36"/>
      <c r="FQ501" s="36"/>
      <c r="FR501" s="36"/>
      <c r="FS501" s="36"/>
      <c r="FT501" s="36"/>
      <c r="FU501" s="36"/>
      <c r="FV501" s="36"/>
      <c r="FW501" s="36"/>
      <c r="FX501" s="36"/>
      <c r="FY501" s="36"/>
      <c r="FZ501" s="36"/>
      <c r="GA501" s="36"/>
      <c r="GB501" s="319">
        <f>GC501</f>
        <v>1</v>
      </c>
      <c r="GC501" s="324">
        <v>1</v>
      </c>
      <c r="GD501" s="324">
        <v>-1</v>
      </c>
      <c r="GE501" s="324"/>
      <c r="GF501" s="324"/>
      <c r="GG501" s="324"/>
    </row>
    <row r="502" spans="1:189" x14ac:dyDescent="0.35">
      <c r="A502" s="5" t="s">
        <v>1775</v>
      </c>
      <c r="B502" s="6" t="str">
        <f>IF(Technologies!B502&lt;&gt;0,Technologies!B502,"")</f>
        <v>Industrie</v>
      </c>
      <c r="C502" s="5" t="str">
        <f>VLOOKUP($A502,Technologies!$A$7:$H$576,3,FALSE)</f>
        <v>Emission</v>
      </c>
      <c r="D502" s="5" t="str">
        <f>VLOOKUP($A502,Technologies!$A$7:$H$576,4,FALSE)</f>
        <v>Industry</v>
      </c>
      <c r="E502" s="5" t="str">
        <f>VLOOKUP($A502,Technologies!$A$7:$H$576,6,FALSE)</f>
        <v>CO2 CCUS Network</v>
      </c>
      <c r="F502" s="5" t="str">
        <f>VLOOKUP($A502,Technologies!$A$7:$H$576,7,FALSE)</f>
        <v>CO2 from Direct Air Capture outside ETS scheme</v>
      </c>
      <c r="G502" s="23"/>
      <c r="H502" s="23"/>
      <c r="I502" s="104" cm="1">
        <f t="array" ref="I502">-SUMPRODUCT((Feedstocks!$C$4:$C$141=A502)*Feedstocks!$E$4:$E$141,Feedstocks!$F$4:$F$141,Feedstocks!$H$4:$H$141,Feedstocks!$I$4:$I$141)</f>
        <v>0</v>
      </c>
      <c r="J502" s="104" cm="1">
        <f t="array" ref="J502">-SUMPRODUCT((Feedstocks!$C$4:$C$141=A502)*Feedstocks!$E$4:$E$141,Feedstocks!$H$4:$H$141,Feedstocks!$I$4:$I$141)</f>
        <v>0</v>
      </c>
      <c r="K502" s="104"/>
      <c r="L502" s="104"/>
      <c r="M502" s="23"/>
      <c r="N502" s="23" t="str">
        <f>VLOOKUP(E502,Activities!$A$9:$M$227,13,FALSE)</f>
        <v>NL</v>
      </c>
      <c r="O502" s="23"/>
      <c r="P502" s="79" t="s">
        <v>415</v>
      </c>
      <c r="Q502" s="35"/>
      <c r="R502" s="35"/>
      <c r="S502" s="35"/>
      <c r="T502" s="35"/>
      <c r="U502" s="35"/>
      <c r="V502" s="35"/>
      <c r="W502" s="35"/>
      <c r="X502" s="35"/>
      <c r="Y502" s="35"/>
      <c r="Z502" s="35"/>
      <c r="AA502" s="35"/>
      <c r="AB502" s="35"/>
      <c r="AC502" s="35"/>
      <c r="AD502" s="35"/>
      <c r="AE502" s="35"/>
      <c r="AF502" s="36"/>
      <c r="AG502" s="36"/>
      <c r="AH502" s="36"/>
      <c r="AI502" s="36"/>
      <c r="AJ502" s="36"/>
      <c r="AK502" s="36"/>
      <c r="AL502" s="36"/>
      <c r="AM502" s="36"/>
      <c r="AN502" s="36"/>
      <c r="AO502" s="36"/>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v>-0.9</v>
      </c>
      <c r="DI502" s="35"/>
      <c r="DJ502" s="35"/>
      <c r="DK502" s="35"/>
      <c r="DL502" s="35"/>
      <c r="DM502" s="35"/>
      <c r="DN502" s="35"/>
      <c r="DO502" s="35">
        <v>-5</v>
      </c>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18">
        <f>GC502</f>
        <v>1</v>
      </c>
      <c r="GC502" s="325">
        <v>1</v>
      </c>
      <c r="GD502" s="325"/>
      <c r="GE502" s="325">
        <v>-1</v>
      </c>
      <c r="GF502" s="325"/>
      <c r="GG502" s="325"/>
    </row>
    <row r="503" spans="1:189" x14ac:dyDescent="0.35">
      <c r="A503" s="6" t="s">
        <v>1777</v>
      </c>
      <c r="B503" s="6" t="str">
        <f>IF(Technologies!B503&lt;&gt;0,Technologies!B503,"")</f>
        <v>Industrie</v>
      </c>
      <c r="C503" s="6" t="str">
        <f>VLOOKUP($A503,Technologies!$A$7:$H$576,3,FALSE)</f>
        <v>Emission</v>
      </c>
      <c r="D503" s="6" t="str">
        <f>VLOOKUP($A503,Technologies!$A$7:$H$576,4,FALSE)</f>
        <v>Industry</v>
      </c>
      <c r="E503" s="6" t="str">
        <f>VLOOKUP($A503,Technologies!$A$7:$H$576,6,FALSE)</f>
        <v>CO2 CCUS Network</v>
      </c>
      <c r="F503" s="48" t="str">
        <f>VLOOKUP($A503,Technologies!$A$7:$H$576,7,FALSE)</f>
        <v>Small scale storage buffer - CCUS Network</v>
      </c>
      <c r="G503" s="22"/>
      <c r="H503" s="22"/>
      <c r="I503" s="103" cm="1">
        <f t="array" ref="I503">-SUMPRODUCT((Feedstocks!$C$4:$C$141=A503)*Feedstocks!$E$4:$E$141,Feedstocks!$F$4:$F$141,Feedstocks!$H$4:$H$141,Feedstocks!$I$4:$I$141)</f>
        <v>0</v>
      </c>
      <c r="J503" s="103" cm="1">
        <f t="array" ref="J503">-SUMPRODUCT((Feedstocks!$C$4:$C$141=A503)*Feedstocks!$E$4:$E$141,Feedstocks!$H$4:$H$141,Feedstocks!$I$4:$I$141)</f>
        <v>0</v>
      </c>
      <c r="K503" s="103"/>
      <c r="L503" s="103"/>
      <c r="M503" s="22"/>
      <c r="N503" s="22" t="str">
        <f>VLOOKUP(E503,Activities!$A$9:$M$227,13,FALSE)</f>
        <v>NL</v>
      </c>
      <c r="O503" s="22"/>
      <c r="P503" s="80" t="s">
        <v>415</v>
      </c>
      <c r="Q503" s="36"/>
      <c r="R503" s="36"/>
      <c r="S503" s="36"/>
      <c r="T503" s="36"/>
      <c r="U503" s="36"/>
      <c r="V503" s="36"/>
      <c r="W503" s="36"/>
      <c r="X503" s="36"/>
      <c r="Y503" s="36"/>
      <c r="Z503" s="36"/>
      <c r="AA503" s="36"/>
      <c r="AB503" s="36"/>
      <c r="AC503" s="36"/>
      <c r="AD503" s="36"/>
      <c r="AE503" s="36"/>
      <c r="AF503" s="35"/>
      <c r="AG503" s="35"/>
      <c r="AH503" s="35"/>
      <c r="AI503" s="35"/>
      <c r="AJ503" s="35"/>
      <c r="AK503" s="35"/>
      <c r="AL503" s="35"/>
      <c r="AM503" s="35"/>
      <c r="AN503" s="35"/>
      <c r="AO503" s="35"/>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c r="BS503" s="36"/>
      <c r="BT503" s="36"/>
      <c r="BU503" s="36"/>
      <c r="BV503" s="36"/>
      <c r="BW503" s="36"/>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c r="CW503" s="36"/>
      <c r="CX503" s="36"/>
      <c r="CY503" s="36"/>
      <c r="CZ503" s="36"/>
      <c r="DA503" s="36"/>
      <c r="DB503" s="36"/>
      <c r="DC503" s="36"/>
      <c r="DD503" s="36"/>
      <c r="DE503" s="36"/>
      <c r="DF503" s="36"/>
      <c r="DG503" s="36"/>
      <c r="DH503" s="36"/>
      <c r="DI503" s="36"/>
      <c r="DJ503" s="36"/>
      <c r="DK503" s="36"/>
      <c r="DL503" s="36"/>
      <c r="DM503" s="36"/>
      <c r="DN503" s="36"/>
      <c r="DO503" s="36"/>
      <c r="DP503" s="36"/>
      <c r="DQ503" s="36"/>
      <c r="DR503" s="36"/>
      <c r="DS503" s="36"/>
      <c r="DT503" s="36"/>
      <c r="DU503" s="36"/>
      <c r="DV503" s="36"/>
      <c r="DW503" s="36"/>
      <c r="DX503" s="36"/>
      <c r="DY503" s="36"/>
      <c r="DZ503" s="36"/>
      <c r="EA503" s="36"/>
      <c r="EB503" s="36"/>
      <c r="EC503" s="36"/>
      <c r="ED503" s="36"/>
      <c r="EE503" s="36"/>
      <c r="EF503" s="36"/>
      <c r="EG503" s="36"/>
      <c r="EH503" s="36"/>
      <c r="EI503" s="36"/>
      <c r="EJ503" s="36"/>
      <c r="EK503" s="36"/>
      <c r="EL503" s="36"/>
      <c r="EM503" s="36"/>
      <c r="EN503" s="36"/>
      <c r="EO503" s="36"/>
      <c r="EP503" s="36"/>
      <c r="EQ503" s="36"/>
      <c r="ER503" s="36"/>
      <c r="ES503" s="36"/>
      <c r="ET503" s="36"/>
      <c r="EU503" s="36"/>
      <c r="EV503" s="36"/>
      <c r="EW503" s="36"/>
      <c r="EX503" s="36"/>
      <c r="EY503" s="36"/>
      <c r="EZ503" s="36"/>
      <c r="FA503" s="36"/>
      <c r="FB503" s="36"/>
      <c r="FC503" s="36"/>
      <c r="FD503" s="36"/>
      <c r="FE503" s="36"/>
      <c r="FF503" s="36"/>
      <c r="FG503" s="36"/>
      <c r="FH503" s="36"/>
      <c r="FI503" s="36"/>
      <c r="FJ503" s="36"/>
      <c r="FK503" s="36"/>
      <c r="FL503" s="36"/>
      <c r="FM503" s="36"/>
      <c r="FN503" s="36"/>
      <c r="FO503" s="36"/>
      <c r="FP503" s="36"/>
      <c r="FQ503" s="36"/>
      <c r="FR503" s="36"/>
      <c r="FS503" s="36"/>
      <c r="FT503" s="36"/>
      <c r="FU503" s="36"/>
      <c r="FV503" s="36"/>
      <c r="FW503" s="36"/>
      <c r="FX503" s="36"/>
      <c r="FY503" s="36"/>
      <c r="FZ503" s="36"/>
      <c r="GA503" s="36"/>
      <c r="GB503" s="319"/>
      <c r="GC503" s="324"/>
      <c r="GD503" s="324"/>
      <c r="GE503" s="324"/>
      <c r="GF503" s="324"/>
      <c r="GG503" s="324"/>
    </row>
    <row r="504" spans="1:189" x14ac:dyDescent="0.35">
      <c r="A504" s="5" t="s">
        <v>1780</v>
      </c>
      <c r="B504" s="6" t="str">
        <f>IF(Technologies!B504&lt;&gt;0,Technologies!B504,"")</f>
        <v/>
      </c>
      <c r="C504" s="5" t="str">
        <f>VLOOKUP($A504,Technologies!$A$7:$H$576,3,FALSE)</f>
        <v>Emission</v>
      </c>
      <c r="D504" s="5" t="str">
        <f>VLOOKUP($A504,Technologies!$A$7:$H$576,4,FALSE)</f>
        <v>Emission</v>
      </c>
      <c r="E504" s="5" t="str">
        <f>VLOOKUP($A504,Technologies!$A$7:$H$576,6,FALSE)</f>
        <v>CO2 Air ETS</v>
      </c>
      <c r="F504" s="5" t="str">
        <f>VLOOKUP($A504,Technologies!$A$7:$H$576,7,FALSE)</f>
        <v>CO2 ETS quota</v>
      </c>
      <c r="G504" s="23"/>
      <c r="H504" s="23"/>
      <c r="I504" s="104" cm="1">
        <f t="array" ref="I504">-SUMPRODUCT((Feedstocks!$C$4:$C$141=A504)*Feedstocks!$E$4:$E$141,Feedstocks!$F$4:$F$141,Feedstocks!$H$4:$H$141,Feedstocks!$I$4:$I$141)</f>
        <v>0</v>
      </c>
      <c r="J504" s="104" cm="1">
        <f t="array" ref="J504">-SUMPRODUCT((Feedstocks!$C$4:$C$141=A504)*Feedstocks!$E$4:$E$141,Feedstocks!$H$4:$H$141,Feedstocks!$I$4:$I$141)</f>
        <v>0</v>
      </c>
      <c r="K504" s="104"/>
      <c r="L504" s="104"/>
      <c r="M504" s="23"/>
      <c r="N504" s="23" t="str">
        <f>VLOOKUP(E504,Activities!$A$9:$M$227,13,FALSE)</f>
        <v>NL</v>
      </c>
      <c r="O504" s="23"/>
      <c r="P504" s="79" t="s">
        <v>415</v>
      </c>
      <c r="Q504" s="35"/>
      <c r="R504" s="35"/>
      <c r="S504" s="35"/>
      <c r="T504" s="35"/>
      <c r="U504" s="35"/>
      <c r="V504" s="35"/>
      <c r="W504" s="35"/>
      <c r="X504" s="35"/>
      <c r="Y504" s="35"/>
      <c r="Z504" s="35"/>
      <c r="AA504" s="35"/>
      <c r="AB504" s="35"/>
      <c r="AC504" s="35"/>
      <c r="AD504" s="35"/>
      <c r="AE504" s="35"/>
      <c r="AF504" s="36"/>
      <c r="AG504" s="36"/>
      <c r="AH504" s="36"/>
      <c r="AI504" s="36"/>
      <c r="AJ504" s="36"/>
      <c r="AK504" s="36"/>
      <c r="AL504" s="36"/>
      <c r="AM504" s="36"/>
      <c r="AN504" s="36"/>
      <c r="AO504" s="36"/>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18"/>
      <c r="GC504" s="325"/>
      <c r="GD504" s="325">
        <v>-1</v>
      </c>
      <c r="GE504" s="325"/>
      <c r="GF504" s="325"/>
      <c r="GG504" s="325"/>
    </row>
    <row r="505" spans="1:189" x14ac:dyDescent="0.35">
      <c r="A505" s="6" t="s">
        <v>1783</v>
      </c>
      <c r="B505" s="6" t="str">
        <f>IF(Technologies!B505&lt;&gt;0,Technologies!B505,"")</f>
        <v/>
      </c>
      <c r="C505" s="6" t="str">
        <f>VLOOKUP($A505,Technologies!$A$7:$H$576,3,FALSE)</f>
        <v>Emission</v>
      </c>
      <c r="D505" s="6" t="str">
        <f>VLOOKUP($A505,Technologies!$A$7:$H$576,4,FALSE)</f>
        <v>Emission</v>
      </c>
      <c r="E505" s="6" t="str">
        <f>VLOOKUP($A505,Technologies!$A$7:$H$576,6,FALSE)</f>
        <v>CO2 Air n-ETS</v>
      </c>
      <c r="F505" s="48" t="str">
        <f>VLOOKUP($A505,Technologies!$A$7:$H$576,7,FALSE)</f>
        <v>CO2 Emission non-ETS</v>
      </c>
      <c r="G505" s="22"/>
      <c r="H505" s="22"/>
      <c r="I505" s="103" cm="1">
        <f t="array" ref="I505">-SUMPRODUCT((Feedstocks!$C$4:$C$141=A505)*Feedstocks!$E$4:$E$141,Feedstocks!$F$4:$F$141,Feedstocks!$H$4:$H$141,Feedstocks!$I$4:$I$141)</f>
        <v>0</v>
      </c>
      <c r="J505" s="103" cm="1">
        <f t="array" ref="J505">-SUMPRODUCT((Feedstocks!$C$4:$C$141=A505)*Feedstocks!$E$4:$E$141,Feedstocks!$H$4:$H$141,Feedstocks!$I$4:$I$141)</f>
        <v>0</v>
      </c>
      <c r="K505" s="103"/>
      <c r="L505" s="103"/>
      <c r="M505" s="22"/>
      <c r="N505" s="22" t="str">
        <f>VLOOKUP(E505,Activities!$A$9:$M$227,13,FALSE)</f>
        <v>NL</v>
      </c>
      <c r="O505" s="22"/>
      <c r="P505" s="80" t="s">
        <v>415</v>
      </c>
      <c r="Q505" s="36"/>
      <c r="R505" s="36"/>
      <c r="S505" s="36"/>
      <c r="T505" s="36"/>
      <c r="U505" s="36"/>
      <c r="V505" s="36"/>
      <c r="W505" s="36"/>
      <c r="X505" s="36"/>
      <c r="Y505" s="36"/>
      <c r="Z505" s="36"/>
      <c r="AA505" s="36"/>
      <c r="AB505" s="36"/>
      <c r="AC505" s="36"/>
      <c r="AD505" s="36"/>
      <c r="AE505" s="36"/>
      <c r="AF505" s="35"/>
      <c r="AG505" s="35"/>
      <c r="AH505" s="35"/>
      <c r="AI505" s="35"/>
      <c r="AJ505" s="35"/>
      <c r="AK505" s="35"/>
      <c r="AL505" s="35"/>
      <c r="AM505" s="35"/>
      <c r="AN505" s="35"/>
      <c r="AO505" s="35"/>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6"/>
      <c r="DM505" s="36"/>
      <c r="DN505" s="36"/>
      <c r="DO505" s="36"/>
      <c r="DP505" s="36"/>
      <c r="DQ505" s="36"/>
      <c r="DR505" s="36"/>
      <c r="DS505" s="36"/>
      <c r="DT505" s="36"/>
      <c r="DU505" s="36"/>
      <c r="DV505" s="36"/>
      <c r="DW505" s="36"/>
      <c r="DX505" s="36"/>
      <c r="DY505" s="36"/>
      <c r="DZ505" s="36"/>
      <c r="EA505" s="36"/>
      <c r="EB505" s="36"/>
      <c r="EC505" s="36"/>
      <c r="ED505" s="36"/>
      <c r="EE505" s="36"/>
      <c r="EF505" s="36"/>
      <c r="EG505" s="36"/>
      <c r="EH505" s="36"/>
      <c r="EI505" s="36"/>
      <c r="EJ505" s="36"/>
      <c r="EK505" s="36"/>
      <c r="EL505" s="36"/>
      <c r="EM505" s="36"/>
      <c r="EN505" s="36"/>
      <c r="EO505" s="36"/>
      <c r="EP505" s="36"/>
      <c r="EQ505" s="36"/>
      <c r="ER505" s="36"/>
      <c r="ES505" s="36"/>
      <c r="ET505" s="36"/>
      <c r="EU505" s="36"/>
      <c r="EV505" s="36"/>
      <c r="EW505" s="36"/>
      <c r="EX505" s="36"/>
      <c r="EY505" s="36"/>
      <c r="EZ505" s="36"/>
      <c r="FA505" s="36"/>
      <c r="FB505" s="36"/>
      <c r="FC505" s="36"/>
      <c r="FD505" s="36"/>
      <c r="FE505" s="36"/>
      <c r="FF505" s="36"/>
      <c r="FG505" s="36"/>
      <c r="FH505" s="36"/>
      <c r="FI505" s="36"/>
      <c r="FJ505" s="36"/>
      <c r="FK505" s="36"/>
      <c r="FL505" s="36"/>
      <c r="FM505" s="36"/>
      <c r="FN505" s="36"/>
      <c r="FO505" s="36"/>
      <c r="FP505" s="36"/>
      <c r="FQ505" s="36"/>
      <c r="FR505" s="36"/>
      <c r="FS505" s="36"/>
      <c r="FT505" s="36"/>
      <c r="FU505" s="36"/>
      <c r="FV505" s="36"/>
      <c r="FW505" s="36"/>
      <c r="FX505" s="36"/>
      <c r="FY505" s="36"/>
      <c r="FZ505" s="36"/>
      <c r="GA505" s="36"/>
      <c r="GB505" s="319"/>
      <c r="GC505" s="324"/>
      <c r="GD505" s="324"/>
      <c r="GE505" s="324">
        <v>-1</v>
      </c>
      <c r="GF505" s="324"/>
      <c r="GG505" s="324"/>
    </row>
    <row r="506" spans="1:189" x14ac:dyDescent="0.35">
      <c r="A506" s="5" t="s">
        <v>1786</v>
      </c>
      <c r="B506" s="6" t="str">
        <f>IF(Technologies!B506&lt;&gt;0,Technologies!B506,"")</f>
        <v/>
      </c>
      <c r="C506" s="5" t="str">
        <f>VLOOKUP($A506,Technologies!$A$7:$H$576,3,FALSE)</f>
        <v>Emission</v>
      </c>
      <c r="D506" s="5" t="str">
        <f>VLOOKUP($A506,Technologies!$A$7:$H$576,4,FALSE)</f>
        <v>Emission</v>
      </c>
      <c r="E506" s="5" t="str">
        <f>VLOOKUP($A506,Technologies!$A$7:$H$576,6,FALSE)</f>
        <v>CO2 Air Int. Transport</v>
      </c>
      <c r="F506" s="5" t="str">
        <f>VLOOKUP($A506,Technologies!$A$7:$H$576,7,FALSE)</f>
        <v>CO2 Emission Int. Transport</v>
      </c>
      <c r="G506" s="23"/>
      <c r="H506" s="23"/>
      <c r="I506" s="104" cm="1">
        <f t="array" ref="I506">-SUMPRODUCT((Feedstocks!$C$4:$C$141=A506)*Feedstocks!$E$4:$E$141,Feedstocks!$F$4:$F$141,Feedstocks!$H$4:$H$141,Feedstocks!$I$4:$I$141)</f>
        <v>0</v>
      </c>
      <c r="J506" s="104" cm="1">
        <f t="array" ref="J506">-SUMPRODUCT((Feedstocks!$C$4:$C$141=A506)*Feedstocks!$E$4:$E$141,Feedstocks!$H$4:$H$141,Feedstocks!$I$4:$I$141)</f>
        <v>0</v>
      </c>
      <c r="K506" s="104"/>
      <c r="L506" s="104"/>
      <c r="M506" s="23"/>
      <c r="N506" s="23" t="str">
        <f>VLOOKUP(E506,Activities!$A$9:$M$227,13,FALSE)</f>
        <v>NL</v>
      </c>
      <c r="O506" s="23"/>
      <c r="P506" s="79" t="s">
        <v>1519</v>
      </c>
      <c r="Q506" s="35"/>
      <c r="R506" s="35"/>
      <c r="S506" s="35"/>
      <c r="T506" s="35"/>
      <c r="U506" s="35"/>
      <c r="V506" s="35"/>
      <c r="W506" s="35"/>
      <c r="X506" s="35"/>
      <c r="Y506" s="35"/>
      <c r="Z506" s="35"/>
      <c r="AA506" s="35"/>
      <c r="AB506" s="35"/>
      <c r="AC506" s="35"/>
      <c r="AD506" s="35"/>
      <c r="AE506" s="35"/>
      <c r="AF506" s="36"/>
      <c r="AG506" s="36"/>
      <c r="AH506" s="36"/>
      <c r="AI506" s="36"/>
      <c r="AJ506" s="36"/>
      <c r="AK506" s="36"/>
      <c r="AL506" s="36"/>
      <c r="AM506" s="36"/>
      <c r="AN506" s="36"/>
      <c r="AO506" s="36"/>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18"/>
      <c r="GC506" s="325"/>
      <c r="GD506" s="325"/>
      <c r="GE506" s="325"/>
      <c r="GF506" s="325">
        <v>-1</v>
      </c>
      <c r="GG506" s="325"/>
    </row>
    <row r="507" spans="1:189" x14ac:dyDescent="0.35">
      <c r="A507" s="6" t="s">
        <v>1788</v>
      </c>
      <c r="B507" s="6" t="str">
        <f>IF(Technologies!B507&lt;&gt;0,Technologies!B507,"")</f>
        <v/>
      </c>
      <c r="C507" s="6" t="str">
        <f>VLOOKUP($A507,Technologies!$A$7:$H$576,3,FALSE)</f>
        <v>Emission</v>
      </c>
      <c r="D507" s="6" t="str">
        <f>VLOOKUP($A507,Technologies!$A$7:$H$576,4,FALSE)</f>
        <v>Emission</v>
      </c>
      <c r="E507" s="6" t="str">
        <f>VLOOKUP($A507,Technologies!$A$7:$H$576,6,FALSE)</f>
        <v>CO2 Air Feedstock end of lifetime</v>
      </c>
      <c r="F507" s="48" t="str">
        <f>VLOOKUP($A507,Technologies!$A$7:$H$576,7,FALSE)</f>
        <v>CO2 Emission Feedstock</v>
      </c>
      <c r="G507" s="22"/>
      <c r="H507" s="22"/>
      <c r="I507" s="103" cm="1">
        <f t="array" ref="I507">-SUMPRODUCT((Feedstocks!$C$4:$C$141=A507)*Feedstocks!$E$4:$E$141,Feedstocks!$F$4:$F$141,Feedstocks!$H$4:$H$141,Feedstocks!$I$4:$I$141)</f>
        <v>0</v>
      </c>
      <c r="J507" s="103" cm="1">
        <f t="array" ref="J507">-SUMPRODUCT((Feedstocks!$C$4:$C$141=A507)*Feedstocks!$E$4:$E$141,Feedstocks!$H$4:$H$141,Feedstocks!$I$4:$I$141)</f>
        <v>0</v>
      </c>
      <c r="K507" s="103"/>
      <c r="L507" s="103"/>
      <c r="M507" s="22"/>
      <c r="N507" s="22" t="str">
        <f>VLOOKUP(E507,Activities!$A$9:$M$227,13,FALSE)</f>
        <v>NL</v>
      </c>
      <c r="O507" s="22"/>
      <c r="P507" s="80" t="s">
        <v>1519</v>
      </c>
      <c r="Q507" s="36"/>
      <c r="R507" s="36"/>
      <c r="S507" s="36"/>
      <c r="T507" s="36"/>
      <c r="U507" s="36"/>
      <c r="V507" s="36"/>
      <c r="W507" s="36"/>
      <c r="X507" s="36"/>
      <c r="Y507" s="36"/>
      <c r="Z507" s="36"/>
      <c r="AA507" s="36"/>
      <c r="AB507" s="36"/>
      <c r="AC507" s="36"/>
      <c r="AD507" s="36"/>
      <c r="AE507" s="36"/>
      <c r="AF507" s="35"/>
      <c r="AG507" s="35"/>
      <c r="AH507" s="35"/>
      <c r="AI507" s="35"/>
      <c r="AJ507" s="35"/>
      <c r="AK507" s="35"/>
      <c r="AL507" s="35"/>
      <c r="AM507" s="35"/>
      <c r="AN507" s="35"/>
      <c r="AO507" s="35"/>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36"/>
      <c r="BV507" s="36"/>
      <c r="BW507" s="36"/>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c r="CW507" s="36"/>
      <c r="CX507" s="36"/>
      <c r="CY507" s="36"/>
      <c r="CZ507" s="36"/>
      <c r="DA507" s="36"/>
      <c r="DB507" s="36"/>
      <c r="DC507" s="36"/>
      <c r="DD507" s="36"/>
      <c r="DE507" s="36"/>
      <c r="DF507" s="36"/>
      <c r="DG507" s="36"/>
      <c r="DH507" s="36"/>
      <c r="DI507" s="36"/>
      <c r="DJ507" s="36"/>
      <c r="DK507" s="36"/>
      <c r="DL507" s="36"/>
      <c r="DM507" s="36"/>
      <c r="DN507" s="36"/>
      <c r="DO507" s="36"/>
      <c r="DP507" s="36"/>
      <c r="DQ507" s="36"/>
      <c r="DR507" s="36"/>
      <c r="DS507" s="36"/>
      <c r="DT507" s="36"/>
      <c r="DU507" s="36"/>
      <c r="DV507" s="36"/>
      <c r="DW507" s="36"/>
      <c r="DX507" s="36"/>
      <c r="DY507" s="36"/>
      <c r="DZ507" s="36"/>
      <c r="EA507" s="36"/>
      <c r="EB507" s="36"/>
      <c r="EC507" s="36"/>
      <c r="ED507" s="36"/>
      <c r="EE507" s="36"/>
      <c r="EF507" s="36"/>
      <c r="EG507" s="36"/>
      <c r="EH507" s="36"/>
      <c r="EI507" s="36"/>
      <c r="EJ507" s="36"/>
      <c r="EK507" s="36"/>
      <c r="EL507" s="36"/>
      <c r="EM507" s="36"/>
      <c r="EN507" s="36"/>
      <c r="EO507" s="36"/>
      <c r="EP507" s="36"/>
      <c r="EQ507" s="36"/>
      <c r="ER507" s="36"/>
      <c r="ES507" s="36"/>
      <c r="ET507" s="36"/>
      <c r="EU507" s="36"/>
      <c r="EV507" s="36"/>
      <c r="EW507" s="36"/>
      <c r="EX507" s="36"/>
      <c r="EY507" s="36"/>
      <c r="EZ507" s="36"/>
      <c r="FA507" s="36"/>
      <c r="FB507" s="36"/>
      <c r="FC507" s="36"/>
      <c r="FD507" s="36"/>
      <c r="FE507" s="36"/>
      <c r="FF507" s="36"/>
      <c r="FG507" s="36"/>
      <c r="FH507" s="36"/>
      <c r="FI507" s="36"/>
      <c r="FJ507" s="36"/>
      <c r="FK507" s="36"/>
      <c r="FL507" s="36"/>
      <c r="FM507" s="36"/>
      <c r="FN507" s="36"/>
      <c r="FO507" s="36"/>
      <c r="FP507" s="36"/>
      <c r="FQ507" s="36"/>
      <c r="FR507" s="36"/>
      <c r="FS507" s="36"/>
      <c r="FT507" s="36"/>
      <c r="FU507" s="36"/>
      <c r="FV507" s="36"/>
      <c r="FW507" s="36"/>
      <c r="FX507" s="36"/>
      <c r="FY507" s="36"/>
      <c r="FZ507" s="36"/>
      <c r="GA507" s="36"/>
      <c r="GB507" s="319"/>
      <c r="GC507" s="324"/>
      <c r="GD507" s="324"/>
      <c r="GE507" s="324"/>
      <c r="GF507" s="324"/>
      <c r="GG507" s="324">
        <v>-1</v>
      </c>
    </row>
    <row r="508" spans="1:189" x14ac:dyDescent="0.35">
      <c r="GC508" s="73"/>
      <c r="GD508" s="73"/>
      <c r="GE508" s="73"/>
      <c r="GF508" s="73"/>
      <c r="GG508" s="73"/>
    </row>
  </sheetData>
  <autoFilter ref="A3:MD507"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23" t="s">
        <v>556</v>
      </c>
      <c r="B2" s="423"/>
      <c r="C2" s="423"/>
      <c r="D2" s="423"/>
      <c r="E2" s="423"/>
      <c r="F2" s="423"/>
      <c r="G2" s="110"/>
      <c r="H2" s="421" t="s">
        <v>557</v>
      </c>
      <c r="I2" s="421"/>
      <c r="J2" s="421"/>
      <c r="K2" s="421"/>
      <c r="L2" s="421"/>
      <c r="M2" s="421"/>
      <c r="N2" s="421"/>
      <c r="O2" s="421"/>
      <c r="P2" s="421"/>
      <c r="Q2" s="421"/>
      <c r="R2" s="421"/>
      <c r="S2" s="421"/>
      <c r="T2" s="421"/>
      <c r="U2" s="421"/>
      <c r="V2" s="421"/>
      <c r="W2" s="421"/>
      <c r="X2" s="421"/>
      <c r="Y2" s="421"/>
      <c r="Z2" s="426" t="s">
        <v>1831</v>
      </c>
      <c r="AA2" s="426"/>
      <c r="AB2" s="426"/>
      <c r="AC2" s="69"/>
      <c r="AD2" s="69"/>
      <c r="AE2" s="69" t="s">
        <v>1832</v>
      </c>
      <c r="AF2" s="421" t="s">
        <v>1833</v>
      </c>
      <c r="AG2" s="421"/>
      <c r="AH2" s="421"/>
      <c r="AI2" s="421"/>
      <c r="AJ2" s="421"/>
      <c r="AK2" s="421"/>
      <c r="AL2" s="420" t="s">
        <v>565</v>
      </c>
      <c r="AM2" s="420"/>
      <c r="AN2" s="420"/>
      <c r="AO2" s="420"/>
      <c r="AP2" s="420"/>
      <c r="AQ2" s="420"/>
      <c r="AR2" s="420"/>
      <c r="AS2" s="422" t="s">
        <v>566</v>
      </c>
      <c r="AT2" s="422"/>
      <c r="AU2" s="422"/>
      <c r="AV2" s="422"/>
      <c r="AW2" s="422"/>
      <c r="AX2" s="422"/>
      <c r="AY2" s="422"/>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1834</v>
      </c>
      <c r="P3" s="3" t="s">
        <v>582</v>
      </c>
      <c r="Q3" s="3" t="s">
        <v>582</v>
      </c>
      <c r="R3" s="3" t="s">
        <v>582</v>
      </c>
      <c r="S3" s="3" t="s">
        <v>582</v>
      </c>
      <c r="T3" s="3" t="s">
        <v>582</v>
      </c>
      <c r="U3" s="3" t="s">
        <v>582</v>
      </c>
      <c r="V3" s="3" t="s">
        <v>582</v>
      </c>
      <c r="W3" s="3" t="s">
        <v>584</v>
      </c>
      <c r="X3" s="3" t="s">
        <v>586</v>
      </c>
      <c r="Y3" s="3" t="s">
        <v>587</v>
      </c>
      <c r="Z3" s="15" t="s">
        <v>588</v>
      </c>
      <c r="AA3" s="15" t="s">
        <v>1835</v>
      </c>
      <c r="AB3" s="15" t="s">
        <v>1836</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1837</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1838</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1839</v>
      </c>
      <c r="B6" s="5" t="s">
        <v>1243</v>
      </c>
      <c r="C6" s="5" t="s">
        <v>1840</v>
      </c>
      <c r="D6" s="5" t="s">
        <v>1561</v>
      </c>
      <c r="E6" s="5" t="s">
        <v>1561</v>
      </c>
      <c r="F6" s="47" t="s">
        <v>1841</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1842</v>
      </c>
    </row>
    <row r="7" spans="1:52" x14ac:dyDescent="0.35">
      <c r="A7" s="5" t="s">
        <v>1843</v>
      </c>
      <c r="B7" s="5" t="s">
        <v>1243</v>
      </c>
      <c r="C7" s="5" t="s">
        <v>1840</v>
      </c>
      <c r="D7" s="5" t="s">
        <v>1561</v>
      </c>
      <c r="E7" s="5" t="s">
        <v>1561</v>
      </c>
      <c r="F7" s="47" t="s">
        <v>1844</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1845</v>
      </c>
    </row>
    <row r="8" spans="1:52" x14ac:dyDescent="0.35">
      <c r="A8" s="6" t="s">
        <v>1846</v>
      </c>
      <c r="B8" s="6" t="s">
        <v>1243</v>
      </c>
      <c r="C8" s="6" t="s">
        <v>1840</v>
      </c>
      <c r="D8" s="6" t="s">
        <v>497</v>
      </c>
      <c r="E8" s="6" t="s">
        <v>497</v>
      </c>
      <c r="F8" s="48" t="s">
        <v>1847</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1845</v>
      </c>
    </row>
    <row r="9" spans="1:52" x14ac:dyDescent="0.35">
      <c r="A9" s="5" t="s">
        <v>1848</v>
      </c>
      <c r="B9" s="5" t="s">
        <v>1243</v>
      </c>
      <c r="C9" s="5" t="s">
        <v>1840</v>
      </c>
      <c r="D9" s="5" t="s">
        <v>497</v>
      </c>
      <c r="E9" s="5" t="s">
        <v>497</v>
      </c>
      <c r="F9" s="47" t="s">
        <v>1849</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1845</v>
      </c>
    </row>
    <row r="10" spans="1:52" x14ac:dyDescent="0.35">
      <c r="A10" s="6" t="s">
        <v>1850</v>
      </c>
      <c r="B10" s="6" t="s">
        <v>1243</v>
      </c>
      <c r="C10" s="6" t="s">
        <v>1840</v>
      </c>
      <c r="D10" s="6" t="s">
        <v>1773</v>
      </c>
      <c r="E10" s="6" t="s">
        <v>1773</v>
      </c>
      <c r="F10" s="48" t="s">
        <v>1851</v>
      </c>
      <c r="G10" s="48" t="s">
        <v>1852</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1853</v>
      </c>
      <c r="B11" s="5" t="s">
        <v>1243</v>
      </c>
      <c r="C11" s="5" t="s">
        <v>1840</v>
      </c>
      <c r="D11" s="5" t="s">
        <v>1247</v>
      </c>
      <c r="E11" s="5" t="s">
        <v>1854</v>
      </c>
      <c r="F11" s="47" t="s">
        <v>1855</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1845</v>
      </c>
    </row>
    <row r="12" spans="1:52" x14ac:dyDescent="0.35">
      <c r="A12" s="5" t="s">
        <v>1856</v>
      </c>
      <c r="B12" s="5" t="s">
        <v>1243</v>
      </c>
      <c r="C12" s="5" t="s">
        <v>1840</v>
      </c>
      <c r="D12" s="5" t="s">
        <v>1247</v>
      </c>
      <c r="E12" s="5" t="s">
        <v>1857</v>
      </c>
      <c r="F12" s="47" t="s">
        <v>1858</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1845</v>
      </c>
    </row>
    <row r="13" spans="1:52" x14ac:dyDescent="0.35">
      <c r="A13" s="6" t="s">
        <v>1859</v>
      </c>
      <c r="B13" s="6" t="s">
        <v>1243</v>
      </c>
      <c r="C13" s="6" t="s">
        <v>1840</v>
      </c>
      <c r="D13" s="6" t="s">
        <v>1376</v>
      </c>
      <c r="E13" s="6" t="s">
        <v>1860</v>
      </c>
      <c r="F13" s="48" t="s">
        <v>1861</v>
      </c>
      <c r="G13" s="48" t="s">
        <v>1852</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23" t="s">
        <v>556</v>
      </c>
      <c r="B2" s="423"/>
      <c r="C2" s="423"/>
      <c r="D2" s="32" t="s">
        <v>1862</v>
      </c>
      <c r="E2" s="420" t="s">
        <v>1863</v>
      </c>
      <c r="F2" s="420"/>
      <c r="G2" s="420"/>
      <c r="H2" s="420"/>
      <c r="I2" s="420"/>
      <c r="J2" s="420"/>
      <c r="K2" s="420"/>
      <c r="L2" s="77" t="s">
        <v>17</v>
      </c>
    </row>
    <row r="3" spans="1:14" x14ac:dyDescent="0.35">
      <c r="A3" s="46" t="s">
        <v>575</v>
      </c>
      <c r="B3" s="46" t="s">
        <v>578</v>
      </c>
      <c r="C3" s="46" t="s">
        <v>572</v>
      </c>
      <c r="D3" s="52"/>
      <c r="E3" s="53">
        <f>Parameters!$B$13</f>
        <v>2022</v>
      </c>
      <c r="F3" s="53" t="s">
        <v>636</v>
      </c>
      <c r="G3" s="53" t="s">
        <v>1864</v>
      </c>
      <c r="H3" s="53" t="s">
        <v>1865</v>
      </c>
      <c r="I3" s="53" t="s">
        <v>1866</v>
      </c>
      <c r="J3" s="53" t="s">
        <v>1867</v>
      </c>
      <c r="K3" s="53" t="s">
        <v>1868</v>
      </c>
      <c r="L3" s="78" t="s">
        <v>26</v>
      </c>
    </row>
    <row r="4" spans="1:14" x14ac:dyDescent="0.35">
      <c r="A4" s="5" t="str">
        <f>VLOOKUP(C4,Technologies!$A$7:$G$506,3,FALSE)</f>
        <v>Emission</v>
      </c>
      <c r="B4" s="5" t="str">
        <f>VLOOKUP(C4,Technologies!$A$7:$G$506,7,FALSE)</f>
        <v>CO2 from Direct Air Capture under ETS scheme</v>
      </c>
      <c r="C4" s="5" t="s">
        <v>1772</v>
      </c>
      <c r="D4" s="54" t="s">
        <v>456</v>
      </c>
      <c r="E4" s="55"/>
      <c r="F4" s="55"/>
      <c r="G4" s="55">
        <v>0.1</v>
      </c>
      <c r="H4" s="55">
        <v>0.125</v>
      </c>
      <c r="I4" s="55">
        <v>0.15</v>
      </c>
      <c r="J4" s="55">
        <v>0.17499999999999999</v>
      </c>
      <c r="K4" s="55">
        <v>0.2</v>
      </c>
      <c r="L4" s="79" t="s">
        <v>1869</v>
      </c>
    </row>
    <row r="5" spans="1:14" x14ac:dyDescent="0.35">
      <c r="A5" s="6" t="str">
        <f>VLOOKUP(C5,Technologies!$A$7:$G$506,3,FALSE)</f>
        <v>Emission</v>
      </c>
      <c r="B5" s="6" t="str">
        <f>VLOOKUP(C5,Technologies!$A$7:$G$506,7,FALSE)</f>
        <v>CO2 from Direct Air Capture under ETS scheme</v>
      </c>
      <c r="C5" s="6" t="s">
        <v>1772</v>
      </c>
      <c r="D5" s="9" t="s">
        <v>464</v>
      </c>
      <c r="E5" s="56"/>
      <c r="F5" s="56"/>
      <c r="G5" s="56">
        <f>1-5/6</f>
        <v>0.16666666666666663</v>
      </c>
      <c r="H5" s="56">
        <f>(I5+G5)/2</f>
        <v>0.24999999999999997</v>
      </c>
      <c r="I5" s="56">
        <f>(G5+K5)/2</f>
        <v>0.33333333333333331</v>
      </c>
      <c r="J5" s="56">
        <f>(K5+I5)/2</f>
        <v>0.41666666666666663</v>
      </c>
      <c r="K5" s="56">
        <f>0.5</f>
        <v>0.5</v>
      </c>
      <c r="L5" s="80" t="s">
        <v>1869</v>
      </c>
    </row>
    <row r="6" spans="1:14" x14ac:dyDescent="0.35">
      <c r="A6" s="5" t="str">
        <f>VLOOKUP(C6,Technologies!$A$7:$G$506,3,FALSE)</f>
        <v>Conversion</v>
      </c>
      <c r="B6" s="5" t="str">
        <f>VLOOKUP(C6,Technologies!$A$7:$G$506,7,FALSE)</f>
        <v>Alkaline Electrolyzer - Hydrogen Production</v>
      </c>
      <c r="C6" s="5" t="s">
        <v>1604</v>
      </c>
      <c r="D6" s="54" t="s">
        <v>455</v>
      </c>
      <c r="E6" s="55"/>
      <c r="F6" s="55"/>
      <c r="G6" s="222"/>
      <c r="H6" s="56"/>
      <c r="I6" s="222"/>
      <c r="J6" s="56"/>
      <c r="K6" s="222"/>
      <c r="L6" s="79"/>
      <c r="M6" s="1" t="s">
        <v>1870</v>
      </c>
    </row>
    <row r="7" spans="1:14" x14ac:dyDescent="0.35">
      <c r="A7" s="6" t="str">
        <f>VLOOKUP(C7,Technologies!$A$7:$G$506,3,FALSE)</f>
        <v>Conversion</v>
      </c>
      <c r="B7" s="6" t="str">
        <f>VLOOKUP(C7,Technologies!$A$7:$G$506,7,FALSE)</f>
        <v>PEM Electrolyzer - Hydrogen Production</v>
      </c>
      <c r="C7" s="6" t="s">
        <v>1608</v>
      </c>
      <c r="D7" s="9" t="s">
        <v>455</v>
      </c>
      <c r="E7" s="56"/>
      <c r="F7" s="56"/>
      <c r="G7" s="222"/>
      <c r="H7" s="56"/>
      <c r="I7" s="222"/>
      <c r="J7" s="56"/>
      <c r="K7" s="222"/>
      <c r="L7" s="79"/>
      <c r="M7" s="1" t="s">
        <v>1870</v>
      </c>
    </row>
    <row r="8" spans="1:14" x14ac:dyDescent="0.35">
      <c r="A8" s="5" t="str">
        <f>VLOOKUP(C8,Technologies!$A$7:$G$506,3,FALSE)</f>
        <v>Conversion</v>
      </c>
      <c r="B8" s="5" t="str">
        <f>VLOOKUP(C8,Technologies!$A$7:$G$506,7,FALSE)</f>
        <v>Solid Oxide Electrolyzer - Hydrogen Production</v>
      </c>
      <c r="C8" s="5" t="s">
        <v>1611</v>
      </c>
      <c r="D8" s="54" t="s">
        <v>455</v>
      </c>
      <c r="E8" s="55"/>
      <c r="F8" s="55"/>
      <c r="G8" s="222"/>
      <c r="H8" s="56"/>
      <c r="I8" s="222"/>
      <c r="J8" s="56"/>
      <c r="K8" s="222"/>
      <c r="L8" s="79"/>
      <c r="M8" s="1" t="s">
        <v>1870</v>
      </c>
      <c r="N8" s="323"/>
    </row>
    <row r="9" spans="1:14" x14ac:dyDescent="0.35">
      <c r="A9" s="6" t="str">
        <f>VLOOKUP(C9,Technologies!$A$7:$G$506,3,FALSE)</f>
        <v>Conversion</v>
      </c>
      <c r="B9" s="6" t="str">
        <f>VLOOKUP(C9,Technologies!$A$7:$G$506,7,FALSE)</f>
        <v>Methanol direct synthesis from CO2 and H2 - Refineries</v>
      </c>
      <c r="C9" s="6" t="s">
        <v>1555</v>
      </c>
      <c r="D9" s="9" t="s">
        <v>465</v>
      </c>
      <c r="E9" s="56"/>
      <c r="F9" s="56"/>
      <c r="G9" s="56"/>
      <c r="H9" s="56"/>
      <c r="I9" s="56"/>
      <c r="J9" s="56"/>
      <c r="K9" s="56"/>
      <c r="L9" s="80" t="s">
        <v>1871</v>
      </c>
      <c r="M9" s="1" t="s">
        <v>1872</v>
      </c>
    </row>
    <row r="10" spans="1:14" x14ac:dyDescent="0.35">
      <c r="A10" s="5" t="str">
        <f>VLOOKUP(C10,Technologies!$A$7:$G$506,3,FALSE)</f>
        <v>Conversion</v>
      </c>
      <c r="B10" s="5" t="str">
        <f>VLOOKUP(C10,Technologies!$A$7:$G$506,7,FALSE)</f>
        <v>Methanol direct synthesis from CO2 and H2 - Refineries</v>
      </c>
      <c r="C10" s="5" t="s">
        <v>1555</v>
      </c>
      <c r="D10" s="54" t="s">
        <v>456</v>
      </c>
      <c r="E10" s="55"/>
      <c r="F10" s="55"/>
      <c r="G10" s="55"/>
      <c r="H10" s="55"/>
      <c r="I10" s="55"/>
      <c r="J10" s="55"/>
      <c r="K10" s="55"/>
      <c r="L10" s="79" t="s">
        <v>1871</v>
      </c>
      <c r="M10" s="1" t="s">
        <v>1870</v>
      </c>
    </row>
    <row r="11" spans="1:14" x14ac:dyDescent="0.35">
      <c r="A11" s="6" t="str">
        <f>VLOOKUP(C11,Technologies!$A$7:$G$506,3,FALSE)</f>
        <v>Conversion</v>
      </c>
      <c r="B11" s="6" t="str">
        <f>VLOOKUP(C11,Technologies!$A$7:$G$506,7,FALSE)</f>
        <v>Syngas from SOEC  electrolysis - Refineries</v>
      </c>
      <c r="C11" s="6" t="s">
        <v>1546</v>
      </c>
      <c r="D11" s="9" t="s">
        <v>464</v>
      </c>
      <c r="E11" s="56"/>
      <c r="F11" s="56"/>
      <c r="G11" s="56">
        <f>1-0.3/0.32</f>
        <v>6.25E-2</v>
      </c>
      <c r="H11" s="56">
        <f t="shared" ref="H11" si="0">(I11+G11)/2</f>
        <v>0.125</v>
      </c>
      <c r="I11" s="56">
        <f t="shared" ref="I11" si="1">(G11+K11)/2</f>
        <v>0.1875</v>
      </c>
      <c r="J11" s="56">
        <f t="shared" ref="J11" si="2">(K11+I11)/2</f>
        <v>0.25</v>
      </c>
      <c r="K11" s="56">
        <f>1-0.22/0.32</f>
        <v>0.3125</v>
      </c>
      <c r="L11" s="80" t="s">
        <v>1871</v>
      </c>
    </row>
    <row r="12" spans="1:14" x14ac:dyDescent="0.35">
      <c r="A12" s="5" t="str">
        <f>VLOOKUP(C12,Technologies!$A$7:$G$506,3,FALSE)</f>
        <v>Conversion</v>
      </c>
      <c r="B12" s="5" t="str">
        <f>VLOOKUP(C12,Technologies!$A$7:$G$506,7,FALSE)</f>
        <v>Syngas from SOEC  electrolysis - Refineries</v>
      </c>
      <c r="C12" s="5" t="s">
        <v>1546</v>
      </c>
      <c r="D12" s="54" t="s">
        <v>456</v>
      </c>
      <c r="E12" s="55"/>
      <c r="F12" s="55"/>
      <c r="G12" s="55">
        <v>7.1428571428571508E-2</v>
      </c>
      <c r="H12" s="55">
        <v>0.10714285714285721</v>
      </c>
      <c r="I12" s="55">
        <v>0.1428571428571429</v>
      </c>
      <c r="J12" s="55">
        <v>0.1785714285714286</v>
      </c>
      <c r="K12" s="55">
        <v>0.2142857142857143</v>
      </c>
      <c r="L12" s="79" t="s">
        <v>1871</v>
      </c>
    </row>
    <row r="13" spans="1:14" x14ac:dyDescent="0.35">
      <c r="A13" s="6" t="str">
        <f>VLOOKUP(C13,Technologies!$A$7:$G$506,3,FALSE)</f>
        <v>Final</v>
      </c>
      <c r="B13" s="6" t="str">
        <f>VLOOKUP(C13,Technologies!$A$7:$G$506,7,FALSE)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VLOOKUP(C14,Technologies!$A$7:$G$506,3,FALSE)</f>
        <v>Final</v>
      </c>
      <c r="B14" s="5" t="str">
        <f>VLOOKUP(C14,Technologies!$A$7:$G$506,7,FALSE)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VLOOKUP(C15,Technologies!$A$7:$G$506,3,FALSE)</f>
        <v>Final</v>
      </c>
      <c r="B15" s="6" t="str">
        <f>VLOOKUP(C15,Technologies!$A$7:$G$506,7,FALSE)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VLOOKUP(C16,Technologies!$A$7:$G$506,3,FALSE)</f>
        <v>Final</v>
      </c>
      <c r="B16" s="5" t="str">
        <f>VLOOKUP(C16,Technologies!$A$7:$G$506,7,FALSE)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VLOOKUP(C17,Technologies!$A$7:$G$506,3,FALSE)</f>
        <v>Final</v>
      </c>
      <c r="B17" s="6" t="str">
        <f>VLOOKUP(C17,Technologies!$A$7:$G$506,7,FALSE)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VLOOKUP(C18,Technologies!$A$7:$G$506,3,FALSE)</f>
        <v>Final</v>
      </c>
      <c r="B18" s="5" t="str">
        <f>VLOOKUP(C18,Technologies!$A$7:$G$506,7,FALSE)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VLOOKUP(C19,Technologies!$A$7:$G$506,3,FALSE)</f>
        <v>Final</v>
      </c>
      <c r="B19" s="6" t="str">
        <f>VLOOKUP(C19,Technologies!$A$7:$G$506,7,FALSE)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VLOOKUP(C20,Technologies!$A$7:$G$506,3,FALSE)</f>
        <v>Final</v>
      </c>
      <c r="B20" s="5" t="str">
        <f>VLOOKUP(C20,Technologies!$A$7:$G$506,7,FALSE)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VLOOKUP(C21,Technologies!$A$7:$G$506,3,FALSE)</f>
        <v>Final</v>
      </c>
      <c r="B21" s="6" t="str">
        <f>VLOOKUP(C21,Technologies!$A$7:$G$506,7,FALSE)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VLOOKUP(C22,Technologies!$A$7:$G$506,3,FALSE)</f>
        <v>Final</v>
      </c>
      <c r="B22" s="5" t="str">
        <f>VLOOKUP(C22,Technologies!$A$7:$G$506,7,FALSE)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VLOOKUP(C23,Technologies!$A$7:$G$506,3,FALSE)</f>
        <v>Final</v>
      </c>
      <c r="B23" s="6" t="str">
        <f>VLOOKUP(C23,Technologies!$A$7:$G$506,7,FALSE)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VLOOKUP(C24,Technologies!$A$7:$G$506,3,FALSE)</f>
        <v>Final</v>
      </c>
      <c r="B24" s="5" t="str">
        <f>VLOOKUP(C24,Technologies!$A$7:$G$506,7,FALSE)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VLOOKUP(C25,Technologies!$A$7:$G$506,3,FALSE)</f>
        <v>Final</v>
      </c>
      <c r="B25" s="6" t="str">
        <f>VLOOKUP(C25,Technologies!$A$7:$G$506,7,FALSE)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VLOOKUP(C26,Technologies!$A$7:$G$506,3,FALSE)</f>
        <v>Final</v>
      </c>
      <c r="B26" s="5" t="str">
        <f>VLOOKUP(C26,Technologies!$A$7:$G$506,7,FALSE)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VLOOKUP(C27,Technologies!$A$7:$G$506,3,FALSE)</f>
        <v>Final</v>
      </c>
      <c r="B27" s="6" t="str">
        <f>VLOOKUP(C27,Technologies!$A$7:$G$506,7,FALSE)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VLOOKUP(C28,Technologies!$A$7:$G$506,3,FALSE)</f>
        <v>Final</v>
      </c>
      <c r="B28" s="5" t="str">
        <f>VLOOKUP(C28,Technologies!$A$7:$G$506,7,FALSE)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1873</v>
      </c>
    </row>
    <row r="29" spans="1:12" x14ac:dyDescent="0.35">
      <c r="A29" s="6" t="str">
        <f>VLOOKUP(C29,Technologies!$A$7:$G$506,3,FALSE)</f>
        <v>Final</v>
      </c>
      <c r="B29" s="6" t="str">
        <f>VLOOKUP(C29,Technologies!$A$7:$G$506,7,FALSE)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1873</v>
      </c>
    </row>
    <row r="30" spans="1:12" x14ac:dyDescent="0.35">
      <c r="A30" s="5" t="str">
        <f>VLOOKUP(C30,Technologies!$A$7:$G$506,3,FALSE)</f>
        <v>Final</v>
      </c>
      <c r="B30" s="5" t="str">
        <f>VLOOKUP(C30,Technologies!$A$7:$G$506,7,FALSE)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1873</v>
      </c>
    </row>
    <row r="31" spans="1:12" x14ac:dyDescent="0.35">
      <c r="A31" s="6" t="str">
        <f>VLOOKUP(C31,Technologies!$A$7:$G$506,3,FALSE)</f>
        <v>Final</v>
      </c>
      <c r="B31" s="6" t="str">
        <f>VLOOKUP(C31,Technologies!$A$7:$G$506,7,FALSE)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1873</v>
      </c>
    </row>
    <row r="32" spans="1:12" x14ac:dyDescent="0.35">
      <c r="A32" s="5" t="str">
        <f>VLOOKUP(C32,Technologies!$A$7:$G$506,3,FALSE)</f>
        <v>Final</v>
      </c>
      <c r="B32" s="5" t="str">
        <f>VLOOKUP(C32,Technologies!$A$7:$G$506,7,FALSE)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1873</v>
      </c>
    </row>
    <row r="33" spans="1:12" x14ac:dyDescent="0.35">
      <c r="A33" s="6" t="str">
        <f>VLOOKUP(C33,Technologies!$A$7:$G$506,3,FALSE)</f>
        <v>Conversion</v>
      </c>
      <c r="B33" s="6" t="str">
        <f>VLOOKUP(C33,Technologies!$A$7:$G$506,7,FALSE)</f>
        <v>Electric Heat Pump Air - LT Heat for Houses</v>
      </c>
      <c r="C33" s="6" t="s">
        <v>1345</v>
      </c>
      <c r="D33" s="9" t="s">
        <v>456</v>
      </c>
      <c r="E33" s="56"/>
      <c r="F33" s="56">
        <v>0.02</v>
      </c>
      <c r="G33" s="56">
        <v>0.05</v>
      </c>
      <c r="H33" s="56">
        <v>0.06</v>
      </c>
      <c r="I33" s="56">
        <v>7.0000000000000007E-2</v>
      </c>
      <c r="J33" s="56">
        <v>0.08</v>
      </c>
      <c r="K33" s="56">
        <v>0.09</v>
      </c>
      <c r="L33" s="80" t="s">
        <v>1874</v>
      </c>
    </row>
    <row r="34" spans="1:12" x14ac:dyDescent="0.35">
      <c r="A34" s="5" t="str">
        <f>VLOOKUP(C34,Technologies!$A$7:$G$506,3,FALSE)</f>
        <v>Conversion</v>
      </c>
      <c r="B34" s="5" t="str">
        <f>VLOOKUP(C34,Technologies!$A$7:$G$506,7,FALSE)</f>
        <v>Electric Heat Pump GW - LT Heat for Houses</v>
      </c>
      <c r="C34" s="5" t="s">
        <v>1350</v>
      </c>
      <c r="D34" s="54" t="s">
        <v>456</v>
      </c>
      <c r="E34" s="55"/>
      <c r="F34" s="55">
        <v>0.02</v>
      </c>
      <c r="G34" s="55">
        <v>3.5000000000000003E-2</v>
      </c>
      <c r="H34" s="55">
        <v>4.4999999999999998E-2</v>
      </c>
      <c r="I34" s="55">
        <v>5.5E-2</v>
      </c>
      <c r="J34" s="55">
        <v>6.5000000000000002E-2</v>
      </c>
      <c r="K34" s="55">
        <v>7.0000000000000007E-2</v>
      </c>
      <c r="L34" s="79" t="s">
        <v>1875</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1876</v>
      </c>
      <c r="E2" s="24"/>
      <c r="F2" s="24"/>
      <c r="G2" s="24"/>
      <c r="H2" s="24"/>
      <c r="I2" s="32"/>
      <c r="J2" s="32">
        <f>MAX(J5:J8764)</f>
        <v>1.5972E-4</v>
      </c>
      <c r="K2" s="32"/>
      <c r="L2" s="38"/>
      <c r="M2" s="38"/>
      <c r="N2" s="38"/>
      <c r="O2" s="38"/>
      <c r="P2" s="38"/>
      <c r="Q2" s="38"/>
      <c r="R2" s="50" t="s">
        <v>1877</v>
      </c>
      <c r="S2" s="50"/>
      <c r="T2" s="50"/>
      <c r="U2" s="50"/>
      <c r="AA2" s="1"/>
    </row>
    <row r="3" spans="1:27" ht="29" x14ac:dyDescent="0.35">
      <c r="A3" s="8" t="s">
        <v>1878</v>
      </c>
      <c r="B3" s="8" t="s">
        <v>1879</v>
      </c>
      <c r="C3" s="8" t="s">
        <v>1880</v>
      </c>
      <c r="D3" s="15" t="s">
        <v>745</v>
      </c>
      <c r="E3" s="15" t="s">
        <v>1881</v>
      </c>
      <c r="F3" s="15" t="s">
        <v>732</v>
      </c>
      <c r="G3" s="15" t="s">
        <v>965</v>
      </c>
      <c r="H3" s="15" t="s">
        <v>974</v>
      </c>
      <c r="I3" s="4" t="s">
        <v>1237</v>
      </c>
      <c r="J3" s="4" t="s">
        <v>661</v>
      </c>
      <c r="K3" s="4" t="s">
        <v>672</v>
      </c>
      <c r="L3" s="4" t="s">
        <v>1035</v>
      </c>
      <c r="M3" s="4" t="s">
        <v>1071</v>
      </c>
      <c r="N3" s="4" t="s">
        <v>1091</v>
      </c>
      <c r="O3" s="4" t="s">
        <v>1882</v>
      </c>
      <c r="P3" s="4" t="s">
        <v>1883</v>
      </c>
      <c r="Q3" s="4" t="s">
        <v>1884</v>
      </c>
      <c r="R3" s="3" t="s">
        <v>1285</v>
      </c>
      <c r="S3" s="3" t="s">
        <v>1250</v>
      </c>
      <c r="T3" s="3" t="s">
        <v>1290</v>
      </c>
      <c r="U3" s="3" t="s">
        <v>1303</v>
      </c>
      <c r="AA3" s="1"/>
    </row>
    <row r="4" spans="1:27" ht="15" customHeight="1" x14ac:dyDescent="0.35">
      <c r="A4" s="430" t="s">
        <v>1885</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1886</v>
      </c>
      <c r="S4" s="91" t="s">
        <v>1886</v>
      </c>
      <c r="T4" s="91" t="s">
        <v>1886</v>
      </c>
      <c r="U4" s="91" t="s">
        <v>1887</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23" t="s">
        <v>556</v>
      </c>
      <c r="B2" s="423"/>
      <c r="C2" s="423"/>
      <c r="D2" s="32" t="s">
        <v>1862</v>
      </c>
      <c r="E2" s="32" t="s">
        <v>1888</v>
      </c>
      <c r="F2" s="32" t="s">
        <v>1889</v>
      </c>
      <c r="G2" s="32"/>
      <c r="H2" s="204" t="s">
        <v>1890</v>
      </c>
      <c r="I2" s="50" t="s">
        <v>1891</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VLOOKUP(C4,Technologies!$A$7:$G$505,2,FALSE)</f>
        <v>Industrie</v>
      </c>
      <c r="B4" s="5" t="str">
        <f>VLOOKUP(C4,Technologies!$A$7:$G$505,7,FALSE)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VLOOKUP(C5,Technologies!$A$7:$G$505,2,FALSE)</f>
        <v>Industrie</v>
      </c>
      <c r="B5" s="6" t="str">
        <f>VLOOKUP(C5,Technologies!$A$7:$G$505,7,FALSE)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VLOOKUP(C6,Technologies!$A$7:$G$505,2,FALSE)</f>
        <v>Industrie</v>
      </c>
      <c r="B6" s="5" t="str">
        <f>VLOOKUP(C6,Technologies!$A$7:$G$505,7,FALSE)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VLOOKUP(C7,Technologies!$A$7:$G$505,2,FALSE)</f>
        <v>Industrie</v>
      </c>
      <c r="B7" s="6" t="str">
        <f>VLOOKUP(C7,Technologies!$A$7:$G$505,7,FALSE)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VLOOKUP(C8,Technologies!$A$7:$G$505,2,FALSE)</f>
        <v>Industrie</v>
      </c>
      <c r="B8" s="5" t="str">
        <f>VLOOKUP(C8,Technologies!$A$7:$G$505,7,FALSE)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VLOOKUP(C9,Technologies!$A$7:$G$505,2,FALSE)</f>
        <v>Industrie</v>
      </c>
      <c r="B9" s="6" t="str">
        <f>VLOOKUP(C9,Technologies!$A$7:$G$505,7,FALSE)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VLOOKUP(C10,Technologies!$A$7:$G$505,2,FALSE)</f>
        <v>Industrie</v>
      </c>
      <c r="B10" s="5" t="str">
        <f>VLOOKUP(C10,Technologies!$A$7:$G$505,7,FALSE)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VLOOKUP(C11,Technologies!$A$7:$G$505,2,FALSE)</f>
        <v>Industrie</v>
      </c>
      <c r="B11" s="6" t="str">
        <f>VLOOKUP(C11,Technologies!$A$7:$G$505,7,FALSE)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VLOOKUP(C12,Technologies!$A$7:$G$505,2,FALSE)</f>
        <v>Industrie</v>
      </c>
      <c r="B12" s="5" t="str">
        <f>VLOOKUP(C12,Technologies!$A$7:$G$505,7,FALSE)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VLOOKUP(C13,Technologies!$A$7:$G$505,2,FALSE)</f>
        <v>Industrie</v>
      </c>
      <c r="B13" s="6" t="str">
        <f>VLOOKUP(C13,Technologies!$A$7:$G$505,7,FALSE)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VLOOKUP(C14,Technologies!$A$7:$G$505,2,FALSE)</f>
        <v>Industrie</v>
      </c>
      <c r="B14" s="5" t="str">
        <f>VLOOKUP(C14,Technologies!$A$7:$G$505,7,FALSE)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VLOOKUP(C15,Technologies!$A$7:$G$505,2,FALSE)</f>
        <v>Industrie</v>
      </c>
      <c r="B15" s="6" t="str">
        <f>VLOOKUP(C15,Technologies!$A$7:$G$505,7,FALSE)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VLOOKUP(C16,Technologies!$A$7:$G$505,2,FALSE)</f>
        <v>Industrie</v>
      </c>
      <c r="B16" s="5" t="str">
        <f>VLOOKUP(C16,Technologies!$A$7:$G$505,7,FALSE)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VLOOKUP(C17,Technologies!$A$7:$G$505,2,FALSE)</f>
        <v>Industrie</v>
      </c>
      <c r="B17" s="6" t="str">
        <f>VLOOKUP(C17,Technologies!$A$7:$G$505,7,FALSE)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VLOOKUP(C18,Technologies!$A$7:$G$505,2,FALSE)</f>
        <v>Industrie</v>
      </c>
      <c r="B18" s="5" t="str">
        <f>VLOOKUP(C18,Technologies!$A$7:$G$505,7,FALSE)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VLOOKUP(C19,Technologies!$A$7:$G$505,2,FALSE)</f>
        <v>Industrie</v>
      </c>
      <c r="B19" s="6" t="str">
        <f>VLOOKUP(C19,Technologies!$A$7:$G$505,7,FALSE)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VLOOKUP(C20,Technologies!$A$7:$G$505,2,FALSE)</f>
        <v>Industrie</v>
      </c>
      <c r="B20" s="6" t="str">
        <f>VLOOKUP(C20,Technologies!$A$7:$G$505,7,FALSE)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VLOOKUP(C21,Technologies!$A$7:$G$505,2,FALSE)</f>
        <v>Industrie</v>
      </c>
      <c r="B21" s="5" t="str">
        <f>VLOOKUP(C21,Technologies!$A$7:$G$505,7,FALSE)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VLOOKUP(C22,Technologies!$A$7:$G$505,2,FALSE)</f>
        <v>Industrie</v>
      </c>
      <c r="B22" s="5" t="str">
        <f>VLOOKUP(C22,Technologies!$A$7:$G$505,7,FALSE)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VLOOKUP(C23,Technologies!$A$7:$G$505,2,FALSE)</f>
        <v>Industrie</v>
      </c>
      <c r="B23" s="6" t="str">
        <f>VLOOKUP(C23,Technologies!$A$7:$G$505,7,FALSE)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VLOOKUP(C24,Technologies!$A$7:$G$505,2,FALSE)</f>
        <v>Industrie</v>
      </c>
      <c r="B24" s="6" t="str">
        <f>VLOOKUP(C24,Technologies!$A$7:$G$505,7,FALSE)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VLOOKUP(C25,Technologies!$A$7:$G$505,2,FALSE)</f>
        <v>Industrie</v>
      </c>
      <c r="B25" s="5" t="str">
        <f>VLOOKUP(C25,Technologies!$A$7:$G$505,7,FALSE)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VLOOKUP(C26,Technologies!$A$7:$G$505,2,FALSE)</f>
        <v>Industrie</v>
      </c>
      <c r="B26" s="6" t="str">
        <f>VLOOKUP(C26,Technologies!$A$7:$G$505,7,FALSE)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VLOOKUP(C27,Technologies!$A$7:$G$505,2,FALSE)</f>
        <v>Industrie</v>
      </c>
      <c r="B27" s="6" t="str">
        <f>VLOOKUP(C27,Technologies!$A$7:$G$505,7,FALSE)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VLOOKUP(C28,Technologies!$A$7:$G$505,2,FALSE)</f>
        <v>Industrie</v>
      </c>
      <c r="B28" s="5" t="str">
        <f>VLOOKUP(C28,Technologies!$A$7:$G$505,7,FALSE)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VLOOKUP(C29,Technologies!$A$7:$G$505,2,FALSE)</f>
        <v>Industrie</v>
      </c>
      <c r="B29" s="6" t="str">
        <f>VLOOKUP(C29,Technologies!$A$7:$G$505,7,FALSE)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VLOOKUP(C30,Technologies!$A$7:$G$505,2,FALSE)</f>
        <v>Industrie</v>
      </c>
      <c r="B30" s="6" t="str">
        <f>VLOOKUP(C30,Technologies!$A$7:$G$505,7,FALSE)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VLOOKUP(C31,Technologies!$A$7:$G$505,2,FALSE)</f>
        <v>Industrie</v>
      </c>
      <c r="B31" s="5" t="str">
        <f>VLOOKUP(C31,Technologies!$A$7:$G$505,7,FALSE)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VLOOKUP(C32,Technologies!$A$7:$G$505,2,FALSE)</f>
        <v>Industrie</v>
      </c>
      <c r="B32" s="5" t="str">
        <f>VLOOKUP(C32,Technologies!$A$7:$G$505,7,FALSE)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VLOOKUP(C33,Technologies!$A$7:$G$505,2,FALSE)</f>
        <v>Industrie</v>
      </c>
      <c r="B33" s="5" t="str">
        <f>VLOOKUP(C33,Technologies!$A$7:$G$505,7,FALSE)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VLOOKUP(C34,Technologies!$A$7:$G$505,2,FALSE)</f>
        <v>Industrie</v>
      </c>
      <c r="B34" s="5" t="str">
        <f>VLOOKUP(C34,Technologies!$A$7:$G$505,7,FALSE)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VLOOKUP(C35,Technologies!$A$7:$G$505,2,FALSE)</f>
        <v>Industrie</v>
      </c>
      <c r="B35" s="6" t="str">
        <f>VLOOKUP(C35,Technologies!$A$7:$G$505,7,FALSE)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VLOOKUP(C36,Technologies!$A$7:$G$505,2,FALSE)</f>
        <v>Industrie</v>
      </c>
      <c r="B36" s="5" t="str">
        <f>VLOOKUP(C36,Technologies!$A$7:$G$505,7,FALSE)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VLOOKUP(C37,Technologies!$A$7:$G$505,2,FALSE)</f>
        <v>Industrie</v>
      </c>
      <c r="B37" s="6" t="str">
        <f>VLOOKUP(C37,Technologies!$A$7:$G$505,7,FALSE)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VLOOKUP(C38,Technologies!$A$7:$G$505,2,FALSE)</f>
        <v>Industrie</v>
      </c>
      <c r="B38" s="6" t="str">
        <f>VLOOKUP(C38,Technologies!$A$7:$G$505,7,FALSE)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VLOOKUP(C39,Technologies!$A$7:$G$505,2,FALSE)</f>
        <v>Industrie</v>
      </c>
      <c r="B39" s="6" t="str">
        <f>VLOOKUP(C39,Technologies!$A$7:$G$505,7,FALSE)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VLOOKUP(C40,Technologies!$A$7:$G$505,2,FALSE)</f>
        <v>Industrie</v>
      </c>
      <c r="B40" s="6" t="str">
        <f>VLOOKUP(C40,Technologies!$A$7:$G$505,7,FALSE)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VLOOKUP(C41,Technologies!$A$7:$G$505,2,FALSE)</f>
        <v>Industrie</v>
      </c>
      <c r="B41" s="6" t="str">
        <f>VLOOKUP(C41,Technologies!$A$7:$G$505,7,FALSE)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VLOOKUP(C42,Technologies!$A$7:$G$505,2,FALSE)</f>
        <v>Industrie</v>
      </c>
      <c r="B42" s="6" t="str">
        <f>VLOOKUP(C42,Technologies!$A$7:$G$505,7,FALSE)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VLOOKUP(C43,Technologies!$A$7:$G$505,2,FALSE)</f>
        <v>Industrie</v>
      </c>
      <c r="B43" s="6" t="str">
        <f>VLOOKUP(C43,Technologies!$A$7:$G$505,7,FALSE)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VLOOKUP(C44,Technologies!$A$7:$G$505,2,FALSE)</f>
        <v>Industrie</v>
      </c>
      <c r="B44" s="6" t="str">
        <f>VLOOKUP(C44,Technologies!$A$7:$G$505,7,FALSE)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VLOOKUP(C45,Technologies!$A$7:$G$505,2,FALSE)</f>
        <v>Industrie</v>
      </c>
      <c r="B45" s="6" t="str">
        <f>VLOOKUP(C45,Technologies!$A$7:$G$505,7,FALSE)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VLOOKUP(C46,Technologies!$A$7:$G$505,2,FALSE)</f>
        <v>Industrie</v>
      </c>
      <c r="B46" s="6" t="str">
        <f>VLOOKUP(C46,Technologies!$A$7:$G$505,7,FALSE)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VLOOKUP(C47,Technologies!$A$7:$G$505,2,FALSE)</f>
        <v>Industrie</v>
      </c>
      <c r="B47" s="6" t="str">
        <f>VLOOKUP(C47,Technologies!$A$7:$G$505,7,FALSE)</f>
        <v>Haber Bosch with H2 from SMR - Ammonia Production</v>
      </c>
      <c r="C47" s="5" t="s">
        <v>1633</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VLOOKUP(C48,Technologies!$A$7:$G$505,2,FALSE)</f>
        <v>Industrie</v>
      </c>
      <c r="B48" s="6" t="str">
        <f>VLOOKUP(C48,Technologies!$A$7:$G$505,7,FALSE)</f>
        <v>Haber Bosch with H2 from SMR wCCUS - Ammonia Production</v>
      </c>
      <c r="C48" s="6" t="s">
        <v>1636</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VLOOKUP(C49,Technologies!$A$7:$G$505,2,FALSE)</f>
        <v>Industrie</v>
      </c>
      <c r="B49" s="6" t="str">
        <f>VLOOKUP(C49,Technologies!$A$7:$G$505,7,FALSE)</f>
        <v>Haber Bosch with external H2 - Ammonia Production</v>
      </c>
      <c r="C49" s="5" t="s">
        <v>1638</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VLOOKUP(C50,Technologies!$A$7:$G$505,2,FALSE)</f>
        <v>Industrie</v>
      </c>
      <c r="B50" s="6" t="str">
        <f>VLOOKUP(C50,Technologies!$A$7:$G$505,7,FALSE)</f>
        <v>Exports of oil-based naphtha</v>
      </c>
      <c r="C50" s="6" t="s">
        <v>1212</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VLOOKUP(C51,Technologies!$A$7:$G$505,2,FALSE)</f>
        <v>Industrie</v>
      </c>
      <c r="B51" s="6" t="str">
        <f>VLOOKUP(C51,Technologies!$A$7:$G$505,7,FALSE)</f>
        <v>Exports of bio-based naphtha</v>
      </c>
      <c r="C51" s="5" t="s">
        <v>1216</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VLOOKUP(C52,Technologies!$A$7:$G$505,2,FALSE)</f>
        <v>Industrie</v>
      </c>
      <c r="B52" s="6" t="str">
        <f>VLOOKUP(C52,Technologies!$A$7:$G$505,7,FALSE)</f>
        <v>Exports of syn-based naphtha</v>
      </c>
      <c r="C52" s="6" t="s">
        <v>1218</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VLOOKUP(C53,Technologies!$A$7:$G$505,2,FALSE)</f>
        <v>Industrie</v>
      </c>
      <c r="B53" s="6" t="str">
        <f>VLOOKUP(C53,Technologies!$A$7:$G$505,7,FALSE)</f>
        <v>Exports of oil-based road fuels</v>
      </c>
      <c r="C53" s="5" t="s">
        <v>1220</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VLOOKUP(C54,Technologies!$A$7:$G$505,2,FALSE)</f>
        <v>Industrie</v>
      </c>
      <c r="B54" s="6" t="str">
        <f>VLOOKUP(C54,Technologies!$A$7:$G$505,7,FALSE)</f>
        <v>Exports of bio-based road fuels</v>
      </c>
      <c r="C54" s="6" t="s">
        <v>1222</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VLOOKUP(C55,Technologies!$A$7:$G$505,2,FALSE)</f>
        <v>Industrie</v>
      </c>
      <c r="B55" s="6" t="str">
        <f>VLOOKUP(C55,Technologies!$A$7:$G$505,7,FALSE)</f>
        <v>Exports of syn-based road fuels</v>
      </c>
      <c r="C55" s="5" t="s">
        <v>1224</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VLOOKUP(C56,Technologies!$A$7:$G$505,2,FALSE)</f>
        <v>Industrie</v>
      </c>
      <c r="B56" s="6" t="str">
        <f>VLOOKUP(C56,Technologies!$A$7:$G$505,7,FALSE)</f>
        <v>Exports of oil-based kerosene</v>
      </c>
      <c r="C56" s="6" t="s">
        <v>1226</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VLOOKUP(C57,Technologies!$A$7:$G$505,2,FALSE)</f>
        <v>Industrie</v>
      </c>
      <c r="B57" s="6" t="str">
        <f>VLOOKUP(C57,Technologies!$A$7:$G$505,7,FALSE)</f>
        <v>Exports of bio-based kerosene</v>
      </c>
      <c r="C57" s="5" t="s">
        <v>1228</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VLOOKUP(C58,Technologies!$A$7:$G$505,2,FALSE)</f>
        <v>Industrie</v>
      </c>
      <c r="B58" s="6" t="str">
        <f>VLOOKUP(C58,Technologies!$A$7:$G$505,7,FALSE)</f>
        <v>Exports of syn-based kerosene</v>
      </c>
      <c r="C58" s="6" t="s">
        <v>1230</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VLOOKUP(C59,Technologies!$A$7:$G$505,2,FALSE)</f>
        <v>Industrie</v>
      </c>
      <c r="B59" s="6" t="str">
        <f>VLOOKUP(C59,Technologies!$A$7:$G$505,7,FALSE)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VLOOKUP(C60,Technologies!$A$7:$G$505,2,FALSE)</f>
        <v>Industrie</v>
      </c>
      <c r="B60" s="6" t="str">
        <f>VLOOKUP(C60,Technologies!$A$7:$G$505,7,FALSE)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VLOOKUP(C61,Technologies!$A$7:$G$505,2,FALSE)</f>
        <v>Industrie</v>
      </c>
      <c r="B61" s="6" t="str">
        <f>VLOOKUP(C61,Technologies!$A$7:$G$505,7,FALSE)</f>
        <v>Imported aromatics</v>
      </c>
      <c r="C61" s="6" t="s">
        <v>886</v>
      </c>
      <c r="D61" s="9" t="s">
        <v>1892</v>
      </c>
      <c r="E61" s="214">
        <f>6*44/78</f>
        <v>3.3846153846153846</v>
      </c>
      <c r="F61" s="213">
        <v>1</v>
      </c>
      <c r="G61" s="54" t="str">
        <f>VLOOKUP(D61,Activities!$A$9:$Q$180,2,FALSE)</f>
        <v>[Mton_BTX]</v>
      </c>
      <c r="H61" s="206">
        <v>-1</v>
      </c>
      <c r="I61" s="113">
        <v>1</v>
      </c>
      <c r="J61" s="79"/>
    </row>
    <row r="62" spans="1:10" x14ac:dyDescent="0.35">
      <c r="A62" s="5" t="str">
        <f>VLOOKUP(C62,Technologies!$A$7:$G$505,2,FALSE)</f>
        <v>Industrie</v>
      </c>
      <c r="B62" s="6" t="str">
        <f>VLOOKUP(C62,Technologies!$A$7:$G$505,7,FALSE)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VLOOKUP(C63,Technologies!$A$7:$G$505,2,FALSE)</f>
        <v>Industrie</v>
      </c>
      <c r="B63" s="6" t="str">
        <f>VLOOKUP(C63,Technologies!$A$7:$G$505,7,FALSE)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VLOOKUP(C64,Technologies!$A$7:$G$505,2,FALSE)</f>
        <v>Industrie</v>
      </c>
      <c r="B64" s="6" t="str">
        <f>VLOOKUP(C64,Technologies!$A$7:$G$505,7,FALSE)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VLOOKUP(C65,Technologies!$A$7:$G$505,2,FALSE)</f>
        <v>Industrie</v>
      </c>
      <c r="B65" s="6" t="str">
        <f>VLOOKUP(C65,Technologies!$A$7:$G$505,7,FALSE)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VLOOKUP(C66,Technologies!$A$7:$G$505,2,FALSE)</f>
        <v>Industrie</v>
      </c>
      <c r="B66" s="6" t="str">
        <f>VLOOKUP(C66,Technologies!$A$7:$G$505,7,FALSE)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VLOOKUP(C67,Technologies!$A$7:$G$505,2,FALSE)</f>
        <v>Industrie</v>
      </c>
      <c r="B67" s="6" t="str">
        <f>VLOOKUP(C67,Technologies!$A$7:$G$505,7,FALSE)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23" t="s">
        <v>556</v>
      </c>
      <c r="B2" s="423"/>
      <c r="C2" s="423"/>
      <c r="D2" s="423"/>
      <c r="E2" s="110"/>
      <c r="F2" s="24" t="s">
        <v>1893</v>
      </c>
      <c r="G2" s="140" t="s">
        <v>1894</v>
      </c>
    </row>
    <row r="3" spans="1:7" s="49" customFormat="1" ht="185.15" customHeight="1" x14ac:dyDescent="0.35">
      <c r="A3" s="46" t="s">
        <v>1895</v>
      </c>
      <c r="B3" s="46" t="s">
        <v>1896</v>
      </c>
      <c r="C3" s="46" t="s">
        <v>575</v>
      </c>
      <c r="D3" s="46" t="s">
        <v>1897</v>
      </c>
      <c r="E3" s="46" t="s">
        <v>1898</v>
      </c>
      <c r="F3" s="114" t="s">
        <v>1899</v>
      </c>
      <c r="G3" s="119" t="s">
        <v>1900</v>
      </c>
    </row>
    <row r="4" spans="1:7" x14ac:dyDescent="0.35">
      <c r="A4" s="5" t="s">
        <v>653</v>
      </c>
      <c r="B4" s="5" t="s">
        <v>664</v>
      </c>
      <c r="C4" s="5" t="str">
        <f>VLOOKUP($A4,Technologies!$A$7:$G$506,3,FALSE)</f>
        <v>Final</v>
      </c>
      <c r="D4" s="5" t="str">
        <f>VLOOKUP($A4,Technologies!$A$7:$G$798,7,FALSE)</f>
        <v>Dummy standard electricity consumption - Residential</v>
      </c>
      <c r="E4" s="5" t="str">
        <f>VLOOKUP($B4,Technologies!$A$7:$G$798,7,FALSE)</f>
        <v>Flexible standard electricity consumption - Residential</v>
      </c>
      <c r="F4" s="44">
        <v>1</v>
      </c>
      <c r="G4" s="141">
        <f>MAX(VLOOKUP(B4,Technologies!$A$7:$I$509,9,FALSE)-VLOOKUP(A4,Technologies!$A$7:$I$509,9,FALSE)+VLOOKUP(A4,Technologies!$A$7:$I$509,9,FALSE)*0.1,VLOOKUP(A4,Technologies!$A$7:$I$509,9,FALSE)*0.1)</f>
        <v>0.5</v>
      </c>
    </row>
    <row r="5" spans="1:7" x14ac:dyDescent="0.35">
      <c r="A5" s="6" t="s">
        <v>668</v>
      </c>
      <c r="B5" s="6" t="s">
        <v>673</v>
      </c>
      <c r="C5" s="6" t="str">
        <f>VLOOKUP($A5,Technologies!$A$7:$G$506,3,FALSE)</f>
        <v>Final</v>
      </c>
      <c r="D5" s="6" t="str">
        <f>VLOOKUP($A5,Technologies!$A$7:$G$798,7,FALSE)</f>
        <v>House with insulation GFE - Residential Flats</v>
      </c>
      <c r="E5" s="6" t="str">
        <f>VLOOKUP($B5,Technologies!$A$7:$G$798,7,FALSE)</f>
        <v>House with insulation DC - Residential Flats</v>
      </c>
      <c r="F5" s="43">
        <v>1</v>
      </c>
      <c r="G5" s="141">
        <f>MAX(VLOOKUP(B5,Technologies!$A$7:$I$509,9,FALSE)-VLOOKUP(A5,Technologies!$A$7:$I$509,9,FALSE)+VLOOKUP(A5,Technologies!$A$7:$I$509,9,FALSE)*0.1,VLOOKUP(A5,Technologies!$A$7:$I$509,9,FALSE)*0.1)</f>
        <v>2.37</v>
      </c>
    </row>
    <row r="6" spans="1:7" x14ac:dyDescent="0.35">
      <c r="A6" s="5" t="s">
        <v>668</v>
      </c>
      <c r="B6" s="5" t="s">
        <v>675</v>
      </c>
      <c r="C6" s="5" t="str">
        <f>VLOOKUP($A6,Technologies!$A$7:$G$506,3,FALSE)</f>
        <v>Final</v>
      </c>
      <c r="D6" s="5" t="str">
        <f>VLOOKUP($A6,Technologies!$A$7:$G$798,7,FALSE)</f>
        <v>House with insulation GFE - Residential Flats</v>
      </c>
      <c r="E6" s="5" t="str">
        <f>VLOOKUP($B6,Technologies!$A$7:$G$798,7,FALSE)</f>
        <v>House with insulation B - Residential Flats</v>
      </c>
      <c r="F6" s="44">
        <v>1</v>
      </c>
      <c r="G6" s="141">
        <f>MAX(VLOOKUP(B6,Technologies!$A$7:$I$509,9,FALSE)-VLOOKUP(A6,Technologies!$A$7:$I$509,9,FALSE)+VLOOKUP(A6,Technologies!$A$7:$I$509,9,FALSE)*0.1,VLOOKUP(A6,Technologies!$A$7:$I$509,9,FALSE)*0.1)</f>
        <v>8.1999999999999993</v>
      </c>
    </row>
    <row r="7" spans="1:7" x14ac:dyDescent="0.35">
      <c r="A7" s="6" t="s">
        <v>668</v>
      </c>
      <c r="B7" s="6" t="s">
        <v>677</v>
      </c>
      <c r="C7" s="6" t="str">
        <f>VLOOKUP($A7,Technologies!$A$7:$G$506,3,FALSE)</f>
        <v>Final</v>
      </c>
      <c r="D7" s="6" t="str">
        <f>VLOOKUP($A7,Technologies!$A$7:$G$798,7,FALSE)</f>
        <v>House with insulation GFE - Residential Flats</v>
      </c>
      <c r="E7" s="6" t="str">
        <f>VLOOKUP($B7,Technologies!$A$7:$G$798,7,FALSE)</f>
        <v>House with insulation A - Residential Flats</v>
      </c>
      <c r="F7" s="43">
        <v>1</v>
      </c>
      <c r="G7" s="141">
        <f>MAX(VLOOKUP(B7,Technologies!$A$7:$I$509,9,FALSE)-VLOOKUP(A7,Technologies!$A$7:$I$509,9,FALSE)+VLOOKUP(A7,Technologies!$A$7:$I$509,9,FALSE)*0.1,VLOOKUP(A7,Technologies!$A$7:$I$509,9,FALSE)*0.1)</f>
        <v>10.37</v>
      </c>
    </row>
    <row r="8" spans="1:7" x14ac:dyDescent="0.35">
      <c r="A8" s="5" t="s">
        <v>668</v>
      </c>
      <c r="B8" s="5" t="s">
        <v>679</v>
      </c>
      <c r="C8" s="5" t="str">
        <f>VLOOKUP($A8,Technologies!$A$7:$G$506,3,FALSE)</f>
        <v>Final</v>
      </c>
      <c r="D8" s="5" t="str">
        <f>VLOOKUP($A8,Technologies!$A$7:$G$798,7,FALSE)</f>
        <v>House with insulation GFE - Residential Flats</v>
      </c>
      <c r="E8" s="5" t="str">
        <f>VLOOKUP($B8,Technologies!$A$7:$G$798,7,FALSE)</f>
        <v>House with insulation A+ - Residential Flats</v>
      </c>
      <c r="F8" s="44">
        <v>1</v>
      </c>
      <c r="G8" s="141">
        <f>MAX(VLOOKUP(B8,Technologies!$A$7:$I$509,9,FALSE)-VLOOKUP(A8,Technologies!$A$7:$I$509,9,FALSE)+VLOOKUP(A8,Technologies!$A$7:$I$509,9,FALSE)*0.1,VLOOKUP(A8,Technologies!$A$7:$I$509,9,FALSE)*0.1)</f>
        <v>12.26</v>
      </c>
    </row>
    <row r="9" spans="1:7" x14ac:dyDescent="0.35">
      <c r="A9" s="6" t="s">
        <v>673</v>
      </c>
      <c r="B9" s="6" t="s">
        <v>675</v>
      </c>
      <c r="C9" s="6" t="str">
        <f>VLOOKUP($A9,Technologies!$A$7:$G$506,3,FALSE)</f>
        <v>Final</v>
      </c>
      <c r="D9" s="6" t="str">
        <f>VLOOKUP($A9,Technologies!$A$7:$G$798,7,FALSE)</f>
        <v>House with insulation DC - Residential Flats</v>
      </c>
      <c r="E9" s="6" t="str">
        <f>VLOOKUP($B9,Technologies!$A$7:$G$798,7,FALSE)</f>
        <v>House with insulation B - Residential Flats</v>
      </c>
      <c r="F9" s="43">
        <v>1</v>
      </c>
      <c r="G9" s="141">
        <f>MAX(VLOOKUP(B9,Technologies!$A$7:$I$509,9,FALSE)-VLOOKUP(A9,Technologies!$A$7:$I$509,9,FALSE)+VLOOKUP(A9,Technologies!$A$7:$I$509,9,FALSE)*0.1,VLOOKUP(A9,Technologies!$A$7:$I$509,9,FALSE)*0.1)</f>
        <v>6.0669999999999993</v>
      </c>
    </row>
    <row r="10" spans="1:7" x14ac:dyDescent="0.35">
      <c r="A10" s="5" t="s">
        <v>673</v>
      </c>
      <c r="B10" s="5" t="s">
        <v>677</v>
      </c>
      <c r="C10" s="5" t="str">
        <f>VLOOKUP($A10,Technologies!$A$7:$G$506,3,FALSE)</f>
        <v>Final</v>
      </c>
      <c r="D10" s="5" t="str">
        <f>VLOOKUP($A10,Technologies!$A$7:$G$798,7,FALSE)</f>
        <v>House with insulation DC - Residential Flats</v>
      </c>
      <c r="E10" s="5" t="str">
        <f>VLOOKUP($B10,Technologies!$A$7:$G$798,7,FALSE)</f>
        <v>House with insulation A - Residential Flats</v>
      </c>
      <c r="F10" s="44">
        <v>1</v>
      </c>
      <c r="G10" s="141">
        <f>MAX(VLOOKUP(B10,Technologies!$A$7:$I$509,9,FALSE)-VLOOKUP(A10,Technologies!$A$7:$I$509,9,FALSE)+VLOOKUP(A10,Technologies!$A$7:$I$509,9,FALSE)*0.1,VLOOKUP(A10,Technologies!$A$7:$I$509,9,FALSE)*0.1)</f>
        <v>8.2369999999999983</v>
      </c>
    </row>
    <row r="11" spans="1:7" x14ac:dyDescent="0.35">
      <c r="A11" s="6" t="s">
        <v>673</v>
      </c>
      <c r="B11" s="6" t="s">
        <v>679</v>
      </c>
      <c r="C11" s="6" t="str">
        <f>VLOOKUP($A11,Technologies!$A$7:$G$506,3,FALSE)</f>
        <v>Final</v>
      </c>
      <c r="D11" s="6" t="str">
        <f>VLOOKUP($A11,Technologies!$A$7:$G$798,7,FALSE)</f>
        <v>House with insulation DC - Residential Flats</v>
      </c>
      <c r="E11" s="6" t="str">
        <f>VLOOKUP($B11,Technologies!$A$7:$G$798,7,FALSE)</f>
        <v>House with insulation A+ - Residential Flats</v>
      </c>
      <c r="F11" s="43">
        <v>1</v>
      </c>
      <c r="G11" s="141">
        <f>MAX(VLOOKUP(B11,Technologies!$A$7:$I$509,9,FALSE)-VLOOKUP(A11,Technologies!$A$7:$I$509,9,FALSE)+VLOOKUP(A11,Technologies!$A$7:$I$509,9,FALSE)*0.1,VLOOKUP(A11,Technologies!$A$7:$I$509,9,FALSE)*0.1)</f>
        <v>10.127000000000001</v>
      </c>
    </row>
    <row r="12" spans="1:7" x14ac:dyDescent="0.35">
      <c r="A12" s="5" t="s">
        <v>675</v>
      </c>
      <c r="B12" s="5" t="s">
        <v>677</v>
      </c>
      <c r="C12" s="5" t="str">
        <f>VLOOKUP($A12,Technologies!$A$7:$G$506,3,FALSE)</f>
        <v>Final</v>
      </c>
      <c r="D12" s="5" t="str">
        <f>VLOOKUP($A12,Technologies!$A$7:$G$798,7,FALSE)</f>
        <v>House with insulation B - Residential Flats</v>
      </c>
      <c r="E12" s="5" t="str">
        <f>VLOOKUP($B12,Technologies!$A$7:$G$798,7,FALSE)</f>
        <v>House with insulation A - Residential Flats</v>
      </c>
      <c r="F12" s="44">
        <v>1</v>
      </c>
      <c r="G12" s="141">
        <f>MAX(VLOOKUP(B12,Technologies!$A$7:$I$509,9,FALSE)-VLOOKUP(A12,Technologies!$A$7:$I$509,9,FALSE)+VLOOKUP(A12,Technologies!$A$7:$I$509,9,FALSE)*0.1,VLOOKUP(A12,Technologies!$A$7:$I$509,9,FALSE)*0.1)</f>
        <v>2.9899999999999998</v>
      </c>
    </row>
    <row r="13" spans="1:7" x14ac:dyDescent="0.35">
      <c r="A13" s="6" t="s">
        <v>675</v>
      </c>
      <c r="B13" s="6" t="s">
        <v>679</v>
      </c>
      <c r="C13" s="6" t="str">
        <f>VLOOKUP($A13,Technologies!$A$7:$G$506,3,FALSE)</f>
        <v>Final</v>
      </c>
      <c r="D13" s="6" t="str">
        <f>VLOOKUP($A13,Technologies!$A$7:$G$798,7,FALSE)</f>
        <v>House with insulation B - Residential Flats</v>
      </c>
      <c r="E13" s="6" t="str">
        <f>VLOOKUP($B13,Technologies!$A$7:$G$798,7,FALSE)</f>
        <v>House with insulation A+ - Residential Flats</v>
      </c>
      <c r="F13" s="43">
        <v>1</v>
      </c>
      <c r="G13" s="141">
        <f>MAX(VLOOKUP(B13,Technologies!$A$7:$I$509,9,FALSE)-VLOOKUP(A13,Technologies!$A$7:$I$509,9,FALSE)+VLOOKUP(A13,Technologies!$A$7:$I$509,9,FALSE)*0.1,VLOOKUP(A13,Technologies!$A$7:$I$509,9,FALSE)*0.1)</f>
        <v>4.8800000000000008</v>
      </c>
    </row>
    <row r="14" spans="1:7" x14ac:dyDescent="0.35">
      <c r="A14" s="5" t="s">
        <v>677</v>
      </c>
      <c r="B14" s="5" t="s">
        <v>679</v>
      </c>
      <c r="C14" s="5" t="str">
        <f>VLOOKUP($A14,Technologies!$A$7:$G$506,3,FALSE)</f>
        <v>Final</v>
      </c>
      <c r="D14" s="5" t="str">
        <f>VLOOKUP($A14,Technologies!$A$7:$G$798,7,FALSE)</f>
        <v>House with insulation A - Residential Flats</v>
      </c>
      <c r="E14" s="5" t="str">
        <f>VLOOKUP($B14,Technologies!$A$7:$G$798,7,FALSE)</f>
        <v>House with insulation A+ - Residential Flats</v>
      </c>
      <c r="F14" s="44">
        <v>1</v>
      </c>
      <c r="G14" s="141">
        <f>MAX(VLOOKUP(B14,Technologies!$A$7:$I$509,9,FALSE)-VLOOKUP(A14,Technologies!$A$7:$I$509,9,FALSE)+VLOOKUP(A14,Technologies!$A$7:$I$509,9,FALSE)*0.1,VLOOKUP(A14,Technologies!$A$7:$I$509,9,FALSE)*0.1)</f>
        <v>2.9270000000000005</v>
      </c>
    </row>
    <row r="15" spans="1:7" x14ac:dyDescent="0.35">
      <c r="A15" s="6" t="s">
        <v>682</v>
      </c>
      <c r="B15" s="6" t="s">
        <v>685</v>
      </c>
      <c r="C15" s="6" t="str">
        <f>VLOOKUP($A15,Technologies!$A$7:$G$506,3,FALSE)</f>
        <v>Final</v>
      </c>
      <c r="D15" s="6" t="str">
        <f>VLOOKUP($A15,Technologies!$A$7:$G$798,7,FALSE)</f>
        <v>House with insulation GFE - Residential Terrace</v>
      </c>
      <c r="E15" s="6" t="str">
        <f>VLOOKUP($B15,Technologies!$A$7:$G$798,7,FALSE)</f>
        <v>House with insulation DC - Residential Terrace</v>
      </c>
      <c r="F15" s="43">
        <v>1</v>
      </c>
      <c r="G15" s="141">
        <f>MAX(VLOOKUP(B15,Technologies!$A$7:$I$509,9,FALSE)-VLOOKUP(A15,Technologies!$A$7:$I$509,9,FALSE)+VLOOKUP(A15,Technologies!$A$7:$I$509,9,FALSE)*0.1,VLOOKUP(A15,Technologies!$A$7:$I$509,9,FALSE)*0.1)</f>
        <v>3.18</v>
      </c>
    </row>
    <row r="16" spans="1:7" x14ac:dyDescent="0.35">
      <c r="A16" s="5" t="s">
        <v>682</v>
      </c>
      <c r="B16" s="5" t="s">
        <v>688</v>
      </c>
      <c r="C16" s="5" t="str">
        <f>VLOOKUP($A16,Technologies!$A$7:$G$506,3,FALSE)</f>
        <v>Final</v>
      </c>
      <c r="D16" s="5" t="str">
        <f>VLOOKUP($A16,Technologies!$A$7:$G$798,7,FALSE)</f>
        <v>House with insulation GFE - Residential Terrace</v>
      </c>
      <c r="E16" s="5" t="str">
        <f>VLOOKUP($B16,Technologies!$A$7:$G$798,7,FALSE)</f>
        <v>House with insulation B - Residential Terrace</v>
      </c>
      <c r="F16" s="44">
        <v>1</v>
      </c>
      <c r="G16" s="141">
        <f>MAX(VLOOKUP(B16,Technologies!$A$7:$I$509,9,FALSE)-VLOOKUP(A16,Technologies!$A$7:$I$509,9,FALSE)+VLOOKUP(A16,Technologies!$A$7:$I$509,9,FALSE)*0.1,VLOOKUP(A16,Technologies!$A$7:$I$509,9,FALSE)*0.1)</f>
        <v>9.7100000000000009</v>
      </c>
    </row>
    <row r="17" spans="1:7" x14ac:dyDescent="0.35">
      <c r="A17" s="6" t="s">
        <v>682</v>
      </c>
      <c r="B17" s="6" t="s">
        <v>690</v>
      </c>
      <c r="C17" s="6" t="str">
        <f>VLOOKUP($A17,Technologies!$A$7:$G$506,3,FALSE)</f>
        <v>Final</v>
      </c>
      <c r="D17" s="6" t="str">
        <f>VLOOKUP($A17,Technologies!$A$7:$G$798,7,FALSE)</f>
        <v>House with insulation GFE - Residential Terrace</v>
      </c>
      <c r="E17" s="6" t="str">
        <f>VLOOKUP($B17,Technologies!$A$7:$G$798,7,FALSE)</f>
        <v>House with insulation A - Residential Terrace</v>
      </c>
      <c r="F17" s="43">
        <v>1</v>
      </c>
      <c r="G17" s="141">
        <f>MAX(VLOOKUP(B17,Technologies!$A$7:$I$509,9,FALSE)-VLOOKUP(A17,Technologies!$A$7:$I$509,9,FALSE)+VLOOKUP(A17,Technologies!$A$7:$I$509,9,FALSE)*0.1,VLOOKUP(A17,Technologies!$A$7:$I$509,9,FALSE)*0.1)</f>
        <v>12.9</v>
      </c>
    </row>
    <row r="18" spans="1:7" x14ac:dyDescent="0.35">
      <c r="A18" s="5" t="s">
        <v>682</v>
      </c>
      <c r="B18" s="5" t="s">
        <v>692</v>
      </c>
      <c r="C18" s="5" t="str">
        <f>VLOOKUP($A18,Technologies!$A$7:$G$506,3,FALSE)</f>
        <v>Final</v>
      </c>
      <c r="D18" s="5" t="str">
        <f>VLOOKUP($A18,Technologies!$A$7:$G$798,7,FALSE)</f>
        <v>House with insulation GFE - Residential Terrace</v>
      </c>
      <c r="E18" s="5" t="str">
        <f>VLOOKUP($B18,Technologies!$A$7:$G$798,7,FALSE)</f>
        <v>House with insulation A+ - Residential Terrace</v>
      </c>
      <c r="F18" s="44">
        <v>1</v>
      </c>
      <c r="G18" s="141">
        <f>MAX(VLOOKUP(B18,Technologies!$A$7:$I$509,9,FALSE)-VLOOKUP(A18,Technologies!$A$7:$I$509,9,FALSE)+VLOOKUP(A18,Technologies!$A$7:$I$509,9,FALSE)*0.1,VLOOKUP(A18,Technologies!$A$7:$I$509,9,FALSE)*0.1)</f>
        <v>15.69</v>
      </c>
    </row>
    <row r="19" spans="1:7" x14ac:dyDescent="0.35">
      <c r="A19" s="6" t="s">
        <v>685</v>
      </c>
      <c r="B19" s="6" t="s">
        <v>688</v>
      </c>
      <c r="C19" s="6" t="str">
        <f>VLOOKUP($A19,Technologies!$A$7:$G$506,3,FALSE)</f>
        <v>Final</v>
      </c>
      <c r="D19" s="6" t="str">
        <f>VLOOKUP($A19,Technologies!$A$7:$G$798,7,FALSE)</f>
        <v>House with insulation DC - Residential Terrace</v>
      </c>
      <c r="E19" s="6" t="str">
        <f>VLOOKUP($B19,Technologies!$A$7:$G$798,7,FALSE)</f>
        <v>House with insulation B - Residential Terrace</v>
      </c>
      <c r="F19" s="43">
        <v>1</v>
      </c>
      <c r="G19" s="141">
        <f>MAX(VLOOKUP(B19,Technologies!$A$7:$I$509,9,FALSE)-VLOOKUP(A19,Technologies!$A$7:$I$509,9,FALSE)+VLOOKUP(A19,Technologies!$A$7:$I$509,9,FALSE)*0.1,VLOOKUP(A19,Technologies!$A$7:$I$509,9,FALSE)*0.1)</f>
        <v>6.8480000000000008</v>
      </c>
    </row>
    <row r="20" spans="1:7" x14ac:dyDescent="0.35">
      <c r="A20" s="5" t="s">
        <v>685</v>
      </c>
      <c r="B20" s="5" t="s">
        <v>690</v>
      </c>
      <c r="C20" s="5" t="str">
        <f>VLOOKUP($A20,Technologies!$A$7:$G$506,3,FALSE)</f>
        <v>Final</v>
      </c>
      <c r="D20" s="5" t="str">
        <f>VLOOKUP($A20,Technologies!$A$7:$G$798,7,FALSE)</f>
        <v>House with insulation DC - Residential Terrace</v>
      </c>
      <c r="E20" s="5" t="str">
        <f>VLOOKUP($B20,Technologies!$A$7:$G$798,7,FALSE)</f>
        <v>House with insulation A - Residential Terrace</v>
      </c>
      <c r="F20" s="44">
        <v>1</v>
      </c>
      <c r="G20" s="141">
        <f>MAX(VLOOKUP(B20,Technologies!$A$7:$I$509,9,FALSE)-VLOOKUP(A20,Technologies!$A$7:$I$509,9,FALSE)+VLOOKUP(A20,Technologies!$A$7:$I$509,9,FALSE)*0.1,VLOOKUP(A20,Technologies!$A$7:$I$509,9,FALSE)*0.1)</f>
        <v>10.038</v>
      </c>
    </row>
    <row r="21" spans="1:7" x14ac:dyDescent="0.35">
      <c r="A21" s="6" t="s">
        <v>685</v>
      </c>
      <c r="B21" s="6" t="s">
        <v>692</v>
      </c>
      <c r="C21" s="6" t="str">
        <f>VLOOKUP($A21,Technologies!$A$7:$G$506,3,FALSE)</f>
        <v>Final</v>
      </c>
      <c r="D21" s="6" t="str">
        <f>VLOOKUP($A21,Technologies!$A$7:$G$798,7,FALSE)</f>
        <v>House with insulation DC - Residential Terrace</v>
      </c>
      <c r="E21" s="6" t="str">
        <f>VLOOKUP($B21,Technologies!$A$7:$G$798,7,FALSE)</f>
        <v>House with insulation A+ - Residential Terrace</v>
      </c>
      <c r="F21" s="43">
        <v>1</v>
      </c>
      <c r="G21" s="141">
        <f>MAX(VLOOKUP(B21,Technologies!$A$7:$I$509,9,FALSE)-VLOOKUP(A21,Technologies!$A$7:$I$509,9,FALSE)+VLOOKUP(A21,Technologies!$A$7:$I$509,9,FALSE)*0.1,VLOOKUP(A21,Technologies!$A$7:$I$509,9,FALSE)*0.1)</f>
        <v>12.827999999999999</v>
      </c>
    </row>
    <row r="22" spans="1:7" x14ac:dyDescent="0.35">
      <c r="A22" s="5" t="s">
        <v>688</v>
      </c>
      <c r="B22" s="5" t="s">
        <v>690</v>
      </c>
      <c r="C22" s="5" t="str">
        <f>VLOOKUP($A22,Technologies!$A$7:$G$506,3,FALSE)</f>
        <v>Final</v>
      </c>
      <c r="D22" s="5" t="str">
        <f>VLOOKUP($A22,Technologies!$A$7:$G$798,7,FALSE)</f>
        <v>House with insulation B - Residential Terrace</v>
      </c>
      <c r="E22" s="5" t="str">
        <f>VLOOKUP($B22,Technologies!$A$7:$G$798,7,FALSE)</f>
        <v>House with insulation A - Residential Terrace</v>
      </c>
      <c r="F22" s="44">
        <v>1</v>
      </c>
      <c r="G22" s="141">
        <f>MAX(VLOOKUP(B22,Technologies!$A$7:$I$509,9,FALSE)-VLOOKUP(A22,Technologies!$A$7:$I$509,9,FALSE)+VLOOKUP(A22,Technologies!$A$7:$I$509,9,FALSE)*0.1,VLOOKUP(A22,Technologies!$A$7:$I$509,9,FALSE)*0.1)</f>
        <v>4.1609999999999996</v>
      </c>
    </row>
    <row r="23" spans="1:7" x14ac:dyDescent="0.35">
      <c r="A23" s="6" t="s">
        <v>688</v>
      </c>
      <c r="B23" s="6" t="s">
        <v>692</v>
      </c>
      <c r="C23" s="6" t="str">
        <f>VLOOKUP($A23,Technologies!$A$7:$G$506,3,FALSE)</f>
        <v>Final</v>
      </c>
      <c r="D23" s="6" t="str">
        <f>VLOOKUP($A23,Technologies!$A$7:$G$798,7,FALSE)</f>
        <v>House with insulation B - Residential Terrace</v>
      </c>
      <c r="E23" s="6" t="str">
        <f>VLOOKUP($B23,Technologies!$A$7:$G$798,7,FALSE)</f>
        <v>House with insulation A+ - Residential Terrace</v>
      </c>
      <c r="F23" s="43">
        <v>1</v>
      </c>
      <c r="G23" s="141">
        <f>MAX(VLOOKUP(B23,Technologies!$A$7:$I$509,9,FALSE)-VLOOKUP(A23,Technologies!$A$7:$I$509,9,FALSE)+VLOOKUP(A23,Technologies!$A$7:$I$509,9,FALSE)*0.1,VLOOKUP(A23,Technologies!$A$7:$I$509,9,FALSE)*0.1)</f>
        <v>6.9509999999999987</v>
      </c>
    </row>
    <row r="24" spans="1:7" x14ac:dyDescent="0.35">
      <c r="A24" s="5" t="s">
        <v>690</v>
      </c>
      <c r="B24" s="5" t="s">
        <v>692</v>
      </c>
      <c r="C24" s="5" t="str">
        <f>VLOOKUP($A24,Technologies!$A$7:$G$506,3,FALSE)</f>
        <v>Final</v>
      </c>
      <c r="D24" s="5" t="str">
        <f>VLOOKUP($A24,Technologies!$A$7:$G$798,7,FALSE)</f>
        <v>House with insulation A - Residential Terrace</v>
      </c>
      <c r="E24" s="5" t="str">
        <f>VLOOKUP($B24,Technologies!$A$7:$G$798,7,FALSE)</f>
        <v>House with insulation A+ - Residential Terrace</v>
      </c>
      <c r="F24" s="44">
        <v>1</v>
      </c>
      <c r="G24" s="141">
        <f>MAX(VLOOKUP(B24,Technologies!$A$7:$I$509,9,FALSE)-VLOOKUP(A24,Technologies!$A$7:$I$509,9,FALSE)+VLOOKUP(A24,Technologies!$A$7:$I$509,9,FALSE)*0.1,VLOOKUP(A24,Technologies!$A$7:$I$509,9,FALSE)*0.1)</f>
        <v>4.0799999999999992</v>
      </c>
    </row>
    <row r="25" spans="1:7" x14ac:dyDescent="0.35">
      <c r="A25" s="6" t="s">
        <v>694</v>
      </c>
      <c r="B25" s="6" t="s">
        <v>697</v>
      </c>
      <c r="C25" s="6" t="str">
        <f>VLOOKUP($A25,Technologies!$A$7:$G$506,3,FALSE)</f>
        <v>Final</v>
      </c>
      <c r="D25" s="6" t="str">
        <f>VLOOKUP($A25,Technologies!$A$7:$G$798,7,FALSE)</f>
        <v>House with insulation GFE - Residential Dwellings</v>
      </c>
      <c r="E25" s="6" t="str">
        <f>VLOOKUP($B25,Technologies!$A$7:$G$798,7,FALSE)</f>
        <v>House with insulation DC - Residential Dwellings</v>
      </c>
      <c r="F25" s="43">
        <v>1</v>
      </c>
      <c r="G25" s="141">
        <f>MAX(VLOOKUP(B25,Technologies!$A$7:$I$509,9,FALSE)-VLOOKUP(A25,Technologies!$A$7:$I$509,9,FALSE)+VLOOKUP(A25,Technologies!$A$7:$I$509,9,FALSE)*0.1,VLOOKUP(A25,Technologies!$A$7:$I$509,9,FALSE)*0.1)</f>
        <v>5.6</v>
      </c>
    </row>
    <row r="26" spans="1:7" x14ac:dyDescent="0.35">
      <c r="A26" s="5" t="s">
        <v>694</v>
      </c>
      <c r="B26" s="5" t="s">
        <v>700</v>
      </c>
      <c r="C26" s="5" t="str">
        <f>VLOOKUP($A26,Technologies!$A$7:$G$506,3,FALSE)</f>
        <v>Final</v>
      </c>
      <c r="D26" s="5" t="str">
        <f>VLOOKUP($A26,Technologies!$A$7:$G$798,7,FALSE)</f>
        <v>House with insulation GFE - Residential Dwellings</v>
      </c>
      <c r="E26" s="5" t="str">
        <f>VLOOKUP($B26,Technologies!$A$7:$G$798,7,FALSE)</f>
        <v>House with insulation B - Residential Dwellings</v>
      </c>
      <c r="F26" s="44">
        <v>1</v>
      </c>
      <c r="G26" s="141">
        <f>MAX(VLOOKUP(B26,Technologies!$A$7:$I$509,9,FALSE)-VLOOKUP(A26,Technologies!$A$7:$I$509,9,FALSE)+VLOOKUP(A26,Technologies!$A$7:$I$509,9,FALSE)*0.1,VLOOKUP(A26,Technologies!$A$7:$I$509,9,FALSE)*0.1)</f>
        <v>17.190000000000001</v>
      </c>
    </row>
    <row r="27" spans="1:7" x14ac:dyDescent="0.35">
      <c r="A27" s="6" t="s">
        <v>694</v>
      </c>
      <c r="B27" s="6" t="s">
        <v>702</v>
      </c>
      <c r="C27" s="6" t="str">
        <f>VLOOKUP($A27,Technologies!$A$7:$G$506,3,FALSE)</f>
        <v>Final</v>
      </c>
      <c r="D27" s="6" t="str">
        <f>VLOOKUP($A27,Technologies!$A$7:$G$798,7,FALSE)</f>
        <v>House with insulation GFE - Residential Dwellings</v>
      </c>
      <c r="E27" s="6" t="str">
        <f>VLOOKUP($B27,Technologies!$A$7:$G$798,7,FALSE)</f>
        <v>House with insulation A - Residential Dwellings</v>
      </c>
      <c r="F27" s="43">
        <v>1</v>
      </c>
      <c r="G27" s="141">
        <f>MAX(VLOOKUP(B27,Technologies!$A$7:$I$509,9,FALSE)-VLOOKUP(A27,Technologies!$A$7:$I$509,9,FALSE)+VLOOKUP(A27,Technologies!$A$7:$I$509,9,FALSE)*0.1,VLOOKUP(A27,Technologies!$A$7:$I$509,9,FALSE)*0.1)</f>
        <v>23.09</v>
      </c>
    </row>
    <row r="28" spans="1:7" x14ac:dyDescent="0.35">
      <c r="A28" s="5" t="s">
        <v>694</v>
      </c>
      <c r="B28" s="5" t="s">
        <v>704</v>
      </c>
      <c r="C28" s="5" t="str">
        <f>VLOOKUP($A28,Technologies!$A$7:$G$506,3,FALSE)</f>
        <v>Final</v>
      </c>
      <c r="D28" s="5" t="str">
        <f>VLOOKUP($A28,Technologies!$A$7:$G$798,7,FALSE)</f>
        <v>House with insulation GFE - Residential Dwellings</v>
      </c>
      <c r="E28" s="5" t="str">
        <f>VLOOKUP($B28,Technologies!$A$7:$G$798,7,FALSE)</f>
        <v>House with insulation A+ - Residential Dwellings</v>
      </c>
      <c r="F28" s="44">
        <v>1</v>
      </c>
      <c r="G28" s="141">
        <f>MAX(VLOOKUP(B28,Technologies!$A$7:$I$509,9,FALSE)-VLOOKUP(A28,Technologies!$A$7:$I$509,9,FALSE)+VLOOKUP(A28,Technologies!$A$7:$I$509,9,FALSE)*0.1,VLOOKUP(A28,Technologies!$A$7:$I$509,9,FALSE)*0.1)</f>
        <v>28.28</v>
      </c>
    </row>
    <row r="29" spans="1:7" x14ac:dyDescent="0.35">
      <c r="A29" s="6" t="s">
        <v>697</v>
      </c>
      <c r="B29" s="6" t="s">
        <v>700</v>
      </c>
      <c r="C29" s="6" t="str">
        <f>VLOOKUP($A29,Technologies!$A$7:$G$506,3,FALSE)</f>
        <v>Final</v>
      </c>
      <c r="D29" s="6" t="str">
        <f>VLOOKUP($A29,Technologies!$A$7:$G$798,7,FALSE)</f>
        <v>House with insulation DC - Residential Dwellings</v>
      </c>
      <c r="E29" s="6" t="str">
        <f>VLOOKUP($B29,Technologies!$A$7:$G$798,7,FALSE)</f>
        <v>House with insulation B - Residential Dwellings</v>
      </c>
      <c r="F29" s="43">
        <v>1</v>
      </c>
      <c r="G29" s="141">
        <f>MAX(VLOOKUP(B29,Technologies!$A$7:$I$509,9,FALSE)-VLOOKUP(A29,Technologies!$A$7:$I$509,9,FALSE)+VLOOKUP(A29,Technologies!$A$7:$I$509,9,FALSE)*0.1,VLOOKUP(A29,Technologies!$A$7:$I$509,9,FALSE)*0.1)</f>
        <v>12.150000000000002</v>
      </c>
    </row>
    <row r="30" spans="1:7" x14ac:dyDescent="0.35">
      <c r="A30" s="5" t="s">
        <v>697</v>
      </c>
      <c r="B30" s="5" t="s">
        <v>702</v>
      </c>
      <c r="C30" s="5" t="str">
        <f>VLOOKUP($A30,Technologies!$A$7:$G$506,3,FALSE)</f>
        <v>Final</v>
      </c>
      <c r="D30" s="5" t="str">
        <f>VLOOKUP($A30,Technologies!$A$7:$G$798,7,FALSE)</f>
        <v>House with insulation DC - Residential Dwellings</v>
      </c>
      <c r="E30" s="5" t="str">
        <f>VLOOKUP($B30,Technologies!$A$7:$G$798,7,FALSE)</f>
        <v>House with insulation A - Residential Dwellings</v>
      </c>
      <c r="F30" s="44">
        <v>1</v>
      </c>
      <c r="G30" s="141">
        <f>MAX(VLOOKUP(B30,Technologies!$A$7:$I$509,9,FALSE)-VLOOKUP(A30,Technologies!$A$7:$I$509,9,FALSE)+VLOOKUP(A30,Technologies!$A$7:$I$509,9,FALSE)*0.1,VLOOKUP(A30,Technologies!$A$7:$I$509,9,FALSE)*0.1)</f>
        <v>18.05</v>
      </c>
    </row>
    <row r="31" spans="1:7" x14ac:dyDescent="0.35">
      <c r="A31" s="6" t="s">
        <v>697</v>
      </c>
      <c r="B31" s="6" t="s">
        <v>704</v>
      </c>
      <c r="C31" s="6" t="str">
        <f>VLOOKUP($A31,Technologies!$A$7:$G$506,3,FALSE)</f>
        <v>Final</v>
      </c>
      <c r="D31" s="6" t="str">
        <f>VLOOKUP($A31,Technologies!$A$7:$G$798,7,FALSE)</f>
        <v>House with insulation DC - Residential Dwellings</v>
      </c>
      <c r="E31" s="6" t="str">
        <f>VLOOKUP($B31,Technologies!$A$7:$G$798,7,FALSE)</f>
        <v>House with insulation A+ - Residential Dwellings</v>
      </c>
      <c r="F31" s="43">
        <v>1</v>
      </c>
      <c r="G31" s="141">
        <f>MAX(VLOOKUP(B31,Technologies!$A$7:$I$509,9,FALSE)-VLOOKUP(A31,Technologies!$A$7:$I$509,9,FALSE)+VLOOKUP(A31,Technologies!$A$7:$I$509,9,FALSE)*0.1,VLOOKUP(A31,Technologies!$A$7:$I$509,9,FALSE)*0.1)</f>
        <v>23.24</v>
      </c>
    </row>
    <row r="32" spans="1:7" x14ac:dyDescent="0.35">
      <c r="A32" s="5" t="s">
        <v>700</v>
      </c>
      <c r="B32" s="5" t="s">
        <v>702</v>
      </c>
      <c r="C32" s="5" t="str">
        <f>VLOOKUP($A32,Technologies!$A$7:$G$506,3,FALSE)</f>
        <v>Final</v>
      </c>
      <c r="D32" s="5" t="str">
        <f>VLOOKUP($A32,Technologies!$A$7:$G$798,7,FALSE)</f>
        <v>House with insulation B - Residential Dwellings</v>
      </c>
      <c r="E32" s="5" t="str">
        <f>VLOOKUP($B32,Technologies!$A$7:$G$798,7,FALSE)</f>
        <v>House with insulation A - Residential Dwellings</v>
      </c>
      <c r="F32" s="44">
        <v>1</v>
      </c>
      <c r="G32" s="141">
        <f>MAX(VLOOKUP(B32,Technologies!$A$7:$I$509,9,FALSE)-VLOOKUP(A32,Technologies!$A$7:$I$509,9,FALSE)+VLOOKUP(A32,Technologies!$A$7:$I$509,9,FALSE)*0.1,VLOOKUP(A32,Technologies!$A$7:$I$509,9,FALSE)*0.1)</f>
        <v>7.6189999999999989</v>
      </c>
    </row>
    <row r="33" spans="1:7" x14ac:dyDescent="0.35">
      <c r="A33" s="6" t="s">
        <v>700</v>
      </c>
      <c r="B33" s="6" t="s">
        <v>704</v>
      </c>
      <c r="C33" s="6" t="str">
        <f>VLOOKUP($A33,Technologies!$A$7:$G$506,3,FALSE)</f>
        <v>Final</v>
      </c>
      <c r="D33" s="6" t="str">
        <f>VLOOKUP($A33,Technologies!$A$7:$G$798,7,FALSE)</f>
        <v>House with insulation B - Residential Dwellings</v>
      </c>
      <c r="E33" s="6" t="str">
        <f>VLOOKUP($B33,Technologies!$A$7:$G$798,7,FALSE)</f>
        <v>House with insulation A+ - Residential Dwellings</v>
      </c>
      <c r="F33" s="43">
        <v>1</v>
      </c>
      <c r="G33" s="141">
        <f>MAX(VLOOKUP(B33,Technologies!$A$7:$I$509,9,FALSE)-VLOOKUP(A33,Technologies!$A$7:$I$509,9,FALSE)+VLOOKUP(A33,Technologies!$A$7:$I$509,9,FALSE)*0.1,VLOOKUP(A33,Technologies!$A$7:$I$509,9,FALSE)*0.1)</f>
        <v>12.809000000000001</v>
      </c>
    </row>
    <row r="34" spans="1:7" x14ac:dyDescent="0.35">
      <c r="A34" s="5" t="s">
        <v>702</v>
      </c>
      <c r="B34" s="5" t="s">
        <v>704</v>
      </c>
      <c r="C34" s="5" t="str">
        <f>VLOOKUP($A34,Technologies!$A$7:$G$506,3,FALSE)</f>
        <v>Final</v>
      </c>
      <c r="D34" s="5" t="str">
        <f>VLOOKUP($A34,Technologies!$A$7:$G$798,7,FALSE)</f>
        <v>House with insulation A - Residential Dwellings</v>
      </c>
      <c r="E34" s="5" t="str">
        <f>VLOOKUP($B34,Technologies!$A$7:$G$798,7,FALSE)</f>
        <v>House with insulation A+ - Residential Dwellings</v>
      </c>
      <c r="F34" s="44">
        <v>1</v>
      </c>
      <c r="G34" s="141">
        <f>MAX(VLOOKUP(B34,Technologies!$A$7:$I$509,9,FALSE)-VLOOKUP(A34,Technologies!$A$7:$I$509,9,FALSE)+VLOOKUP(A34,Technologies!$A$7:$I$509,9,FALSE)*0.1,VLOOKUP(A34,Technologies!$A$7:$I$509,9,FALSE)*0.1)</f>
        <v>7.4990000000000014</v>
      </c>
    </row>
    <row r="35" spans="1:7" x14ac:dyDescent="0.35">
      <c r="A35" s="6" t="s">
        <v>713</v>
      </c>
      <c r="B35" s="6" t="s">
        <v>717</v>
      </c>
      <c r="C35" s="6" t="str">
        <f>VLOOKUP($A35,Technologies!$A$7:$G$506,3,FALSE)</f>
        <v>Final</v>
      </c>
      <c r="D35" s="6" t="str">
        <f>VLOOKUP($A35,Technologies!$A$7:$G$798,7,FALSE)</f>
        <v>Space with insulation GFE - Services</v>
      </c>
      <c r="E35" s="6" t="str">
        <f>VLOOKUP($B35,Technologies!$A$7:$G$798,7,FALSE)</f>
        <v>Space with insulation DC - Services</v>
      </c>
      <c r="F35" s="43">
        <v>1</v>
      </c>
      <c r="G35" s="141">
        <f>MAX(VLOOKUP(B35,Technologies!$A$7:$I$509,9,FALSE)-VLOOKUP(A35,Technologies!$A$7:$I$509,9,FALSE)+VLOOKUP(A35,Technologies!$A$7:$I$509,9,FALSE)*0.1,VLOOKUP(A35,Technologies!$A$7:$I$509,9,FALSE)*0.1)</f>
        <v>21.9</v>
      </c>
    </row>
    <row r="36" spans="1:7" x14ac:dyDescent="0.35">
      <c r="A36" s="5" t="s">
        <v>713</v>
      </c>
      <c r="B36" s="5" t="s">
        <v>719</v>
      </c>
      <c r="C36" s="5" t="str">
        <f>VLOOKUP($A36,Technologies!$A$7:$G$506,3,FALSE)</f>
        <v>Final</v>
      </c>
      <c r="D36" s="5" t="str">
        <f>VLOOKUP($A36,Technologies!$A$7:$G$798,7,FALSE)</f>
        <v>Space with insulation GFE - Services</v>
      </c>
      <c r="E36" s="5" t="str">
        <f>VLOOKUP($B36,Technologies!$A$7:$G$798,7,FALSE)</f>
        <v>Space with insulation B - Services</v>
      </c>
      <c r="F36" s="44">
        <v>1</v>
      </c>
      <c r="G36" s="141">
        <f>MAX(VLOOKUP(B36,Technologies!$A$7:$I$509,9,FALSE)-VLOOKUP(A36,Technologies!$A$7:$I$509,9,FALSE)+VLOOKUP(A36,Technologies!$A$7:$I$509,9,FALSE)*0.1,VLOOKUP(A36,Technologies!$A$7:$I$509,9,FALSE)*0.1)</f>
        <v>95.3</v>
      </c>
    </row>
    <row r="37" spans="1:7" x14ac:dyDescent="0.35">
      <c r="A37" s="6" t="s">
        <v>713</v>
      </c>
      <c r="B37" s="6" t="s">
        <v>721</v>
      </c>
      <c r="C37" s="6" t="str">
        <f>VLOOKUP($A37,Technologies!$A$7:$G$506,3,FALSE)</f>
        <v>Final</v>
      </c>
      <c r="D37" s="6" t="str">
        <f>VLOOKUP($A37,Technologies!$A$7:$G$798,7,FALSE)</f>
        <v>Space with insulation GFE - Services</v>
      </c>
      <c r="E37" s="6" t="str">
        <f>VLOOKUP($B37,Technologies!$A$7:$G$798,7,FALSE)</f>
        <v>Space with insulation A - Services</v>
      </c>
      <c r="F37" s="43">
        <v>1</v>
      </c>
      <c r="G37" s="141">
        <f>MAX(VLOOKUP(B37,Technologies!$A$7:$I$509,9,FALSE)-VLOOKUP(A37,Technologies!$A$7:$I$509,9,FALSE)+VLOOKUP(A37,Technologies!$A$7:$I$509,9,FALSE)*0.1,VLOOKUP(A37,Technologies!$A$7:$I$509,9,FALSE)*0.1)</f>
        <v>109.9</v>
      </c>
    </row>
    <row r="38" spans="1:7" x14ac:dyDescent="0.35">
      <c r="A38" s="5" t="s">
        <v>713</v>
      </c>
      <c r="B38" s="5" t="s">
        <v>723</v>
      </c>
      <c r="C38" s="5" t="str">
        <f>VLOOKUP($A38,Technologies!$A$7:$G$506,3,FALSE)</f>
        <v>Final</v>
      </c>
      <c r="D38" s="5" t="str">
        <f>VLOOKUP($A38,Technologies!$A$7:$G$798,7,FALSE)</f>
        <v>Space with insulation GFE - Services</v>
      </c>
      <c r="E38" s="5" t="str">
        <f>VLOOKUP($B38,Technologies!$A$7:$G$798,7,FALSE)</f>
        <v>Space with insulation A+ - Services</v>
      </c>
      <c r="F38" s="44">
        <v>1</v>
      </c>
      <c r="G38" s="141">
        <f>MAX(VLOOKUP(B38,Technologies!$A$7:$I$509,9,FALSE)-VLOOKUP(A38,Technologies!$A$7:$I$509,9,FALSE)+VLOOKUP(A38,Technologies!$A$7:$I$509,9,FALSE)*0.1,VLOOKUP(A38,Technologies!$A$7:$I$509,9,FALSE)*0.1)</f>
        <v>122.64</v>
      </c>
    </row>
    <row r="39" spans="1:7" x14ac:dyDescent="0.35">
      <c r="A39" s="6" t="s">
        <v>717</v>
      </c>
      <c r="B39" s="6" t="s">
        <v>719</v>
      </c>
      <c r="C39" s="6" t="str">
        <f>VLOOKUP($A39,Technologies!$A$7:$G$506,3,FALSE)</f>
        <v>Final</v>
      </c>
      <c r="D39" s="6" t="str">
        <f>VLOOKUP($A39,Technologies!$A$7:$G$798,7,FALSE)</f>
        <v>Space with insulation DC - Services</v>
      </c>
      <c r="E39" s="6" t="str">
        <f>VLOOKUP($B39,Technologies!$A$7:$G$798,7,FALSE)</f>
        <v>Space with insulation B - Services</v>
      </c>
      <c r="F39" s="43">
        <v>1</v>
      </c>
      <c r="G39" s="141">
        <f>MAX(VLOOKUP(B39,Technologies!$A$7:$I$509,9,FALSE)-VLOOKUP(A39,Technologies!$A$7:$I$509,9,FALSE)+VLOOKUP(A39,Technologies!$A$7:$I$509,9,FALSE)*0.1,VLOOKUP(A39,Technologies!$A$7:$I$509,9,FALSE)*0.1)</f>
        <v>75.59</v>
      </c>
    </row>
    <row r="40" spans="1:7" x14ac:dyDescent="0.35">
      <c r="A40" s="5" t="s">
        <v>717</v>
      </c>
      <c r="B40" s="5" t="s">
        <v>721</v>
      </c>
      <c r="C40" s="5" t="str">
        <f>VLOOKUP($A40,Technologies!$A$7:$G$506,3,FALSE)</f>
        <v>Final</v>
      </c>
      <c r="D40" s="5" t="str">
        <f>VLOOKUP($A40,Technologies!$A$7:$G$798,7,FALSE)</f>
        <v>Space with insulation DC - Services</v>
      </c>
      <c r="E40" s="5" t="str">
        <f>VLOOKUP($B40,Technologies!$A$7:$G$798,7,FALSE)</f>
        <v>Space with insulation A - Services</v>
      </c>
      <c r="F40" s="44">
        <v>1</v>
      </c>
      <c r="G40" s="141">
        <f>MAX(VLOOKUP(B40,Technologies!$A$7:$I$509,9,FALSE)-VLOOKUP(A40,Technologies!$A$7:$I$509,9,FALSE)+VLOOKUP(A40,Technologies!$A$7:$I$509,9,FALSE)*0.1,VLOOKUP(A40,Technologies!$A$7:$I$509,9,FALSE)*0.1)</f>
        <v>90.19</v>
      </c>
    </row>
    <row r="41" spans="1:7" x14ac:dyDescent="0.35">
      <c r="A41" s="6" t="s">
        <v>717</v>
      </c>
      <c r="B41" s="6" t="s">
        <v>723</v>
      </c>
      <c r="C41" s="6" t="str">
        <f>VLOOKUP($A41,Technologies!$A$7:$G$506,3,FALSE)</f>
        <v>Final</v>
      </c>
      <c r="D41" s="6" t="str">
        <f>VLOOKUP($A41,Technologies!$A$7:$G$798,7,FALSE)</f>
        <v>Space with insulation DC - Services</v>
      </c>
      <c r="E41" s="6" t="str">
        <f>VLOOKUP($B41,Technologies!$A$7:$G$798,7,FALSE)</f>
        <v>Space with insulation A+ - Services</v>
      </c>
      <c r="F41" s="43">
        <v>1</v>
      </c>
      <c r="G41" s="141">
        <f>MAX(VLOOKUP(B41,Technologies!$A$7:$I$509,9,FALSE)-VLOOKUP(A41,Technologies!$A$7:$I$509,9,FALSE)+VLOOKUP(A41,Technologies!$A$7:$I$509,9,FALSE)*0.1,VLOOKUP(A41,Technologies!$A$7:$I$509,9,FALSE)*0.1)</f>
        <v>102.93</v>
      </c>
    </row>
    <row r="42" spans="1:7" x14ac:dyDescent="0.35">
      <c r="A42" s="5" t="s">
        <v>719</v>
      </c>
      <c r="B42" s="5" t="s">
        <v>721</v>
      </c>
      <c r="C42" s="5" t="str">
        <f>VLOOKUP($A42,Technologies!$A$7:$G$506,3,FALSE)</f>
        <v>Final</v>
      </c>
      <c r="D42" s="5" t="str">
        <f>VLOOKUP($A42,Technologies!$A$7:$G$798,7,FALSE)</f>
        <v>Space with insulation B - Services</v>
      </c>
      <c r="E42" s="5" t="str">
        <f>VLOOKUP($B42,Technologies!$A$7:$G$798,7,FALSE)</f>
        <v>Space with insulation A - Services</v>
      </c>
      <c r="F42" s="44">
        <v>1</v>
      </c>
      <c r="G42" s="141">
        <f>MAX(VLOOKUP(B42,Technologies!$A$7:$I$509,9,FALSE)-VLOOKUP(A42,Technologies!$A$7:$I$509,9,FALSE)+VLOOKUP(A42,Technologies!$A$7:$I$509,9,FALSE)*0.1,VLOOKUP(A42,Technologies!$A$7:$I$509,9,FALSE)*0.1)</f>
        <v>24.13000000000001</v>
      </c>
    </row>
    <row r="43" spans="1:7" x14ac:dyDescent="0.35">
      <c r="A43" s="6" t="s">
        <v>719</v>
      </c>
      <c r="B43" s="6" t="s">
        <v>723</v>
      </c>
      <c r="C43" s="6" t="str">
        <f>VLOOKUP($A43,Technologies!$A$7:$G$506,3,FALSE)</f>
        <v>Final</v>
      </c>
      <c r="D43" s="6" t="str">
        <f>VLOOKUP($A43,Technologies!$A$7:$G$798,7,FALSE)</f>
        <v>Space with insulation B - Services</v>
      </c>
      <c r="E43" s="6" t="str">
        <f>VLOOKUP($B43,Technologies!$A$7:$G$798,7,FALSE)</f>
        <v>Space with insulation A+ - Services</v>
      </c>
      <c r="F43" s="43">
        <v>1</v>
      </c>
      <c r="G43" s="141">
        <f>MAX(VLOOKUP(B43,Technologies!$A$7:$I$509,9,FALSE)-VLOOKUP(A43,Technologies!$A$7:$I$509,9,FALSE)+VLOOKUP(A43,Technologies!$A$7:$I$509,9,FALSE)*0.1,VLOOKUP(A43,Technologies!$A$7:$I$509,9,FALSE)*0.1)</f>
        <v>36.870000000000005</v>
      </c>
    </row>
    <row r="44" spans="1:7" x14ac:dyDescent="0.35">
      <c r="A44" s="5" t="s">
        <v>721</v>
      </c>
      <c r="B44" s="5" t="s">
        <v>723</v>
      </c>
      <c r="C44" s="5" t="str">
        <f>VLOOKUP($A44,Technologies!$A$7:$G$506,3,FALSE)</f>
        <v>Final</v>
      </c>
      <c r="D44" s="5" t="str">
        <f>VLOOKUP($A44,Technologies!$A$7:$G$798,7,FALSE)</f>
        <v>Space with insulation A - Services</v>
      </c>
      <c r="E44" s="5" t="str">
        <f>VLOOKUP($B44,Technologies!$A$7:$G$798,7,FALSE)</f>
        <v>Space with insulation A+ - Services</v>
      </c>
      <c r="F44" s="44">
        <v>1</v>
      </c>
      <c r="G44" s="141">
        <f>MAX(VLOOKUP(B44,Technologies!$A$7:$I$509,9,FALSE)-VLOOKUP(A44,Technologies!$A$7:$I$509,9,FALSE)+VLOOKUP(A44,Technologies!$A$7:$I$509,9,FALSE)*0.1,VLOOKUP(A44,Technologies!$A$7:$I$509,9,FALSE)*0.1)</f>
        <v>23.729999999999997</v>
      </c>
    </row>
    <row r="45" spans="1:7" x14ac:dyDescent="0.35">
      <c r="A45" s="6" t="s">
        <v>739</v>
      </c>
      <c r="B45" s="6" t="s">
        <v>747</v>
      </c>
      <c r="C45" s="6" t="str">
        <f>VLOOKUP($A45,Technologies!$A$7:$G$506,3,FALSE)</f>
        <v>Final</v>
      </c>
      <c r="D45" s="6" t="str">
        <f>VLOOKUP($A45,Technologies!$A$7:$G$798,7,FALSE)</f>
        <v>Blast furnace BOF - Steel Production</v>
      </c>
      <c r="E45" s="6" t="str">
        <f>VLOOKUP($B45,Technologies!$A$7:$G$798,7,FALSE)</f>
        <v>Blast furnace BOF wCCUS (end-of-pipe) - Steel Production</v>
      </c>
      <c r="F45" s="43">
        <v>1</v>
      </c>
      <c r="G45" s="141">
        <f>MAX(VLOOKUP(B45,Technologies!$A$7:$I$509,9,FALSE)-VLOOKUP(A45,Technologies!$A$7:$I$509,9,FALSE)+VLOOKUP(A45,Technologies!$A$7:$I$509,9,FALSE)*0.1,VLOOKUP(A45,Technologies!$A$7:$I$509,9,FALSE)*0.1)</f>
        <v>299.55</v>
      </c>
    </row>
    <row r="46" spans="1:7" x14ac:dyDescent="0.35">
      <c r="A46" s="5" t="s">
        <v>739</v>
      </c>
      <c r="B46" s="5" t="s">
        <v>749</v>
      </c>
      <c r="C46" s="5" t="str">
        <f>VLOOKUP($A46,Technologies!$A$7:$G$506,3,FALSE)</f>
        <v>Final</v>
      </c>
      <c r="D46" s="5" t="str">
        <f>VLOOKUP($A46,Technologies!$A$7:$G$798,7,FALSE)</f>
        <v>Blast furnace BOF - Steel Production</v>
      </c>
      <c r="E46" s="5" t="str">
        <f>VLOOKUP($B46,Technologies!$A$7:$G$798,7,FALSE)</f>
        <v>Blast furnace BOF with top gas recycling wCCUS (end-of-pipe) - Steel Production</v>
      </c>
      <c r="F46" s="44">
        <v>1</v>
      </c>
      <c r="G46" s="141">
        <f>MAX(VLOOKUP(B46,Technologies!$A$7:$I$509,9,FALSE)-VLOOKUP(A46,Technologies!$A$7:$I$509,9,FALSE)+VLOOKUP(A46,Technologies!$A$7:$I$509,9,FALSE)*0.1,VLOOKUP(A46,Technologies!$A$7:$I$509,9,FALSE)*0.1)</f>
        <v>319.55</v>
      </c>
    </row>
    <row r="47" spans="1:7" x14ac:dyDescent="0.35">
      <c r="A47" s="6" t="s">
        <v>747</v>
      </c>
      <c r="B47" s="6" t="s">
        <v>749</v>
      </c>
      <c r="C47" s="6" t="str">
        <f>VLOOKUP($A47,Technologies!$A$7:$G$506,3,FALSE)</f>
        <v>Final</v>
      </c>
      <c r="D47" s="6" t="str">
        <f>VLOOKUP($A47,Technologies!$A$7:$G$798,7,FALSE)</f>
        <v>Blast furnace BOF wCCUS (end-of-pipe) - Steel Production</v>
      </c>
      <c r="E47" s="6" t="str">
        <f>VLOOKUP($B47,Technologies!$A$7:$G$798,7,FALSE)</f>
        <v>Blast furnace BOF with top gas recycling wCCUS (end-of-pipe) - Steel Production</v>
      </c>
      <c r="F47" s="43">
        <v>1</v>
      </c>
      <c r="G47" s="141">
        <f>MAX(VLOOKUP(B47,Technologies!$A$7:$I$509,9,FALSE)-VLOOKUP(A47,Technologies!$A$7:$I$509,9,FALSE)+VLOOKUP(A47,Technologies!$A$7:$I$509,9,FALSE)*0.1,VLOOKUP(A47,Technologies!$A$7:$I$509,9,FALSE)*0.1)</f>
        <v>99.5</v>
      </c>
    </row>
    <row r="48" spans="1:7" x14ac:dyDescent="0.35">
      <c r="A48" s="5" t="s">
        <v>751</v>
      </c>
      <c r="B48" s="5" t="s">
        <v>753</v>
      </c>
      <c r="C48" s="5" t="str">
        <f>VLOOKUP($A48,Technologies!$A$7:$G$506,3,FALSE)</f>
        <v>Final</v>
      </c>
      <c r="D48" s="5" t="str">
        <f>VLOOKUP($A48,Technologies!$A$7:$G$798,7,FALSE)</f>
        <v>Hisarna - Steel Production</v>
      </c>
      <c r="E48" s="5" t="str">
        <f>VLOOKUP($B48,Technologies!$A$7:$G$798,7,FALSE)</f>
        <v>Hisarna wCCUS (cryogenic) - Steel Production</v>
      </c>
      <c r="F48" s="44">
        <v>1</v>
      </c>
      <c r="G48" s="141">
        <f>MAX(VLOOKUP(B48,Technologies!$A$7:$I$509,9,FALSE)-VLOOKUP(A48,Technologies!$A$7:$I$509,9,FALSE)+VLOOKUP(A48,Technologies!$A$7:$I$509,9,FALSE)*0.1,VLOOKUP(A48,Technologies!$A$7:$I$509,9,FALSE)*0.1)</f>
        <v>322.5</v>
      </c>
    </row>
    <row r="49" spans="1:7" x14ac:dyDescent="0.35">
      <c r="A49" s="6" t="s">
        <v>751</v>
      </c>
      <c r="B49" s="6" t="s">
        <v>755</v>
      </c>
      <c r="C49" s="6" t="str">
        <f>VLOOKUP($A49,Technologies!$A$7:$G$506,3,FALSE)</f>
        <v>Final</v>
      </c>
      <c r="D49" s="6" t="str">
        <f>VLOOKUP($A49,Technologies!$A$7:$G$798,7,FALSE)</f>
        <v>Hisarna - Steel Production</v>
      </c>
      <c r="E49" s="6" t="str">
        <f>VLOOKUP($B49,Technologies!$A$7:$G$798,7,FALSE)</f>
        <v>Hisarna biomass wCCUS (cryogenic) - Steel Production</v>
      </c>
      <c r="F49" s="43">
        <v>1</v>
      </c>
      <c r="G49" s="141">
        <f>MAX(VLOOKUP(B49,Technologies!$A$7:$I$509,9,FALSE)-VLOOKUP(A49,Technologies!$A$7:$I$509,9,FALSE)+VLOOKUP(A49,Technologies!$A$7:$I$509,9,FALSE)*0.1,VLOOKUP(A49,Technologies!$A$7:$I$509,9,FALSE)*0.1)</f>
        <v>382.5</v>
      </c>
    </row>
    <row r="50" spans="1:7" x14ac:dyDescent="0.35">
      <c r="A50" s="5" t="s">
        <v>753</v>
      </c>
      <c r="B50" s="5" t="s">
        <v>755</v>
      </c>
      <c r="C50" s="5" t="str">
        <f>VLOOKUP($A50,Technologies!$A$7:$G$506,3,FALSE)</f>
        <v>Final</v>
      </c>
      <c r="D50" s="5" t="str">
        <f>VLOOKUP($A50,Technologies!$A$7:$G$798,7,FALSE)</f>
        <v>Hisarna wCCUS (cryogenic) - Steel Production</v>
      </c>
      <c r="E50" s="5" t="str">
        <f>VLOOKUP($B50,Technologies!$A$7:$G$798,7,FALSE)</f>
        <v>Hisarna biomass wCCUS (cryogenic) - Steel Production</v>
      </c>
      <c r="F50" s="44">
        <v>1</v>
      </c>
      <c r="G50" s="141">
        <f>MAX(VLOOKUP(B50,Technologies!$A$7:$I$509,9,FALSE)-VLOOKUP(A50,Technologies!$A$7:$I$509,9,FALSE)+VLOOKUP(A50,Technologies!$A$7:$I$509,9,FALSE)*0.1,VLOOKUP(A50,Technologies!$A$7:$I$509,9,FALSE)*0.1)</f>
        <v>144</v>
      </c>
    </row>
    <row r="51" spans="1:7" x14ac:dyDescent="0.35">
      <c r="A51" s="6" t="s">
        <v>757</v>
      </c>
      <c r="B51" s="6" t="s">
        <v>759</v>
      </c>
      <c r="C51" s="6" t="str">
        <f>VLOOKUP($A51,Technologies!$A$7:$G$506,3,FALSE)</f>
        <v>Final</v>
      </c>
      <c r="D51" s="6" t="str">
        <f>VLOOKUP($A51,Technologies!$A$7:$G$798,7,FALSE)</f>
        <v>Direct reduction from natural gas - Steel Production</v>
      </c>
      <c r="E51" s="6" t="str">
        <f>VLOOKUP($B51,Technologies!$A$7:$G$798,7,FALSE)</f>
        <v>Direct reduction from hydrogen  - Steel Production</v>
      </c>
      <c r="F51" s="43">
        <v>1</v>
      </c>
      <c r="G51" s="141">
        <f>MAX(VLOOKUP(B51,Technologies!$A$7:$I$509,9,FALSE)-VLOOKUP(A51,Technologies!$A$7:$I$509,9,FALSE)+VLOOKUP(A51,Technologies!$A$7:$I$509,9,FALSE)*0.1,VLOOKUP(A51,Technologies!$A$7:$I$509,9,FALSE)*0.1)</f>
        <v>43.5</v>
      </c>
    </row>
    <row r="52" spans="1:7" x14ac:dyDescent="0.35">
      <c r="A52" s="5" t="s">
        <v>757</v>
      </c>
      <c r="B52" s="5" t="s">
        <v>761</v>
      </c>
      <c r="C52" s="5" t="str">
        <f>VLOOKUP($A52,Technologies!$A$7:$G$506,3,FALSE)</f>
        <v>Final</v>
      </c>
      <c r="D52" s="5" t="str">
        <f>VLOOKUP($A52,Technologies!$A$7:$G$798,7,FALSE)</f>
        <v>Direct reduction from natural gas - Steel Production</v>
      </c>
      <c r="E52" s="5" t="str">
        <f>VLOOKUP($B52,Technologies!$A$7:$G$798,7,FALSE)</f>
        <v>Direct reduction from hydrogen w/biomass - Steel Production</v>
      </c>
      <c r="F52" s="44">
        <v>1</v>
      </c>
      <c r="G52" s="141">
        <f>MAX(VLOOKUP(B52,Technologies!$A$7:$I$509,9,FALSE)-VLOOKUP(A52,Technologies!$A$7:$I$509,9,FALSE)+VLOOKUP(A52,Technologies!$A$7:$I$509,9,FALSE)*0.1,VLOOKUP(A52,Technologies!$A$7:$I$509,9,FALSE)*0.1)</f>
        <v>43.5</v>
      </c>
    </row>
    <row r="53" spans="1:7" x14ac:dyDescent="0.35">
      <c r="A53" s="6" t="s">
        <v>759</v>
      </c>
      <c r="B53" s="6" t="s">
        <v>761</v>
      </c>
      <c r="C53" s="6" t="str">
        <f>VLOOKUP($A53,Technologies!$A$7:$G$506,3,FALSE)</f>
        <v>Final</v>
      </c>
      <c r="D53" s="6" t="str">
        <f>VLOOKUP($A53,Technologies!$A$7:$G$798,7,FALSE)</f>
        <v>Direct reduction from hydrogen  - Steel Production</v>
      </c>
      <c r="E53" s="6" t="str">
        <f>VLOOKUP($B53,Technologies!$A$7:$G$798,7,FALSE)</f>
        <v>Direct reduction from hydrogen w/biomass - Steel Production</v>
      </c>
      <c r="F53" s="43">
        <v>1</v>
      </c>
      <c r="G53" s="141">
        <f>MAX(VLOOKUP(B53,Technologies!$A$7:$I$509,9,FALSE)-VLOOKUP(A53,Technologies!$A$7:$I$509,9,FALSE)+VLOOKUP(A53,Technologies!$A$7:$I$509,9,FALSE)*0.1,VLOOKUP(A53,Technologies!$A$7:$I$509,9,FALSE)*0.1)</f>
        <v>43.5</v>
      </c>
    </row>
    <row r="54" spans="1:7" x14ac:dyDescent="0.35">
      <c r="A54" s="5" t="s">
        <v>769</v>
      </c>
      <c r="B54" s="5" t="s">
        <v>771</v>
      </c>
      <c r="C54" s="5" t="str">
        <f>VLOOKUP($A54,Technologies!$A$7:$G$506,3,FALSE)</f>
        <v>Final</v>
      </c>
      <c r="D54" s="5" t="str">
        <f>VLOOKUP($A54,Technologies!$A$7:$G$798,7,FALSE)</f>
        <v>Scrap-fed EAF - Steel Production</v>
      </c>
      <c r="E54" s="5" t="str">
        <f>VLOOKUP($B54,Technologies!$A$7:$G$798,7,FALSE)</f>
        <v>Scrap-fed EAF with syngas fuel - Steel Production</v>
      </c>
      <c r="F54" s="44">
        <v>1</v>
      </c>
      <c r="G54" s="141">
        <f>MAX(VLOOKUP(B54,Technologies!$A$7:$I$509,9,FALSE)-VLOOKUP(A54,Technologies!$A$7:$I$509,9,FALSE)+VLOOKUP(A54,Technologies!$A$7:$I$509,9,FALSE)*0.1,VLOOKUP(A54,Technologies!$A$7:$I$509,9,FALSE)*0.1)</f>
        <v>47.2654</v>
      </c>
    </row>
    <row r="55" spans="1:7" x14ac:dyDescent="0.35">
      <c r="A55" s="6" t="s">
        <v>773</v>
      </c>
      <c r="B55" s="6" t="s">
        <v>775</v>
      </c>
      <c r="C55" s="6" t="str">
        <f>VLOOKUP($A55,Technologies!$A$7:$G$506,3,FALSE)</f>
        <v>Final</v>
      </c>
      <c r="D55" s="6" t="str">
        <f>VLOOKUP($A55,Technologies!$A$7:$G$798,7,FALSE)</f>
        <v>DRI-fed EAF - Steel Production</v>
      </c>
      <c r="E55" s="6" t="str">
        <f>VLOOKUP($B55,Technologies!$A$7:$G$798,7,FALSE)</f>
        <v>DRI-fed EAF with syngas fuel - Steel Production</v>
      </c>
      <c r="F55" s="43">
        <v>1</v>
      </c>
      <c r="G55" s="141">
        <f>MAX(VLOOKUP(B55,Technologies!$A$7:$I$509,9,FALSE)-VLOOKUP(A55,Technologies!$A$7:$I$509,9,FALSE)+VLOOKUP(A55,Technologies!$A$7:$I$509,9,FALSE)*0.1,VLOOKUP(A55,Technologies!$A$7:$I$509,9,FALSE)*0.1)</f>
        <v>47.2654</v>
      </c>
    </row>
    <row r="56" spans="1:7" x14ac:dyDescent="0.35">
      <c r="A56" s="5" t="s">
        <v>775</v>
      </c>
      <c r="B56" s="5" t="s">
        <v>777</v>
      </c>
      <c r="C56" s="5" t="str">
        <f>VLOOKUP($A56,Technologies!$A$7:$G$506,3,FALSE)</f>
        <v>Final</v>
      </c>
      <c r="D56" s="5" t="str">
        <f>VLOOKUP($A56,Technologies!$A$7:$G$798,7,FALSE)</f>
        <v>DRI-fed EAF with syngas fuel - Steel Production</v>
      </c>
      <c r="E56" s="5" t="str">
        <f>VLOOKUP($B56,Technologies!$A$7:$G$798,7,FALSE)</f>
        <v>DRI-fed EAF with syngas fuel and biomass reducing agent - Steel Production</v>
      </c>
      <c r="F56" s="44">
        <v>1</v>
      </c>
      <c r="G56" s="141">
        <f>MAX(VLOOKUP(B56,Technologies!$A$7:$I$509,9,FALSE)-VLOOKUP(A56,Technologies!$A$7:$I$509,9,FALSE)+VLOOKUP(A56,Technologies!$A$7:$I$509,9,FALSE)*0.1,VLOOKUP(A56,Technologies!$A$7:$I$509,9,FALSE)*0.1)</f>
        <v>47.2654</v>
      </c>
    </row>
    <row r="57" spans="1:7" x14ac:dyDescent="0.35">
      <c r="A57" s="6" t="s">
        <v>773</v>
      </c>
      <c r="B57" s="6" t="s">
        <v>777</v>
      </c>
      <c r="C57" s="6" t="str">
        <f>VLOOKUP($A57,Technologies!$A$7:$G$506,3,FALSE)</f>
        <v>Final</v>
      </c>
      <c r="D57" s="6" t="str">
        <f>VLOOKUP($A57,Technologies!$A$7:$G$798,7,FALSE)</f>
        <v>DRI-fed EAF - Steel Production</v>
      </c>
      <c r="E57" s="6" t="str">
        <f>VLOOKUP($B57,Technologies!$A$7:$G$798,7,FALSE)</f>
        <v>DRI-fed EAF with syngas fuel and biomass reducing agent - Steel Production</v>
      </c>
      <c r="F57" s="43">
        <v>1</v>
      </c>
      <c r="G57" s="141">
        <f>MAX(VLOOKUP(B57,Technologies!$A$7:$I$509,9,FALSE)-VLOOKUP(A57,Technologies!$A$7:$I$509,9,FALSE)+VLOOKUP(A57,Technologies!$A$7:$I$509,9,FALSE)*0.1,VLOOKUP(A57,Technologies!$A$7:$I$509,9,FALSE)*0.1)</f>
        <v>47.2654</v>
      </c>
    </row>
    <row r="58" spans="1:7" x14ac:dyDescent="0.35">
      <c r="A58" s="5" t="s">
        <v>787</v>
      </c>
      <c r="B58" s="5" t="s">
        <v>793</v>
      </c>
      <c r="C58" s="5" t="str">
        <f>VLOOKUP($A58,Technologies!$A$7:$G$506,3,FALSE)</f>
        <v>Conversion</v>
      </c>
      <c r="D58" s="5" t="str">
        <f>VLOOKUP($A58,Technologies!$A$7:$G$798,7,FALSE)</f>
        <v>Existing naphtha steam cracker - Petrochemical industry</v>
      </c>
      <c r="E58" s="5" t="str">
        <f>VLOOKUP($B58,Technologies!$A$7:$G$798,7,FALSE)</f>
        <v>Existing naphtha steam cracker wCCUS (MEA postcombustion) - Petrochemical industry</v>
      </c>
      <c r="F58" s="44">
        <v>1</v>
      </c>
      <c r="G58" s="141">
        <f>MAX(VLOOKUP(B58,Technologies!$A$7:$I$509,9,FALSE)-VLOOKUP(A58,Technologies!$A$7:$I$509,9,FALSE)+VLOOKUP(A58,Technologies!$A$7:$I$509,9,FALSE)*0.1,VLOOKUP(A58,Technologies!$A$7:$I$509,9,FALSE)*0.1)</f>
        <v>414.41998406250821</v>
      </c>
    </row>
    <row r="59" spans="1:7" x14ac:dyDescent="0.35">
      <c r="A59" s="6" t="s">
        <v>787</v>
      </c>
      <c r="B59" s="6" t="s">
        <v>795</v>
      </c>
      <c r="C59" s="6" t="str">
        <f>VLOOKUP($A59,Technologies!$A$7:$G$506,3,FALSE)</f>
        <v>Conversion</v>
      </c>
      <c r="D59" s="6" t="str">
        <f>VLOOKUP($A59,Technologies!$A$7:$G$798,7,FALSE)</f>
        <v>Existing naphtha steam cracker - Petrochemical industry</v>
      </c>
      <c r="E59" s="6" t="str">
        <f>VLOOKUP($B59,Technologies!$A$7:$G$798,7,FALSE)</f>
        <v>Existing bio-naphtha steam cracker wCCUS (MEA postcombustion) - Petrochemical industry</v>
      </c>
      <c r="F59" s="43">
        <v>1</v>
      </c>
      <c r="G59" s="141">
        <f>MAX(VLOOKUP(B59,Technologies!$A$7:$I$509,9,FALSE)-VLOOKUP(A59,Technologies!$A$7:$I$509,9,FALSE)+VLOOKUP(A59,Technologies!$A$7:$I$509,9,FALSE)*0.1,VLOOKUP(A59,Technologies!$A$7:$I$509,9,FALSE)*0.1)</f>
        <v>436.02007115950471</v>
      </c>
    </row>
    <row r="60" spans="1:7" x14ac:dyDescent="0.35">
      <c r="A60" s="5" t="s">
        <v>787</v>
      </c>
      <c r="B60" s="5" t="s">
        <v>797</v>
      </c>
      <c r="C60" s="5" t="str">
        <f>VLOOKUP($A60,Technologies!$A$7:$G$506,3,FALSE)</f>
        <v>Conversion</v>
      </c>
      <c r="D60" s="5" t="str">
        <f>VLOOKUP($A60,Technologies!$A$7:$G$798,7,FALSE)</f>
        <v>Existing naphtha steam cracker - Petrochemical industry</v>
      </c>
      <c r="E60" s="5" t="str">
        <f>VLOOKUP($B60,Technologies!$A$7:$G$798,7,FALSE)</f>
        <v>Existing syn-naphtha steam cracker wCCUS (MEA postcombustion) - Petrochemical industry</v>
      </c>
      <c r="F60" s="44">
        <v>1</v>
      </c>
      <c r="G60" s="141">
        <f>MAX(VLOOKUP(B60,Technologies!$A$7:$I$509,9,FALSE)-VLOOKUP(A60,Technologies!$A$7:$I$509,9,FALSE)+VLOOKUP(A60,Technologies!$A$7:$I$509,9,FALSE)*0.1,VLOOKUP(A60,Technologies!$A$7:$I$509,9,FALSE)*0.1)</f>
        <v>414.41998406250821</v>
      </c>
    </row>
    <row r="61" spans="1:7" x14ac:dyDescent="0.35">
      <c r="A61" s="6" t="s">
        <v>787</v>
      </c>
      <c r="B61" s="6" t="s">
        <v>799</v>
      </c>
      <c r="C61" s="6" t="str">
        <f>VLOOKUP($A61,Technologies!$A$7:$G$506,3,FALSE)</f>
        <v>Conversion</v>
      </c>
      <c r="D61" s="6" t="str">
        <f>VLOOKUP($A61,Technologies!$A$7:$G$798,7,FALSE)</f>
        <v>Existing naphtha steam cracker - Petrochemical industry</v>
      </c>
      <c r="E61" s="6" t="str">
        <f>VLOOKUP($B61,Technologies!$A$7:$G$798,7,FALSE)</f>
        <v>Electrified naphtha steam cracker - Petrochemical industry</v>
      </c>
      <c r="F61" s="43">
        <v>1</v>
      </c>
      <c r="G61" s="141">
        <f>MAX(VLOOKUP(B61,Technologies!$A$7:$I$509,9,FALSE)-VLOOKUP(A61,Technologies!$A$7:$I$509,9,FALSE)+VLOOKUP(A61,Technologies!$A$7:$I$509,9,FALSE)*0.1,VLOOKUP(A61,Technologies!$A$7:$I$509,9,FALSE)*0.1)</f>
        <v>193.95430284857329</v>
      </c>
    </row>
    <row r="62" spans="1:7" x14ac:dyDescent="0.35">
      <c r="A62" s="5" t="s">
        <v>787</v>
      </c>
      <c r="B62" s="5" t="s">
        <v>801</v>
      </c>
      <c r="C62" s="5" t="str">
        <f>VLOOKUP($A62,Technologies!$A$7:$G$506,3,FALSE)</f>
        <v>Conversion</v>
      </c>
      <c r="D62" s="5" t="str">
        <f>VLOOKUP($A62,Technologies!$A$7:$G$798,7,FALSE)</f>
        <v>Existing naphtha steam cracker - Petrochemical industry</v>
      </c>
      <c r="E62" s="5" t="str">
        <f>VLOOKUP($B62,Technologies!$A$7:$G$798,7,FALSE)</f>
        <v>Electrified bio-naphtha steam cracker - Petrochemical industry</v>
      </c>
      <c r="F62" s="44">
        <v>1</v>
      </c>
      <c r="G62" s="141">
        <f>MAX(VLOOKUP(B62,Technologies!$A$7:$I$509,9,FALSE)-VLOOKUP(A62,Technologies!$A$7:$I$509,9,FALSE)+VLOOKUP(A62,Technologies!$A$7:$I$509,9,FALSE)*0.1,VLOOKUP(A62,Technologies!$A$7:$I$509,9,FALSE)*0.1)</f>
        <v>213.3497331334307</v>
      </c>
    </row>
    <row r="63" spans="1:7" x14ac:dyDescent="0.35">
      <c r="A63" s="6" t="s">
        <v>787</v>
      </c>
      <c r="B63" s="6" t="s">
        <v>803</v>
      </c>
      <c r="C63" s="6" t="str">
        <f>VLOOKUP($A63,Technologies!$A$7:$G$506,3,FALSE)</f>
        <v>Conversion</v>
      </c>
      <c r="D63" s="6" t="str">
        <f>VLOOKUP($A63,Technologies!$A$7:$G$798,7,FALSE)</f>
        <v>Existing naphtha steam cracker - Petrochemical industry</v>
      </c>
      <c r="E63" s="6" t="str">
        <f>VLOOKUP($B63,Technologies!$A$7:$G$798,7,FALSE)</f>
        <v>Electrified syn-naphtha steam cracker - Petrochemical industry</v>
      </c>
      <c r="F63" s="43">
        <v>1</v>
      </c>
      <c r="G63" s="141">
        <f>MAX(VLOOKUP(B63,Technologies!$A$7:$I$509,9,FALSE)-VLOOKUP(A63,Technologies!$A$7:$I$509,9,FALSE)+VLOOKUP(A63,Technologies!$A$7:$I$509,9,FALSE)*0.1,VLOOKUP(A63,Technologies!$A$7:$I$509,9,FALSE)*0.1)</f>
        <v>213.3497331334307</v>
      </c>
    </row>
    <row r="64" spans="1:7" x14ac:dyDescent="0.35">
      <c r="A64" s="5" t="s">
        <v>787</v>
      </c>
      <c r="B64" s="5" t="s">
        <v>805</v>
      </c>
      <c r="C64" s="5" t="str">
        <f>VLOOKUP($A64,Technologies!$A$7:$G$506,3,FALSE)</f>
        <v>Conversion</v>
      </c>
      <c r="D64" s="5" t="str">
        <f>VLOOKUP($A64,Technologies!$A$7:$G$798,7,FALSE)</f>
        <v>Existing naphtha steam cracker - Petrochemical industry</v>
      </c>
      <c r="E64" s="5" t="str">
        <f>VLOOKUP($B64,Technologies!$A$7:$G$798,7,FALSE)</f>
        <v>Hydrogen fueled naphtha steam cracker - Petrochemical industry</v>
      </c>
      <c r="F64" s="44">
        <v>1</v>
      </c>
      <c r="G64" s="141">
        <f>MAX(VLOOKUP(B64,Technologies!$A$7:$I$509,9,FALSE)-VLOOKUP(A64,Technologies!$A$7:$I$509,9,FALSE)+VLOOKUP(A64,Technologies!$A$7:$I$509,9,FALSE)*0.1,VLOOKUP(A64,Technologies!$A$7:$I$509,9,FALSE)*0.1)</f>
        <v>193.95430284857329</v>
      </c>
    </row>
    <row r="65" spans="1:8" x14ac:dyDescent="0.35">
      <c r="A65" s="6" t="s">
        <v>787</v>
      </c>
      <c r="B65" s="6" t="s">
        <v>807</v>
      </c>
      <c r="C65" s="6" t="str">
        <f>VLOOKUP($A65,Technologies!$A$7:$G$506,3,FALSE)</f>
        <v>Conversion</v>
      </c>
      <c r="D65" s="6" t="str">
        <f>VLOOKUP($A65,Technologies!$A$7:$G$798,7,FALSE)</f>
        <v>Existing naphtha steam cracker - Petrochemical industry</v>
      </c>
      <c r="E65" s="6" t="str">
        <f>VLOOKUP($B65,Technologies!$A$7:$G$798,7,FALSE)</f>
        <v>Hydrogen fueled bio-naphtha steam cracker - Petrochemical industry</v>
      </c>
      <c r="F65" s="43">
        <v>1</v>
      </c>
      <c r="G65" s="141">
        <f>MAX(VLOOKUP(B65,Technologies!$A$7:$I$509,9,FALSE)-VLOOKUP(A65,Technologies!$A$7:$I$509,9,FALSE)+VLOOKUP(A65,Technologies!$A$7:$I$509,9,FALSE)*0.1,VLOOKUP(A65,Technologies!$A$7:$I$509,9,FALSE)*0.1)</f>
        <v>193.95430284857329</v>
      </c>
    </row>
    <row r="66" spans="1:8" x14ac:dyDescent="0.35">
      <c r="A66" s="5" t="s">
        <v>787</v>
      </c>
      <c r="B66" s="5" t="s">
        <v>809</v>
      </c>
      <c r="C66" s="5" t="str">
        <f>VLOOKUP($A66,Technologies!$A$7:$G$506,3,FALSE)</f>
        <v>Conversion</v>
      </c>
      <c r="D66" s="5" t="str">
        <f>VLOOKUP($A66,Technologies!$A$7:$G$798,7,FALSE)</f>
        <v>Existing naphtha steam cracker - Petrochemical industry</v>
      </c>
      <c r="E66" s="5" t="str">
        <f>VLOOKUP($B66,Technologies!$A$7:$G$798,7,FALSE)</f>
        <v>Hydrogen fueled syn-naphtha steam cracker - Petrochemical industry</v>
      </c>
      <c r="F66" s="44">
        <v>1</v>
      </c>
      <c r="G66" s="141">
        <f>MAX(VLOOKUP(B66,Technologies!$A$7:$I$509,9,FALSE)-VLOOKUP(A66,Technologies!$A$7:$I$509,9,FALSE)+VLOOKUP(A66,Technologies!$A$7:$I$509,9,FALSE)*0.1,VLOOKUP(A66,Technologies!$A$7:$I$509,9,FALSE)*0.1)</f>
        <v>193.95430284857329</v>
      </c>
    </row>
    <row r="67" spans="1:8" x14ac:dyDescent="0.35">
      <c r="A67" s="5" t="s">
        <v>787</v>
      </c>
      <c r="B67" s="5" t="s">
        <v>861</v>
      </c>
      <c r="C67" s="5" t="str">
        <f>VLOOKUP($A67,Technologies!$A$7:$G$506,3,FALSE)</f>
        <v>Conversion</v>
      </c>
      <c r="D67" s="5" t="str">
        <f>VLOOKUP($A67,Technologies!$A$7:$G$798,7,FALSE)</f>
        <v>Existing naphtha steam cracker - Petrochemical industry</v>
      </c>
      <c r="E67" s="5" t="str">
        <f>VLOOKUP($B67,Technologies!$A$7:$G$798,7,FALSE)</f>
        <v>Existing naphtha steam cracker with 10% pyrolysis oil blending - Petrochemical industry</v>
      </c>
      <c r="F67" s="44">
        <v>1</v>
      </c>
      <c r="G67" s="141">
        <f>MAX(VLOOKUP(B67,Technologies!$A$7:$I$509,9,FALSE)-VLOOKUP(A67,Technologies!$A$7:$I$509,9,FALSE)+VLOOKUP(A67,Technologies!$A$7:$I$509,9,FALSE)*0.1,VLOOKUP(A67,Technologies!$A$7:$I$509,9,FALSE)*0.1)</f>
        <v>213.3497331334307</v>
      </c>
    </row>
    <row r="68" spans="1:8" x14ac:dyDescent="0.35">
      <c r="A68" s="6" t="s">
        <v>793</v>
      </c>
      <c r="B68" s="6" t="s">
        <v>795</v>
      </c>
      <c r="C68" s="6" t="str">
        <f>VLOOKUP($A68,Technologies!$A$7:$G$506,3,FALSE)</f>
        <v>Conversion</v>
      </c>
      <c r="D68" s="6" t="str">
        <f>VLOOKUP($A68,Technologies!$A$7:$G$798,7,FALSE)</f>
        <v>Existing naphtha steam cracker wCCUS (MEA postcombustion) - Petrochemical industry</v>
      </c>
      <c r="E68" s="6" t="str">
        <f>VLOOKUP($B68,Technologies!$A$7:$G$798,7,FALSE)</f>
        <v>Existing bio-naphtha steam cracker wCCUS (MEA postcombustion) - Petrochemical industry</v>
      </c>
      <c r="F68" s="43">
        <v>1</v>
      </c>
      <c r="G68" s="141">
        <f>MAX(VLOOKUP(B68,Technologies!$A$7:$I$509,9,FALSE)-VLOOKUP(A68,Technologies!$A$7:$I$509,9,FALSE)+VLOOKUP(A68,Technologies!$A$7:$I$509,9,FALSE)*0.1,VLOOKUP(A68,Technologies!$A$7:$I$509,9,FALSE)*0.1)</f>
        <v>237.60095806696327</v>
      </c>
    </row>
    <row r="69" spans="1:8" x14ac:dyDescent="0.35">
      <c r="A69" s="5" t="s">
        <v>793</v>
      </c>
      <c r="B69" s="5" t="s">
        <v>797</v>
      </c>
      <c r="C69" s="5" t="str">
        <f>VLOOKUP($A69,Technologies!$A$7:$G$506,3,FALSE)</f>
        <v>Conversion</v>
      </c>
      <c r="D69" s="5" t="str">
        <f>VLOOKUP($A69,Technologies!$A$7:$G$798,7,FALSE)</f>
        <v>Existing naphtha steam cracker wCCUS (MEA postcombustion) - Petrochemical industry</v>
      </c>
      <c r="E69" s="5" t="str">
        <f>VLOOKUP($B69,Technologies!$A$7:$G$798,7,FALSE)</f>
        <v>Existing syn-naphtha steam cracker wCCUS (MEA postcombustion) - Petrochemical industry</v>
      </c>
      <c r="F69" s="44">
        <v>1</v>
      </c>
      <c r="G69" s="141">
        <f>MAX(VLOOKUP(B69,Technologies!$A$7:$I$509,9,FALSE)-VLOOKUP(A69,Technologies!$A$7:$I$509,9,FALSE)+VLOOKUP(A69,Technologies!$A$7:$I$509,9,FALSE)*0.1,VLOOKUP(A69,Technologies!$A$7:$I$509,9,FALSE)*0.1)</f>
        <v>216.00087096996677</v>
      </c>
    </row>
    <row r="70" spans="1:8" x14ac:dyDescent="0.35">
      <c r="A70" s="6" t="s">
        <v>799</v>
      </c>
      <c r="B70" s="6" t="s">
        <v>801</v>
      </c>
      <c r="C70" s="6" t="str">
        <f>VLOOKUP($A70,Technologies!$A$7:$G$506,3,FALSE)</f>
        <v>Conversion</v>
      </c>
      <c r="D70" s="6" t="str">
        <f>VLOOKUP($A70,Technologies!$A$7:$G$798,7,FALSE)</f>
        <v>Electrified naphtha steam cracker - Petrochemical industry</v>
      </c>
      <c r="E70" s="6" t="str">
        <f>VLOOKUP($B70,Technologies!$A$7:$G$798,7,FALSE)</f>
        <v>Electrified bio-naphtha steam cracker - Petrochemical industry</v>
      </c>
      <c r="F70" s="43">
        <v>1</v>
      </c>
      <c r="G70" s="141">
        <f>MAX(VLOOKUP(B70,Technologies!$A$7:$I$509,9,FALSE)-VLOOKUP(A70,Technologies!$A$7:$I$509,9,FALSE)+VLOOKUP(A70,Technologies!$A$7:$I$509,9,FALSE)*0.1,VLOOKUP(A70,Technologies!$A$7:$I$509,9,FALSE)*0.1)</f>
        <v>213.3497331334307</v>
      </c>
    </row>
    <row r="71" spans="1:8" x14ac:dyDescent="0.35">
      <c r="A71" s="5" t="s">
        <v>799</v>
      </c>
      <c r="B71" s="5" t="s">
        <v>803</v>
      </c>
      <c r="C71" s="5" t="str">
        <f>VLOOKUP($A71,Technologies!$A$7:$G$506,3,FALSE)</f>
        <v>Conversion</v>
      </c>
      <c r="D71" s="5" t="str">
        <f>VLOOKUP($A71,Technologies!$A$7:$G$798,7,FALSE)</f>
        <v>Electrified naphtha steam cracker - Petrochemical industry</v>
      </c>
      <c r="E71" s="5" t="str">
        <f>VLOOKUP($B71,Technologies!$A$7:$G$798,7,FALSE)</f>
        <v>Electrified syn-naphtha steam cracker - Petrochemical industry</v>
      </c>
      <c r="F71" s="44">
        <v>1</v>
      </c>
      <c r="G71" s="141">
        <f>MAX(VLOOKUP(B71,Technologies!$A$7:$I$509,9,FALSE)-VLOOKUP(A71,Technologies!$A$7:$I$509,9,FALSE)+VLOOKUP(A71,Technologies!$A$7:$I$509,9,FALSE)*0.1,VLOOKUP(A71,Technologies!$A$7:$I$509,9,FALSE)*0.1)</f>
        <v>213.3497331334307</v>
      </c>
    </row>
    <row r="72" spans="1:8" x14ac:dyDescent="0.35">
      <c r="A72" s="6" t="s">
        <v>805</v>
      </c>
      <c r="B72" s="6" t="s">
        <v>807</v>
      </c>
      <c r="C72" s="6" t="str">
        <f>VLOOKUP($A72,Technologies!$A$7:$G$506,3,FALSE)</f>
        <v>Conversion</v>
      </c>
      <c r="D72" s="6" t="str">
        <f>VLOOKUP($A72,Technologies!$A$7:$G$798,7,FALSE)</f>
        <v>Hydrogen fueled naphtha steam cracker - Petrochemical industry</v>
      </c>
      <c r="E72" s="6" t="str">
        <f>VLOOKUP($B72,Technologies!$A$7:$G$798,7,FALSE)</f>
        <v>Hydrogen fueled bio-naphtha steam cracker - Petrochemical industry</v>
      </c>
      <c r="F72" s="43">
        <v>1</v>
      </c>
      <c r="G72" s="141">
        <f>MAX(VLOOKUP(B72,Technologies!$A$7:$I$509,9,FALSE)-VLOOKUP(A72,Technologies!$A$7:$I$509,9,FALSE)+VLOOKUP(A72,Technologies!$A$7:$I$509,9,FALSE)*0.1,VLOOKUP(A72,Technologies!$A$7:$I$509,9,FALSE)*0.1)</f>
        <v>193.95430284857329</v>
      </c>
    </row>
    <row r="73" spans="1:8" x14ac:dyDescent="0.35">
      <c r="A73" s="5" t="s">
        <v>805</v>
      </c>
      <c r="B73" s="5" t="s">
        <v>809</v>
      </c>
      <c r="C73" s="5" t="str">
        <f>VLOOKUP($A73,Technologies!$A$7:$G$506,3,FALSE)</f>
        <v>Conversion</v>
      </c>
      <c r="D73" s="5" t="str">
        <f>VLOOKUP($A73,Technologies!$A$7:$G$798,7,FALSE)</f>
        <v>Hydrogen fueled naphtha steam cracker - Petrochemical industry</v>
      </c>
      <c r="E73" s="5" t="str">
        <f>VLOOKUP($B73,Technologies!$A$7:$G$798,7,FALSE)</f>
        <v>Hydrogen fueled syn-naphtha steam cracker - Petrochemical industry</v>
      </c>
      <c r="F73" s="44">
        <v>1</v>
      </c>
      <c r="G73" s="141">
        <f>MAX(VLOOKUP(B73,Technologies!$A$7:$I$509,9,FALSE)-VLOOKUP(A73,Technologies!$A$7:$I$509,9,FALSE)+VLOOKUP(A73,Technologies!$A$7:$I$509,9,FALSE)*0.1,VLOOKUP(A73,Technologies!$A$7:$I$509,9,FALSE)*0.1)</f>
        <v>193.95430284857329</v>
      </c>
    </row>
    <row r="74" spans="1:8" x14ac:dyDescent="0.35">
      <c r="A74" s="5" t="s">
        <v>861</v>
      </c>
      <c r="B74" s="5" t="s">
        <v>863</v>
      </c>
      <c r="C74" s="5" t="str">
        <f>VLOOKUP($A74,Technologies!$A$7:$G$503,3,FALSE)</f>
        <v>Conversion</v>
      </c>
      <c r="D74" s="5" t="str">
        <f>VLOOKUP($A74,Technologies!$A$7:$G$795,7,FALSE)</f>
        <v>Existing naphtha steam cracker with 10% pyrolysis oil blending - Petrochemical industry</v>
      </c>
      <c r="E74" s="5" t="str">
        <f>VLOOKUP($B74,Technologies!$A$7:$G$795,7,FALSE)</f>
        <v>Existing naphtha steam cracker with 10% pyrolysis oil blending and CCUS - Petrochemical industry</v>
      </c>
      <c r="F74" s="44">
        <v>1</v>
      </c>
      <c r="G74" s="141">
        <f>MAX(VLOOKUP(B74,Technologies!$A$7:$I$509,9,FALSE)-VLOOKUP(A74,Technologies!$A$7:$I$509,9,FALSE)+VLOOKUP(A74,Technologies!$A$7:$I$509,9,FALSE)*0.1,VLOOKUP(A74,Technologies!$A$7:$I$509,9,FALSE)*0.1)</f>
        <v>195.89384587705902</v>
      </c>
    </row>
    <row r="75" spans="1:8" x14ac:dyDescent="0.35">
      <c r="A75" s="5" t="s">
        <v>914</v>
      </c>
      <c r="B75" s="5" t="s">
        <v>919</v>
      </c>
      <c r="C75" s="5" t="str">
        <f>VLOOKUP($A75,Technologies!$A$7:$G$503,3,FALSE)</f>
        <v>Final</v>
      </c>
      <c r="D75" s="5" t="str">
        <f>VLOOKUP($A75,Technologies!$A$7:$G$795,7,FALSE)</f>
        <v>Conventional furnaces + post-melting  - Glass production</v>
      </c>
      <c r="E75" s="5" t="str">
        <f>VLOOKUP($B75,Technologies!$A$7:$G$795,7,FALSE)</f>
        <v>Efficient furnaces + post-melting  - Glass production</v>
      </c>
      <c r="F75" s="44">
        <v>1</v>
      </c>
      <c r="G75" s="141">
        <f>MAX(VLOOKUP(B75,Technologies!$A$7:$I$509,9,FALSE)-VLOOKUP(A75,Technologies!$A$7:$I$509,9,FALSE)+VLOOKUP(A75,Technologies!$A$7:$I$509,9,FALSE)*0.1,VLOOKUP(A75,Technologies!$A$7:$I$509,9,FALSE)*0.1)</f>
        <v>48.1</v>
      </c>
    </row>
    <row r="76" spans="1:8" x14ac:dyDescent="0.35">
      <c r="A76" s="6" t="s">
        <v>914</v>
      </c>
      <c r="B76" s="6" t="s">
        <v>921</v>
      </c>
      <c r="C76" s="6" t="str">
        <f>VLOOKUP($A76,Technologies!$A$7:$G$506,3,FALSE)</f>
        <v>Final</v>
      </c>
      <c r="D76" s="6" t="str">
        <f>VLOOKUP($A76,Technologies!$A$7:$G$798,7,FALSE)</f>
        <v>Conventional furnaces + post-melting  - Glass production</v>
      </c>
      <c r="E76" s="6" t="str">
        <f>VLOOKUP($B76,Technologies!$A$7:$G$798,7,FALSE)</f>
        <v>Electric cold-top furnaces + post-melting  - Glass production</v>
      </c>
      <c r="F76" s="43">
        <v>1</v>
      </c>
      <c r="G76" s="141">
        <f>MAX(VLOOKUP(B76,Technologies!$A$7:$I$509,9,FALSE)-VLOOKUP(A76,Technologies!$A$7:$I$509,9,FALSE)+VLOOKUP(A76,Technologies!$A$7:$I$509,9,FALSE)*0.1,VLOOKUP(A76,Technologies!$A$7:$I$509,9,FALSE)*0.1)</f>
        <v>226.1</v>
      </c>
    </row>
    <row r="77" spans="1:8" x14ac:dyDescent="0.35">
      <c r="A77" s="5" t="s">
        <v>923</v>
      </c>
      <c r="B77" s="5" t="s">
        <v>927</v>
      </c>
      <c r="C77" s="5" t="str">
        <f>VLOOKUP($A77,Technologies!$A$7:$G$506,3,FALSE)</f>
        <v>Final</v>
      </c>
      <c r="D77" s="5" t="str">
        <f>VLOOKUP($A77,Technologies!$A$7:$G$798,7,FALSE)</f>
        <v>Conventional kilns + preparation, drying, treatment  - Ceramics production</v>
      </c>
      <c r="E77" s="5" t="str">
        <f>VLOOKUP($B77,Technologies!$A$7:$G$798,7,FALSE)</f>
        <v>Electric kilns + preparation, drying, treatment - Ceramics production</v>
      </c>
      <c r="F77" s="44">
        <v>1</v>
      </c>
      <c r="G77" s="141">
        <f>MAX(VLOOKUP(B77,Technologies!$A$7:$I$509,9,FALSE)-VLOOKUP(A77,Technologies!$A$7:$I$509,9,FALSE)+VLOOKUP(A77,Technologies!$A$7:$I$509,9,FALSE)*0.1,VLOOKUP(A77,Technologies!$A$7:$I$509,9,FALSE)*0.1)</f>
        <v>140</v>
      </c>
    </row>
    <row r="78" spans="1:8" x14ac:dyDescent="0.35">
      <c r="A78" s="6" t="s">
        <v>929</v>
      </c>
      <c r="B78" s="6" t="s">
        <v>934</v>
      </c>
      <c r="C78" s="6" t="str">
        <f>VLOOKUP($A78,Technologies!$A$7:$G$506,3,FALSE)</f>
        <v>Final</v>
      </c>
      <c r="D78" s="6" t="str">
        <f>VLOOKUP($A78,Technologies!$A$7:$G$798,7,FALSE)</f>
        <v>Conventional paper milling - Paper and board production</v>
      </c>
      <c r="E78" s="6" t="str">
        <f>VLOOKUP($B78,Technologies!$A$7:$G$798,7,FALSE)</f>
        <v>Compressed refining of paper - Paper and board production</v>
      </c>
      <c r="F78" s="43">
        <v>1</v>
      </c>
      <c r="G78" s="141">
        <f>MAX(VLOOKUP(B78,Technologies!$A$7:$I$509,9,FALSE)-VLOOKUP(A78,Technologies!$A$7:$I$509,9,FALSE)+VLOOKUP(A78,Technologies!$A$7:$I$509,9,FALSE)*0.1,VLOOKUP(A78,Technologies!$A$7:$I$509,9,FALSE)*0.1)</f>
        <v>255</v>
      </c>
      <c r="H78" s="49"/>
    </row>
    <row r="79" spans="1:8" x14ac:dyDescent="0.35">
      <c r="A79" s="5" t="s">
        <v>929</v>
      </c>
      <c r="B79" s="5" t="s">
        <v>937</v>
      </c>
      <c r="C79" s="5" t="str">
        <f>VLOOKUP($A79,Technologies!$A$7:$G$506,3,FALSE)</f>
        <v>Final</v>
      </c>
      <c r="D79" s="5" t="str">
        <f>VLOOKUP($A79,Technologies!$A$7:$G$798,7,FALSE)</f>
        <v>Conventional paper milling - Paper and board production</v>
      </c>
      <c r="E79" s="5" t="str">
        <f>VLOOKUP($B79,Technologies!$A$7:$G$798,7,FALSE)</f>
        <v>Air-laid forming for paper - Paper and board production</v>
      </c>
      <c r="F79" s="44">
        <v>0</v>
      </c>
      <c r="G79" s="141">
        <f>MAX(VLOOKUP(B79,Technologies!$A$7:$I$509,9,FALSE)-VLOOKUP(A79,Technologies!$A$7:$I$509,9,FALSE)+VLOOKUP(A79,Technologies!$A$7:$I$509,9,FALSE)*0.1,VLOOKUP(A79,Technologies!$A$7:$I$509,9,FALSE)*0.1)</f>
        <v>125</v>
      </c>
      <c r="H79" s="49"/>
    </row>
    <row r="80" spans="1:8" x14ac:dyDescent="0.35">
      <c r="A80" s="6" t="s">
        <v>942</v>
      </c>
      <c r="B80" s="6" t="s">
        <v>939</v>
      </c>
      <c r="C80" s="6" t="str">
        <f>VLOOKUP($A80,Technologies!$A$7:$G$506,3,FALSE)</f>
        <v>Final</v>
      </c>
      <c r="D80" s="6" t="str">
        <f>VLOOKUP($A80,Technologies!$A$7:$G$798,7,FALSE)</f>
        <v>Conventional board milling - Paper and board production</v>
      </c>
      <c r="E80" s="6" t="str">
        <f>VLOOKUP($B80,Technologies!$A$7:$G$798,7,FALSE)</f>
        <v>Microwave drying for board - Paper and board production</v>
      </c>
      <c r="F80" s="43">
        <v>1</v>
      </c>
      <c r="G80" s="141">
        <f>MAX(VLOOKUP(B80,Technologies!$A$7:$I$509,9,FALSE)-VLOOKUP(A80,Technologies!$A$7:$I$509,9,FALSE)+VLOOKUP(A80,Technologies!$A$7:$I$509,9,FALSE)*0.1,VLOOKUP(A80,Technologies!$A$7:$I$509,9,FALSE)*0.1)</f>
        <v>170</v>
      </c>
      <c r="H80" s="49"/>
    </row>
    <row r="81" spans="1:7" x14ac:dyDescent="0.35">
      <c r="A81" s="5" t="s">
        <v>944</v>
      </c>
      <c r="B81" s="5" t="s">
        <v>947</v>
      </c>
      <c r="C81" s="5" t="str">
        <f>VLOOKUP($A81,Technologies!$A$7:$G$506,3,FALSE)</f>
        <v>Final</v>
      </c>
      <c r="D81" s="5" t="str">
        <f>VLOOKUP($A81,Technologies!$A$7:$G$798,7,FALSE)</f>
        <v>Reference food processes - Food industry</v>
      </c>
      <c r="E81" s="5" t="str">
        <f>VLOOKUP($B81,Technologies!$A$7:$G$798,7,FALSE)</f>
        <v>Improved food processes - Food industry</v>
      </c>
      <c r="F81" s="44">
        <v>1</v>
      </c>
      <c r="G81" s="141">
        <f>MAX(VLOOKUP(B81,Technologies!$A$7:$I$509,9,FALSE)-VLOOKUP(A81,Technologies!$A$7:$I$509,9,FALSE)+VLOOKUP(A81,Technologies!$A$7:$I$509,9,FALSE)*0.1,VLOOKUP(A81,Technologies!$A$7:$I$509,9,FALSE)*0.1)</f>
        <v>2216</v>
      </c>
    </row>
    <row r="82" spans="1:7" x14ac:dyDescent="0.35">
      <c r="A82" s="6" t="s">
        <v>906</v>
      </c>
      <c r="B82" s="6" t="s">
        <v>910</v>
      </c>
      <c r="C82" s="6" t="str">
        <f>VLOOKUP($A82,Technologies!$A$7:$G$506,3,FALSE)</f>
        <v>Final</v>
      </c>
      <c r="D82" s="6" t="str">
        <f>VLOOKUP($A82,Technologies!$A$7:$G$798,7,FALSE)</f>
        <v>Reference remaining chemicals - Other ETS chemicals</v>
      </c>
      <c r="E82" s="6" t="str">
        <f>VLOOKUP($B82,Technologies!$A$7:$G$798,7,FALSE)</f>
        <v>Improved remaining chemicals (bio feedstock) - Other ETS chemicals</v>
      </c>
      <c r="F82" s="43">
        <v>1</v>
      </c>
      <c r="G82" s="141">
        <f>MAX(VLOOKUP(B82,Technologies!$A$7:$I$509,9,FALSE)-VLOOKUP(A82,Technologies!$A$7:$I$509,9,FALSE)+VLOOKUP(A82,Technologies!$A$7:$I$509,9,FALSE)*0.1,VLOOKUP(A82,Technologies!$A$7:$I$509,9,FALSE)*0.1)</f>
        <v>1633.1207968238807</v>
      </c>
    </row>
    <row r="83" spans="1:7" x14ac:dyDescent="0.35">
      <c r="A83" s="5" t="s">
        <v>949</v>
      </c>
      <c r="B83" s="5" t="s">
        <v>952</v>
      </c>
      <c r="C83" s="5" t="str">
        <f>VLOOKUP($A83,Technologies!$A$7:$G$506,3,FALSE)</f>
        <v>Final</v>
      </c>
      <c r="D83" s="5" t="str">
        <f>VLOOKUP($A83,Technologies!$A$7:$G$798,7,FALSE)</f>
        <v>Reference other ETS industry - Other ETS Industry</v>
      </c>
      <c r="E83" s="5" t="str">
        <f>VLOOKUP($B83,Technologies!$A$7:$G$798,7,FALSE)</f>
        <v>Improved other ETS industry - Other ETS Industry</v>
      </c>
      <c r="F83" s="44">
        <v>1</v>
      </c>
      <c r="G83" s="141">
        <f>MAX(VLOOKUP(B83,Technologies!$A$7:$I$509,9,FALSE)-VLOOKUP(A83,Technologies!$A$7:$I$509,9,FALSE)+VLOOKUP(A83,Technologies!$A$7:$I$509,9,FALSE)*0.1,VLOOKUP(A83,Technologies!$A$7:$I$509,9,FALSE)*0.1)</f>
        <v>136.80000000000001</v>
      </c>
    </row>
    <row r="84" spans="1:7" x14ac:dyDescent="0.35">
      <c r="A84" s="6" t="s">
        <v>955</v>
      </c>
      <c r="B84" s="6" t="s">
        <v>957</v>
      </c>
      <c r="C84" s="6" t="str">
        <f>VLOOKUP($A84,Technologies!$A$7:$G$506,3,FALSE)</f>
        <v>Final</v>
      </c>
      <c r="D84" s="6" t="str">
        <f>VLOOKUP($A84,Technologies!$A$7:$G$798,7,FALSE)</f>
        <v>Reference other non-ETS industry - Other non-ETS Industry</v>
      </c>
      <c r="E84" s="6" t="str">
        <f>VLOOKUP($B84,Technologies!$A$7:$G$798,7,FALSE)</f>
        <v>Improved other non-ETS industry (bio feedstock) - Other non-ETS Industry</v>
      </c>
      <c r="F84" s="43">
        <v>1</v>
      </c>
      <c r="G84" s="141">
        <f>MAX(VLOOKUP(B84,Technologies!$A$7:$I$509,9,FALSE)-VLOOKUP(A84,Technologies!$A$7:$I$509,9,FALSE)+VLOOKUP(A84,Technologies!$A$7:$I$509,9,FALSE)*0.1,VLOOKUP(A84,Technologies!$A$7:$I$509,9,FALSE)*0.1)</f>
        <v>1916</v>
      </c>
    </row>
    <row r="85" spans="1:7" x14ac:dyDescent="0.35">
      <c r="A85" s="6" t="s">
        <v>1254</v>
      </c>
      <c r="B85" s="6" t="s">
        <v>1256</v>
      </c>
      <c r="C85" s="6" t="str">
        <f>VLOOKUP($A85,Technologies!$A$7:$G$506,3,FALSE)</f>
        <v>Conversion</v>
      </c>
      <c r="D85" s="6" t="str">
        <f>VLOOKUP($A85,Technologies!$A$7:$G$798,7,FALSE)</f>
        <v>Co-fired Coal - Power NL</v>
      </c>
      <c r="E85" s="6" t="str">
        <f>VLOOKUP($B85,Technologies!$A$7:$G$798,7,FALSE)</f>
        <v>Co-fired Coal wCCS - Power NL</v>
      </c>
      <c r="F85" s="43">
        <v>1</v>
      </c>
      <c r="G85" s="141">
        <f>MAX(VLOOKUP(B85,Technologies!$A$7:$I$509,9,FALSE)-VLOOKUP(A85,Technologies!$A$7:$I$509,9,FALSE)+VLOOKUP(A85,Technologies!$A$7:$I$509,9,FALSE)*0.1,VLOOKUP(A85,Technologies!$A$7:$I$509,9,FALSE)*0.1)</f>
        <v>704.60599999999977</v>
      </c>
    </row>
    <row r="86" spans="1:7" x14ac:dyDescent="0.35">
      <c r="A86" s="5" t="s">
        <v>1258</v>
      </c>
      <c r="B86" s="5" t="s">
        <v>1260</v>
      </c>
      <c r="C86" s="5" t="str">
        <f>VLOOKUP($A86,Technologies!$A$7:$G$506,3,FALSE)</f>
        <v>Conversion</v>
      </c>
      <c r="D86" s="5" t="str">
        <f>VLOOKUP($A86,Technologies!$A$7:$G$798,7,FALSE)</f>
        <v>CCGT - Power NL</v>
      </c>
      <c r="E86" s="5" t="str">
        <f>VLOOKUP($B86,Technologies!$A$7:$G$798,7,FALSE)</f>
        <v>CCGT wCCS - Power NL</v>
      </c>
      <c r="F86" s="44">
        <v>1</v>
      </c>
      <c r="G86" s="141">
        <f>MAX(VLOOKUP(B86,Technologies!$A$7:$I$509,9,FALSE)-VLOOKUP(A86,Technologies!$A$7:$I$509,9,FALSE)+VLOOKUP(A86,Technologies!$A$7:$I$509,9,FALSE)*0.1,VLOOKUP(A86,Technologies!$A$7:$I$509,9,FALSE)*0.1)</f>
        <v>590.76499999999999</v>
      </c>
    </row>
    <row r="87" spans="1:7" x14ac:dyDescent="0.35">
      <c r="A87" s="6" t="s">
        <v>1375</v>
      </c>
      <c r="B87" s="6" t="s">
        <v>1378</v>
      </c>
      <c r="C87" s="6" t="str">
        <f>VLOOKUP($A87,Technologies!$A$7:$G$506,3,FALSE)</f>
        <v>Conversion</v>
      </c>
      <c r="D87" s="6" t="str">
        <f>VLOOKUP($A87,Technologies!$A$7:$G$798,7,FALSE)</f>
        <v>Boiler Gas - LT Heat for Network</v>
      </c>
      <c r="E87" s="6" t="str">
        <f>VLOOKUP($B87,Technologies!$A$7:$G$798,7,FALSE)</f>
        <v>Boiler Gas wCCS - LT Heat for Network</v>
      </c>
      <c r="F87" s="43">
        <v>1</v>
      </c>
      <c r="G87" s="141">
        <f>MAX(VLOOKUP(B87,Technologies!$A$7:$I$509,9,FALSE)-VLOOKUP(A87,Technologies!$A$7:$I$509,9,FALSE)+VLOOKUP(A87,Technologies!$A$7:$I$509,9,FALSE)*0.1,VLOOKUP(A87,Technologies!$A$7:$I$509,9,FALSE)*0.1)</f>
        <v>18.5</v>
      </c>
    </row>
    <row r="88" spans="1:7" x14ac:dyDescent="0.35">
      <c r="A88" s="5" t="s">
        <v>1380</v>
      </c>
      <c r="B88" s="5" t="s">
        <v>1382</v>
      </c>
      <c r="C88" s="5" t="str">
        <f>VLOOKUP($A88,Technologies!$A$7:$G$506,3,FALSE)</f>
        <v>Conversion</v>
      </c>
      <c r="D88" s="5" t="str">
        <f>VLOOKUP($A88,Technologies!$A$7:$G$798,7,FALSE)</f>
        <v>Boiler Biomass - LT Heat for Network</v>
      </c>
      <c r="E88" s="5" t="str">
        <f>VLOOKUP($B88,Technologies!$A$7:$G$798,7,FALSE)</f>
        <v>Boiler Biomass wCCS - LT Heat for Network</v>
      </c>
      <c r="F88" s="44">
        <v>1</v>
      </c>
      <c r="G88" s="141">
        <f>MAX(VLOOKUP(B88,Technologies!$A$7:$I$509,9,FALSE)-VLOOKUP(A88,Technologies!$A$7:$I$509,9,FALSE)+VLOOKUP(A88,Technologies!$A$7:$I$509,9,FALSE)*0.1,VLOOKUP(A88,Technologies!$A$7:$I$509,9,FALSE)*0.1)</f>
        <v>150</v>
      </c>
    </row>
    <row r="89" spans="1:7" x14ac:dyDescent="0.35">
      <c r="A89" s="6" t="s">
        <v>1407</v>
      </c>
      <c r="B89" s="6" t="s">
        <v>1410</v>
      </c>
      <c r="C89" s="6" t="str">
        <f>VLOOKUP($A89,Technologies!$A$7:$G$506,3,FALSE)</f>
        <v>Conversion</v>
      </c>
      <c r="D89" s="6" t="str">
        <f>VLOOKUP($A89,Technologies!$A$7:$G$798,7,FALSE)</f>
        <v>Boiler Gas - HT Heat for Industry</v>
      </c>
      <c r="E89" s="6" t="str">
        <f>VLOOKUP($B89,Technologies!$A$7:$G$798,7,FALSE)</f>
        <v>Boiler Gas wCCS - HT Heat for Industry</v>
      </c>
      <c r="F89" s="43">
        <v>1</v>
      </c>
      <c r="G89" s="141">
        <f>MAX(VLOOKUP(B89,Technologies!$A$7:$I$509,9,FALSE)-VLOOKUP(A89,Technologies!$A$7:$I$509,9,FALSE)+VLOOKUP(A89,Technologies!$A$7:$I$509,9,FALSE)*0.1,VLOOKUP(A89,Technologies!$A$7:$I$509,9,FALSE)*0.1)</f>
        <v>12</v>
      </c>
    </row>
    <row r="90" spans="1:7" x14ac:dyDescent="0.35">
      <c r="A90" s="5" t="s">
        <v>1412</v>
      </c>
      <c r="B90" s="5" t="s">
        <v>1414</v>
      </c>
      <c r="C90" s="5" t="str">
        <f>VLOOKUP($A90,Technologies!$A$7:$G$506,3,FALSE)</f>
        <v>Conversion</v>
      </c>
      <c r="D90" s="5" t="str">
        <f>VLOOKUP($A90,Technologies!$A$7:$G$798,7,FALSE)</f>
        <v>Hybrid Boiler Gas - HT Heat for Industry</v>
      </c>
      <c r="E90" s="5" t="str">
        <f>VLOOKUP($B90,Technologies!$A$7:$G$798,7,FALSE)</f>
        <v>Hybrid Boiler Gas wCCS - HT Heat for Industry</v>
      </c>
      <c r="F90" s="44">
        <v>1</v>
      </c>
      <c r="G90" s="141">
        <f>MAX(VLOOKUP(B90,Technologies!$A$7:$I$509,9,FALSE)-VLOOKUP(A90,Technologies!$A$7:$I$509,9,FALSE)+VLOOKUP(A90,Technologies!$A$7:$I$509,9,FALSE)*0.1,VLOOKUP(A90,Technologies!$A$7:$I$509,9,FALSE)*0.1)</f>
        <v>58</v>
      </c>
    </row>
    <row r="91" spans="1:7" x14ac:dyDescent="0.35">
      <c r="A91" s="6" t="s">
        <v>1416</v>
      </c>
      <c r="B91" s="6" t="s">
        <v>1418</v>
      </c>
      <c r="C91" s="6" t="str">
        <f>VLOOKUP($A91,Technologies!$A$7:$G$506,3,FALSE)</f>
        <v>Conversion</v>
      </c>
      <c r="D91" s="6" t="str">
        <f>VLOOKUP($A91,Technologies!$A$7:$G$798,7,FALSE)</f>
        <v>Boiler Coal - HT Heat for Industry</v>
      </c>
      <c r="E91" s="6" t="str">
        <f>VLOOKUP($B91,Technologies!$A$7:$G$798,7,FALSE)</f>
        <v>Boiler Coal wCCS - HT Heat for Industry</v>
      </c>
      <c r="F91" s="43">
        <v>1</v>
      </c>
      <c r="G91" s="141">
        <f>MAX(VLOOKUP(B91,Technologies!$A$7:$I$509,9,FALSE)-VLOOKUP(A91,Technologies!$A$7:$I$509,9,FALSE)+VLOOKUP(A91,Technologies!$A$7:$I$509,9,FALSE)*0.1,VLOOKUP(A91,Technologies!$A$7:$I$509,9,FALSE)*0.1)</f>
        <v>13</v>
      </c>
    </row>
    <row r="92" spans="1:7" x14ac:dyDescent="0.35">
      <c r="A92" s="5" t="s">
        <v>1420</v>
      </c>
      <c r="B92" s="5" t="s">
        <v>1422</v>
      </c>
      <c r="C92" s="5" t="str">
        <f>VLOOKUP($A92,Technologies!$A$7:$G$506,3,FALSE)</f>
        <v>Conversion</v>
      </c>
      <c r="D92" s="5" t="str">
        <f>VLOOKUP($A92,Technologies!$A$7:$G$798,7,FALSE)</f>
        <v>Boiler Biomass - HT Heat for Industry</v>
      </c>
      <c r="E92" s="5" t="str">
        <f>VLOOKUP($B92,Technologies!$A$7:$G$798,7,FALSE)</f>
        <v>Boiler Biomass wCCS - HT Heat for Industry</v>
      </c>
      <c r="F92" s="44">
        <v>1</v>
      </c>
      <c r="G92" s="141">
        <f>MAX(VLOOKUP(B92,Technologies!$A$7:$I$509,9,FALSE)-VLOOKUP(A92,Technologies!$A$7:$I$509,9,FALSE)+VLOOKUP(A92,Technologies!$A$7:$I$509,9,FALSE)*0.1,VLOOKUP(A92,Technologies!$A$7:$I$509,9,FALSE)*0.1)</f>
        <v>140</v>
      </c>
    </row>
    <row r="93" spans="1:7" x14ac:dyDescent="0.35">
      <c r="A93" s="6" t="s">
        <v>1424</v>
      </c>
      <c r="B93" s="6" t="s">
        <v>1426</v>
      </c>
      <c r="C93" s="6" t="str">
        <f>VLOOKUP($A93,Technologies!$A$7:$G$506,3,FALSE)</f>
        <v>Conversion</v>
      </c>
      <c r="D93" s="6" t="str">
        <f>VLOOKUP($A93,Technologies!$A$7:$G$798,7,FALSE)</f>
        <v>CHP Gas - HT Heat for Industry</v>
      </c>
      <c r="E93" s="6" t="str">
        <f>VLOOKUP($B93,Technologies!$A$7:$G$798,7,FALSE)</f>
        <v>CHP Gas wCCS - HT Heat for Industry</v>
      </c>
      <c r="F93" s="43">
        <v>1</v>
      </c>
      <c r="G93" s="141">
        <f>MAX(VLOOKUP(B93,Technologies!$A$7:$I$509,9,FALSE)-VLOOKUP(A93,Technologies!$A$7:$I$509,9,FALSE)+VLOOKUP(A93,Technologies!$A$7:$I$509,9,FALSE)*0.1,VLOOKUP(A93,Technologies!$A$7:$I$509,9,FALSE)*0.1)</f>
        <v>145</v>
      </c>
    </row>
    <row r="94" spans="1:7" x14ac:dyDescent="0.35">
      <c r="A94" s="5" t="s">
        <v>1428</v>
      </c>
      <c r="B94" s="5" t="s">
        <v>1430</v>
      </c>
      <c r="C94" s="5" t="str">
        <f>VLOOKUP($A94,Technologies!$A$7:$G$506,3,FALSE)</f>
        <v>Conversion</v>
      </c>
      <c r="D94" s="5" t="str">
        <f>VLOOKUP($A94,Technologies!$A$7:$G$798,7,FALSE)</f>
        <v>CHP Coal - HT Heat for Industry</v>
      </c>
      <c r="E94" s="5" t="str">
        <f>VLOOKUP($B94,Technologies!$A$7:$G$798,7,FALSE)</f>
        <v>CHP Coal wCCS - HT Heat for Industry</v>
      </c>
      <c r="F94" s="44">
        <v>1</v>
      </c>
      <c r="G94" s="141">
        <f>MAX(VLOOKUP(B94,Technologies!$A$7:$I$509,9,FALSE)-VLOOKUP(A94,Technologies!$A$7:$I$509,9,FALSE)+VLOOKUP(A94,Technologies!$A$7:$I$509,9,FALSE)*0.1,VLOOKUP(A94,Technologies!$A$7:$I$509,9,FALSE)*0.1)</f>
        <v>150</v>
      </c>
    </row>
    <row r="95" spans="1:7" x14ac:dyDescent="0.35">
      <c r="A95" s="6" t="s">
        <v>1434</v>
      </c>
      <c r="B95" s="6" t="s">
        <v>1436</v>
      </c>
      <c r="C95" s="6" t="str">
        <f>VLOOKUP($A95,Technologies!$A$7:$G$506,3,FALSE)</f>
        <v>Conversion</v>
      </c>
      <c r="D95" s="6" t="str">
        <f>VLOOKUP($A95,Technologies!$A$7:$G$798,7,FALSE)</f>
        <v>CHP Biomass - HT Heat for Industry</v>
      </c>
      <c r="E95" s="6" t="str">
        <f>VLOOKUP($B95,Technologies!$A$7:$G$798,7,FALSE)</f>
        <v>CHP Biomass wCCS - HT Heat for Industry</v>
      </c>
      <c r="F95" s="43">
        <v>1</v>
      </c>
      <c r="G95" s="141">
        <f>MAX(VLOOKUP(B95,Technologies!$A$7:$I$509,9,FALSE)-VLOOKUP(A95,Technologies!$A$7:$I$509,9,FALSE)+VLOOKUP(A95,Technologies!$A$7:$I$509,9,FALSE)*0.1,VLOOKUP(A95,Technologies!$A$7:$I$509,9,FALSE)*0.1)</f>
        <v>320</v>
      </c>
    </row>
    <row r="96" spans="1:7" x14ac:dyDescent="0.35">
      <c r="A96" s="5" t="s">
        <v>1633</v>
      </c>
      <c r="B96" s="5" t="s">
        <v>1636</v>
      </c>
      <c r="C96" s="5" t="str">
        <f>VLOOKUP($A96,Technologies!$A$7:$G$506,3,FALSE)</f>
        <v>Conversion</v>
      </c>
      <c r="D96" s="5" t="str">
        <f>VLOOKUP($A96,Technologies!$A$7:$G$798,7,FALSE)</f>
        <v>Haber Bosch with H2 from SMR - Ammonia Production</v>
      </c>
      <c r="E96" s="5" t="str">
        <f>VLOOKUP($B96,Technologies!$A$7:$G$798,7,FALSE)</f>
        <v>Haber Bosch with H2 from SMR wCCUS - Ammonia Production</v>
      </c>
      <c r="F96" s="44">
        <v>1</v>
      </c>
      <c r="G96" s="141">
        <f>MAX(VLOOKUP(B96,Technologies!$A$7:$I$509,9,FALSE)-VLOOKUP(A96,Technologies!$A$7:$I$509,9,FALSE)+VLOOKUP(A96,Technologies!$A$7:$I$509,9,FALSE)*0.1,VLOOKUP(A96,Technologies!$A$7:$I$509,9,FALSE)*0.1)</f>
        <v>8.3160486917945455</v>
      </c>
    </row>
    <row r="97" spans="1:7" x14ac:dyDescent="0.35">
      <c r="A97" s="6" t="s">
        <v>1638</v>
      </c>
      <c r="B97" s="6" t="s">
        <v>1640</v>
      </c>
      <c r="C97" s="6" t="str">
        <f>VLOOKUP($A97,Technologies!$A$7:$G$506,3,FALSE)</f>
        <v>Conversion</v>
      </c>
      <c r="D97" s="6" t="str">
        <f>VLOOKUP($A97,Technologies!$A$7:$G$798,7,FALSE)</f>
        <v>Haber Bosch with external H2 - Ammonia Production</v>
      </c>
      <c r="E97" s="6" t="str">
        <f>VLOOKUP($B97,Technologies!$A$7:$G$798,7,FALSE)</f>
        <v>Haber Bosch with renewable external H2 - Ammonia Production</v>
      </c>
      <c r="F97" s="43">
        <v>1</v>
      </c>
      <c r="G97" s="141">
        <f>MAX(VLOOKUP(B97,Technologies!$A$7:$I$509,9,FALSE)-VLOOKUP(A97,Technologies!$A$7:$I$509,9,FALSE)+VLOOKUP(A97,Technologies!$A$7:$I$509,9,FALSE)*0.1,VLOOKUP(A97,Technologies!$A$7:$I$509,9,FALSE)*0.1)</f>
        <v>2.1242000000000001</v>
      </c>
    </row>
    <row r="98" spans="1:7" x14ac:dyDescent="0.35">
      <c r="A98" s="5" t="s">
        <v>1474</v>
      </c>
      <c r="B98" s="5" t="s">
        <v>1477</v>
      </c>
      <c r="C98" s="5" t="str">
        <f>VLOOKUP($A98,Technologies!$A$7:$G$506,3,FALSE)</f>
        <v>Conversion</v>
      </c>
      <c r="D98" s="5" t="str">
        <f>VLOOKUP($A98,Technologies!$A$7:$G$798,7,FALSE)</f>
        <v>Deep cracking refinery - Refineries</v>
      </c>
      <c r="E98" s="5" t="str">
        <f>VLOOKUP($B98,Technologies!$A$7:$G$798,7,FALSE)</f>
        <v>Deep cracking refinery wCCS - Refineries</v>
      </c>
      <c r="F98" s="44">
        <v>1</v>
      </c>
      <c r="G98" s="141">
        <f>MAX(VLOOKUP(B98,Technologies!$A$7:$I$509,9,FALSE)-VLOOKUP(A98,Technologies!$A$7:$I$509,9,FALSE)+VLOOKUP(A98,Technologies!$A$7:$I$509,9,FALSE)*0.1,VLOOKUP(A98,Technologies!$A$7:$I$509,9,FALSE)*0.1)</f>
        <v>5.3000000000000007</v>
      </c>
    </row>
    <row r="99" spans="1:7" x14ac:dyDescent="0.35">
      <c r="A99" s="6" t="s">
        <v>1479</v>
      </c>
      <c r="B99" s="6" t="s">
        <v>1481</v>
      </c>
      <c r="C99" s="6" t="str">
        <f>VLOOKUP($A99,Technologies!$A$7:$G$506,3,FALSE)</f>
        <v>Conversion</v>
      </c>
      <c r="D99" s="6" t="str">
        <f>VLOOKUP($A99,Technologies!$A$7:$G$798,7,FALSE)</f>
        <v>Basic cracking refinery - Refineries</v>
      </c>
      <c r="E99" s="6" t="str">
        <f>VLOOKUP($B99,Technologies!$A$7:$G$798,7,FALSE)</f>
        <v>Basic cracking refinery wCCS - Refineries</v>
      </c>
      <c r="F99" s="43">
        <v>1</v>
      </c>
      <c r="G99" s="141">
        <f>MAX(VLOOKUP(B99,Technologies!$A$7:$I$509,9,FALSE)-VLOOKUP(A99,Technologies!$A$7:$I$509,9,FALSE)+VLOOKUP(A99,Technologies!$A$7:$I$509,9,FALSE)*0.1,VLOOKUP(A99,Technologies!$A$7:$I$509,9,FALSE)*0.1)</f>
        <v>5.3000000000000007</v>
      </c>
    </row>
    <row r="100" spans="1:7" x14ac:dyDescent="0.35">
      <c r="A100" s="5" t="s">
        <v>1483</v>
      </c>
      <c r="B100" s="5" t="s">
        <v>1485</v>
      </c>
      <c r="C100" s="5" t="str">
        <f>VLOOKUP($A100,Technologies!$A$7:$G$506,3,FALSE)</f>
        <v>Conversion</v>
      </c>
      <c r="D100" s="5" t="str">
        <f>VLOOKUP($A100,Technologies!$A$7:$G$798,7,FALSE)</f>
        <v>Koch refinery - Refineries</v>
      </c>
      <c r="E100" s="5" t="str">
        <f>VLOOKUP($B100,Technologies!$A$7:$G$798,7,FALSE)</f>
        <v>Koch refinery wCCS - Refineries</v>
      </c>
      <c r="F100" s="44">
        <v>1</v>
      </c>
      <c r="G100" s="141">
        <f>MAX(VLOOKUP(B100,Technologies!$A$7:$I$509,9,FALSE)-VLOOKUP(A100,Technologies!$A$7:$I$509,9,FALSE)+VLOOKUP(A100,Technologies!$A$7:$I$509,9,FALSE)*0.1,VLOOKUP(A100,Technologies!$A$7:$I$509,9,FALSE)*0.1)</f>
        <v>10.5</v>
      </c>
    </row>
    <row r="101" spans="1:7" x14ac:dyDescent="0.35">
      <c r="A101" s="6" t="s">
        <v>1510</v>
      </c>
      <c r="B101" s="6" t="s">
        <v>1515</v>
      </c>
      <c r="C101" s="6" t="str">
        <f>VLOOKUP($A101,Technologies!$A$7:$G$506,3,FALSE)</f>
        <v>Conversion</v>
      </c>
      <c r="D101" s="6" t="str">
        <f>VLOOKUP($A101,Technologies!$A$7:$G$798,7,FALSE)</f>
        <v>Biodiesel oriented hydro pyrolisis - Refineries</v>
      </c>
      <c r="E101" s="6" t="str">
        <f>VLOOKUP($B101,Technologies!$A$7:$G$798,7,FALSE)</f>
        <v>Biokerosene oriented hydro pyrolisis - Refineries</v>
      </c>
      <c r="F101" s="43">
        <v>1</v>
      </c>
      <c r="G101" s="141">
        <f>MAX(VLOOKUP(B101,Technologies!$A$7:$I$509,9,FALSE)-VLOOKUP(A101,Technologies!$A$7:$I$509,9,FALSE)+VLOOKUP(A101,Technologies!$A$7:$I$509,9,FALSE)*0.1,VLOOKUP(A101,Technologies!$A$7:$I$509,9,FALSE)*0.1)</f>
        <v>7</v>
      </c>
    </row>
    <row r="102" spans="1:7" x14ac:dyDescent="0.35">
      <c r="A102" s="5" t="s">
        <v>1524</v>
      </c>
      <c r="B102" s="5" t="s">
        <v>1531</v>
      </c>
      <c r="C102" s="5" t="str">
        <f>VLOOKUP($A102,Technologies!$A$7:$G$506,3,FALSE)</f>
        <v>Conversion</v>
      </c>
      <c r="D102" s="5" t="str">
        <f>VLOOKUP($A102,Technologies!$A$7:$G$798,7,FALSE)</f>
        <v>Syndiesel oriented Fischer Tropsch - Refineries</v>
      </c>
      <c r="E102" s="5" t="str">
        <f>VLOOKUP($B102,Technologies!$A$7:$G$798,7,FALSE)</f>
        <v>Synkerosene oriented Fischer Tropsch - Refineries</v>
      </c>
      <c r="F102" s="44">
        <v>1</v>
      </c>
      <c r="G102" s="141">
        <f>MAX(VLOOKUP(B102,Technologies!$A$7:$I$509,9,FALSE)-VLOOKUP(A102,Technologies!$A$7:$I$509,9,FALSE)+VLOOKUP(A102,Technologies!$A$7:$I$509,9,FALSE)*0.1,VLOOKUP(A102,Technologies!$A$7:$I$509,9,FALSE)*0.1)</f>
        <v>3.0660000000000003</v>
      </c>
    </row>
    <row r="103" spans="1:7" x14ac:dyDescent="0.35">
      <c r="A103" s="6" t="s">
        <v>1528</v>
      </c>
      <c r="B103" s="6" t="s">
        <v>1533</v>
      </c>
      <c r="C103" s="6" t="str">
        <f>VLOOKUP($A103,Technologies!$A$7:$G$506,3,FALSE)</f>
        <v>Conversion</v>
      </c>
      <c r="D103" s="6" t="str">
        <f>VLOOKUP($A103,Technologies!$A$7:$G$798,7,FALSE)</f>
        <v>Syndiesel oriented methanol to fuels - Refineries</v>
      </c>
      <c r="E103" s="6" t="str">
        <f>VLOOKUP($B103,Technologies!$A$7:$G$798,7,FALSE)</f>
        <v>Synkerosene oriented methanol to fuels - Refineries</v>
      </c>
      <c r="F103" s="43">
        <v>1</v>
      </c>
      <c r="G103" s="141">
        <f>MAX(VLOOKUP(B103,Technologies!$A$7:$I$509,9,FALSE)-VLOOKUP(A103,Technologies!$A$7:$I$509,9,FALSE)+VLOOKUP(A103,Technologies!$A$7:$I$509,9,FALSE)*0.1,VLOOKUP(A103,Technologies!$A$7:$I$509,9,FALSE)*0.1)</f>
        <v>3.3060000000000005</v>
      </c>
    </row>
    <row r="104" spans="1:7" x14ac:dyDescent="0.35">
      <c r="A104" s="5" t="s">
        <v>1515</v>
      </c>
      <c r="B104" s="5" t="s">
        <v>1510</v>
      </c>
      <c r="C104" s="5" t="str">
        <f>VLOOKUP($A104,Technologies!$A$7:$G$506,3,FALSE)</f>
        <v>Conversion</v>
      </c>
      <c r="D104" s="5" t="str">
        <f>VLOOKUP($A104,Technologies!$A$7:$G$798,7,FALSE)</f>
        <v>Biokerosene oriented hydro pyrolisis - Refineries</v>
      </c>
      <c r="E104" s="5" t="str">
        <f>VLOOKUP($B104,Technologies!$A$7:$G$798,7,FALSE)</f>
        <v>Biodiesel oriented hydro pyrolisis - Refineries</v>
      </c>
      <c r="F104" s="44">
        <v>1</v>
      </c>
      <c r="G104" s="141">
        <f>MAX(VLOOKUP(B104,Technologies!$A$7:$I$509,9,FALSE)-VLOOKUP(A104,Technologies!$A$7:$I$509,9,FALSE)+VLOOKUP(A104,Technologies!$A$7:$I$509,9,FALSE)*0.1,VLOOKUP(A104,Technologies!$A$7:$I$509,9,FALSE)*0.1)</f>
        <v>7</v>
      </c>
    </row>
    <row r="105" spans="1:7" x14ac:dyDescent="0.35">
      <c r="A105" s="6" t="s">
        <v>1531</v>
      </c>
      <c r="B105" s="6" t="s">
        <v>1524</v>
      </c>
      <c r="C105" s="6" t="str">
        <f>VLOOKUP($A105,Technologies!$A$7:$G$506,3,FALSE)</f>
        <v>Conversion</v>
      </c>
      <c r="D105" s="6" t="str">
        <f>VLOOKUP($A105,Technologies!$A$7:$G$798,7,FALSE)</f>
        <v>Synkerosene oriented Fischer Tropsch - Refineries</v>
      </c>
      <c r="E105" s="6" t="str">
        <f>VLOOKUP($B105,Technologies!$A$7:$G$798,7,FALSE)</f>
        <v>Syndiesel oriented Fischer Tropsch - Refineries</v>
      </c>
      <c r="F105" s="43">
        <v>1</v>
      </c>
      <c r="G105" s="141">
        <f>MAX(VLOOKUP(B105,Technologies!$A$7:$I$509,9,FALSE)-VLOOKUP(A105,Technologies!$A$7:$I$509,9,FALSE)+VLOOKUP(A105,Technologies!$A$7:$I$509,9,FALSE)*0.1,VLOOKUP(A105,Technologies!$A$7:$I$509,9,FALSE)*0.1)</f>
        <v>3.0660000000000003</v>
      </c>
    </row>
    <row r="106" spans="1:7" x14ac:dyDescent="0.35">
      <c r="A106" s="5" t="s">
        <v>1533</v>
      </c>
      <c r="B106" s="5" t="s">
        <v>1528</v>
      </c>
      <c r="C106" s="5" t="str">
        <f>VLOOKUP($A106,Technologies!$A$7:$G$506,3,FALSE)</f>
        <v>Conversion</v>
      </c>
      <c r="D106" s="5" t="str">
        <f>VLOOKUP($A106,Technologies!$A$7:$G$798,7,FALSE)</f>
        <v>Synkerosene oriented methanol to fuels - Refineries</v>
      </c>
      <c r="E106" s="5" t="str">
        <f>VLOOKUP($B106,Technologies!$A$7:$G$798,7,FALSE)</f>
        <v>Syndiesel oriented methanol to fuels - Refineries</v>
      </c>
      <c r="F106" s="44">
        <v>1</v>
      </c>
      <c r="G106" s="141">
        <f>MAX(VLOOKUP(B106,Technologies!$A$7:$I$509,9,FALSE)-VLOOKUP(A106,Technologies!$A$7:$I$509,9,FALSE)+VLOOKUP(A106,Technologies!$A$7:$I$509,9,FALSE)*0.1,VLOOKUP(A106,Technologies!$A$7:$I$509,9,FALSE)*0.1)</f>
        <v>3.3060000000000005</v>
      </c>
    </row>
    <row r="107" spans="1:7" x14ac:dyDescent="0.35">
      <c r="A107" s="6" t="s">
        <v>1595</v>
      </c>
      <c r="B107" s="6" t="s">
        <v>1598</v>
      </c>
      <c r="C107" s="6" t="str">
        <f>VLOOKUP($A107,Technologies!$A$7:$G$506,3,FALSE)</f>
        <v>Conversion</v>
      </c>
      <c r="D107" s="6" t="str">
        <f>VLOOKUP($A107,Technologies!$A$7:$G$798,7,FALSE)</f>
        <v>Gas Reforming - Hydrogen Production</v>
      </c>
      <c r="E107" s="6" t="str">
        <f>VLOOKUP($B107,Technologies!$A$7:$G$798,7,FALSE)</f>
        <v>Gas Reforming wCCS - Hydrogen Production</v>
      </c>
      <c r="F107" s="43">
        <v>1</v>
      </c>
      <c r="G107" s="141">
        <f>MAX(VLOOKUP(B107,Technologies!$A$7:$I$509,9,FALSE)-VLOOKUP(A107,Technologies!$A$7:$I$509,9,FALSE)+VLOOKUP(A107,Technologies!$A$7:$I$509,9,FALSE)*0.1,VLOOKUP(A107,Technologies!$A$7:$I$509,9,FALSE)*0.1)</f>
        <v>5.5862000000000007</v>
      </c>
    </row>
    <row r="108" spans="1:7" x14ac:dyDescent="0.35">
      <c r="A108" s="5" t="s">
        <v>1585</v>
      </c>
      <c r="B108" s="5" t="s">
        <v>1587</v>
      </c>
      <c r="C108" s="5" t="str">
        <f>VLOOKUP($A108,Technologies!$A$7:$G$506,3,FALSE)</f>
        <v>Conversion</v>
      </c>
      <c r="D108" s="5" t="str">
        <f>VLOOKUP($A108,Technologies!$A$7:$G$798,7,FALSE)</f>
        <v>Gas from Solid Biomass Gasification - Final Gas</v>
      </c>
      <c r="E108" s="5" t="str">
        <f>VLOOKUP($B108,Technologies!$A$7:$G$798,7,FALSE)</f>
        <v>Gas from Solid Biomass Gasification wCCS - Final Gas</v>
      </c>
      <c r="F108" s="44">
        <v>1</v>
      </c>
      <c r="G108" s="141">
        <f>MAX(VLOOKUP(B108,Technologies!$A$7:$I$509,9,FALSE)-VLOOKUP(A108,Technologies!$A$7:$I$509,9,FALSE)+VLOOKUP(A108,Technologies!$A$7:$I$509,9,FALSE)*0.1,VLOOKUP(A108,Technologies!$A$7:$I$509,9,FALSE)*0.1)</f>
        <v>30.864000000000011</v>
      </c>
    </row>
    <row r="109" spans="1:7" x14ac:dyDescent="0.35">
      <c r="A109" s="6" t="s">
        <v>1839</v>
      </c>
      <c r="B109" s="6" t="s">
        <v>1846</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1843</v>
      </c>
      <c r="B110" s="5" t="s">
        <v>1848</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VLOOKUP($A111,Technologies!$A$7:$G$506,3,FALSE)</f>
        <v>Conversion</v>
      </c>
      <c r="D111" s="5" t="str">
        <f>VLOOKUP($A111,Technologies!$A$7:$G$798,7,FALSE)</f>
        <v>CHP Waste - Waste Management</v>
      </c>
      <c r="E111" s="5" t="str">
        <f>VLOOKUP($B111,Technologies!$A$7:$G$798,7,FALSE)</f>
        <v>CHP Waste wCCS - Waste Management</v>
      </c>
      <c r="F111" s="44">
        <v>1</v>
      </c>
      <c r="G111" s="141">
        <f>MAX(VLOOKUP(B111,Technologies!$A$7:$I$509,9,FALSE)-VLOOKUP(A111,Technologies!$A$7:$I$509,9,FALSE)+VLOOKUP(A111,Technologies!$A$7:$I$509,9,FALSE)*0.1,VLOOKUP(A111,Technologies!$A$7:$I$509,9,FALSE)*0.1)</f>
        <v>2683</v>
      </c>
    </row>
    <row r="112" spans="1:7" x14ac:dyDescent="0.35">
      <c r="A112" s="5" t="s">
        <v>1258</v>
      </c>
      <c r="B112" s="5" t="s">
        <v>1269</v>
      </c>
      <c r="C112" s="5" t="str">
        <f>VLOOKUP($A112,Technologies!$A$7:$G$506,3,FALSE)</f>
        <v>Conversion</v>
      </c>
      <c r="D112" s="5" t="str">
        <f>VLOOKUP($A112,Technologies!$A$7:$G$798,7,FALSE)</f>
        <v>CCGT - Power NL</v>
      </c>
      <c r="E112" s="5" t="str">
        <f>VLOOKUP($B112,Technologies!$A$7:$G$798,7,FALSE)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1878</v>
      </c>
      <c r="B3" s="8" t="s">
        <v>1879</v>
      </c>
      <c r="C3" s="8" t="s">
        <v>1880</v>
      </c>
      <c r="D3" s="15">
        <f>Parameters!$B$13</f>
        <v>2022</v>
      </c>
      <c r="E3" s="15">
        <v>2025</v>
      </c>
      <c r="F3" s="15">
        <v>2030</v>
      </c>
      <c r="G3" s="15">
        <v>2035</v>
      </c>
      <c r="H3" s="15">
        <v>2040</v>
      </c>
      <c r="I3" s="15">
        <v>2045</v>
      </c>
      <c r="J3" s="15">
        <v>2050</v>
      </c>
    </row>
    <row r="4" spans="1:13" ht="15" customHeight="1" x14ac:dyDescent="0.35">
      <c r="A4" s="430" t="s">
        <v>1885</v>
      </c>
      <c r="B4" s="430"/>
      <c r="C4" s="430"/>
      <c r="D4" s="91" t="s">
        <v>1901</v>
      </c>
      <c r="E4" s="91" t="s">
        <v>1901</v>
      </c>
      <c r="F4" s="91" t="s">
        <v>1901</v>
      </c>
      <c r="G4" s="91" t="s">
        <v>1901</v>
      </c>
      <c r="H4" s="91" t="s">
        <v>1901</v>
      </c>
      <c r="I4" s="91" t="s">
        <v>1901</v>
      </c>
      <c r="J4" s="91" t="s">
        <v>1901</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C1" workbookViewId="0">
      <selection activeCell="X6" sqref="X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1902</v>
      </c>
      <c r="B1" s="410"/>
      <c r="C1" s="410"/>
      <c r="D1" s="410"/>
      <c r="E1" s="410"/>
      <c r="F1" s="410"/>
      <c r="G1" s="410"/>
      <c r="H1" s="410"/>
      <c r="I1" s="410"/>
      <c r="J1" s="31"/>
      <c r="K1" s="31"/>
      <c r="L1" s="31"/>
      <c r="M1" s="31"/>
      <c r="N1" s="31"/>
      <c r="O1" s="31"/>
      <c r="P1" s="31"/>
      <c r="Q1" s="31"/>
    </row>
    <row r="2" spans="1:24" ht="30" customHeight="1" x14ac:dyDescent="0.35">
      <c r="A2" s="147"/>
      <c r="B2" s="432" t="s">
        <v>1903</v>
      </c>
      <c r="C2" s="432"/>
      <c r="D2" s="432"/>
      <c r="E2" s="432"/>
      <c r="F2" s="432"/>
      <c r="G2" s="432"/>
      <c r="H2" s="432"/>
      <c r="I2" s="144" t="s">
        <v>1904</v>
      </c>
      <c r="J2" s="143" t="s">
        <v>1905</v>
      </c>
      <c r="K2" s="433" t="s">
        <v>1906</v>
      </c>
      <c r="L2" s="433"/>
      <c r="M2" s="433"/>
      <c r="N2" s="433"/>
      <c r="O2" s="433"/>
      <c r="P2" s="433"/>
      <c r="Q2" s="157" t="s">
        <v>17</v>
      </c>
      <c r="R2" s="432" t="s">
        <v>1907</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1908</v>
      </c>
      <c r="J3" s="153" t="s">
        <v>1908</v>
      </c>
      <c r="K3" s="159" t="s">
        <v>1909</v>
      </c>
      <c r="L3" s="159" t="s">
        <v>727</v>
      </c>
      <c r="M3" s="159" t="s">
        <v>1910</v>
      </c>
      <c r="N3" s="159" t="s">
        <v>1911</v>
      </c>
      <c r="O3" s="159" t="s">
        <v>741</v>
      </c>
      <c r="P3" s="159" t="s">
        <v>1912</v>
      </c>
      <c r="Q3" s="148"/>
      <c r="R3" s="158">
        <f>Parameters!$B$13</f>
        <v>2022</v>
      </c>
      <c r="S3" s="158">
        <v>2025</v>
      </c>
      <c r="T3" s="158">
        <v>2030</v>
      </c>
      <c r="U3" s="158">
        <v>2035</v>
      </c>
      <c r="V3" s="158">
        <v>2040</v>
      </c>
      <c r="W3" s="158">
        <v>2045</v>
      </c>
      <c r="X3" s="158">
        <v>2050</v>
      </c>
    </row>
    <row r="4" spans="1:24" x14ac:dyDescent="0.35">
      <c r="A4" s="12" t="s">
        <v>305</v>
      </c>
      <c r="B4" s="431" t="s">
        <v>1913</v>
      </c>
      <c r="C4" s="431"/>
      <c r="D4" s="431"/>
      <c r="E4" s="431"/>
      <c r="F4" s="431"/>
      <c r="G4" s="431"/>
      <c r="H4" s="431"/>
      <c r="I4" s="154" t="s">
        <v>1914</v>
      </c>
      <c r="J4" s="155" t="s">
        <v>1914</v>
      </c>
      <c r="K4" s="434" t="s">
        <v>1915</v>
      </c>
      <c r="L4" s="434"/>
      <c r="M4" s="434"/>
      <c r="N4" s="434"/>
      <c r="O4" s="434"/>
      <c r="P4" s="434"/>
      <c r="Q4" s="156" t="s">
        <v>26</v>
      </c>
      <c r="R4" s="431" t="s">
        <v>1913</v>
      </c>
      <c r="S4" s="431"/>
      <c r="T4" s="431"/>
      <c r="U4" s="431"/>
      <c r="V4" s="431"/>
      <c r="W4" s="431"/>
      <c r="X4" s="431"/>
    </row>
    <row r="5" spans="1:24" x14ac:dyDescent="0.35">
      <c r="A5" s="33" t="s">
        <v>320</v>
      </c>
      <c r="B5" s="215">
        <v>500</v>
      </c>
      <c r="C5" s="215">
        <v>500</v>
      </c>
      <c r="D5" s="215">
        <f>235-(235-$H$5)/5</f>
        <v>203.16</v>
      </c>
      <c r="E5" s="215">
        <f>D5-(235-$H$5)/5</f>
        <v>171.32</v>
      </c>
      <c r="F5" s="215">
        <f t="shared" ref="F5:G5" si="0">E5-(235-$H$5)/5</f>
        <v>139.47999999999999</v>
      </c>
      <c r="G5" s="215">
        <f t="shared" si="0"/>
        <v>107.63999999999999</v>
      </c>
      <c r="H5" s="358">
        <v>75.8</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161.25</v>
      </c>
      <c r="V5" s="393">
        <f t="shared" ref="V5:W5" si="1">($X$5-$T$5)/($X$3-$T$3)*(V$3-U$3)+U$5</f>
        <v>126.5</v>
      </c>
      <c r="W5" s="393">
        <f t="shared" si="1"/>
        <v>91.75</v>
      </c>
      <c r="X5" s="409">
        <v>57</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1916</v>
      </c>
      <c r="B1" s="410"/>
      <c r="C1" s="410"/>
      <c r="D1" s="410"/>
      <c r="E1" s="410"/>
    </row>
    <row r="2" spans="1:5" x14ac:dyDescent="0.35">
      <c r="A2" s="11"/>
      <c r="B2" s="11"/>
      <c r="C2" s="11"/>
      <c r="D2" s="11"/>
      <c r="E2" s="84" t="s">
        <v>17</v>
      </c>
    </row>
    <row r="3" spans="1:5" x14ac:dyDescent="0.35">
      <c r="A3" s="12" t="s">
        <v>578</v>
      </c>
      <c r="B3" s="12" t="s">
        <v>1893</v>
      </c>
      <c r="C3" s="12" t="s">
        <v>1917</v>
      </c>
      <c r="D3" s="12" t="s">
        <v>1918</v>
      </c>
      <c r="E3" s="85" t="s">
        <v>26</v>
      </c>
    </row>
    <row r="4" spans="1:5" x14ac:dyDescent="0.35">
      <c r="A4" s="33" t="s">
        <v>1919</v>
      </c>
      <c r="B4" s="142">
        <v>70</v>
      </c>
      <c r="C4" s="33" t="s">
        <v>1771</v>
      </c>
      <c r="D4" s="33" t="s">
        <v>1920</v>
      </c>
      <c r="E4" s="79" t="s">
        <v>502</v>
      </c>
    </row>
    <row r="5" spans="1:5" x14ac:dyDescent="0.35">
      <c r="A5" s="14" t="s">
        <v>1921</v>
      </c>
      <c r="B5" s="66">
        <v>0.02</v>
      </c>
      <c r="C5" s="14" t="s">
        <v>315</v>
      </c>
      <c r="D5" s="14" t="s">
        <v>1920</v>
      </c>
      <c r="E5" s="80" t="s">
        <v>502</v>
      </c>
    </row>
    <row r="6" spans="1:5" x14ac:dyDescent="0.35">
      <c r="A6" s="33" t="s">
        <v>1922</v>
      </c>
      <c r="B6" s="142">
        <v>0.05</v>
      </c>
      <c r="C6" s="33" t="s">
        <v>315</v>
      </c>
      <c r="D6" s="33" t="s">
        <v>1920</v>
      </c>
      <c r="E6" s="79" t="s">
        <v>502</v>
      </c>
    </row>
    <row r="7" spans="1:5" x14ac:dyDescent="0.35">
      <c r="A7" s="14" t="s">
        <v>1923</v>
      </c>
      <c r="B7" s="66">
        <v>0</v>
      </c>
      <c r="C7" s="14" t="s">
        <v>1924</v>
      </c>
      <c r="D7" s="14" t="s">
        <v>1920</v>
      </c>
      <c r="E7" s="80" t="s">
        <v>502</v>
      </c>
    </row>
    <row r="8" spans="1:5" x14ac:dyDescent="0.35">
      <c r="A8" s="33" t="s">
        <v>1925</v>
      </c>
      <c r="B8" s="142">
        <f>3000/3.6</f>
        <v>833.33333333333326</v>
      </c>
      <c r="C8" s="33" t="s">
        <v>1926</v>
      </c>
      <c r="D8" s="33" t="s">
        <v>1927</v>
      </c>
      <c r="E8" s="79" t="s">
        <v>1928</v>
      </c>
    </row>
    <row r="9" spans="1:5" x14ac:dyDescent="0.35">
      <c r="A9" s="14" t="s">
        <v>1929</v>
      </c>
      <c r="B9" s="66">
        <v>0.9</v>
      </c>
      <c r="C9" s="14" t="s">
        <v>315</v>
      </c>
      <c r="D9" s="14" t="s">
        <v>1927</v>
      </c>
      <c r="E9" s="80" t="s">
        <v>502</v>
      </c>
    </row>
    <row r="10" spans="1:5" x14ac:dyDescent="0.35">
      <c r="A10" s="33" t="s">
        <v>1930</v>
      </c>
      <c r="B10" s="142">
        <v>4.0143999999999999E-2</v>
      </c>
      <c r="C10" s="33" t="s">
        <v>315</v>
      </c>
      <c r="D10" s="33" t="s">
        <v>1927</v>
      </c>
      <c r="E10" s="79" t="s">
        <v>502</v>
      </c>
    </row>
    <row r="11" spans="1:5" x14ac:dyDescent="0.35">
      <c r="A11" s="14" t="s">
        <v>1931</v>
      </c>
      <c r="B11" s="66">
        <v>0</v>
      </c>
      <c r="C11" s="14" t="s">
        <v>1932</v>
      </c>
      <c r="D11" s="14" t="s">
        <v>1927</v>
      </c>
      <c r="E11" s="80" t="s">
        <v>502</v>
      </c>
    </row>
    <row r="12" spans="1:5" x14ac:dyDescent="0.35">
      <c r="A12" s="33" t="s">
        <v>1933</v>
      </c>
      <c r="B12" s="67">
        <v>0.02</v>
      </c>
      <c r="C12" s="33" t="s">
        <v>640</v>
      </c>
      <c r="D12" s="33" t="s">
        <v>1934</v>
      </c>
      <c r="E12" s="79" t="s">
        <v>502</v>
      </c>
    </row>
    <row r="13" spans="1:5" x14ac:dyDescent="0.35">
      <c r="A13" s="14" t="s">
        <v>1935</v>
      </c>
      <c r="B13" s="66">
        <v>2022</v>
      </c>
      <c r="C13" s="14" t="s">
        <v>642</v>
      </c>
      <c r="D13" s="14" t="s">
        <v>1934</v>
      </c>
      <c r="E13" s="80" t="s">
        <v>502</v>
      </c>
    </row>
    <row r="14" spans="1:5" x14ac:dyDescent="0.35">
      <c r="A14" s="33" t="s">
        <v>1936</v>
      </c>
      <c r="B14" s="142">
        <v>3.8284E-3</v>
      </c>
      <c r="C14" s="33" t="s">
        <v>1937</v>
      </c>
      <c r="D14" s="33" t="s">
        <v>1927</v>
      </c>
      <c r="E14" s="79" t="s">
        <v>452</v>
      </c>
    </row>
    <row r="15" spans="1:5" x14ac:dyDescent="0.35">
      <c r="A15" s="14" t="s">
        <v>1938</v>
      </c>
      <c r="B15" s="66">
        <v>4.9858999999999997E-3</v>
      </c>
      <c r="C15" s="14" t="s">
        <v>1937</v>
      </c>
      <c r="D15" s="14" t="s">
        <v>1927</v>
      </c>
      <c r="E15" s="80" t="s">
        <v>452</v>
      </c>
    </row>
    <row r="16" spans="1:5" x14ac:dyDescent="0.35">
      <c r="A16" s="33" t="s">
        <v>1939</v>
      </c>
      <c r="B16" s="142">
        <v>6.1434000000000002E-3</v>
      </c>
      <c r="C16" s="33" t="s">
        <v>1937</v>
      </c>
      <c r="D16" s="33" t="s">
        <v>1927</v>
      </c>
      <c r="E16" s="79" t="s">
        <v>452</v>
      </c>
    </row>
    <row r="17" spans="1:5" x14ac:dyDescent="0.35">
      <c r="A17" s="14" t="s">
        <v>1940</v>
      </c>
      <c r="B17" s="66">
        <v>9.2E-6</v>
      </c>
      <c r="C17" s="14" t="s">
        <v>1941</v>
      </c>
      <c r="D17" s="14" t="s">
        <v>1927</v>
      </c>
      <c r="E17" s="80" t="s">
        <v>452</v>
      </c>
    </row>
    <row r="18" spans="1:5" x14ac:dyDescent="0.35">
      <c r="A18" s="33" t="s">
        <v>1942</v>
      </c>
      <c r="B18" s="142">
        <v>8.8000000000000004E-6</v>
      </c>
      <c r="C18" s="33" t="s">
        <v>1941</v>
      </c>
      <c r="D18" s="33" t="s">
        <v>1927</v>
      </c>
      <c r="E18" s="79" t="s">
        <v>452</v>
      </c>
    </row>
    <row r="19" spans="1:5" x14ac:dyDescent="0.35">
      <c r="A19" s="14" t="s">
        <v>1943</v>
      </c>
      <c r="B19" s="66">
        <v>7.9000000000000006E-6</v>
      </c>
      <c r="C19" s="14" t="s">
        <v>1941</v>
      </c>
      <c r="D19" s="14" t="s">
        <v>1927</v>
      </c>
      <c r="E19" s="80" t="s">
        <v>452</v>
      </c>
    </row>
    <row r="20" spans="1:5" x14ac:dyDescent="0.35">
      <c r="A20" s="33" t="s">
        <v>1944</v>
      </c>
      <c r="B20" s="142">
        <v>5.8000000000000004E-6</v>
      </c>
      <c r="C20" s="33" t="s">
        <v>1941</v>
      </c>
      <c r="D20" s="33" t="s">
        <v>1927</v>
      </c>
      <c r="E20" s="79" t="s">
        <v>452</v>
      </c>
    </row>
    <row r="21" spans="1:5" x14ac:dyDescent="0.35">
      <c r="A21" s="14" t="s">
        <v>1945</v>
      </c>
      <c r="B21" s="66">
        <v>4.6999999999999999E-6</v>
      </c>
      <c r="C21" s="14" t="s">
        <v>1941</v>
      </c>
      <c r="D21" s="14" t="s">
        <v>1927</v>
      </c>
      <c r="E21" s="80" t="s">
        <v>452</v>
      </c>
    </row>
    <row r="22" spans="1:5" x14ac:dyDescent="0.35">
      <c r="A22" s="33" t="s">
        <v>1946</v>
      </c>
      <c r="B22" s="142">
        <v>1.4E-5</v>
      </c>
      <c r="C22" s="33" t="s">
        <v>1941</v>
      </c>
      <c r="D22" s="33" t="s">
        <v>1927</v>
      </c>
      <c r="E22" s="79" t="s">
        <v>452</v>
      </c>
    </row>
    <row r="23" spans="1:5" x14ac:dyDescent="0.35">
      <c r="A23" s="14" t="s">
        <v>1947</v>
      </c>
      <c r="B23" s="66">
        <v>1.1800000000000001E-5</v>
      </c>
      <c r="C23" s="14" t="s">
        <v>1941</v>
      </c>
      <c r="D23" s="14" t="s">
        <v>1927</v>
      </c>
      <c r="E23" s="80" t="s">
        <v>452</v>
      </c>
    </row>
    <row r="24" spans="1:5" x14ac:dyDescent="0.35">
      <c r="A24" s="33" t="s">
        <v>1948</v>
      </c>
      <c r="B24" s="142">
        <v>1.06E-5</v>
      </c>
      <c r="C24" s="33" t="s">
        <v>1941</v>
      </c>
      <c r="D24" s="33" t="s">
        <v>1927</v>
      </c>
      <c r="E24" s="79" t="s">
        <v>452</v>
      </c>
    </row>
    <row r="25" spans="1:5" x14ac:dyDescent="0.35">
      <c r="A25" s="14" t="s">
        <v>1949</v>
      </c>
      <c r="B25" s="66">
        <v>7.7999999999999999E-6</v>
      </c>
      <c r="C25" s="14" t="s">
        <v>1941</v>
      </c>
      <c r="D25" s="14" t="s">
        <v>1927</v>
      </c>
      <c r="E25" s="80" t="s">
        <v>452</v>
      </c>
    </row>
    <row r="26" spans="1:5" x14ac:dyDescent="0.35">
      <c r="A26" s="33" t="s">
        <v>1950</v>
      </c>
      <c r="B26" s="142">
        <v>6.2999999999999998E-6</v>
      </c>
      <c r="C26" s="33" t="s">
        <v>1941</v>
      </c>
      <c r="D26" s="33" t="s">
        <v>1927</v>
      </c>
      <c r="E26" s="79" t="s">
        <v>452</v>
      </c>
    </row>
    <row r="27" spans="1:5" x14ac:dyDescent="0.35">
      <c r="A27" s="14" t="s">
        <v>1951</v>
      </c>
      <c r="B27" s="66">
        <v>2.1699999999999999E-5</v>
      </c>
      <c r="C27" s="14" t="s">
        <v>1941</v>
      </c>
      <c r="D27" s="14" t="s">
        <v>1927</v>
      </c>
      <c r="E27" s="80" t="s">
        <v>452</v>
      </c>
    </row>
    <row r="28" spans="1:5" x14ac:dyDescent="0.35">
      <c r="A28" s="33" t="s">
        <v>1952</v>
      </c>
      <c r="B28" s="142">
        <v>1.8600000000000001E-5</v>
      </c>
      <c r="C28" s="33" t="s">
        <v>1941</v>
      </c>
      <c r="D28" s="33" t="s">
        <v>1927</v>
      </c>
      <c r="E28" s="79" t="s">
        <v>452</v>
      </c>
    </row>
    <row r="29" spans="1:5" x14ac:dyDescent="0.35">
      <c r="A29" s="14" t="s">
        <v>1953</v>
      </c>
      <c r="B29" s="66">
        <v>1.6399999999999999E-5</v>
      </c>
      <c r="C29" s="14" t="s">
        <v>1941</v>
      </c>
      <c r="D29" s="14" t="s">
        <v>1927</v>
      </c>
      <c r="E29" s="80" t="s">
        <v>452</v>
      </c>
    </row>
    <row r="30" spans="1:5" x14ac:dyDescent="0.35">
      <c r="A30" s="33" t="s">
        <v>1954</v>
      </c>
      <c r="B30" s="142">
        <v>1.2099999999999999E-5</v>
      </c>
      <c r="C30" s="33" t="s">
        <v>1941</v>
      </c>
      <c r="D30" s="33" t="s">
        <v>1927</v>
      </c>
      <c r="E30" s="79" t="s">
        <v>452</v>
      </c>
    </row>
    <row r="31" spans="1:5" x14ac:dyDescent="0.35">
      <c r="A31" s="14" t="s">
        <v>1955</v>
      </c>
      <c r="B31" s="66">
        <v>9.7999999999999993E-6</v>
      </c>
      <c r="C31" s="14" t="s">
        <v>1941</v>
      </c>
      <c r="D31" s="14" t="s">
        <v>1927</v>
      </c>
      <c r="E31" s="80" t="s">
        <v>452</v>
      </c>
    </row>
    <row r="32" spans="1:5" x14ac:dyDescent="0.35">
      <c r="A32" s="33" t="s">
        <v>1956</v>
      </c>
      <c r="B32" s="142">
        <v>30.8</v>
      </c>
      <c r="C32" s="33" t="s">
        <v>1957</v>
      </c>
      <c r="D32" s="33" t="s">
        <v>1927</v>
      </c>
      <c r="E32" s="79" t="s">
        <v>1873</v>
      </c>
    </row>
    <row r="33" spans="1:5" x14ac:dyDescent="0.35">
      <c r="A33" s="14" t="s">
        <v>1958</v>
      </c>
      <c r="B33" s="66">
        <v>0.13800000000000001</v>
      </c>
      <c r="C33" s="14" t="s">
        <v>1959</v>
      </c>
      <c r="D33" s="14" t="s">
        <v>1927</v>
      </c>
      <c r="E33" s="80" t="s">
        <v>452</v>
      </c>
    </row>
    <row r="34" spans="1:5" x14ac:dyDescent="0.35">
      <c r="A34" s="33" t="s">
        <v>1960</v>
      </c>
      <c r="B34" s="142">
        <v>7.2700000000000001E-2</v>
      </c>
      <c r="C34" s="33" t="s">
        <v>1959</v>
      </c>
      <c r="D34" s="33" t="s">
        <v>1927</v>
      </c>
      <c r="E34" s="79" t="s">
        <v>452</v>
      </c>
    </row>
    <row r="35" spans="1:5" x14ac:dyDescent="0.35">
      <c r="A35" s="14" t="s">
        <v>1961</v>
      </c>
      <c r="B35" s="66">
        <v>5.8599999999999999E-2</v>
      </c>
      <c r="C35" s="14" t="s">
        <v>1959</v>
      </c>
      <c r="D35" s="14" t="s">
        <v>1927</v>
      </c>
      <c r="E35" s="80" t="s">
        <v>452</v>
      </c>
    </row>
    <row r="36" spans="1:5" x14ac:dyDescent="0.35">
      <c r="A36" s="33" t="s">
        <v>1962</v>
      </c>
      <c r="B36" s="142">
        <v>4.3900000000000002E-2</v>
      </c>
      <c r="C36" s="33" t="s">
        <v>1959</v>
      </c>
      <c r="D36" s="33" t="s">
        <v>1927</v>
      </c>
      <c r="E36" s="79" t="s">
        <v>452</v>
      </c>
    </row>
    <row r="37" spans="1:5" x14ac:dyDescent="0.35">
      <c r="A37" s="14" t="s">
        <v>1963</v>
      </c>
      <c r="B37" s="66">
        <v>3.61E-2</v>
      </c>
      <c r="C37" s="14" t="s">
        <v>1959</v>
      </c>
      <c r="D37" s="14" t="s">
        <v>1927</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1964</v>
      </c>
      <c r="B2" s="11" t="s">
        <v>1965</v>
      </c>
      <c r="C2" s="11" t="s">
        <v>1966</v>
      </c>
      <c r="D2" s="11" t="s">
        <v>1967</v>
      </c>
      <c r="E2" s="11" t="s">
        <v>1968</v>
      </c>
      <c r="F2" s="11" t="s">
        <v>1969</v>
      </c>
      <c r="G2" s="11" t="s">
        <v>1970</v>
      </c>
      <c r="H2" s="11" t="s">
        <v>1971</v>
      </c>
      <c r="I2" s="11" t="s">
        <v>1972</v>
      </c>
      <c r="J2" s="11" t="s">
        <v>1973</v>
      </c>
      <c r="K2" s="11" t="s">
        <v>1974</v>
      </c>
      <c r="L2" s="11" t="s">
        <v>1975</v>
      </c>
      <c r="M2" s="11" t="s">
        <v>1976</v>
      </c>
      <c r="N2" s="11" t="s">
        <v>1977</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1978</v>
      </c>
      <c r="J4" s="13"/>
      <c r="K4" s="13" t="s">
        <v>451</v>
      </c>
      <c r="L4" s="13"/>
      <c r="M4" s="13" t="s">
        <v>1979</v>
      </c>
      <c r="N4" s="13" t="s">
        <v>654</v>
      </c>
    </row>
    <row r="5" spans="1:14" x14ac:dyDescent="0.35">
      <c r="A5" s="14" t="s">
        <v>492</v>
      </c>
      <c r="B5" s="14" t="s">
        <v>450</v>
      </c>
      <c r="C5" s="14" t="s">
        <v>660</v>
      </c>
      <c r="D5" s="14" t="s">
        <v>666</v>
      </c>
      <c r="E5" s="14" t="s">
        <v>1348</v>
      </c>
      <c r="F5" s="14" t="s">
        <v>708</v>
      </c>
      <c r="G5" s="14">
        <v>1</v>
      </c>
      <c r="H5" s="14" t="s">
        <v>320</v>
      </c>
      <c r="I5" s="14" t="s">
        <v>1980</v>
      </c>
      <c r="J5" s="14">
        <v>1</v>
      </c>
      <c r="K5" s="14" t="s">
        <v>459</v>
      </c>
      <c r="L5" s="14"/>
      <c r="M5" s="14" t="s">
        <v>1981</v>
      </c>
      <c r="N5" s="14" t="s">
        <v>726</v>
      </c>
    </row>
    <row r="6" spans="1:14" x14ac:dyDescent="0.35">
      <c r="A6" s="13" t="s">
        <v>454</v>
      </c>
      <c r="B6" s="13" t="s">
        <v>484</v>
      </c>
      <c r="C6" s="13" t="s">
        <v>1241</v>
      </c>
      <c r="D6" s="13" t="s">
        <v>1347</v>
      </c>
      <c r="E6" s="13" t="s">
        <v>667</v>
      </c>
      <c r="F6" s="13" t="s">
        <v>727</v>
      </c>
      <c r="G6" s="13">
        <v>1</v>
      </c>
      <c r="H6" s="13" t="s">
        <v>554</v>
      </c>
      <c r="I6" s="13" t="s">
        <v>1982</v>
      </c>
      <c r="J6" s="13"/>
      <c r="K6" s="13" t="s">
        <v>471</v>
      </c>
      <c r="L6" s="13"/>
      <c r="M6" s="13" t="s">
        <v>1983</v>
      </c>
      <c r="N6" s="13" t="s">
        <v>734</v>
      </c>
    </row>
    <row r="7" spans="1:14" x14ac:dyDescent="0.35">
      <c r="A7" s="14" t="s">
        <v>458</v>
      </c>
      <c r="B7" s="14" t="s">
        <v>534</v>
      </c>
      <c r="C7" s="14" t="s">
        <v>1569</v>
      </c>
      <c r="D7" s="14" t="s">
        <v>1309</v>
      </c>
      <c r="E7" s="14" t="s">
        <v>1313</v>
      </c>
      <c r="F7" s="14" t="s">
        <v>741</v>
      </c>
      <c r="G7" s="14">
        <v>1</v>
      </c>
      <c r="K7" s="14" t="s">
        <v>485</v>
      </c>
      <c r="L7" s="14"/>
      <c r="M7" s="14" t="s">
        <v>29</v>
      </c>
      <c r="N7" s="14" t="s">
        <v>740</v>
      </c>
    </row>
    <row r="8" spans="1:14" x14ac:dyDescent="0.35">
      <c r="A8" s="13" t="s">
        <v>449</v>
      </c>
      <c r="B8" s="13" t="s">
        <v>418</v>
      </c>
      <c r="C8" s="13" t="s">
        <v>982</v>
      </c>
      <c r="D8" s="58" t="s">
        <v>1055</v>
      </c>
      <c r="E8" s="58" t="s">
        <v>932</v>
      </c>
      <c r="F8" s="13" t="s">
        <v>1142</v>
      </c>
      <c r="G8" s="13">
        <v>1</v>
      </c>
      <c r="K8" s="13" t="s">
        <v>478</v>
      </c>
      <c r="L8" s="13">
        <v>1</v>
      </c>
      <c r="N8" s="13" t="s">
        <v>1141</v>
      </c>
    </row>
    <row r="9" spans="1:14" x14ac:dyDescent="0.35">
      <c r="B9" s="14" t="s">
        <v>1984</v>
      </c>
      <c r="C9" s="14" t="s">
        <v>765</v>
      </c>
      <c r="D9" s="14" t="s">
        <v>1058</v>
      </c>
      <c r="E9" s="51" t="s">
        <v>1985</v>
      </c>
      <c r="F9" s="14" t="s">
        <v>1029</v>
      </c>
      <c r="G9" s="14">
        <v>1</v>
      </c>
      <c r="K9" s="14" t="s">
        <v>493</v>
      </c>
      <c r="L9" s="14"/>
      <c r="N9" s="14" t="s">
        <v>1243</v>
      </c>
    </row>
    <row r="10" spans="1:14" x14ac:dyDescent="0.35">
      <c r="B10" s="13" t="s">
        <v>550</v>
      </c>
      <c r="C10" s="13" t="s">
        <v>1575</v>
      </c>
      <c r="E10" s="58" t="s">
        <v>1986</v>
      </c>
      <c r="F10" s="13" t="s">
        <v>1987</v>
      </c>
      <c r="G10" s="13"/>
      <c r="K10" s="13" t="s">
        <v>497</v>
      </c>
      <c r="L10" s="13">
        <v>1</v>
      </c>
      <c r="N10" s="13" t="s">
        <v>1205</v>
      </c>
    </row>
    <row r="11" spans="1:14" x14ac:dyDescent="0.35">
      <c r="B11" s="1" t="s">
        <v>500</v>
      </c>
      <c r="C11" s="14" t="s">
        <v>1988</v>
      </c>
      <c r="E11" s="14" t="s">
        <v>1989</v>
      </c>
      <c r="F11" s="14" t="s">
        <v>1234</v>
      </c>
      <c r="G11" s="14"/>
      <c r="K11" s="14" t="s">
        <v>503</v>
      </c>
      <c r="L11" s="14"/>
    </row>
    <row r="12" spans="1:14" x14ac:dyDescent="0.35">
      <c r="E12" s="58" t="s">
        <v>1388</v>
      </c>
      <c r="F12" s="13" t="s">
        <v>1247</v>
      </c>
      <c r="G12" s="13"/>
      <c r="K12" s="13" t="s">
        <v>504</v>
      </c>
      <c r="L12" s="13">
        <v>1</v>
      </c>
    </row>
    <row r="13" spans="1:14" x14ac:dyDescent="0.35">
      <c r="F13" s="14" t="s">
        <v>1213</v>
      </c>
      <c r="G13" s="14"/>
      <c r="K13" s="14" t="s">
        <v>468</v>
      </c>
      <c r="L13" s="14"/>
    </row>
    <row r="14" spans="1:14" x14ac:dyDescent="0.35">
      <c r="F14" s="13" t="s">
        <v>1376</v>
      </c>
      <c r="G14" s="13"/>
      <c r="K14" s="13" t="s">
        <v>506</v>
      </c>
      <c r="L14" s="13"/>
    </row>
    <row r="15" spans="1:14" x14ac:dyDescent="0.35">
      <c r="F15" s="14" t="s">
        <v>1561</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1652</v>
      </c>
      <c r="G18" s="13"/>
      <c r="K18" s="13" t="s">
        <v>530</v>
      </c>
      <c r="L18" s="13">
        <v>1</v>
      </c>
    </row>
    <row r="19" spans="6:12" x14ac:dyDescent="0.35">
      <c r="F19" s="14" t="s">
        <v>1469</v>
      </c>
      <c r="G19" s="14"/>
      <c r="K19" s="14" t="s">
        <v>441</v>
      </c>
      <c r="L19" s="14"/>
    </row>
    <row r="20" spans="6:12" x14ac:dyDescent="0.35">
      <c r="F20" s="13" t="s">
        <v>509</v>
      </c>
      <c r="G20" s="13"/>
      <c r="K20" s="13" t="s">
        <v>419</v>
      </c>
      <c r="L20" s="13"/>
    </row>
    <row r="21" spans="6:12" x14ac:dyDescent="0.35">
      <c r="F21" s="14" t="s">
        <v>1133</v>
      </c>
      <c r="G21" s="14"/>
      <c r="K21" s="1" t="s">
        <v>1990</v>
      </c>
    </row>
    <row r="22" spans="6:12" x14ac:dyDescent="0.35">
      <c r="F22" s="13" t="s">
        <v>1496</v>
      </c>
      <c r="G22" s="13"/>
      <c r="K22" s="1" t="s">
        <v>29</v>
      </c>
    </row>
    <row r="23" spans="6:12" x14ac:dyDescent="0.35">
      <c r="F23" s="14" t="s">
        <v>1991</v>
      </c>
      <c r="G23" s="14"/>
    </row>
    <row r="24" spans="6:12" x14ac:dyDescent="0.35">
      <c r="F24" s="13" t="s">
        <v>1773</v>
      </c>
      <c r="G24" s="13"/>
    </row>
    <row r="25" spans="6:12" x14ac:dyDescent="0.35">
      <c r="F25" s="14" t="s">
        <v>534</v>
      </c>
      <c r="G25" s="14"/>
    </row>
    <row r="26" spans="6:12" x14ac:dyDescent="0.35">
      <c r="F26" s="13" t="s">
        <v>1209</v>
      </c>
      <c r="G26" s="13"/>
    </row>
    <row r="27" spans="6:12" x14ac:dyDescent="0.35">
      <c r="F27" s="14" t="s">
        <v>419</v>
      </c>
      <c r="G27" s="14"/>
    </row>
    <row r="28" spans="6:12" x14ac:dyDescent="0.35">
      <c r="F28" s="13" t="s">
        <v>971</v>
      </c>
      <c r="G28" s="13"/>
    </row>
    <row r="29" spans="6:12" x14ac:dyDescent="0.35">
      <c r="F29" s="14" t="s">
        <v>1206</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1992</v>
      </c>
      <c r="B2" s="11"/>
      <c r="C2" s="11"/>
      <c r="D2" s="11"/>
      <c r="E2" s="11"/>
      <c r="F2" s="11"/>
      <c r="G2" s="11"/>
      <c r="H2" s="11"/>
      <c r="I2" s="11"/>
      <c r="J2" s="11"/>
      <c r="K2" s="11"/>
    </row>
    <row r="3" spans="1:11" x14ac:dyDescent="0.35">
      <c r="A3" s="12" t="s">
        <v>982</v>
      </c>
      <c r="B3" s="12" t="s">
        <v>765</v>
      </c>
      <c r="C3" s="12" t="s">
        <v>662</v>
      </c>
      <c r="D3" s="12" t="s">
        <v>1347</v>
      </c>
      <c r="E3" s="12" t="s">
        <v>666</v>
      </c>
      <c r="F3" s="12" t="s">
        <v>1309</v>
      </c>
      <c r="G3" s="12" t="s">
        <v>1055</v>
      </c>
      <c r="H3" s="12" t="s">
        <v>1840</v>
      </c>
      <c r="I3" s="57" t="s">
        <v>1993</v>
      </c>
      <c r="J3" s="57" t="s">
        <v>1994</v>
      </c>
      <c r="K3" s="57" t="s">
        <v>1995</v>
      </c>
    </row>
    <row r="4" spans="1:11" s="37" customFormat="1" x14ac:dyDescent="0.35">
      <c r="A4" s="58" t="s">
        <v>766</v>
      </c>
      <c r="B4" s="58" t="s">
        <v>766</v>
      </c>
      <c r="D4" s="58" t="s">
        <v>1348</v>
      </c>
      <c r="E4" s="58" t="s">
        <v>667</v>
      </c>
      <c r="F4" s="58" t="s">
        <v>667</v>
      </c>
      <c r="G4" s="58" t="s">
        <v>667</v>
      </c>
      <c r="H4" s="58" t="s">
        <v>766</v>
      </c>
      <c r="I4" s="58"/>
      <c r="J4" s="58"/>
      <c r="K4" s="58"/>
    </row>
    <row r="5" spans="1:11" s="37" customFormat="1" x14ac:dyDescent="0.35">
      <c r="A5" s="51" t="s">
        <v>667</v>
      </c>
      <c r="B5" s="51" t="s">
        <v>932</v>
      </c>
      <c r="E5" s="51" t="s">
        <v>1313</v>
      </c>
      <c r="F5" s="51" t="s">
        <v>1313</v>
      </c>
      <c r="G5" s="51" t="s">
        <v>932</v>
      </c>
      <c r="H5" s="51" t="s">
        <v>667</v>
      </c>
    </row>
    <row r="6" spans="1:11" s="37" customFormat="1" x14ac:dyDescent="0.35">
      <c r="A6" s="58" t="s">
        <v>932</v>
      </c>
      <c r="E6" s="58" t="s">
        <v>932</v>
      </c>
      <c r="F6" s="58" t="s">
        <v>932</v>
      </c>
    </row>
    <row r="7" spans="1:11" s="37" customFormat="1" x14ac:dyDescent="0.35">
      <c r="E7" s="51" t="s">
        <v>1985</v>
      </c>
      <c r="F7" s="51" t="s">
        <v>1985</v>
      </c>
    </row>
    <row r="8" spans="1:11" s="37" customFormat="1" x14ac:dyDescent="0.35">
      <c r="E8" s="58" t="s">
        <v>1986</v>
      </c>
      <c r="F8" s="58" t="s">
        <v>1986</v>
      </c>
    </row>
    <row r="9" spans="1:11" s="37" customFormat="1" x14ac:dyDescent="0.35">
      <c r="E9" s="51" t="s">
        <v>1989</v>
      </c>
      <c r="F9" s="51" t="s">
        <v>1989</v>
      </c>
    </row>
    <row r="10" spans="1:11" s="37" customFormat="1" x14ac:dyDescent="0.35">
      <c r="E10" s="58" t="s">
        <v>1388</v>
      </c>
      <c r="F10" s="58" t="s">
        <v>1388</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1996</v>
      </c>
      <c r="B1" s="435"/>
      <c r="C1" s="435"/>
      <c r="D1" s="435"/>
      <c r="E1" s="435"/>
      <c r="F1" s="435"/>
      <c r="G1" s="435"/>
      <c r="H1" s="435"/>
      <c r="I1" s="435"/>
      <c r="J1" s="435"/>
    </row>
    <row r="2" spans="1:10" ht="29" x14ac:dyDescent="0.35">
      <c r="A2" s="46" t="s">
        <v>1997</v>
      </c>
      <c r="B2" s="46" t="s">
        <v>303</v>
      </c>
      <c r="C2" s="46" t="s">
        <v>304</v>
      </c>
      <c r="D2" s="46" t="s">
        <v>305</v>
      </c>
      <c r="E2" s="46" t="s">
        <v>306</v>
      </c>
      <c r="F2" s="8" t="s">
        <v>307</v>
      </c>
      <c r="H2" s="46" t="s">
        <v>1998</v>
      </c>
      <c r="I2" s="46" t="s">
        <v>1999</v>
      </c>
      <c r="J2" s="46" t="s">
        <v>2000</v>
      </c>
    </row>
    <row r="3" spans="1:10" x14ac:dyDescent="0.35">
      <c r="A3" s="65" t="s">
        <v>2001</v>
      </c>
      <c r="B3" s="65" t="s">
        <v>312</v>
      </c>
      <c r="C3" s="65" t="s">
        <v>312</v>
      </c>
      <c r="D3" s="65" t="s">
        <v>312</v>
      </c>
      <c r="E3" s="65" t="s">
        <v>313</v>
      </c>
      <c r="F3" s="65" t="s">
        <v>312</v>
      </c>
      <c r="H3" s="65" t="s">
        <v>2002</v>
      </c>
      <c r="I3" s="65" t="s">
        <v>2003</v>
      </c>
      <c r="J3" s="65" t="s">
        <v>1805</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2004</v>
      </c>
    </row>
    <row r="4" spans="1:2" x14ac:dyDescent="0.35">
      <c r="A4">
        <v>2</v>
      </c>
      <c r="B4" t="s">
        <v>2005</v>
      </c>
    </row>
    <row r="5" spans="1:2" x14ac:dyDescent="0.35">
      <c r="A5">
        <v>3</v>
      </c>
      <c r="B5" t="s">
        <v>2006</v>
      </c>
    </row>
    <row r="6" spans="1:2" x14ac:dyDescent="0.35">
      <c r="A6">
        <v>4</v>
      </c>
      <c r="B6" t="s">
        <v>2007</v>
      </c>
    </row>
    <row r="7" spans="1:2" x14ac:dyDescent="0.35">
      <c r="A7">
        <v>5</v>
      </c>
      <c r="B7" t="s">
        <v>2008</v>
      </c>
    </row>
    <row r="8" spans="1:2" x14ac:dyDescent="0.35">
      <c r="A8">
        <v>6</v>
      </c>
      <c r="B8" t="s">
        <v>2009</v>
      </c>
    </row>
    <row r="9" spans="1:2" x14ac:dyDescent="0.35">
      <c r="A9">
        <v>7</v>
      </c>
      <c r="B9" t="s">
        <v>2010</v>
      </c>
    </row>
    <row r="10" spans="1:2" x14ac:dyDescent="0.35">
      <c r="A10">
        <v>8</v>
      </c>
      <c r="B10" t="s">
        <v>2011</v>
      </c>
    </row>
    <row r="11" spans="1:2" x14ac:dyDescent="0.35">
      <c r="B11" t="s">
        <v>2012</v>
      </c>
    </row>
    <row r="12" spans="1:2" x14ac:dyDescent="0.35">
      <c r="A12">
        <v>9</v>
      </c>
      <c r="B12" t="s">
        <v>2013</v>
      </c>
    </row>
    <row r="13" spans="1:2" x14ac:dyDescent="0.35">
      <c r="A13">
        <v>10</v>
      </c>
      <c r="B13" t="s">
        <v>2014</v>
      </c>
    </row>
    <row r="14" spans="1:2" x14ac:dyDescent="0.35">
      <c r="A14">
        <v>11</v>
      </c>
      <c r="B14" t="s">
        <v>2015</v>
      </c>
    </row>
    <row r="15" spans="1:2" x14ac:dyDescent="0.35">
      <c r="A15">
        <v>12</v>
      </c>
      <c r="B15" t="s">
        <v>2016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2026-06-05T19:52:20Z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